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theme/themeOverride1.xml" ContentType="application/vnd.openxmlformats-officedocument.themeOverride+xml"/>
  <Override PartName="/xl/charts/chart2.xml" ContentType="application/vnd.openxmlformats-officedocument.drawingml.chart+xml"/>
  <Override PartName="/xl/theme/themeOverride2.xml" ContentType="application/vnd.openxmlformats-officedocument.themeOverride+xml"/>
  <Override PartName="/xl/charts/chart3.xml" ContentType="application/vnd.openxmlformats-officedocument.drawingml.chart+xml"/>
  <Override PartName="/xl/theme/themeOverride3.xml" ContentType="application/vnd.openxmlformats-officedocument.themeOverride+xml"/>
  <Override PartName="/xl/charts/chart4.xml" ContentType="application/vnd.openxmlformats-officedocument.drawingml.chart+xml"/>
  <Override PartName="/xl/theme/themeOverride4.xml" ContentType="application/vnd.openxmlformats-officedocument.themeOverride+xml"/>
  <Override PartName="/xl/drawings/drawing3.xml" ContentType="application/vnd.openxmlformats-officedocument.drawing+xml"/>
  <Override PartName="/xl/charts/chart5.xml" ContentType="application/vnd.openxmlformats-officedocument.drawingml.chart+xml"/>
  <Override PartName="/xl/theme/themeOverride5.xml" ContentType="application/vnd.openxmlformats-officedocument.themeOverride+xml"/>
  <Override PartName="/xl/drawings/drawing4.xml" ContentType="application/vnd.openxmlformats-officedocument.drawing+xml"/>
  <Override PartName="/xl/drawings/drawing5.xml" ContentType="application/vnd.openxmlformats-officedocument.drawing+xml"/>
  <Override PartName="/xl/charts/chart6.xml" ContentType="application/vnd.openxmlformats-officedocument.drawingml.chart+xml"/>
  <Override PartName="/xl/drawings/drawing6.xml" ContentType="application/vnd.openxmlformats-officedocument.drawing+xml"/>
  <Override PartName="/xl/charts/chart7.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6.xml" ContentType="application/vnd.openxmlformats-officedocument.themeOverride+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7.xml" ContentType="application/vnd.openxmlformats-officedocument.themeOverride+xml"/>
  <Override PartName="/xl/charts/chart9.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8.xml" ContentType="application/vnd.openxmlformats-officedocument.themeOverride+xml"/>
  <Override PartName="/xl/drawings/drawing7.xml" ContentType="application/vnd.openxmlformats-officedocument.drawing+xml"/>
  <Override PartName="/xl/charts/chart10.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9.xml" ContentType="application/vnd.openxmlformats-officedocument.themeOverride+xml"/>
  <Override PartName="/xl/drawings/drawing8.xml" ContentType="application/vnd.openxmlformats-officedocument.drawing+xml"/>
  <Override PartName="/xl/charts/chart11.xml" ContentType="application/vnd.openxmlformats-officedocument.drawingml.chart+xml"/>
  <Override PartName="/xl/charts/style5.xml" ContentType="application/vnd.ms-office.chartstyle+xml"/>
  <Override PartName="/xl/charts/colors5.xml" ContentType="application/vnd.ms-office.chartcolorstyle+xml"/>
  <Override PartName="/xl/charts/chart12.xml" ContentType="application/vnd.openxmlformats-officedocument.drawingml.chart+xml"/>
  <Override PartName="/xl/charts/style6.xml" ContentType="application/vnd.ms-office.chartstyle+xml"/>
  <Override PartName="/xl/charts/colors6.xml" ContentType="application/vnd.ms-office.chartcolorstyle+xml"/>
  <Override PartName="/xl/theme/themeOverride10.xml" ContentType="application/vnd.openxmlformats-officedocument.themeOverride+xml"/>
  <Override PartName="/xl/drawings/drawing9.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drawings/drawing10.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drawings/drawing11.xml" ContentType="application/vnd.openxmlformats-officedocument.drawing+xml"/>
  <Override PartName="/xl/charts/chart17.xml" ContentType="application/vnd.openxmlformats-officedocument.drawingml.chart+xml"/>
  <Override PartName="/xl/theme/themeOverride11.xml" ContentType="application/vnd.openxmlformats-officedocument.themeOverride+xml"/>
  <Override PartName="/xl/drawings/drawing12.xml" ContentType="application/vnd.openxmlformats-officedocument.drawing+xml"/>
  <Override PartName="/xl/drawings/drawing1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02" codeName="{51196F13-6AD0-C1B8-E2B4-A1F9AE17003E}"/>
  <workbookPr filterPrivacy="1" codeName="ThisWorkbook"/>
  <xr:revisionPtr revIDLastSave="0" documentId="8_{DB318AB6-B858-6041-B984-0648BA1B5FE8}" xr6:coauthVersionLast="47" xr6:coauthVersionMax="47" xr10:uidLastSave="{00000000-0000-0000-0000-000000000000}"/>
  <bookViews>
    <workbookView xWindow="0" yWindow="660" windowWidth="30240" windowHeight="17780" tabRatio="897" xr2:uid="{00000000-000D-0000-FFFF-FFFF00000000}"/>
  </bookViews>
  <sheets>
    <sheet name="Fuel Flow Model" sheetId="69" r:id="rId1"/>
    <sheet name="Endurance Model" sheetId="80" r:id="rId2"/>
    <sheet name="Endurance vs Range Plot" sheetId="86" r:id="rId3"/>
    <sheet name="Drag Coef Table" sheetId="74" r:id="rId4"/>
    <sheet name="TSFC Eff Table" sheetId="75" r:id="rId5"/>
    <sheet name="Figures" sheetId="73" r:id="rId6"/>
    <sheet name="LRC Mach" sheetId="28" r:id="rId7"/>
    <sheet name="LRC KIAS" sheetId="30" r:id="rId8"/>
    <sheet name="LRC FF" sheetId="29" r:id="rId9"/>
    <sheet name="LRC Tables" sheetId="51" r:id="rId10"/>
    <sheet name="M0.84 Mach" sheetId="36" r:id="rId11"/>
    <sheet name="M0.84 KIAS" sheetId="37" r:id="rId12"/>
    <sheet name="M0.84 FF" sheetId="33" r:id="rId13"/>
    <sheet name="Holding KIAS" sheetId="27" r:id="rId14"/>
    <sheet name="Holding Mach" sheetId="32" r:id="rId15"/>
    <sheet name="Holding FF" sheetId="25" r:id="rId16"/>
    <sheet name="LRC INOP Mach" sheetId="83" r:id="rId17"/>
    <sheet name="LRC INOP FF" sheetId="85" r:id="rId18"/>
    <sheet name="Holding INOP Mach" sheetId="82" r:id="rId19"/>
    <sheet name="Holding INOP FF" sheetId="81" r:id="rId20"/>
    <sheet name="MRC Mach" sheetId="79" r:id="rId21"/>
    <sheet name="MRC FF" sheetId="78" r:id="rId22"/>
    <sheet name="CI=52 Mach" sheetId="77" r:id="rId23"/>
    <sheet name="CI=52 FF" sheetId="76" r:id="rId24"/>
  </sheets>
  <externalReferences>
    <externalReference r:id="rId25"/>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Pal_Workbook_GUID" hidden="1">"VRMCIGU6DIHQQAH5CSM2W2ZZ"</definedName>
    <definedName name="_xlnm.Print_Area" localSheetId="1">'Endurance Model'!$J$81:$J$135</definedName>
    <definedName name="_xlnm.Print_Area" localSheetId="0">'Fuel Flow Model'!$B$21:$G$62</definedName>
    <definedName name="_xlnm.Print_Area" localSheetId="6">'LRC Mach'!$C$4:$AL$21</definedName>
    <definedName name="RiskAfterRecalcMacro" hidden="1">""</definedName>
    <definedName name="RiskAfterSimMacro" hidden="1">""</definedName>
    <definedName name="riskATSSboxGraph" hidden="1">FALSE</definedName>
    <definedName name="riskATSSincludeSimtables" hidden="1">TRUE</definedName>
    <definedName name="riskATSSinputsGraphs" hidden="1">FALSE</definedName>
    <definedName name="riskATSSoutputStatistic" hidden="1">3</definedName>
    <definedName name="riskATSSpercentChangeGraph" hidden="1">TRUE</definedName>
    <definedName name="riskATSSpercentileGraph" hidden="1">TRUE</definedName>
    <definedName name="riskATSSpercentileValue" hidden="1">0.5</definedName>
    <definedName name="riskATSSprintReport" hidden="1">FALSE</definedName>
    <definedName name="riskATSSreportsInActiveBook" hidden="1">FALSE</definedName>
    <definedName name="riskATSSreportsSelected" hidden="1">TRUE</definedName>
    <definedName name="riskATSSsummaryReport" hidden="1">TRUE</definedName>
    <definedName name="riskATSStornadoGraph" hidden="1">TRUE</definedName>
    <definedName name="riskATSTbaselineRequested" hidden="1">TRUE</definedName>
    <definedName name="riskATSTboxGraph" hidden="1">TRUE</definedName>
    <definedName name="riskATSTcomparisonGraph" hidden="1">TRUE</definedName>
    <definedName name="riskATSThistogramGraph" hidden="1">TRUE</definedName>
    <definedName name="riskATSToutputStatistic" hidden="1">4</definedName>
    <definedName name="riskATSTprintReport" hidden="1">FALSE</definedName>
    <definedName name="riskATSTreportsInActiveBook" hidden="1">FALSE</definedName>
    <definedName name="riskATSTreportsSelected" hidden="1">TRUE</definedName>
    <definedName name="riskATSTsequentialStress" hidden="1">TRUE</definedName>
    <definedName name="riskATSTsummaryReport" hidden="1">TRUE</definedName>
    <definedName name="RiskBeforeRecalcMacro" hidden="1">""</definedName>
    <definedName name="RiskBeforeSimMacro" hidden="1">""</definedName>
    <definedName name="RiskCollectDistributionSamples" hidden="1">2</definedName>
    <definedName name="RiskFixedSeed" hidden="1">1</definedName>
    <definedName name="RiskHasSettings" hidden="1">6</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Stress1TF" hidden="1">0</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5" hidden="1">'Holding FF'!$P$19,'Holding FF'!#REF!,'Holding FF'!$P$27,'Holding FF'!$P$23,'Holding FF'!$P$29,'Holding FF'!$P$28,'Holding FF'!$P$21,'Holding FF'!$P$25,'Holding FF'!$P$26,'Holding FF'!$P$24</definedName>
    <definedName name="solver_adj" localSheetId="19" hidden="1">'Holding INOP FF'!$P$19,'Holding INOP FF'!#REF!,'Holding INOP FF'!$P$25,'Holding INOP FF'!$P$21,'Holding INOP FF'!$P$27,'Holding INOP FF'!$P$26,'Holding INOP FF'!#REF!,'Holding INOP FF'!$P$23,'Holding INOP FF'!$P$24,'Holding INOP FF'!$P$22</definedName>
    <definedName name="solver_adj" localSheetId="18" hidden="1">'Holding INOP Mach'!$P$19,'Holding INOP Mach'!#REF!,'Holding INOP Mach'!$P$25,'Holding INOP Mach'!$P$21,'Holding INOP Mach'!$P$27,'Holding INOP Mach'!$P$26,'Holding INOP Mach'!#REF!,'Holding INOP Mach'!$P$23,'Holding INOP Mach'!$P$24,'Holding INOP Mach'!$P$22</definedName>
    <definedName name="solver_adj" localSheetId="13" hidden="1">'Holding KIAS'!$P$19,'Holding KIAS'!#REF!,'Holding KIAS'!$P$27,'Holding KIAS'!$P$23,'Holding KIAS'!$P$29,'Holding KIAS'!$P$28,'Holding KIAS'!$P$21,'Holding KIAS'!$P$25,'Holding KIAS'!$P$26,'Holding KIAS'!$P$24</definedName>
    <definedName name="solver_adj" localSheetId="14" hidden="1">'Holding Mach'!$P$19,'Holding Mach'!#REF!,'Holding Mach'!$P$27,'Holding Mach'!$P$23,'Holding Mach'!$P$29,'Holding Mach'!$P$28,'Holding Mach'!$P$21,'Holding Mach'!$P$25,'Holding Mach'!$P$26,'Holding Mach'!$P$24</definedName>
    <definedName name="solver_adj" localSheetId="8" hidden="1">'LRC FF'!$AR$26:$AR$32</definedName>
    <definedName name="solver_adj" localSheetId="17" hidden="1">'LRC INOP FF'!$E$27,'LRC INOP FF'!#REF!,'LRC INOP FF'!$E$33,'LRC INOP FF'!$E$29,'LRC INOP FF'!$E$35,'LRC INOP FF'!$E$34,'LRC INOP FF'!#REF!,'LRC INOP FF'!$E$31,'LRC INOP FF'!$E$32,'LRC INOP FF'!$E$30</definedName>
    <definedName name="solver_adj" localSheetId="16" hidden="1">'LRC INOP Mach'!$E$27,'LRC INOP Mach'!#REF!,'LRC INOP Mach'!$E$33,'LRC INOP Mach'!$E$29,'LRC INOP Mach'!$E$35,'LRC INOP Mach'!$E$34,'LRC INOP Mach'!#REF!,'LRC INOP Mach'!$E$31,'LRC INOP Mach'!$E$32,'LRC INOP Mach'!$E$30</definedName>
    <definedName name="solver_adj" localSheetId="7" hidden="1">'LRC KIAS'!$AO$27,'LRC KIAS'!#REF!,'LRC KIAS'!#REF!,'LRC KIAS'!$AO$31,'LRC KIAS'!#REF!,'LRC KIAS'!#REF!,'LRC KIAS'!$AO$28,'LRC KIAS'!#REF!,'LRC KIAS'!$AO$32,'LRC KIAS'!#REF!</definedName>
    <definedName name="solver_adj" localSheetId="6" hidden="1">'LRC Mach'!$AQ$27,'LRC Mach'!#REF!,'LRC Mach'!#REF!,'LRC Mach'!#REF!,'LRC Mach'!#REF!,'LRC Mach'!#REF!,'LRC Mach'!$AQ$28,'LRC Mach'!#REF!,'LRC Mach'!#REF!,'LRC Mach'!#REF!</definedName>
    <definedName name="solver_adj" localSheetId="12" hidden="1">'M0.84 FF'!$AO$27,'M0.84 FF'!#REF!,'M0.84 FF'!$AO$35,'M0.84 FF'!$AO$31,'M0.84 FF'!#REF!,'M0.84 FF'!#REF!,'M0.84 FF'!$AO$28,'M0.84 FF'!$AO$33,'M0.84 FF'!$AO$34,'M0.84 FF'!$AO$32</definedName>
    <definedName name="solver_adj" localSheetId="11" hidden="1">'M0.84 KIAS'!$AO$27,'M0.84 KIAS'!#REF!,'M0.84 KIAS'!#REF!,'M0.84 KIAS'!$AO$31,'M0.84 KIAS'!#REF!,'M0.84 KIAS'!#REF!,'M0.84 KIAS'!$AO$28,'M0.84 KIAS'!$AO$33,'M0.84 KIAS'!$AO$34,'M0.84 KIAS'!$AO$32</definedName>
    <definedName name="solver_adj" localSheetId="10" hidden="1">'M0.84 Mach'!$AO$27,'M0.84 Mach'!#REF!,'M0.84 Mach'!#REF!,'M0.84 Mach'!$AO$31,'M0.84 Mach'!#REF!,'M0.84 Mach'!#REF!,'M0.84 Mach'!$AO$28,'M0.84 Mach'!$AO$33,'M0.84 Mach'!$AO$34,'M0.84 Mach'!$AO$32</definedName>
    <definedName name="solver_cvg" localSheetId="1" hidden="1">0.0001</definedName>
    <definedName name="solver_cvg" localSheetId="0" hidden="1">0.0001</definedName>
    <definedName name="solver_cvg" localSheetId="15" hidden="1">0.0001</definedName>
    <definedName name="solver_cvg" localSheetId="19" hidden="1">0.0001</definedName>
    <definedName name="solver_cvg" localSheetId="18" hidden="1">0.0001</definedName>
    <definedName name="solver_cvg" localSheetId="13" hidden="1">0.0001</definedName>
    <definedName name="solver_cvg" localSheetId="14" hidden="1">0.0001</definedName>
    <definedName name="solver_cvg" localSheetId="8" hidden="1">0.0000000001</definedName>
    <definedName name="solver_cvg" localSheetId="17" hidden="1">0.0001</definedName>
    <definedName name="solver_cvg" localSheetId="16" hidden="1">0.0001</definedName>
    <definedName name="solver_cvg" localSheetId="7" hidden="1">0.0001</definedName>
    <definedName name="solver_cvg" localSheetId="6" hidden="1">0.0001</definedName>
    <definedName name="solver_cvg" localSheetId="12" hidden="1">0.0001</definedName>
    <definedName name="solver_cvg" localSheetId="11" hidden="1">0.0001</definedName>
    <definedName name="solver_cvg" localSheetId="10" hidden="1">0.0001</definedName>
    <definedName name="solver_drv" localSheetId="1" hidden="1">1</definedName>
    <definedName name="solver_drv" localSheetId="0" hidden="1">1</definedName>
    <definedName name="solver_drv" localSheetId="15" hidden="1">1</definedName>
    <definedName name="solver_drv" localSheetId="19" hidden="1">1</definedName>
    <definedName name="solver_drv" localSheetId="18" hidden="1">1</definedName>
    <definedName name="solver_drv" localSheetId="13" hidden="1">1</definedName>
    <definedName name="solver_drv" localSheetId="14" hidden="1">1</definedName>
    <definedName name="solver_drv" localSheetId="8" hidden="1">1</definedName>
    <definedName name="solver_drv" localSheetId="17" hidden="1">1</definedName>
    <definedName name="solver_drv" localSheetId="16" hidden="1">1</definedName>
    <definedName name="solver_drv" localSheetId="7" hidden="1">1</definedName>
    <definedName name="solver_drv" localSheetId="6" hidden="1">1</definedName>
    <definedName name="solver_drv" localSheetId="12" hidden="1">1</definedName>
    <definedName name="solver_drv" localSheetId="11" hidden="1">1</definedName>
    <definedName name="solver_drv" localSheetId="10" hidden="1">1</definedName>
    <definedName name="solver_eng" localSheetId="1" hidden="1">1</definedName>
    <definedName name="solver_eng" localSheetId="0" hidden="1">1</definedName>
    <definedName name="solver_eng" localSheetId="15" hidden="1">1</definedName>
    <definedName name="solver_eng" localSheetId="19" hidden="1">1</definedName>
    <definedName name="solver_eng" localSheetId="18" hidden="1">1</definedName>
    <definedName name="solver_eng" localSheetId="13" hidden="1">1</definedName>
    <definedName name="solver_eng" localSheetId="14" hidden="1">1</definedName>
    <definedName name="solver_eng" localSheetId="8" hidden="1">1</definedName>
    <definedName name="solver_eng" localSheetId="17" hidden="1">1</definedName>
    <definedName name="solver_eng" localSheetId="16" hidden="1">1</definedName>
    <definedName name="solver_eng" localSheetId="7" hidden="1">1</definedName>
    <definedName name="solver_eng" localSheetId="6" hidden="1">1</definedName>
    <definedName name="solver_eng" localSheetId="12" hidden="1">1</definedName>
    <definedName name="solver_eng" localSheetId="11" hidden="1">1</definedName>
    <definedName name="solver_eng" localSheetId="10" hidden="1">1</definedName>
    <definedName name="solver_est" localSheetId="1" hidden="1">1</definedName>
    <definedName name="solver_est" localSheetId="0" hidden="1">1</definedName>
    <definedName name="solver_est" localSheetId="15" hidden="1">1</definedName>
    <definedName name="solver_est" localSheetId="19" hidden="1">1</definedName>
    <definedName name="solver_est" localSheetId="18" hidden="1">1</definedName>
    <definedName name="solver_est" localSheetId="13" hidden="1">1</definedName>
    <definedName name="solver_est" localSheetId="14" hidden="1">1</definedName>
    <definedName name="solver_est" localSheetId="8" hidden="1">1</definedName>
    <definedName name="solver_est" localSheetId="17" hidden="1">1</definedName>
    <definedName name="solver_est" localSheetId="16" hidden="1">1</definedName>
    <definedName name="solver_est" localSheetId="7" hidden="1">1</definedName>
    <definedName name="solver_est" localSheetId="6" hidden="1">1</definedName>
    <definedName name="solver_est" localSheetId="12" hidden="1">1</definedName>
    <definedName name="solver_est" localSheetId="11" hidden="1">1</definedName>
    <definedName name="solver_est" localSheetId="10" hidden="1">1</definedName>
    <definedName name="solver_itr" localSheetId="1" hidden="1">2147483647</definedName>
    <definedName name="solver_itr" localSheetId="0" hidden="1">2147483647</definedName>
    <definedName name="solver_itr" localSheetId="15" hidden="1">2147483647</definedName>
    <definedName name="solver_itr" localSheetId="19" hidden="1">2147483647</definedName>
    <definedName name="solver_itr" localSheetId="18" hidden="1">2147483647</definedName>
    <definedName name="solver_itr" localSheetId="13" hidden="1">2147483647</definedName>
    <definedName name="solver_itr" localSheetId="14" hidden="1">2147483647</definedName>
    <definedName name="solver_itr" localSheetId="8" hidden="1">2147483647</definedName>
    <definedName name="solver_itr" localSheetId="17" hidden="1">2147483647</definedName>
    <definedName name="solver_itr" localSheetId="16" hidden="1">2147483647</definedName>
    <definedName name="solver_itr" localSheetId="7" hidden="1">2147483647</definedName>
    <definedName name="solver_itr" localSheetId="6" hidden="1">2147483647</definedName>
    <definedName name="solver_itr" localSheetId="12" hidden="1">2147483647</definedName>
    <definedName name="solver_itr" localSheetId="11" hidden="1">2147483647</definedName>
    <definedName name="solver_itr" localSheetId="10" hidden="1">2147483647</definedName>
    <definedName name="solver_lhs1" localSheetId="1" hidden="1">'Endurance Model'!#REF!</definedName>
    <definedName name="solver_lhs1" localSheetId="0" hidden="1">'Fuel Flow Model'!#REF!</definedName>
    <definedName name="solver_lhs1" localSheetId="15" hidden="1">'Holding FF'!$P$26</definedName>
    <definedName name="solver_lhs1" localSheetId="19" hidden="1">'Holding INOP FF'!$P$24</definedName>
    <definedName name="solver_lhs1" localSheetId="18" hidden="1">'Holding INOP Mach'!$P$24</definedName>
    <definedName name="solver_lhs1" localSheetId="13" hidden="1">'Holding KIAS'!$P$26</definedName>
    <definedName name="solver_lhs1" localSheetId="14" hidden="1">'Holding Mach'!$P$26</definedName>
    <definedName name="solver_lhs1" localSheetId="8" hidden="1">'LRC FF'!$AT$31</definedName>
    <definedName name="solver_lhs1" localSheetId="17" hidden="1">'LRC INOP FF'!$E$32</definedName>
    <definedName name="solver_lhs1" localSheetId="16" hidden="1">'LRC INOP Mach'!$E$32</definedName>
    <definedName name="solver_lhs1" localSheetId="7" hidden="1">'LRC KIAS'!$AO$32</definedName>
    <definedName name="solver_lhs1" localSheetId="6" hidden="1">'LRC Mach'!#REF!</definedName>
    <definedName name="solver_lhs1" localSheetId="12" hidden="1">'M0.84 FF'!$AO$34</definedName>
    <definedName name="solver_lhs1" localSheetId="11" hidden="1">'M0.84 KIAS'!$AO$34</definedName>
    <definedName name="solver_lhs1" localSheetId="10" hidden="1">'M0.84 Mach'!$AO$34</definedName>
    <definedName name="solver_lhs2" localSheetId="15" hidden="1">'Holding FF'!$P$26</definedName>
    <definedName name="solver_lhs2" localSheetId="19" hidden="1">'Holding INOP FF'!$P$24</definedName>
    <definedName name="solver_lhs2" localSheetId="18" hidden="1">'Holding INOP Mach'!$P$24</definedName>
    <definedName name="solver_lhs2" localSheetId="13" hidden="1">'Holding KIAS'!$P$26</definedName>
    <definedName name="solver_lhs2" localSheetId="14" hidden="1">'Holding Mach'!$P$26</definedName>
    <definedName name="solver_lhs2" localSheetId="8" hidden="1">'LRC FF'!$AT$31</definedName>
    <definedName name="solver_lhs2" localSheetId="17" hidden="1">'LRC INOP FF'!$E$32</definedName>
    <definedName name="solver_lhs2" localSheetId="16" hidden="1">'LRC INOP Mach'!$E$32</definedName>
    <definedName name="solver_lhs2" localSheetId="7" hidden="1">'LRC KIAS'!$AO$32</definedName>
    <definedName name="solver_lhs2" localSheetId="6" hidden="1">'LRC Mach'!#REF!</definedName>
    <definedName name="solver_lhs2" localSheetId="12" hidden="1">'M0.84 FF'!$AO$34</definedName>
    <definedName name="solver_lhs2" localSheetId="11" hidden="1">'M0.84 KIAS'!$AO$34</definedName>
    <definedName name="solver_lhs2" localSheetId="10" hidden="1">'M0.84 Mach'!$AO$34</definedName>
    <definedName name="solver_lhs3" localSheetId="15" hidden="1">'Holding FF'!$P$26</definedName>
    <definedName name="solver_lhs3" localSheetId="19" hidden="1">'Holding INOP FF'!$P$24</definedName>
    <definedName name="solver_lhs3" localSheetId="18" hidden="1">'Holding INOP Mach'!$P$24</definedName>
    <definedName name="solver_lhs3" localSheetId="13" hidden="1">'Holding KIAS'!$P$26</definedName>
    <definedName name="solver_lhs3" localSheetId="14" hidden="1">'Holding Mach'!$P$26</definedName>
    <definedName name="solver_lhs3" localSheetId="8" hidden="1">'LRC FF'!$AT$31</definedName>
    <definedName name="solver_lhs3" localSheetId="17" hidden="1">'LRC INOP FF'!$E$32</definedName>
    <definedName name="solver_lhs3" localSheetId="16" hidden="1">'LRC INOP Mach'!$E$32</definedName>
    <definedName name="solver_lhs3" localSheetId="7" hidden="1">'LRC KIAS'!$AO$32</definedName>
    <definedName name="solver_lhs3" localSheetId="6" hidden="1">'LRC Mach'!#REF!</definedName>
    <definedName name="solver_lhs3" localSheetId="12" hidden="1">'M0.84 FF'!$AO$34</definedName>
    <definedName name="solver_lhs3" localSheetId="11" hidden="1">'M0.84 KIAS'!$AO$34</definedName>
    <definedName name="solver_lhs3" localSheetId="10" hidden="1">'M0.84 Mach'!$AO$34</definedName>
    <definedName name="solver_mip" localSheetId="1" hidden="1">2147483647</definedName>
    <definedName name="solver_mip" localSheetId="0" hidden="1">2147483647</definedName>
    <definedName name="solver_mip" localSheetId="15" hidden="1">2147483647</definedName>
    <definedName name="solver_mip" localSheetId="19" hidden="1">2147483647</definedName>
    <definedName name="solver_mip" localSheetId="18" hidden="1">2147483647</definedName>
    <definedName name="solver_mip" localSheetId="13" hidden="1">2147483647</definedName>
    <definedName name="solver_mip" localSheetId="14" hidden="1">2147483647</definedName>
    <definedName name="solver_mip" localSheetId="8" hidden="1">2147483647</definedName>
    <definedName name="solver_mip" localSheetId="17" hidden="1">2147483647</definedName>
    <definedName name="solver_mip" localSheetId="16" hidden="1">2147483647</definedName>
    <definedName name="solver_mip" localSheetId="7" hidden="1">2147483647</definedName>
    <definedName name="solver_mip" localSheetId="6" hidden="1">2147483647</definedName>
    <definedName name="solver_mip" localSheetId="12" hidden="1">2147483647</definedName>
    <definedName name="solver_mip" localSheetId="11" hidden="1">2147483647</definedName>
    <definedName name="solver_mip" localSheetId="10" hidden="1">2147483647</definedName>
    <definedName name="solver_mni" localSheetId="1" hidden="1">30</definedName>
    <definedName name="solver_mni" localSheetId="0" hidden="1">30</definedName>
    <definedName name="solver_mni" localSheetId="15" hidden="1">30</definedName>
    <definedName name="solver_mni" localSheetId="19" hidden="1">30</definedName>
    <definedName name="solver_mni" localSheetId="18" hidden="1">30</definedName>
    <definedName name="solver_mni" localSheetId="13" hidden="1">30</definedName>
    <definedName name="solver_mni" localSheetId="14" hidden="1">30</definedName>
    <definedName name="solver_mni" localSheetId="8" hidden="1">30</definedName>
    <definedName name="solver_mni" localSheetId="17" hidden="1">30</definedName>
    <definedName name="solver_mni" localSheetId="16" hidden="1">30</definedName>
    <definedName name="solver_mni" localSheetId="7" hidden="1">30</definedName>
    <definedName name="solver_mni" localSheetId="6" hidden="1">30</definedName>
    <definedName name="solver_mni" localSheetId="12" hidden="1">30</definedName>
    <definedName name="solver_mni" localSheetId="11" hidden="1">30</definedName>
    <definedName name="solver_mni" localSheetId="10" hidden="1">30</definedName>
    <definedName name="solver_mrt" localSheetId="1" hidden="1">0.075</definedName>
    <definedName name="solver_mrt" localSheetId="0" hidden="1">0.075</definedName>
    <definedName name="solver_mrt" localSheetId="15" hidden="1">0.075</definedName>
    <definedName name="solver_mrt" localSheetId="19" hidden="1">0.075</definedName>
    <definedName name="solver_mrt" localSheetId="18" hidden="1">0.075</definedName>
    <definedName name="solver_mrt" localSheetId="13" hidden="1">0.075</definedName>
    <definedName name="solver_mrt" localSheetId="14" hidden="1">0.075</definedName>
    <definedName name="solver_mrt" localSheetId="8" hidden="1">0.075</definedName>
    <definedName name="solver_mrt" localSheetId="17" hidden="1">0.075</definedName>
    <definedName name="solver_mrt" localSheetId="16" hidden="1">0.075</definedName>
    <definedName name="solver_mrt" localSheetId="7" hidden="1">0.075</definedName>
    <definedName name="solver_mrt" localSheetId="6" hidden="1">0.075</definedName>
    <definedName name="solver_mrt" localSheetId="12" hidden="1">0.075</definedName>
    <definedName name="solver_mrt" localSheetId="11" hidden="1">0.075</definedName>
    <definedName name="solver_mrt" localSheetId="10" hidden="1">0.075</definedName>
    <definedName name="solver_msl" localSheetId="1" hidden="1">2</definedName>
    <definedName name="solver_msl" localSheetId="0" hidden="1">2</definedName>
    <definedName name="solver_msl" localSheetId="15" hidden="1">2</definedName>
    <definedName name="solver_msl" localSheetId="19" hidden="1">2</definedName>
    <definedName name="solver_msl" localSheetId="18" hidden="1">2</definedName>
    <definedName name="solver_msl" localSheetId="13" hidden="1">2</definedName>
    <definedName name="solver_msl" localSheetId="14" hidden="1">2</definedName>
    <definedName name="solver_msl" localSheetId="8" hidden="1">2</definedName>
    <definedName name="solver_msl" localSheetId="17" hidden="1">2</definedName>
    <definedName name="solver_msl" localSheetId="16" hidden="1">2</definedName>
    <definedName name="solver_msl" localSheetId="7" hidden="1">2</definedName>
    <definedName name="solver_msl" localSheetId="6" hidden="1">2</definedName>
    <definedName name="solver_msl" localSheetId="12" hidden="1">2</definedName>
    <definedName name="solver_msl" localSheetId="11" hidden="1">2</definedName>
    <definedName name="solver_msl" localSheetId="10" hidden="1">2</definedName>
    <definedName name="solver_neg" localSheetId="1" hidden="1">2</definedName>
    <definedName name="solver_neg" localSheetId="0" hidden="1">2</definedName>
    <definedName name="solver_neg" localSheetId="15" hidden="1">1</definedName>
    <definedName name="solver_neg" localSheetId="19" hidden="1">1</definedName>
    <definedName name="solver_neg" localSheetId="18" hidden="1">1</definedName>
    <definedName name="solver_neg" localSheetId="13" hidden="1">1</definedName>
    <definedName name="solver_neg" localSheetId="14" hidden="1">1</definedName>
    <definedName name="solver_neg" localSheetId="8" hidden="1">2</definedName>
    <definedName name="solver_neg" localSheetId="17" hidden="1">1</definedName>
    <definedName name="solver_neg" localSheetId="16" hidden="1">1</definedName>
    <definedName name="solver_neg" localSheetId="7" hidden="1">1</definedName>
    <definedName name="solver_neg" localSheetId="6" hidden="1">1</definedName>
    <definedName name="solver_neg" localSheetId="12" hidden="1">1</definedName>
    <definedName name="solver_neg" localSheetId="11" hidden="1">1</definedName>
    <definedName name="solver_neg" localSheetId="10" hidden="1">1</definedName>
    <definedName name="solver_nod" localSheetId="1" hidden="1">2147483647</definedName>
    <definedName name="solver_nod" localSheetId="0" hidden="1">2147483647</definedName>
    <definedName name="solver_nod" localSheetId="15" hidden="1">2147483647</definedName>
    <definedName name="solver_nod" localSheetId="19" hidden="1">2147483647</definedName>
    <definedName name="solver_nod" localSheetId="18" hidden="1">2147483647</definedName>
    <definedName name="solver_nod" localSheetId="13" hidden="1">2147483647</definedName>
    <definedName name="solver_nod" localSheetId="14" hidden="1">2147483647</definedName>
    <definedName name="solver_nod" localSheetId="8" hidden="1">2147483647</definedName>
    <definedName name="solver_nod" localSheetId="17" hidden="1">2147483647</definedName>
    <definedName name="solver_nod" localSheetId="16" hidden="1">2147483647</definedName>
    <definedName name="solver_nod" localSheetId="7" hidden="1">2147483647</definedName>
    <definedName name="solver_nod" localSheetId="6" hidden="1">2147483647</definedName>
    <definedName name="solver_nod" localSheetId="12" hidden="1">2147483647</definedName>
    <definedName name="solver_nod" localSheetId="11" hidden="1">2147483647</definedName>
    <definedName name="solver_nod" localSheetId="10" hidden="1">2147483647</definedName>
    <definedName name="solver_num" localSheetId="1" hidden="1">1</definedName>
    <definedName name="solver_num" localSheetId="0" hidden="1">1</definedName>
    <definedName name="solver_num" localSheetId="15" hidden="1">0</definedName>
    <definedName name="solver_num" localSheetId="19" hidden="1">0</definedName>
    <definedName name="solver_num" localSheetId="18" hidden="1">0</definedName>
    <definedName name="solver_num" localSheetId="13" hidden="1">0</definedName>
    <definedName name="solver_num" localSheetId="14" hidden="1">0</definedName>
    <definedName name="solver_num" localSheetId="8" hidden="1">0</definedName>
    <definedName name="solver_num" localSheetId="17" hidden="1">0</definedName>
    <definedName name="solver_num" localSheetId="16" hidden="1">0</definedName>
    <definedName name="solver_num" localSheetId="7" hidden="1">0</definedName>
    <definedName name="solver_num" localSheetId="6" hidden="1">0</definedName>
    <definedName name="solver_num" localSheetId="12" hidden="1">0</definedName>
    <definedName name="solver_num" localSheetId="11" hidden="1">0</definedName>
    <definedName name="solver_num" localSheetId="10" hidden="1">0</definedName>
    <definedName name="solver_nwt" localSheetId="1" hidden="1">1</definedName>
    <definedName name="solver_nwt" localSheetId="0" hidden="1">1</definedName>
    <definedName name="solver_nwt" localSheetId="15" hidden="1">1</definedName>
    <definedName name="solver_nwt" localSheetId="19" hidden="1">1</definedName>
    <definedName name="solver_nwt" localSheetId="18" hidden="1">1</definedName>
    <definedName name="solver_nwt" localSheetId="13" hidden="1">1</definedName>
    <definedName name="solver_nwt" localSheetId="14" hidden="1">1</definedName>
    <definedName name="solver_nwt" localSheetId="8" hidden="1">1</definedName>
    <definedName name="solver_nwt" localSheetId="17" hidden="1">1</definedName>
    <definedName name="solver_nwt" localSheetId="16" hidden="1">1</definedName>
    <definedName name="solver_nwt" localSheetId="7" hidden="1">1</definedName>
    <definedName name="solver_nwt" localSheetId="6" hidden="1">1</definedName>
    <definedName name="solver_nwt" localSheetId="12" hidden="1">1</definedName>
    <definedName name="solver_nwt" localSheetId="11" hidden="1">1</definedName>
    <definedName name="solver_nwt" localSheetId="10" hidden="1">1</definedName>
    <definedName name="solver_opt" localSheetId="15" hidden="1">'Holding FF'!$L$28</definedName>
    <definedName name="solver_opt" localSheetId="19" hidden="1">'Holding INOP FF'!$L$26</definedName>
    <definedName name="solver_opt" localSheetId="18" hidden="1">'Holding INOP Mach'!$L$26</definedName>
    <definedName name="solver_opt" localSheetId="13" hidden="1">'Holding KIAS'!$L$28</definedName>
    <definedName name="solver_opt" localSheetId="14" hidden="1">'Holding Mach'!$L$28</definedName>
    <definedName name="solver_opt" localSheetId="8" hidden="1">'LRC FF'!$AT$35</definedName>
    <definedName name="solver_opt" localSheetId="17" hidden="1">'LRC INOP FF'!$A$34</definedName>
    <definedName name="solver_opt" localSheetId="16" hidden="1">'LRC INOP Mach'!$A$34</definedName>
    <definedName name="solver_opt" localSheetId="7" hidden="1">'LRC KIAS'!#REF!</definedName>
    <definedName name="solver_opt" localSheetId="6" hidden="1">'LRC Mach'!#REF!</definedName>
    <definedName name="solver_opt" localSheetId="12" hidden="1">'M0.84 FF'!$L$30</definedName>
    <definedName name="solver_opt" localSheetId="11" hidden="1">'M0.84 KIAS'!$L$30</definedName>
    <definedName name="solver_opt" localSheetId="10" hidden="1">'M0.84 Mach'!$L$30</definedName>
    <definedName name="solver_pre" localSheetId="1" hidden="1">0.000001</definedName>
    <definedName name="solver_pre" localSheetId="0" hidden="1">0.000001</definedName>
    <definedName name="solver_pre" localSheetId="15" hidden="1">0.000001</definedName>
    <definedName name="solver_pre" localSheetId="19" hidden="1">0.000001</definedName>
    <definedName name="solver_pre" localSheetId="18" hidden="1">0.000001</definedName>
    <definedName name="solver_pre" localSheetId="13" hidden="1">0.000001</definedName>
    <definedName name="solver_pre" localSheetId="14" hidden="1">0.000001</definedName>
    <definedName name="solver_pre" localSheetId="8" hidden="1">0.0000000001</definedName>
    <definedName name="solver_pre" localSheetId="17" hidden="1">0.000001</definedName>
    <definedName name="solver_pre" localSheetId="16" hidden="1">0.000001</definedName>
    <definedName name="solver_pre" localSheetId="7" hidden="1">0.000001</definedName>
    <definedName name="solver_pre" localSheetId="6" hidden="1">0.000001</definedName>
    <definedName name="solver_pre" localSheetId="12" hidden="1">0.000001</definedName>
    <definedName name="solver_pre" localSheetId="11" hidden="1">0.000001</definedName>
    <definedName name="solver_pre" localSheetId="10" hidden="1">0.000001</definedName>
    <definedName name="solver_rbv" localSheetId="1" hidden="1">1</definedName>
    <definedName name="solver_rbv" localSheetId="0" hidden="1">1</definedName>
    <definedName name="solver_rbv" localSheetId="15" hidden="1">1</definedName>
    <definedName name="solver_rbv" localSheetId="19" hidden="1">1</definedName>
    <definedName name="solver_rbv" localSheetId="18" hidden="1">1</definedName>
    <definedName name="solver_rbv" localSheetId="13" hidden="1">1</definedName>
    <definedName name="solver_rbv" localSheetId="14" hidden="1">1</definedName>
    <definedName name="solver_rbv" localSheetId="8" hidden="1">2</definedName>
    <definedName name="solver_rbv" localSheetId="17" hidden="1">1</definedName>
    <definedName name="solver_rbv" localSheetId="16" hidden="1">1</definedName>
    <definedName name="solver_rbv" localSheetId="7" hidden="1">1</definedName>
    <definedName name="solver_rbv" localSheetId="6" hidden="1">1</definedName>
    <definedName name="solver_rbv" localSheetId="12" hidden="1">1</definedName>
    <definedName name="solver_rbv" localSheetId="11" hidden="1">1</definedName>
    <definedName name="solver_rbv" localSheetId="10" hidden="1">1</definedName>
    <definedName name="solver_rel1" localSheetId="1" hidden="1">3</definedName>
    <definedName name="solver_rel1" localSheetId="0" hidden="1">3</definedName>
    <definedName name="solver_rel1" localSheetId="15" hidden="1">3</definedName>
    <definedName name="solver_rel1" localSheetId="19" hidden="1">3</definedName>
    <definedName name="solver_rel1" localSheetId="18" hidden="1">3</definedName>
    <definedName name="solver_rel1" localSheetId="13" hidden="1">3</definedName>
    <definedName name="solver_rel1" localSheetId="14" hidden="1">3</definedName>
    <definedName name="solver_rel1" localSheetId="8" hidden="1">3</definedName>
    <definedName name="solver_rel1" localSheetId="17" hidden="1">3</definedName>
    <definedName name="solver_rel1" localSheetId="16" hidden="1">3</definedName>
    <definedName name="solver_rel1" localSheetId="7" hidden="1">3</definedName>
    <definedName name="solver_rel1" localSheetId="6" hidden="1">3</definedName>
    <definedName name="solver_rel1" localSheetId="12" hidden="1">3</definedName>
    <definedName name="solver_rel1" localSheetId="11" hidden="1">3</definedName>
    <definedName name="solver_rel1" localSheetId="10" hidden="1">3</definedName>
    <definedName name="solver_rel2" localSheetId="15" hidden="1">3</definedName>
    <definedName name="solver_rel2" localSheetId="19" hidden="1">3</definedName>
    <definedName name="solver_rel2" localSheetId="18" hidden="1">3</definedName>
    <definedName name="solver_rel2" localSheetId="13" hidden="1">3</definedName>
    <definedName name="solver_rel2" localSheetId="14" hidden="1">3</definedName>
    <definedName name="solver_rel2" localSheetId="8" hidden="1">3</definedName>
    <definedName name="solver_rel2" localSheetId="17" hidden="1">3</definedName>
    <definedName name="solver_rel2" localSheetId="16" hidden="1">3</definedName>
    <definedName name="solver_rel2" localSheetId="7" hidden="1">3</definedName>
    <definedName name="solver_rel2" localSheetId="6" hidden="1">3</definedName>
    <definedName name="solver_rel2" localSheetId="12" hidden="1">3</definedName>
    <definedName name="solver_rel2" localSheetId="11" hidden="1">3</definedName>
    <definedName name="solver_rel2" localSheetId="10" hidden="1">3</definedName>
    <definedName name="solver_rel3" localSheetId="15" hidden="1">3</definedName>
    <definedName name="solver_rel3" localSheetId="19" hidden="1">3</definedName>
    <definedName name="solver_rel3" localSheetId="18" hidden="1">3</definedName>
    <definedName name="solver_rel3" localSheetId="13" hidden="1">3</definedName>
    <definedName name="solver_rel3" localSheetId="14" hidden="1">3</definedName>
    <definedName name="solver_rel3" localSheetId="8" hidden="1">3</definedName>
    <definedName name="solver_rel3" localSheetId="17" hidden="1">3</definedName>
    <definedName name="solver_rel3" localSheetId="16" hidden="1">3</definedName>
    <definedName name="solver_rel3" localSheetId="7" hidden="1">3</definedName>
    <definedName name="solver_rel3" localSheetId="6" hidden="1">3</definedName>
    <definedName name="solver_rel3" localSheetId="12" hidden="1">3</definedName>
    <definedName name="solver_rel3" localSheetId="11" hidden="1">3</definedName>
    <definedName name="solver_rel3" localSheetId="10" hidden="1">3</definedName>
    <definedName name="solver_rhs1" localSheetId="1" hidden="1">20</definedName>
    <definedName name="solver_rhs1" localSheetId="0" hidden="1">20</definedName>
    <definedName name="solver_rhs1" localSheetId="15" hidden="1">0.1</definedName>
    <definedName name="solver_rhs1" localSheetId="19" hidden="1">0.1</definedName>
    <definedName name="solver_rhs1" localSheetId="18" hidden="1">0.1</definedName>
    <definedName name="solver_rhs1" localSheetId="13" hidden="1">0.1</definedName>
    <definedName name="solver_rhs1" localSheetId="14" hidden="1">0.1</definedName>
    <definedName name="solver_rhs1" localSheetId="8" hidden="1">1015</definedName>
    <definedName name="solver_rhs1" localSheetId="17" hidden="1">0.1</definedName>
    <definedName name="solver_rhs1" localSheetId="16" hidden="1">0.1</definedName>
    <definedName name="solver_rhs1" localSheetId="7" hidden="1">0.1</definedName>
    <definedName name="solver_rhs1" localSheetId="6" hidden="1">0.1</definedName>
    <definedName name="solver_rhs1" localSheetId="12" hidden="1">0.1</definedName>
    <definedName name="solver_rhs1" localSheetId="11" hidden="1">0.1</definedName>
    <definedName name="solver_rhs1" localSheetId="10" hidden="1">0.1</definedName>
    <definedName name="solver_rhs2" localSheetId="15" hidden="1">0.1</definedName>
    <definedName name="solver_rhs2" localSheetId="19" hidden="1">0.1</definedName>
    <definedName name="solver_rhs2" localSheetId="18" hidden="1">0.1</definedName>
    <definedName name="solver_rhs2" localSheetId="13" hidden="1">0.1</definedName>
    <definedName name="solver_rhs2" localSheetId="14" hidden="1">0.1</definedName>
    <definedName name="solver_rhs2" localSheetId="8" hidden="1">1015</definedName>
    <definedName name="solver_rhs2" localSheetId="17" hidden="1">0.1</definedName>
    <definedName name="solver_rhs2" localSheetId="16" hidden="1">0.1</definedName>
    <definedName name="solver_rhs2" localSheetId="7" hidden="1">0.1</definedName>
    <definedName name="solver_rhs2" localSheetId="6" hidden="1">0.1</definedName>
    <definedName name="solver_rhs2" localSheetId="12" hidden="1">0.1</definedName>
    <definedName name="solver_rhs2" localSheetId="11" hidden="1">0.1</definedName>
    <definedName name="solver_rhs2" localSheetId="10" hidden="1">0.1</definedName>
    <definedName name="solver_rhs3" localSheetId="15" hidden="1">0.1</definedName>
    <definedName name="solver_rhs3" localSheetId="19" hidden="1">0.1</definedName>
    <definedName name="solver_rhs3" localSheetId="18" hidden="1">0.1</definedName>
    <definedName name="solver_rhs3" localSheetId="13" hidden="1">0.1</definedName>
    <definedName name="solver_rhs3" localSheetId="14" hidden="1">0.1</definedName>
    <definedName name="solver_rhs3" localSheetId="8" hidden="1">1015</definedName>
    <definedName name="solver_rhs3" localSheetId="17" hidden="1">0.1</definedName>
    <definedName name="solver_rhs3" localSheetId="16" hidden="1">0.1</definedName>
    <definedName name="solver_rhs3" localSheetId="7" hidden="1">0.1</definedName>
    <definedName name="solver_rhs3" localSheetId="6" hidden="1">0.1</definedName>
    <definedName name="solver_rhs3" localSheetId="12" hidden="1">0.1</definedName>
    <definedName name="solver_rhs3" localSheetId="11" hidden="1">0.1</definedName>
    <definedName name="solver_rhs3" localSheetId="10" hidden="1">0.1</definedName>
    <definedName name="solver_rlx" localSheetId="1" hidden="1">2</definedName>
    <definedName name="solver_rlx" localSheetId="0" hidden="1">2</definedName>
    <definedName name="solver_rlx" localSheetId="15" hidden="1">2</definedName>
    <definedName name="solver_rlx" localSheetId="19" hidden="1">2</definedName>
    <definedName name="solver_rlx" localSheetId="18" hidden="1">2</definedName>
    <definedName name="solver_rlx" localSheetId="13" hidden="1">2</definedName>
    <definedName name="solver_rlx" localSheetId="14" hidden="1">2</definedName>
    <definedName name="solver_rlx" localSheetId="8" hidden="1">2</definedName>
    <definedName name="solver_rlx" localSheetId="17" hidden="1">2</definedName>
    <definedName name="solver_rlx" localSheetId="16" hidden="1">2</definedName>
    <definedName name="solver_rlx" localSheetId="7" hidden="1">2</definedName>
    <definedName name="solver_rlx" localSheetId="6" hidden="1">2</definedName>
    <definedName name="solver_rlx" localSheetId="12" hidden="1">2</definedName>
    <definedName name="solver_rlx" localSheetId="11" hidden="1">2</definedName>
    <definedName name="solver_rlx" localSheetId="10" hidden="1">2</definedName>
    <definedName name="solver_rsd" localSheetId="1" hidden="1">0</definedName>
    <definedName name="solver_rsd" localSheetId="0" hidden="1">0</definedName>
    <definedName name="solver_rsd" localSheetId="15" hidden="1">0</definedName>
    <definedName name="solver_rsd" localSheetId="19" hidden="1">0</definedName>
    <definedName name="solver_rsd" localSheetId="18" hidden="1">0</definedName>
    <definedName name="solver_rsd" localSheetId="13" hidden="1">0</definedName>
    <definedName name="solver_rsd" localSheetId="14" hidden="1">0</definedName>
    <definedName name="solver_rsd" localSheetId="8" hidden="1">0</definedName>
    <definedName name="solver_rsd" localSheetId="17" hidden="1">0</definedName>
    <definedName name="solver_rsd" localSheetId="16" hidden="1">0</definedName>
    <definedName name="solver_rsd" localSheetId="7" hidden="1">0</definedName>
    <definedName name="solver_rsd" localSheetId="6" hidden="1">0</definedName>
    <definedName name="solver_rsd" localSheetId="12" hidden="1">0</definedName>
    <definedName name="solver_rsd" localSheetId="11" hidden="1">0</definedName>
    <definedName name="solver_rsd" localSheetId="10" hidden="1">0</definedName>
    <definedName name="solver_scl" localSheetId="1" hidden="1">1</definedName>
    <definedName name="solver_scl" localSheetId="0" hidden="1">1</definedName>
    <definedName name="solver_scl" localSheetId="15" hidden="1">1</definedName>
    <definedName name="solver_scl" localSheetId="19" hidden="1">1</definedName>
    <definedName name="solver_scl" localSheetId="18" hidden="1">1</definedName>
    <definedName name="solver_scl" localSheetId="13" hidden="1">1</definedName>
    <definedName name="solver_scl" localSheetId="14" hidden="1">1</definedName>
    <definedName name="solver_scl" localSheetId="8" hidden="1">1</definedName>
    <definedName name="solver_scl" localSheetId="17" hidden="1">1</definedName>
    <definedName name="solver_scl" localSheetId="16" hidden="1">1</definedName>
    <definedName name="solver_scl" localSheetId="7" hidden="1">1</definedName>
    <definedName name="solver_scl" localSheetId="6" hidden="1">1</definedName>
    <definedName name="solver_scl" localSheetId="12" hidden="1">1</definedName>
    <definedName name="solver_scl" localSheetId="11" hidden="1">1</definedName>
    <definedName name="solver_scl" localSheetId="10" hidden="1">1</definedName>
    <definedName name="solver_sho" localSheetId="1" hidden="1">2</definedName>
    <definedName name="solver_sho" localSheetId="0" hidden="1">2</definedName>
    <definedName name="solver_sho" localSheetId="15" hidden="1">2</definedName>
    <definedName name="solver_sho" localSheetId="19" hidden="1">2</definedName>
    <definedName name="solver_sho" localSheetId="18" hidden="1">2</definedName>
    <definedName name="solver_sho" localSheetId="13" hidden="1">2</definedName>
    <definedName name="solver_sho" localSheetId="14" hidden="1">2</definedName>
    <definedName name="solver_sho" localSheetId="8" hidden="1">2</definedName>
    <definedName name="solver_sho" localSheetId="17" hidden="1">2</definedName>
    <definedName name="solver_sho" localSheetId="16" hidden="1">2</definedName>
    <definedName name="solver_sho" localSheetId="7" hidden="1">2</definedName>
    <definedName name="solver_sho" localSheetId="6" hidden="1">2</definedName>
    <definedName name="solver_sho" localSheetId="12" hidden="1">2</definedName>
    <definedName name="solver_sho" localSheetId="11" hidden="1">2</definedName>
    <definedName name="solver_sho" localSheetId="10" hidden="1">2</definedName>
    <definedName name="solver_ssz" localSheetId="1" hidden="1">100</definedName>
    <definedName name="solver_ssz" localSheetId="0" hidden="1">100</definedName>
    <definedName name="solver_ssz" localSheetId="15" hidden="1">100</definedName>
    <definedName name="solver_ssz" localSheetId="19" hidden="1">100</definedName>
    <definedName name="solver_ssz" localSheetId="18" hidden="1">100</definedName>
    <definedName name="solver_ssz" localSheetId="13" hidden="1">100</definedName>
    <definedName name="solver_ssz" localSheetId="14" hidden="1">100</definedName>
    <definedName name="solver_ssz" localSheetId="8" hidden="1">0</definedName>
    <definedName name="solver_ssz" localSheetId="17" hidden="1">100</definedName>
    <definedName name="solver_ssz" localSheetId="16" hidden="1">100</definedName>
    <definedName name="solver_ssz" localSheetId="7" hidden="1">100</definedName>
    <definedName name="solver_ssz" localSheetId="6" hidden="1">100</definedName>
    <definedName name="solver_ssz" localSheetId="12" hidden="1">100</definedName>
    <definedName name="solver_ssz" localSheetId="11" hidden="1">100</definedName>
    <definedName name="solver_ssz" localSheetId="10" hidden="1">100</definedName>
    <definedName name="solver_tim" localSheetId="1" hidden="1">2147483647</definedName>
    <definedName name="solver_tim" localSheetId="0" hidden="1">2147483647</definedName>
    <definedName name="solver_tim" localSheetId="15" hidden="1">2147483647</definedName>
    <definedName name="solver_tim" localSheetId="19" hidden="1">2147483647</definedName>
    <definedName name="solver_tim" localSheetId="18" hidden="1">2147483647</definedName>
    <definedName name="solver_tim" localSheetId="13" hidden="1">2147483647</definedName>
    <definedName name="solver_tim" localSheetId="14" hidden="1">2147483647</definedName>
    <definedName name="solver_tim" localSheetId="8" hidden="1">2147483647</definedName>
    <definedName name="solver_tim" localSheetId="17" hidden="1">2147483647</definedName>
    <definedName name="solver_tim" localSheetId="16" hidden="1">2147483647</definedName>
    <definedName name="solver_tim" localSheetId="7" hidden="1">2147483647</definedName>
    <definedName name="solver_tim" localSheetId="6" hidden="1">2147483647</definedName>
    <definedName name="solver_tim" localSheetId="12" hidden="1">2147483647</definedName>
    <definedName name="solver_tim" localSheetId="11" hidden="1">2147483647</definedName>
    <definedName name="solver_tim" localSheetId="10" hidden="1">2147483647</definedName>
    <definedName name="solver_tol" localSheetId="1" hidden="1">0.01</definedName>
    <definedName name="solver_tol" localSheetId="0" hidden="1">0.01</definedName>
    <definedName name="solver_tol" localSheetId="15" hidden="1">0.01</definedName>
    <definedName name="solver_tol" localSheetId="19" hidden="1">0.01</definedName>
    <definedName name="solver_tol" localSheetId="18" hidden="1">0.01</definedName>
    <definedName name="solver_tol" localSheetId="13" hidden="1">0.01</definedName>
    <definedName name="solver_tol" localSheetId="14" hidden="1">0.01</definedName>
    <definedName name="solver_tol" localSheetId="8" hidden="1">0.01</definedName>
    <definedName name="solver_tol" localSheetId="17" hidden="1">0.01</definedName>
    <definedName name="solver_tol" localSheetId="16" hidden="1">0.01</definedName>
    <definedName name="solver_tol" localSheetId="7" hidden="1">0.01</definedName>
    <definedName name="solver_tol" localSheetId="6" hidden="1">0.01</definedName>
    <definedName name="solver_tol" localSheetId="12" hidden="1">0.01</definedName>
    <definedName name="solver_tol" localSheetId="11" hidden="1">0.01</definedName>
    <definedName name="solver_tol" localSheetId="10" hidden="1">0.01</definedName>
    <definedName name="solver_typ" localSheetId="1" hidden="1">2</definedName>
    <definedName name="solver_typ" localSheetId="0" hidden="1">2</definedName>
    <definedName name="solver_typ" localSheetId="15" hidden="1">2</definedName>
    <definedName name="solver_typ" localSheetId="19" hidden="1">2</definedName>
    <definedName name="solver_typ" localSheetId="18" hidden="1">2</definedName>
    <definedName name="solver_typ" localSheetId="13" hidden="1">2</definedName>
    <definedName name="solver_typ" localSheetId="14" hidden="1">2</definedName>
    <definedName name="solver_typ" localSheetId="8" hidden="1">2</definedName>
    <definedName name="solver_typ" localSheetId="17" hidden="1">2</definedName>
    <definedName name="solver_typ" localSheetId="16" hidden="1">2</definedName>
    <definedName name="solver_typ" localSheetId="7" hidden="1">2</definedName>
    <definedName name="solver_typ" localSheetId="6" hidden="1">2</definedName>
    <definedName name="solver_typ" localSheetId="12" hidden="1">2</definedName>
    <definedName name="solver_typ" localSheetId="11" hidden="1">2</definedName>
    <definedName name="solver_typ" localSheetId="10" hidden="1">2</definedName>
    <definedName name="solver_val" localSheetId="1" hidden="1">0</definedName>
    <definedName name="solver_val" localSheetId="0" hidden="1">0</definedName>
    <definedName name="solver_val" localSheetId="15" hidden="1">0</definedName>
    <definedName name="solver_val" localSheetId="19" hidden="1">0</definedName>
    <definedName name="solver_val" localSheetId="18" hidden="1">0</definedName>
    <definedName name="solver_val" localSheetId="13" hidden="1">0</definedName>
    <definedName name="solver_val" localSheetId="14" hidden="1">0</definedName>
    <definedName name="solver_val" localSheetId="8" hidden="1">0.001</definedName>
    <definedName name="solver_val" localSheetId="17" hidden="1">0</definedName>
    <definedName name="solver_val" localSheetId="16" hidden="1">0</definedName>
    <definedName name="solver_val" localSheetId="7" hidden="1">0</definedName>
    <definedName name="solver_val" localSheetId="6" hidden="1">0</definedName>
    <definedName name="solver_val" localSheetId="12" hidden="1">0</definedName>
    <definedName name="solver_val" localSheetId="11" hidden="1">0</definedName>
    <definedName name="solver_val" localSheetId="10" hidden="1">0</definedName>
    <definedName name="solver_ver" localSheetId="1" hidden="1">3</definedName>
    <definedName name="solver_ver" localSheetId="0" hidden="1">3</definedName>
    <definedName name="solver_ver" localSheetId="15" hidden="1">3</definedName>
    <definedName name="solver_ver" localSheetId="19" hidden="1">3</definedName>
    <definedName name="solver_ver" localSheetId="18" hidden="1">3</definedName>
    <definedName name="solver_ver" localSheetId="13" hidden="1">3</definedName>
    <definedName name="solver_ver" localSheetId="14" hidden="1">3</definedName>
    <definedName name="solver_ver" localSheetId="8" hidden="1">3</definedName>
    <definedName name="solver_ver" localSheetId="17" hidden="1">3</definedName>
    <definedName name="solver_ver" localSheetId="16" hidden="1">3</definedName>
    <definedName name="solver_ver" localSheetId="7" hidden="1">3</definedName>
    <definedName name="solver_ver" localSheetId="6" hidden="1">3</definedName>
    <definedName name="solver_ver" localSheetId="12" hidden="1">3</definedName>
    <definedName name="solver_ver" localSheetId="11" hidden="1">3</definedName>
    <definedName name="solver_ver" localSheetId="10" hidden="1">3</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0</definedName>
    <definedName name="TopRankDefaultStepsPerInput" hidden="1">5</definedName>
    <definedName name="TopRankDetailByInputReport" hidden="1">FALSE</definedName>
    <definedName name="TopRankMaxInputsPerGraph" hidden="1">10</definedName>
    <definedName name="TopRankMultiWayReport" hidden="1">FALSE</definedName>
    <definedName name="TopRankNumberOfRuns" hidden="1">1</definedName>
    <definedName name="TopRankOnlyInputsOverThreshold" hidden="1">TRUE</definedName>
    <definedName name="TopRankOnlyTopRanking" hidden="1">TRUE</definedName>
    <definedName name="TopRankOutputDetailReport" hidden="1">FALSE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TRUE</definedName>
    <definedName name="TopRankPrecedentScanType" hidden="1">1</definedName>
    <definedName name="TopRankReportAllOutputCells" hidden="1">TRUE</definedName>
    <definedName name="TopRankReportsInExistingWorkbook" hidden="1">FALSE</definedName>
    <definedName name="TopRankReportsInExistingWorkbookName" hidden="1">"Active Workbook"</definedName>
    <definedName name="TopRankReportsInNewWorkbook" hidden="1">TRUE</definedName>
    <definedName name="TopRankSensitivityGraphs" hidden="1">FALSE</definedName>
    <definedName name="TopRankSingleWorkbookAllResults" hidden="1">FALSE</definedName>
    <definedName name="TopRankSpiderGraphs" hidden="1">TRUE</definedName>
    <definedName name="TopRankTornadoGraphs" hidden="1">TRUE</definedName>
    <definedName name="TopRankUpdateDisplay" hidden="1">FALSE</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3" i="86" l="1"/>
  <c r="F102" i="86"/>
  <c r="F101" i="86"/>
  <c r="F100" i="86"/>
  <c r="F99" i="86"/>
  <c r="F98" i="86"/>
  <c r="F97" i="86"/>
  <c r="F96" i="86"/>
  <c r="F95" i="86"/>
  <c r="F94" i="86"/>
  <c r="F93" i="86"/>
  <c r="F92" i="86"/>
  <c r="F91" i="86"/>
  <c r="F90" i="86"/>
  <c r="F89" i="86"/>
  <c r="F88" i="86"/>
  <c r="F87" i="86"/>
  <c r="F86" i="86"/>
  <c r="F85" i="86"/>
  <c r="F84" i="86"/>
  <c r="F83" i="86"/>
  <c r="F82" i="86"/>
  <c r="F81" i="86"/>
  <c r="F80" i="86"/>
  <c r="F79" i="86"/>
  <c r="F78" i="86"/>
  <c r="F77" i="86"/>
  <c r="F76" i="86"/>
  <c r="F75" i="86"/>
  <c r="F74" i="86"/>
  <c r="F73" i="86"/>
  <c r="F72" i="86"/>
  <c r="F71" i="86"/>
  <c r="F70" i="86"/>
  <c r="F69" i="86"/>
  <c r="F68" i="86"/>
  <c r="F67" i="86"/>
  <c r="F66" i="86"/>
  <c r="F65" i="86"/>
  <c r="F64" i="86"/>
  <c r="F63" i="86"/>
  <c r="F62" i="86"/>
  <c r="F61" i="86"/>
  <c r="F60" i="86"/>
  <c r="F59" i="86"/>
  <c r="F58" i="86"/>
  <c r="F57" i="86"/>
  <c r="F56" i="86"/>
  <c r="F55" i="86"/>
  <c r="U65" i="86"/>
  <c r="U67" i="86" s="1"/>
  <c r="U69" i="86" s="1"/>
  <c r="U71" i="86" s="1"/>
  <c r="U73" i="86" s="1"/>
  <c r="U75" i="86" s="1"/>
  <c r="U77" i="86" s="1"/>
  <c r="U79" i="86" s="1"/>
  <c r="U81" i="86" s="1"/>
  <c r="U66" i="86"/>
  <c r="U68" i="86" s="1"/>
  <c r="U70" i="86" s="1"/>
  <c r="U72" i="86" s="1"/>
  <c r="U74" i="86" s="1"/>
  <c r="U76" i="86" s="1"/>
  <c r="U78" i="86" s="1"/>
  <c r="U80" i="86" s="1"/>
  <c r="U84" i="86"/>
  <c r="U85" i="86" s="1"/>
  <c r="U86" i="86"/>
  <c r="U87" i="86" s="1"/>
  <c r="F5" i="86" l="1"/>
  <c r="F6" i="86"/>
  <c r="F7" i="86"/>
  <c r="F8" i="86"/>
  <c r="F9" i="86"/>
  <c r="F10" i="86"/>
  <c r="F11" i="86"/>
  <c r="F12" i="86"/>
  <c r="F13" i="86"/>
  <c r="F14" i="86"/>
  <c r="F15" i="86"/>
  <c r="F16" i="86"/>
  <c r="F17" i="86"/>
  <c r="F18" i="86"/>
  <c r="F19" i="86"/>
  <c r="F20" i="86"/>
  <c r="F21" i="86"/>
  <c r="F22" i="86"/>
  <c r="F23" i="86"/>
  <c r="F24" i="86"/>
  <c r="F25" i="86"/>
  <c r="F26" i="86"/>
  <c r="F27" i="86"/>
  <c r="F28" i="86"/>
  <c r="F29" i="86"/>
  <c r="F30" i="86"/>
  <c r="F31" i="86"/>
  <c r="F32" i="86"/>
  <c r="F33" i="86"/>
  <c r="F34" i="86"/>
  <c r="F35" i="86"/>
  <c r="F36" i="86"/>
  <c r="F37" i="86"/>
  <c r="F38" i="86"/>
  <c r="F39" i="86"/>
  <c r="F40" i="86"/>
  <c r="F41" i="86"/>
  <c r="F42" i="86"/>
  <c r="F43" i="86"/>
  <c r="F44" i="86"/>
  <c r="F45" i="86"/>
  <c r="F46" i="86"/>
  <c r="F47" i="86"/>
  <c r="F48" i="86"/>
  <c r="F49" i="86"/>
  <c r="F50" i="86"/>
  <c r="F51" i="86"/>
  <c r="F52" i="86"/>
  <c r="F53" i="86"/>
  <c r="F54" i="86"/>
  <c r="F4" i="86"/>
  <c r="C18" i="80" l="1"/>
  <c r="C12" i="80"/>
  <c r="C35" i="80" l="1"/>
  <c r="Z9" i="85"/>
  <c r="AA9" i="85" s="1"/>
  <c r="Y10" i="85"/>
  <c r="Z10" i="85" s="1"/>
  <c r="AA10" i="85" s="1"/>
  <c r="X11" i="85"/>
  <c r="Y11" i="85" s="1"/>
  <c r="Z11" i="85" s="1"/>
  <c r="AA11" i="85" s="1"/>
  <c r="V12" i="85"/>
  <c r="W12" i="85" s="1"/>
  <c r="X12" i="85" s="1"/>
  <c r="Y12" i="85" s="1"/>
  <c r="Z12" i="85" s="1"/>
  <c r="AA12" i="85" s="1"/>
  <c r="U13" i="85"/>
  <c r="V13" i="85" s="1"/>
  <c r="W13" i="85" s="1"/>
  <c r="X13" i="85" s="1"/>
  <c r="Y13" i="85" s="1"/>
  <c r="Z13" i="85" s="1"/>
  <c r="AA13" i="85" s="1"/>
  <c r="T14" i="85"/>
  <c r="U14" i="85" s="1"/>
  <c r="V14" i="85" s="1"/>
  <c r="W14" i="85" s="1"/>
  <c r="X14" i="85" s="1"/>
  <c r="Y14" i="85" s="1"/>
  <c r="Z14" i="85" s="1"/>
  <c r="AA14" i="85" s="1"/>
  <c r="T15" i="85"/>
  <c r="U15" i="85" s="1"/>
  <c r="V15" i="85" s="1"/>
  <c r="W15" i="85" s="1"/>
  <c r="X15" i="85" s="1"/>
  <c r="Y15" i="85" s="1"/>
  <c r="Z15" i="85" s="1"/>
  <c r="AA15" i="85" s="1"/>
  <c r="S15" i="85"/>
  <c r="R16" i="85"/>
  <c r="S16" i="85" s="1"/>
  <c r="T16" i="85" s="1"/>
  <c r="U16" i="85" s="1"/>
  <c r="V16" i="85" s="1"/>
  <c r="W16" i="85" s="1"/>
  <c r="X16" i="85" s="1"/>
  <c r="Y16" i="85" s="1"/>
  <c r="Z16" i="85" s="1"/>
  <c r="AA16" i="85" s="1"/>
  <c r="Q17" i="85"/>
  <c r="R17" i="85" s="1"/>
  <c r="S17" i="85" s="1"/>
  <c r="T17" i="85" s="1"/>
  <c r="U17" i="85" s="1"/>
  <c r="V17" i="85" s="1"/>
  <c r="W17" i="85" s="1"/>
  <c r="X17" i="85" s="1"/>
  <c r="Y17" i="85" s="1"/>
  <c r="Z17" i="85" s="1"/>
  <c r="AA17" i="85" s="1"/>
  <c r="P18" i="85"/>
  <c r="Q18" i="85" s="1"/>
  <c r="R18" i="85" s="1"/>
  <c r="S18" i="85" s="1"/>
  <c r="T18" i="85" s="1"/>
  <c r="U18" i="85" s="1"/>
  <c r="V18" i="85" s="1"/>
  <c r="W18" i="85" s="1"/>
  <c r="X18" i="85" s="1"/>
  <c r="Y18" i="85" s="1"/>
  <c r="Z18" i="85" s="1"/>
  <c r="AA18" i="85" s="1"/>
  <c r="P19" i="85"/>
  <c r="Q19" i="85" s="1"/>
  <c r="R19" i="85" s="1"/>
  <c r="S19" i="85" s="1"/>
  <c r="T19" i="85" s="1"/>
  <c r="U19" i="85" s="1"/>
  <c r="V19" i="85" s="1"/>
  <c r="W19" i="85" s="1"/>
  <c r="X19" i="85" s="1"/>
  <c r="Y19" i="85" s="1"/>
  <c r="Z19" i="85" s="1"/>
  <c r="AA19" i="85" s="1"/>
  <c r="O20" i="85"/>
  <c r="P20" i="85" s="1"/>
  <c r="Q20" i="85" s="1"/>
  <c r="R20" i="85" s="1"/>
  <c r="S20" i="85" s="1"/>
  <c r="T20" i="85" s="1"/>
  <c r="U20" i="85" s="1"/>
  <c r="V20" i="85" s="1"/>
  <c r="W20" i="85" s="1"/>
  <c r="X20" i="85" s="1"/>
  <c r="Y20" i="85" s="1"/>
  <c r="Z20" i="85" s="1"/>
  <c r="AA20" i="85" s="1"/>
  <c r="N21" i="85"/>
  <c r="O21" i="85" s="1"/>
  <c r="P21" i="85" s="1"/>
  <c r="Q21" i="85" s="1"/>
  <c r="R21" i="85" s="1"/>
  <c r="S21" i="85" s="1"/>
  <c r="T21" i="85" s="1"/>
  <c r="U21" i="85" s="1"/>
  <c r="V21" i="85" s="1"/>
  <c r="W21" i="85" s="1"/>
  <c r="X21" i="85" s="1"/>
  <c r="Y21" i="85" s="1"/>
  <c r="Z21" i="85" s="1"/>
  <c r="AA21" i="85" s="1"/>
  <c r="O20" i="83"/>
  <c r="P20" i="83" s="1"/>
  <c r="Q20" i="83" s="1"/>
  <c r="R20" i="83" s="1"/>
  <c r="S20" i="83" s="1"/>
  <c r="T20" i="83" s="1"/>
  <c r="U20" i="83" s="1"/>
  <c r="V20" i="83" s="1"/>
  <c r="W20" i="83" s="1"/>
  <c r="X20" i="83" s="1"/>
  <c r="Y20" i="83" s="1"/>
  <c r="Z20" i="83" s="1"/>
  <c r="AA20" i="83" s="1"/>
  <c r="P19" i="83"/>
  <c r="Q19" i="83" s="1"/>
  <c r="R19" i="83" s="1"/>
  <c r="S19" i="83" s="1"/>
  <c r="T19" i="83" s="1"/>
  <c r="U19" i="83" s="1"/>
  <c r="V19" i="83" s="1"/>
  <c r="W19" i="83" s="1"/>
  <c r="X19" i="83" s="1"/>
  <c r="Y19" i="83" s="1"/>
  <c r="Z19" i="83" s="1"/>
  <c r="AA19" i="83" s="1"/>
  <c r="P18" i="83"/>
  <c r="Q18" i="83" s="1"/>
  <c r="R18" i="83" s="1"/>
  <c r="S18" i="83" s="1"/>
  <c r="T18" i="83" s="1"/>
  <c r="U18" i="83" s="1"/>
  <c r="V18" i="83" s="1"/>
  <c r="W18" i="83" s="1"/>
  <c r="X18" i="83" s="1"/>
  <c r="Y18" i="83" s="1"/>
  <c r="Z18" i="83" s="1"/>
  <c r="AA18" i="83" s="1"/>
  <c r="Q17" i="83"/>
  <c r="R17" i="83" s="1"/>
  <c r="S17" i="83" s="1"/>
  <c r="T17" i="83" s="1"/>
  <c r="U17" i="83" s="1"/>
  <c r="V17" i="83" s="1"/>
  <c r="W17" i="83" s="1"/>
  <c r="X17" i="83" s="1"/>
  <c r="Y17" i="83" s="1"/>
  <c r="Z17" i="83" s="1"/>
  <c r="AA17" i="83" s="1"/>
  <c r="R16" i="83"/>
  <c r="S16" i="83" s="1"/>
  <c r="T16" i="83" s="1"/>
  <c r="U16" i="83" s="1"/>
  <c r="V16" i="83" s="1"/>
  <c r="W16" i="83" s="1"/>
  <c r="X16" i="83" s="1"/>
  <c r="Y16" i="83" s="1"/>
  <c r="Z16" i="83" s="1"/>
  <c r="AA16" i="83" s="1"/>
  <c r="S15" i="83"/>
  <c r="T15" i="83" s="1"/>
  <c r="U15" i="83" s="1"/>
  <c r="V15" i="83" s="1"/>
  <c r="W15" i="83" s="1"/>
  <c r="X15" i="83" s="1"/>
  <c r="Y15" i="83" s="1"/>
  <c r="Z15" i="83" s="1"/>
  <c r="AA15" i="83" s="1"/>
  <c r="T14" i="83"/>
  <c r="U14" i="83" s="1"/>
  <c r="V14" i="83" s="1"/>
  <c r="W14" i="83" s="1"/>
  <c r="X14" i="83" s="1"/>
  <c r="Y14" i="83" s="1"/>
  <c r="Z14" i="83" s="1"/>
  <c r="AA14" i="83" s="1"/>
  <c r="U13" i="83"/>
  <c r="V13" i="83" s="1"/>
  <c r="W13" i="83" s="1"/>
  <c r="X13" i="83" s="1"/>
  <c r="Y13" i="83" s="1"/>
  <c r="Z13" i="83" s="1"/>
  <c r="AA13" i="83" s="1"/>
  <c r="V12" i="83"/>
  <c r="W12" i="83" s="1"/>
  <c r="X12" i="83" s="1"/>
  <c r="Y12" i="83" s="1"/>
  <c r="Z12" i="83" s="1"/>
  <c r="AA12" i="83" s="1"/>
  <c r="Y11" i="83"/>
  <c r="Z11" i="83" s="1"/>
  <c r="AA11" i="83" s="1"/>
  <c r="X11" i="83"/>
  <c r="Y10" i="83"/>
  <c r="Z10" i="83" s="1"/>
  <c r="AA10" i="83" s="1"/>
  <c r="Z9" i="83"/>
  <c r="AA9" i="83" s="1"/>
  <c r="O21" i="83"/>
  <c r="P21" i="83"/>
  <c r="Q21" i="83" s="1"/>
  <c r="R21" i="83" s="1"/>
  <c r="S21" i="83" s="1"/>
  <c r="T21" i="83" s="1"/>
  <c r="U21" i="83" s="1"/>
  <c r="V21" i="83" s="1"/>
  <c r="W21" i="83" s="1"/>
  <c r="X21" i="83" s="1"/>
  <c r="Y21" i="83" s="1"/>
  <c r="Z21" i="83" s="1"/>
  <c r="AA21" i="83" s="1"/>
  <c r="N21" i="83"/>
  <c r="C21" i="69"/>
  <c r="P5" i="82" l="1"/>
  <c r="Q5" i="82"/>
  <c r="R5" i="82"/>
  <c r="S5" i="82"/>
  <c r="T5" i="82"/>
  <c r="U5" i="82"/>
  <c r="P6" i="82"/>
  <c r="Q6" i="82"/>
  <c r="R6" i="82"/>
  <c r="S6" i="82"/>
  <c r="T6" i="82"/>
  <c r="U6" i="82"/>
  <c r="P7" i="82"/>
  <c r="Q7" i="82"/>
  <c r="R7" i="82"/>
  <c r="S7" i="82"/>
  <c r="T7" i="82"/>
  <c r="U7" i="82"/>
  <c r="P8" i="82"/>
  <c r="Q8" i="82"/>
  <c r="R8" i="82"/>
  <c r="S8" i="82"/>
  <c r="T8" i="82"/>
  <c r="U8" i="82"/>
  <c r="P9" i="82"/>
  <c r="Q9" i="82"/>
  <c r="R9" i="82"/>
  <c r="S9" i="82"/>
  <c r="T9" i="82"/>
  <c r="U9" i="82"/>
  <c r="P10" i="82"/>
  <c r="Q10" i="82"/>
  <c r="R10" i="82"/>
  <c r="S10" i="82"/>
  <c r="T10" i="82"/>
  <c r="U10" i="82"/>
  <c r="P11" i="82"/>
  <c r="Q11" i="82"/>
  <c r="R11" i="82"/>
  <c r="S11" i="82"/>
  <c r="T11" i="82"/>
  <c r="U11" i="82"/>
  <c r="P12" i="82"/>
  <c r="Q12" i="82"/>
  <c r="R12" i="82"/>
  <c r="S12" i="82"/>
  <c r="T12" i="82"/>
  <c r="U12" i="82"/>
  <c r="P13" i="82"/>
  <c r="Q13" i="82"/>
  <c r="R13" i="82"/>
  <c r="S13" i="82"/>
  <c r="T13" i="82"/>
  <c r="U13" i="82"/>
  <c r="O6" i="82"/>
  <c r="O7" i="82"/>
  <c r="O8" i="82"/>
  <c r="O9" i="82"/>
  <c r="O10" i="82"/>
  <c r="O11" i="82"/>
  <c r="O12" i="82"/>
  <c r="O13" i="82"/>
  <c r="O5" i="82"/>
  <c r="I13" i="81"/>
  <c r="J8" i="81"/>
  <c r="J9" i="81"/>
  <c r="I10" i="81"/>
  <c r="I11" i="81"/>
  <c r="I12" i="81"/>
  <c r="H13" i="81"/>
  <c r="N19" i="82"/>
  <c r="C27" i="83"/>
  <c r="C19" i="82"/>
  <c r="C27" i="85"/>
  <c r="AI33" i="80" l="1"/>
  <c r="AI32" i="80"/>
  <c r="C19" i="81"/>
  <c r="AJ32" i="80" l="1"/>
  <c r="AJ33" i="80"/>
  <c r="K13" i="32" l="1"/>
  <c r="L10" i="32"/>
  <c r="L11" i="32"/>
  <c r="L12" i="32"/>
  <c r="L13" i="32"/>
  <c r="M9" i="32"/>
  <c r="M10" i="32"/>
  <c r="M11" i="32"/>
  <c r="M12" i="32"/>
  <c r="M13" i="32"/>
  <c r="M8" i="32"/>
  <c r="C56" i="69"/>
  <c r="C33" i="80"/>
  <c r="V85" i="80" l="1"/>
  <c r="W86" i="80"/>
  <c r="W87" i="80"/>
  <c r="W88" i="80"/>
  <c r="W89" i="80"/>
  <c r="W90" i="80"/>
  <c r="W91" i="80"/>
  <c r="W92" i="80"/>
  <c r="W93" i="80"/>
  <c r="W94" i="80"/>
  <c r="W95" i="80"/>
  <c r="W96" i="80"/>
  <c r="W97" i="80"/>
  <c r="W98" i="80"/>
  <c r="W99" i="80"/>
  <c r="W100" i="80"/>
  <c r="W101" i="80"/>
  <c r="W102" i="80"/>
  <c r="W103" i="80"/>
  <c r="W104" i="80"/>
  <c r="W105" i="80"/>
  <c r="W106" i="80"/>
  <c r="W107" i="80"/>
  <c r="W108" i="80"/>
  <c r="W109" i="80"/>
  <c r="W110" i="80"/>
  <c r="W111" i="80"/>
  <c r="W112" i="80"/>
  <c r="W113" i="80"/>
  <c r="W114" i="80"/>
  <c r="W115" i="80"/>
  <c r="W116" i="80"/>
  <c r="W117" i="80"/>
  <c r="W118" i="80"/>
  <c r="W119" i="80"/>
  <c r="W120" i="80"/>
  <c r="W121" i="80"/>
  <c r="W122" i="80"/>
  <c r="W123" i="80"/>
  <c r="W124" i="80"/>
  <c r="W125" i="80"/>
  <c r="W126" i="80"/>
  <c r="W127" i="80"/>
  <c r="W128" i="80"/>
  <c r="W129" i="80"/>
  <c r="W130" i="80"/>
  <c r="W131" i="80"/>
  <c r="W132" i="80"/>
  <c r="W133" i="80"/>
  <c r="W134" i="80"/>
  <c r="W135" i="80"/>
  <c r="W136" i="80"/>
  <c r="W137" i="80"/>
  <c r="W138" i="80"/>
  <c r="W139" i="80"/>
  <c r="W140" i="80"/>
  <c r="W141" i="80"/>
  <c r="W142" i="80"/>
  <c r="W143" i="80"/>
  <c r="W144" i="80"/>
  <c r="W145" i="80"/>
  <c r="W146" i="80"/>
  <c r="W147" i="80"/>
  <c r="W148" i="80"/>
  <c r="W149" i="80"/>
  <c r="W150" i="80"/>
  <c r="W151" i="80"/>
  <c r="W152" i="80"/>
  <c r="W153" i="80"/>
  <c r="W154" i="80"/>
  <c r="W155" i="80"/>
  <c r="W156" i="80"/>
  <c r="W157" i="80"/>
  <c r="W158" i="80"/>
  <c r="W159" i="80"/>
  <c r="W160" i="80"/>
  <c r="W161" i="80"/>
  <c r="W162" i="80"/>
  <c r="W163" i="80"/>
  <c r="W164" i="80"/>
  <c r="W165" i="80"/>
  <c r="W166" i="80"/>
  <c r="W167" i="80"/>
  <c r="W168" i="80"/>
  <c r="W169" i="80"/>
  <c r="W170" i="80"/>
  <c r="W171" i="80"/>
  <c r="W172" i="80"/>
  <c r="W173" i="80"/>
  <c r="W174" i="80"/>
  <c r="W175" i="80"/>
  <c r="W176" i="80"/>
  <c r="W177" i="80"/>
  <c r="W178" i="80"/>
  <c r="W179" i="80"/>
  <c r="W180" i="80"/>
  <c r="W181" i="80"/>
  <c r="W182" i="80"/>
  <c r="W183" i="80"/>
  <c r="W184" i="80"/>
  <c r="W185" i="80"/>
  <c r="W186" i="80"/>
  <c r="W187" i="80"/>
  <c r="W188" i="80"/>
  <c r="W189" i="80"/>
  <c r="W190" i="80"/>
  <c r="W191" i="80"/>
  <c r="W192" i="80"/>
  <c r="W193" i="80"/>
  <c r="W194" i="80"/>
  <c r="W195" i="80"/>
  <c r="W196" i="80"/>
  <c r="W197" i="80"/>
  <c r="W198" i="80"/>
  <c r="W199" i="80"/>
  <c r="W200" i="80"/>
  <c r="W201" i="80"/>
  <c r="W202" i="80"/>
  <c r="W203" i="80"/>
  <c r="W204" i="80"/>
  <c r="W205" i="80"/>
  <c r="W206" i="80"/>
  <c r="W207" i="80"/>
  <c r="W208" i="80"/>
  <c r="W209" i="80"/>
  <c r="W210" i="80"/>
  <c r="W211" i="80"/>
  <c r="W212" i="80"/>
  <c r="W213" i="80"/>
  <c r="W214" i="80"/>
  <c r="W215" i="80"/>
  <c r="W216" i="80"/>
  <c r="W217" i="80"/>
  <c r="W218" i="80"/>
  <c r="W219" i="80"/>
  <c r="W220" i="80"/>
  <c r="W221" i="80"/>
  <c r="W222" i="80"/>
  <c r="W223" i="80"/>
  <c r="W224" i="80"/>
  <c r="W225" i="80"/>
  <c r="W226" i="80"/>
  <c r="W227" i="80"/>
  <c r="W228" i="80"/>
  <c r="W229" i="80"/>
  <c r="W230" i="80"/>
  <c r="W231" i="80"/>
  <c r="W232" i="80"/>
  <c r="W233" i="80"/>
  <c r="W234" i="80"/>
  <c r="W235" i="80"/>
  <c r="W236" i="80"/>
  <c r="W237" i="80"/>
  <c r="W238" i="80"/>
  <c r="W239" i="80"/>
  <c r="W240" i="80"/>
  <c r="W241" i="80"/>
  <c r="W242" i="80"/>
  <c r="W243" i="80"/>
  <c r="W244" i="80"/>
  <c r="W245" i="80"/>
  <c r="W246" i="80"/>
  <c r="W247" i="80"/>
  <c r="W248" i="80"/>
  <c r="W249" i="80"/>
  <c r="W250" i="80"/>
  <c r="W251" i="80"/>
  <c r="W252" i="80"/>
  <c r="W253" i="80"/>
  <c r="W254" i="80"/>
  <c r="W255" i="80"/>
  <c r="W256" i="80"/>
  <c r="W257" i="80"/>
  <c r="W258" i="80"/>
  <c r="W259" i="80"/>
  <c r="W260" i="80"/>
  <c r="W261" i="80"/>
  <c r="W262" i="80"/>
  <c r="W263" i="80"/>
  <c r="W264" i="80"/>
  <c r="W265" i="80"/>
  <c r="W266" i="80"/>
  <c r="W267" i="80"/>
  <c r="W268" i="80"/>
  <c r="W269" i="80"/>
  <c r="W270" i="80"/>
  <c r="W271" i="80"/>
  <c r="W272" i="80"/>
  <c r="W273" i="80"/>
  <c r="W274" i="80"/>
  <c r="W275" i="80"/>
  <c r="W276" i="80"/>
  <c r="W277" i="80"/>
  <c r="W278" i="80"/>
  <c r="W279" i="80"/>
  <c r="W280" i="80"/>
  <c r="W281" i="80"/>
  <c r="W282" i="80"/>
  <c r="W283" i="80"/>
  <c r="W284" i="80"/>
  <c r="W285" i="80"/>
  <c r="W286" i="80"/>
  <c r="W287" i="80"/>
  <c r="W288" i="80"/>
  <c r="W289" i="80"/>
  <c r="W290" i="80"/>
  <c r="W291" i="80"/>
  <c r="W292" i="80"/>
  <c r="W293" i="80"/>
  <c r="W294" i="80"/>
  <c r="W295" i="80"/>
  <c r="W296" i="80"/>
  <c r="W297" i="80"/>
  <c r="W298" i="80"/>
  <c r="W299" i="80"/>
  <c r="W300" i="80"/>
  <c r="W301" i="80"/>
  <c r="W302" i="80"/>
  <c r="W303" i="80"/>
  <c r="W304" i="80"/>
  <c r="W305" i="80"/>
  <c r="W306" i="80"/>
  <c r="W307" i="80"/>
  <c r="W308" i="80"/>
  <c r="W309" i="80"/>
  <c r="W310" i="80"/>
  <c r="W311" i="80"/>
  <c r="W312" i="80"/>
  <c r="W313" i="80"/>
  <c r="W314" i="80"/>
  <c r="W315" i="80"/>
  <c r="W316" i="80"/>
  <c r="W317" i="80"/>
  <c r="W318" i="80"/>
  <c r="W319" i="80"/>
  <c r="W320" i="80"/>
  <c r="W321" i="80"/>
  <c r="W322" i="80"/>
  <c r="W323" i="80"/>
  <c r="W324" i="80"/>
  <c r="W325" i="80"/>
  <c r="W326" i="80"/>
  <c r="W327" i="80"/>
  <c r="W328" i="80"/>
  <c r="W329" i="80"/>
  <c r="W330" i="80"/>
  <c r="W331" i="80"/>
  <c r="W332" i="80"/>
  <c r="W333" i="80"/>
  <c r="W334" i="80"/>
  <c r="W335" i="80"/>
  <c r="W336" i="80"/>
  <c r="W337" i="80"/>
  <c r="W338" i="80"/>
  <c r="W339" i="80"/>
  <c r="W340" i="80"/>
  <c r="W341" i="80"/>
  <c r="W342" i="80"/>
  <c r="W343" i="80"/>
  <c r="W344" i="80"/>
  <c r="W345" i="80"/>
  <c r="W346" i="80"/>
  <c r="W347" i="80"/>
  <c r="W348" i="80"/>
  <c r="W349" i="80"/>
  <c r="W350" i="80"/>
  <c r="W351" i="80"/>
  <c r="W352" i="80"/>
  <c r="W353" i="80"/>
  <c r="W354" i="80"/>
  <c r="W355" i="80"/>
  <c r="W356" i="80"/>
  <c r="W357" i="80"/>
  <c r="W358" i="80"/>
  <c r="W359" i="80"/>
  <c r="W360" i="80"/>
  <c r="W361" i="80"/>
  <c r="W362" i="80"/>
  <c r="W363" i="80"/>
  <c r="W364" i="80"/>
  <c r="W365" i="80"/>
  <c r="W366" i="80"/>
  <c r="W367" i="80"/>
  <c r="W368" i="80"/>
  <c r="W369" i="80"/>
  <c r="W370" i="80"/>
  <c r="W371" i="80"/>
  <c r="W372" i="80"/>
  <c r="W373" i="80"/>
  <c r="W374" i="80"/>
  <c r="W375" i="80"/>
  <c r="W376" i="80"/>
  <c r="W377" i="80"/>
  <c r="W378" i="80"/>
  <c r="W379" i="80"/>
  <c r="W380" i="80"/>
  <c r="W381" i="80"/>
  <c r="W382" i="80"/>
  <c r="W383" i="80"/>
  <c r="W384" i="80"/>
  <c r="W385" i="80"/>
  <c r="W386" i="80"/>
  <c r="W387" i="80"/>
  <c r="W388" i="80"/>
  <c r="W389" i="80"/>
  <c r="W390" i="80"/>
  <c r="W391" i="80"/>
  <c r="W392" i="80"/>
  <c r="W393" i="80"/>
  <c r="W394" i="80"/>
  <c r="W395" i="80"/>
  <c r="W396" i="80"/>
  <c r="W397" i="80"/>
  <c r="W398" i="80"/>
  <c r="W399" i="80"/>
  <c r="W400" i="80"/>
  <c r="W401" i="80"/>
  <c r="W402" i="80"/>
  <c r="W403" i="80"/>
  <c r="W404" i="80"/>
  <c r="W405" i="80"/>
  <c r="W406" i="80"/>
  <c r="W407" i="80"/>
  <c r="W408" i="80"/>
  <c r="W409" i="80"/>
  <c r="W410" i="80"/>
  <c r="W411" i="80"/>
  <c r="W412" i="80"/>
  <c r="W413" i="80"/>
  <c r="W414" i="80"/>
  <c r="W415" i="80"/>
  <c r="W416" i="80"/>
  <c r="W417" i="80"/>
  <c r="W418" i="80"/>
  <c r="W419" i="80"/>
  <c r="W420" i="80"/>
  <c r="W421" i="80"/>
  <c r="W422" i="80"/>
  <c r="W423" i="80"/>
  <c r="W424" i="80"/>
  <c r="W425" i="80"/>
  <c r="W426" i="80"/>
  <c r="W427" i="80"/>
  <c r="W428" i="80"/>
  <c r="W429" i="80"/>
  <c r="W430" i="80"/>
  <c r="W431" i="80"/>
  <c r="W432" i="80"/>
  <c r="W433" i="80"/>
  <c r="W434" i="80"/>
  <c r="W435" i="80"/>
  <c r="W436" i="80"/>
  <c r="W437" i="80"/>
  <c r="W438" i="80"/>
  <c r="W439" i="80"/>
  <c r="W440" i="80"/>
  <c r="W441" i="80"/>
  <c r="W442" i="80"/>
  <c r="W443" i="80"/>
  <c r="W444" i="80"/>
  <c r="W445" i="80"/>
  <c r="W446" i="80"/>
  <c r="W447" i="80"/>
  <c r="W448" i="80"/>
  <c r="W449" i="80"/>
  <c r="W450" i="80"/>
  <c r="W451" i="80"/>
  <c r="W452" i="80"/>
  <c r="W453" i="80"/>
  <c r="W454" i="80"/>
  <c r="W455" i="80"/>
  <c r="W456" i="80"/>
  <c r="W457" i="80"/>
  <c r="W458" i="80"/>
  <c r="W459" i="80"/>
  <c r="W460" i="80"/>
  <c r="W461" i="80"/>
  <c r="W462" i="80"/>
  <c r="W463" i="80"/>
  <c r="W464" i="80"/>
  <c r="W465" i="80"/>
  <c r="W466" i="80"/>
  <c r="W467" i="80"/>
  <c r="W468" i="80"/>
  <c r="W469" i="80"/>
  <c r="W470" i="80"/>
  <c r="W471" i="80"/>
  <c r="W472" i="80"/>
  <c r="W473" i="80"/>
  <c r="W474" i="80"/>
  <c r="W475" i="80"/>
  <c r="W476" i="80"/>
  <c r="W477" i="80"/>
  <c r="W478" i="80"/>
  <c r="W479" i="80"/>
  <c r="W480" i="80"/>
  <c r="W481" i="80"/>
  <c r="W482" i="80"/>
  <c r="W483" i="80"/>
  <c r="W484" i="80"/>
  <c r="W485" i="80"/>
  <c r="W486" i="80"/>
  <c r="W487" i="80"/>
  <c r="W488" i="80"/>
  <c r="W489" i="80"/>
  <c r="W490" i="80"/>
  <c r="W491" i="80"/>
  <c r="W492" i="80"/>
  <c r="W493" i="80"/>
  <c r="W494" i="80"/>
  <c r="W495" i="80"/>
  <c r="W496" i="80"/>
  <c r="W497" i="80"/>
  <c r="W498" i="80"/>
  <c r="W499" i="80"/>
  <c r="W500" i="80"/>
  <c r="W501" i="80"/>
  <c r="W502" i="80"/>
  <c r="W503" i="80"/>
  <c r="W504" i="80"/>
  <c r="W505" i="80"/>
  <c r="W506" i="80"/>
  <c r="W507" i="80"/>
  <c r="W508" i="80"/>
  <c r="W509" i="80"/>
  <c r="W510" i="80"/>
  <c r="W511" i="80"/>
  <c r="W512" i="80"/>
  <c r="W513" i="80"/>
  <c r="W514" i="80"/>
  <c r="W515" i="80"/>
  <c r="W516" i="80"/>
  <c r="W517" i="80"/>
  <c r="W518" i="80"/>
  <c r="W519" i="80"/>
  <c r="W520" i="80"/>
  <c r="W521" i="80"/>
  <c r="W522" i="80"/>
  <c r="W523" i="80"/>
  <c r="W524" i="80"/>
  <c r="W525" i="80"/>
  <c r="W526" i="80"/>
  <c r="W527" i="80"/>
  <c r="W528" i="80"/>
  <c r="W529" i="80"/>
  <c r="W530" i="80"/>
  <c r="W531" i="80"/>
  <c r="W532" i="80"/>
  <c r="W533" i="80"/>
  <c r="W534" i="80"/>
  <c r="W535" i="80"/>
  <c r="W536" i="80"/>
  <c r="W537" i="80"/>
  <c r="W538" i="80"/>
  <c r="W539" i="80"/>
  <c r="W540" i="80"/>
  <c r="W541" i="80"/>
  <c r="W542" i="80"/>
  <c r="W543" i="80"/>
  <c r="W544" i="80"/>
  <c r="W545" i="80"/>
  <c r="W546" i="80"/>
  <c r="W547" i="80"/>
  <c r="W548" i="80"/>
  <c r="W549" i="80"/>
  <c r="W550" i="80"/>
  <c r="W551" i="80"/>
  <c r="W552" i="80"/>
  <c r="W553" i="80"/>
  <c r="W554" i="80"/>
  <c r="W555" i="80"/>
  <c r="W556" i="80"/>
  <c r="W557" i="80"/>
  <c r="W558" i="80"/>
  <c r="W559" i="80"/>
  <c r="W560" i="80"/>
  <c r="W561" i="80"/>
  <c r="W562" i="80"/>
  <c r="W563" i="80"/>
  <c r="W564" i="80"/>
  <c r="W565" i="80"/>
  <c r="W566" i="80"/>
  <c r="W567" i="80"/>
  <c r="W568" i="80"/>
  <c r="W569" i="80"/>
  <c r="W570" i="80"/>
  <c r="W571" i="80"/>
  <c r="W572" i="80"/>
  <c r="W573" i="80"/>
  <c r="W574" i="80"/>
  <c r="W575" i="80"/>
  <c r="W576" i="80"/>
  <c r="W577" i="80"/>
  <c r="W578" i="80"/>
  <c r="W579" i="80"/>
  <c r="W580" i="80"/>
  <c r="W581" i="80"/>
  <c r="W582" i="80"/>
  <c r="W583" i="80"/>
  <c r="W584" i="80"/>
  <c r="W585" i="80"/>
  <c r="W586" i="80"/>
  <c r="W587" i="80"/>
  <c r="W588" i="80"/>
  <c r="W589" i="80"/>
  <c r="W590" i="80"/>
  <c r="W591" i="80"/>
  <c r="W592" i="80"/>
  <c r="W593" i="80"/>
  <c r="W594" i="80"/>
  <c r="W595" i="80"/>
  <c r="W596" i="80"/>
  <c r="W597" i="80"/>
  <c r="W598" i="80"/>
  <c r="W599" i="80"/>
  <c r="W600" i="80"/>
  <c r="W601" i="80"/>
  <c r="W602" i="80"/>
  <c r="W603" i="80"/>
  <c r="W604" i="80"/>
  <c r="W605" i="80"/>
  <c r="W606" i="80"/>
  <c r="W607" i="80"/>
  <c r="W608" i="80"/>
  <c r="W609" i="80"/>
  <c r="W610" i="80"/>
  <c r="W611" i="80"/>
  <c r="W612" i="80"/>
  <c r="W613" i="80"/>
  <c r="W614" i="80"/>
  <c r="W615" i="80"/>
  <c r="W616" i="80"/>
  <c r="W617" i="80"/>
  <c r="W618" i="80"/>
  <c r="W619" i="80"/>
  <c r="W620" i="80"/>
  <c r="W621" i="80"/>
  <c r="W622" i="80"/>
  <c r="W623" i="80"/>
  <c r="W624" i="80"/>
  <c r="W625" i="80"/>
  <c r="W626" i="80"/>
  <c r="W627" i="80"/>
  <c r="W628" i="80"/>
  <c r="W629" i="80"/>
  <c r="W630" i="80"/>
  <c r="W631" i="80"/>
  <c r="W632" i="80"/>
  <c r="W633" i="80"/>
  <c r="W634" i="80"/>
  <c r="W635" i="80"/>
  <c r="W636" i="80"/>
  <c r="W637" i="80"/>
  <c r="W638" i="80"/>
  <c r="W639" i="80"/>
  <c r="W640" i="80"/>
  <c r="W641" i="80"/>
  <c r="W642" i="80"/>
  <c r="W643" i="80"/>
  <c r="W644" i="80"/>
  <c r="W645" i="80"/>
  <c r="W646" i="80"/>
  <c r="W647" i="80"/>
  <c r="W648" i="80"/>
  <c r="W649" i="80"/>
  <c r="W650" i="80"/>
  <c r="W651" i="80"/>
  <c r="W652" i="80"/>
  <c r="W653" i="80"/>
  <c r="W654" i="80"/>
  <c r="W655" i="80"/>
  <c r="W656" i="80"/>
  <c r="W657" i="80"/>
  <c r="W658" i="80"/>
  <c r="W659" i="80"/>
  <c r="W660" i="80"/>
  <c r="W661" i="80"/>
  <c r="W662" i="80"/>
  <c r="W663" i="80"/>
  <c r="W664" i="80"/>
  <c r="W665" i="80"/>
  <c r="W666" i="80"/>
  <c r="W667" i="80"/>
  <c r="W668" i="80"/>
  <c r="W669" i="80"/>
  <c r="W670" i="80"/>
  <c r="W671" i="80"/>
  <c r="W672" i="80"/>
  <c r="W673" i="80"/>
  <c r="W674" i="80"/>
  <c r="W675" i="80"/>
  <c r="W676" i="80"/>
  <c r="W677" i="80"/>
  <c r="W678" i="80"/>
  <c r="W679" i="80"/>
  <c r="W680" i="80"/>
  <c r="W85" i="80"/>
  <c r="M85" i="80"/>
  <c r="C79" i="80"/>
  <c r="N85" i="80"/>
  <c r="O85" i="80" l="1"/>
  <c r="BY85" i="80" s="1"/>
  <c r="C78" i="80"/>
  <c r="P85" i="80"/>
  <c r="C4" i="80" l="1"/>
  <c r="J85" i="80" s="1"/>
  <c r="K83" i="80" l="1"/>
  <c r="M83" i="80"/>
  <c r="AB86" i="80"/>
  <c r="AB87" i="80" s="1"/>
  <c r="AB88" i="80" s="1"/>
  <c r="AB89" i="80" s="1"/>
  <c r="AB90" i="80" s="1"/>
  <c r="AB91" i="80" s="1"/>
  <c r="AB92" i="80" s="1"/>
  <c r="AB93" i="80" s="1"/>
  <c r="AB94" i="80" s="1"/>
  <c r="AB95" i="80" s="1"/>
  <c r="AB96" i="80" s="1"/>
  <c r="AB97" i="80" s="1"/>
  <c r="AB98" i="80" s="1"/>
  <c r="AB99" i="80" s="1"/>
  <c r="AB100" i="80" s="1"/>
  <c r="AB101" i="80" s="1"/>
  <c r="AB102" i="80" s="1"/>
  <c r="AB103" i="80" s="1"/>
  <c r="AB104" i="80" s="1"/>
  <c r="AB105" i="80" s="1"/>
  <c r="AB106" i="80" s="1"/>
  <c r="AB107" i="80" s="1"/>
  <c r="AB108" i="80" s="1"/>
  <c r="AB109" i="80" s="1"/>
  <c r="AB110" i="80" s="1"/>
  <c r="AB111" i="80" s="1"/>
  <c r="AB112" i="80" s="1"/>
  <c r="AB113" i="80" s="1"/>
  <c r="AB114" i="80" s="1"/>
  <c r="AB115" i="80" s="1"/>
  <c r="AB116" i="80" s="1"/>
  <c r="AB117" i="80" s="1"/>
  <c r="AB118" i="80" s="1"/>
  <c r="AB119" i="80" s="1"/>
  <c r="AB120" i="80" s="1"/>
  <c r="AB121" i="80" s="1"/>
  <c r="AB122" i="80" s="1"/>
  <c r="AB123" i="80" s="1"/>
  <c r="AB124" i="80" s="1"/>
  <c r="AB125" i="80" s="1"/>
  <c r="AB126" i="80" s="1"/>
  <c r="AB127" i="80" s="1"/>
  <c r="AB128" i="80" s="1"/>
  <c r="AB129" i="80" s="1"/>
  <c r="AB130" i="80" s="1"/>
  <c r="AB131" i="80" s="1"/>
  <c r="AB132" i="80" s="1"/>
  <c r="AB133" i="80" s="1"/>
  <c r="AB134" i="80" s="1"/>
  <c r="AB135" i="80" s="1"/>
  <c r="AB136" i="80" s="1"/>
  <c r="AB137" i="80" s="1"/>
  <c r="AB138" i="80" s="1"/>
  <c r="AB139" i="80" s="1"/>
  <c r="AB140" i="80" s="1"/>
  <c r="AB141" i="80" s="1"/>
  <c r="AB142" i="80" s="1"/>
  <c r="AB143" i="80" s="1"/>
  <c r="AB144" i="80" s="1"/>
  <c r="AB145" i="80" s="1"/>
  <c r="AB146" i="80" s="1"/>
  <c r="AB147" i="80" s="1"/>
  <c r="AB148" i="80" s="1"/>
  <c r="AB149" i="80" s="1"/>
  <c r="AB150" i="80" s="1"/>
  <c r="AB151" i="80" s="1"/>
  <c r="AB152" i="80" s="1"/>
  <c r="AB153" i="80" s="1"/>
  <c r="AB154" i="80" s="1"/>
  <c r="AB155" i="80" s="1"/>
  <c r="AB156" i="80" s="1"/>
  <c r="AB157" i="80" s="1"/>
  <c r="AB158" i="80" s="1"/>
  <c r="AB159" i="80" s="1"/>
  <c r="AB160" i="80" s="1"/>
  <c r="AB161" i="80" s="1"/>
  <c r="AB162" i="80" s="1"/>
  <c r="AB163" i="80" s="1"/>
  <c r="AB164" i="80" s="1"/>
  <c r="AB165" i="80" s="1"/>
  <c r="AB166" i="80" s="1"/>
  <c r="AB167" i="80" s="1"/>
  <c r="AB168" i="80" s="1"/>
  <c r="AB169" i="80" s="1"/>
  <c r="AB170" i="80" s="1"/>
  <c r="AB171" i="80" s="1"/>
  <c r="AB172" i="80" s="1"/>
  <c r="AB173" i="80" s="1"/>
  <c r="AB174" i="80" s="1"/>
  <c r="AB175" i="80" s="1"/>
  <c r="AB176" i="80" s="1"/>
  <c r="AB177" i="80" s="1"/>
  <c r="AB178" i="80" s="1"/>
  <c r="AB179" i="80" s="1"/>
  <c r="AB180" i="80" s="1"/>
  <c r="AB181" i="80" s="1"/>
  <c r="AB182" i="80" s="1"/>
  <c r="AB183" i="80" s="1"/>
  <c r="AB184" i="80" s="1"/>
  <c r="AB185" i="80" s="1"/>
  <c r="AB186" i="80" s="1"/>
  <c r="AB187" i="80" s="1"/>
  <c r="AB188" i="80" s="1"/>
  <c r="AB189" i="80" s="1"/>
  <c r="AB190" i="80" s="1"/>
  <c r="AB191" i="80" s="1"/>
  <c r="AB192" i="80" s="1"/>
  <c r="AB193" i="80" s="1"/>
  <c r="AB194" i="80" s="1"/>
  <c r="AB195" i="80" s="1"/>
  <c r="AB196" i="80" s="1"/>
  <c r="AB197" i="80" s="1"/>
  <c r="AB198" i="80" s="1"/>
  <c r="AB199" i="80" s="1"/>
  <c r="AB200" i="80" s="1"/>
  <c r="AB201" i="80" s="1"/>
  <c r="AB202" i="80" s="1"/>
  <c r="AB203" i="80" s="1"/>
  <c r="AB204" i="80" s="1"/>
  <c r="AB205" i="80" s="1"/>
  <c r="AB206" i="80" s="1"/>
  <c r="AB207" i="80" s="1"/>
  <c r="AB208" i="80" s="1"/>
  <c r="AB209" i="80" s="1"/>
  <c r="AB210" i="80" s="1"/>
  <c r="AB211" i="80" s="1"/>
  <c r="AB212" i="80" s="1"/>
  <c r="AB213" i="80" s="1"/>
  <c r="AB214" i="80" s="1"/>
  <c r="AB215" i="80" s="1"/>
  <c r="AB216" i="80" s="1"/>
  <c r="AB217" i="80" s="1"/>
  <c r="AB218" i="80" s="1"/>
  <c r="AB219" i="80" s="1"/>
  <c r="AB220" i="80" s="1"/>
  <c r="AB221" i="80" s="1"/>
  <c r="AB222" i="80" s="1"/>
  <c r="AB223" i="80" s="1"/>
  <c r="AB224" i="80" s="1"/>
  <c r="AB225" i="80" s="1"/>
  <c r="AB226" i="80" s="1"/>
  <c r="AB227" i="80" s="1"/>
  <c r="AB228" i="80" s="1"/>
  <c r="AB229" i="80" s="1"/>
  <c r="AB230" i="80" s="1"/>
  <c r="AB231" i="80" s="1"/>
  <c r="AB232" i="80" s="1"/>
  <c r="AB233" i="80" s="1"/>
  <c r="AB234" i="80" s="1"/>
  <c r="AB235" i="80" s="1"/>
  <c r="AB236" i="80" s="1"/>
  <c r="AB237" i="80" s="1"/>
  <c r="AB238" i="80" s="1"/>
  <c r="AB239" i="80" s="1"/>
  <c r="AB240" i="80" s="1"/>
  <c r="AB241" i="80" s="1"/>
  <c r="AB242" i="80" s="1"/>
  <c r="AB243" i="80" s="1"/>
  <c r="AB244" i="80" s="1"/>
  <c r="AB245" i="80" s="1"/>
  <c r="AB246" i="80" s="1"/>
  <c r="AB247" i="80" s="1"/>
  <c r="AB248" i="80" s="1"/>
  <c r="AB249" i="80" s="1"/>
  <c r="AB250" i="80" s="1"/>
  <c r="AB251" i="80" s="1"/>
  <c r="AB252" i="80" s="1"/>
  <c r="AB253" i="80" s="1"/>
  <c r="AB254" i="80" s="1"/>
  <c r="AB255" i="80" s="1"/>
  <c r="AB256" i="80" s="1"/>
  <c r="AB257" i="80" s="1"/>
  <c r="AB258" i="80" s="1"/>
  <c r="AB259" i="80" s="1"/>
  <c r="AB260" i="80" s="1"/>
  <c r="AB261" i="80" s="1"/>
  <c r="AB262" i="80" s="1"/>
  <c r="AB263" i="80" s="1"/>
  <c r="AB264" i="80" s="1"/>
  <c r="AB265" i="80" s="1"/>
  <c r="AB266" i="80" s="1"/>
  <c r="AB267" i="80" s="1"/>
  <c r="AB268" i="80" s="1"/>
  <c r="AB269" i="80" s="1"/>
  <c r="AB270" i="80" s="1"/>
  <c r="AB271" i="80" s="1"/>
  <c r="AB272" i="80" s="1"/>
  <c r="AB273" i="80" s="1"/>
  <c r="AB274" i="80" s="1"/>
  <c r="AB275" i="80" s="1"/>
  <c r="AB276" i="80" s="1"/>
  <c r="AB277" i="80" s="1"/>
  <c r="AB278" i="80" s="1"/>
  <c r="AB279" i="80" s="1"/>
  <c r="AB280" i="80" s="1"/>
  <c r="AB281" i="80" s="1"/>
  <c r="AB282" i="80" s="1"/>
  <c r="AB283" i="80" s="1"/>
  <c r="AB284" i="80" s="1"/>
  <c r="AB285" i="80" s="1"/>
  <c r="AB286" i="80" s="1"/>
  <c r="AB287" i="80" s="1"/>
  <c r="AB288" i="80" s="1"/>
  <c r="AB289" i="80" s="1"/>
  <c r="AB290" i="80" s="1"/>
  <c r="AB291" i="80" s="1"/>
  <c r="AB292" i="80" s="1"/>
  <c r="AB293" i="80" s="1"/>
  <c r="AB294" i="80" s="1"/>
  <c r="AB295" i="80" s="1"/>
  <c r="AB296" i="80" s="1"/>
  <c r="AB297" i="80" s="1"/>
  <c r="AB298" i="80" s="1"/>
  <c r="AB299" i="80" s="1"/>
  <c r="AB300" i="80" s="1"/>
  <c r="AB301" i="80" s="1"/>
  <c r="AB302" i="80" s="1"/>
  <c r="AB303" i="80" s="1"/>
  <c r="AB304" i="80" s="1"/>
  <c r="AB305" i="80" s="1"/>
  <c r="AB306" i="80" s="1"/>
  <c r="AB307" i="80" s="1"/>
  <c r="AB308" i="80" s="1"/>
  <c r="AB309" i="80" s="1"/>
  <c r="AB310" i="80" s="1"/>
  <c r="AB311" i="80" s="1"/>
  <c r="AB312" i="80" s="1"/>
  <c r="AB313" i="80" s="1"/>
  <c r="AB314" i="80" s="1"/>
  <c r="AB315" i="80" s="1"/>
  <c r="AB316" i="80" s="1"/>
  <c r="AB317" i="80" s="1"/>
  <c r="AB318" i="80" s="1"/>
  <c r="AB319" i="80" s="1"/>
  <c r="AB320" i="80" s="1"/>
  <c r="AB321" i="80" s="1"/>
  <c r="AB322" i="80" s="1"/>
  <c r="AB323" i="80" s="1"/>
  <c r="AB324" i="80" s="1"/>
  <c r="AB325" i="80" s="1"/>
  <c r="AB326" i="80" s="1"/>
  <c r="AB327" i="80" s="1"/>
  <c r="AB328" i="80" s="1"/>
  <c r="AB329" i="80" s="1"/>
  <c r="AB330" i="80" s="1"/>
  <c r="AB331" i="80" s="1"/>
  <c r="AB332" i="80" s="1"/>
  <c r="AB333" i="80" s="1"/>
  <c r="AB334" i="80" s="1"/>
  <c r="AB335" i="80" s="1"/>
  <c r="AB336" i="80" s="1"/>
  <c r="AB337" i="80" s="1"/>
  <c r="AB338" i="80" s="1"/>
  <c r="AB339" i="80" s="1"/>
  <c r="AB340" i="80" s="1"/>
  <c r="AB341" i="80" s="1"/>
  <c r="AB342" i="80" s="1"/>
  <c r="AB343" i="80" s="1"/>
  <c r="AB344" i="80" s="1"/>
  <c r="AB345" i="80" s="1"/>
  <c r="AB346" i="80" s="1"/>
  <c r="AB347" i="80" s="1"/>
  <c r="AB348" i="80" s="1"/>
  <c r="AB349" i="80" s="1"/>
  <c r="AB350" i="80" s="1"/>
  <c r="AB351" i="80" s="1"/>
  <c r="AB352" i="80" s="1"/>
  <c r="AB353" i="80" s="1"/>
  <c r="AB354" i="80" s="1"/>
  <c r="AB355" i="80" s="1"/>
  <c r="AB356" i="80" s="1"/>
  <c r="AB357" i="80" s="1"/>
  <c r="AB358" i="80" s="1"/>
  <c r="AB359" i="80" s="1"/>
  <c r="AB360" i="80" s="1"/>
  <c r="AB361" i="80" s="1"/>
  <c r="AB362" i="80" s="1"/>
  <c r="AB363" i="80" s="1"/>
  <c r="AB364" i="80" s="1"/>
  <c r="AB365" i="80" s="1"/>
  <c r="AB366" i="80" s="1"/>
  <c r="AB367" i="80" s="1"/>
  <c r="AB368" i="80" s="1"/>
  <c r="AB369" i="80" s="1"/>
  <c r="AB370" i="80" s="1"/>
  <c r="AB371" i="80" s="1"/>
  <c r="AB372" i="80" s="1"/>
  <c r="AB373" i="80" s="1"/>
  <c r="AB374" i="80" s="1"/>
  <c r="AB375" i="80" s="1"/>
  <c r="AB376" i="80" s="1"/>
  <c r="AB377" i="80" s="1"/>
  <c r="AB378" i="80" s="1"/>
  <c r="AB379" i="80" s="1"/>
  <c r="AB380" i="80" s="1"/>
  <c r="AB381" i="80" s="1"/>
  <c r="AB382" i="80" s="1"/>
  <c r="AB383" i="80" s="1"/>
  <c r="AB384" i="80" s="1"/>
  <c r="AB385" i="80" s="1"/>
  <c r="AB386" i="80" s="1"/>
  <c r="AB387" i="80" s="1"/>
  <c r="AB388" i="80" s="1"/>
  <c r="AB389" i="80" s="1"/>
  <c r="AB390" i="80" s="1"/>
  <c r="AB391" i="80" s="1"/>
  <c r="AB392" i="80" s="1"/>
  <c r="AB393" i="80" s="1"/>
  <c r="AB394" i="80" s="1"/>
  <c r="AB395" i="80" s="1"/>
  <c r="AB396" i="80" s="1"/>
  <c r="AB397" i="80" s="1"/>
  <c r="AB398" i="80" s="1"/>
  <c r="AB399" i="80" s="1"/>
  <c r="AB400" i="80" s="1"/>
  <c r="AB401" i="80" s="1"/>
  <c r="AB402" i="80" s="1"/>
  <c r="AB403" i="80" s="1"/>
  <c r="AB404" i="80" s="1"/>
  <c r="AB405" i="80" s="1"/>
  <c r="AB406" i="80" s="1"/>
  <c r="AB407" i="80" s="1"/>
  <c r="AB408" i="80" s="1"/>
  <c r="AB409" i="80" s="1"/>
  <c r="AB410" i="80" s="1"/>
  <c r="AB411" i="80" s="1"/>
  <c r="AB412" i="80" s="1"/>
  <c r="AB413" i="80" s="1"/>
  <c r="AB414" i="80" s="1"/>
  <c r="AB415" i="80" s="1"/>
  <c r="AB416" i="80" s="1"/>
  <c r="AB417" i="80" s="1"/>
  <c r="AB418" i="80" s="1"/>
  <c r="AB419" i="80" s="1"/>
  <c r="AB420" i="80" s="1"/>
  <c r="AB421" i="80" s="1"/>
  <c r="AB422" i="80" s="1"/>
  <c r="AB423" i="80" s="1"/>
  <c r="AB424" i="80" s="1"/>
  <c r="AB425" i="80" s="1"/>
  <c r="AB426" i="80" s="1"/>
  <c r="AB427" i="80" s="1"/>
  <c r="AB428" i="80" s="1"/>
  <c r="AB429" i="80" s="1"/>
  <c r="AB430" i="80" s="1"/>
  <c r="AB431" i="80" s="1"/>
  <c r="AB432" i="80" s="1"/>
  <c r="AB433" i="80" s="1"/>
  <c r="AB434" i="80" s="1"/>
  <c r="AB435" i="80" s="1"/>
  <c r="AB436" i="80" s="1"/>
  <c r="AB437" i="80" s="1"/>
  <c r="AB438" i="80" s="1"/>
  <c r="AB439" i="80" s="1"/>
  <c r="AB440" i="80" s="1"/>
  <c r="AB441" i="80" s="1"/>
  <c r="AB442" i="80" s="1"/>
  <c r="AB443" i="80" s="1"/>
  <c r="AB444" i="80" s="1"/>
  <c r="AB445" i="80" s="1"/>
  <c r="AB446" i="80" s="1"/>
  <c r="AB447" i="80" s="1"/>
  <c r="AB448" i="80" s="1"/>
  <c r="AB449" i="80" s="1"/>
  <c r="AB450" i="80" s="1"/>
  <c r="AB451" i="80" s="1"/>
  <c r="AB452" i="80" s="1"/>
  <c r="AB453" i="80" s="1"/>
  <c r="AB454" i="80" s="1"/>
  <c r="AB455" i="80" s="1"/>
  <c r="AB456" i="80" s="1"/>
  <c r="AB457" i="80" s="1"/>
  <c r="AB458" i="80" s="1"/>
  <c r="AB459" i="80" s="1"/>
  <c r="AB460" i="80" s="1"/>
  <c r="AB461" i="80" s="1"/>
  <c r="AB462" i="80" s="1"/>
  <c r="AB463" i="80" s="1"/>
  <c r="AB464" i="80" s="1"/>
  <c r="AB465" i="80" s="1"/>
  <c r="AB466" i="80" s="1"/>
  <c r="AB467" i="80" s="1"/>
  <c r="AB468" i="80" s="1"/>
  <c r="AB469" i="80" s="1"/>
  <c r="AB470" i="80" s="1"/>
  <c r="AB471" i="80" s="1"/>
  <c r="AB472" i="80" s="1"/>
  <c r="AB473" i="80" s="1"/>
  <c r="AB474" i="80" s="1"/>
  <c r="AB475" i="80" s="1"/>
  <c r="AB476" i="80" s="1"/>
  <c r="AB477" i="80" s="1"/>
  <c r="AB478" i="80" s="1"/>
  <c r="AB479" i="80" s="1"/>
  <c r="AB480" i="80" s="1"/>
  <c r="AB481" i="80" s="1"/>
  <c r="AB482" i="80" s="1"/>
  <c r="AB483" i="80" s="1"/>
  <c r="AB484" i="80" s="1"/>
  <c r="AB485" i="80" s="1"/>
  <c r="AB486" i="80" s="1"/>
  <c r="AB487" i="80" s="1"/>
  <c r="AB488" i="80" s="1"/>
  <c r="AB489" i="80" s="1"/>
  <c r="AB490" i="80" s="1"/>
  <c r="AB491" i="80" s="1"/>
  <c r="AB492" i="80" s="1"/>
  <c r="AB493" i="80" s="1"/>
  <c r="AB494" i="80" s="1"/>
  <c r="AB495" i="80" s="1"/>
  <c r="AB496" i="80" s="1"/>
  <c r="AB497" i="80" s="1"/>
  <c r="AB498" i="80" s="1"/>
  <c r="AB499" i="80" s="1"/>
  <c r="AB500" i="80" s="1"/>
  <c r="AB501" i="80" s="1"/>
  <c r="AB502" i="80" s="1"/>
  <c r="AB503" i="80" s="1"/>
  <c r="AB504" i="80" s="1"/>
  <c r="AB505" i="80" s="1"/>
  <c r="AB506" i="80" s="1"/>
  <c r="AB507" i="80" s="1"/>
  <c r="AB508" i="80" s="1"/>
  <c r="AB509" i="80" s="1"/>
  <c r="AB510" i="80" s="1"/>
  <c r="AB511" i="80" s="1"/>
  <c r="AB512" i="80" s="1"/>
  <c r="AB513" i="80" s="1"/>
  <c r="AB514" i="80" s="1"/>
  <c r="AB515" i="80" s="1"/>
  <c r="AB516" i="80" s="1"/>
  <c r="AB517" i="80" s="1"/>
  <c r="AB518" i="80" s="1"/>
  <c r="AB519" i="80" s="1"/>
  <c r="AB520" i="80" s="1"/>
  <c r="AB521" i="80" s="1"/>
  <c r="AB522" i="80" s="1"/>
  <c r="AB523" i="80" s="1"/>
  <c r="AB524" i="80" s="1"/>
  <c r="AB525" i="80" s="1"/>
  <c r="AB526" i="80" s="1"/>
  <c r="AB527" i="80" s="1"/>
  <c r="AB528" i="80" s="1"/>
  <c r="AB529" i="80" s="1"/>
  <c r="AB530" i="80" s="1"/>
  <c r="AB531" i="80" s="1"/>
  <c r="AB532" i="80" s="1"/>
  <c r="AB533" i="80" s="1"/>
  <c r="AB534" i="80" s="1"/>
  <c r="AB535" i="80" s="1"/>
  <c r="AB536" i="80" s="1"/>
  <c r="AB537" i="80" s="1"/>
  <c r="AB538" i="80" s="1"/>
  <c r="AB539" i="80" s="1"/>
  <c r="AB540" i="80" s="1"/>
  <c r="AB541" i="80" s="1"/>
  <c r="AB542" i="80" s="1"/>
  <c r="AB543" i="80" s="1"/>
  <c r="AB544" i="80" s="1"/>
  <c r="AB545" i="80" s="1"/>
  <c r="AB546" i="80" s="1"/>
  <c r="AB547" i="80" s="1"/>
  <c r="AB548" i="80" s="1"/>
  <c r="AB549" i="80" s="1"/>
  <c r="AB550" i="80" s="1"/>
  <c r="AB551" i="80" s="1"/>
  <c r="AB552" i="80" s="1"/>
  <c r="AB553" i="80" s="1"/>
  <c r="AB554" i="80" s="1"/>
  <c r="AB555" i="80" s="1"/>
  <c r="AB556" i="80" s="1"/>
  <c r="AB557" i="80" s="1"/>
  <c r="AB558" i="80" s="1"/>
  <c r="AB559" i="80" s="1"/>
  <c r="AB560" i="80" s="1"/>
  <c r="AB561" i="80" s="1"/>
  <c r="AB562" i="80" s="1"/>
  <c r="AB563" i="80" s="1"/>
  <c r="AB564" i="80" s="1"/>
  <c r="AB565" i="80" s="1"/>
  <c r="AB566" i="80" s="1"/>
  <c r="AB567" i="80" s="1"/>
  <c r="AB568" i="80" s="1"/>
  <c r="AB569" i="80" s="1"/>
  <c r="AB570" i="80" s="1"/>
  <c r="AB571" i="80" s="1"/>
  <c r="AB572" i="80" s="1"/>
  <c r="AB573" i="80" s="1"/>
  <c r="AB574" i="80" s="1"/>
  <c r="AB575" i="80" s="1"/>
  <c r="AB576" i="80" s="1"/>
  <c r="AB577" i="80" s="1"/>
  <c r="AB578" i="80" s="1"/>
  <c r="AB579" i="80" s="1"/>
  <c r="AB580" i="80" s="1"/>
  <c r="AB581" i="80" s="1"/>
  <c r="AB582" i="80" s="1"/>
  <c r="AB583" i="80" s="1"/>
  <c r="AB584" i="80" s="1"/>
  <c r="AB585" i="80" s="1"/>
  <c r="AB586" i="80" s="1"/>
  <c r="AB587" i="80" s="1"/>
  <c r="AB588" i="80" s="1"/>
  <c r="AB589" i="80" s="1"/>
  <c r="AB590" i="80" s="1"/>
  <c r="AB591" i="80" s="1"/>
  <c r="AB592" i="80" s="1"/>
  <c r="AB593" i="80" s="1"/>
  <c r="AB594" i="80" s="1"/>
  <c r="AB595" i="80" s="1"/>
  <c r="AB596" i="80" s="1"/>
  <c r="AB597" i="80" s="1"/>
  <c r="AB598" i="80" s="1"/>
  <c r="AB599" i="80" s="1"/>
  <c r="AB600" i="80" s="1"/>
  <c r="AB601" i="80" s="1"/>
  <c r="AB602" i="80" s="1"/>
  <c r="AB603" i="80" s="1"/>
  <c r="AB604" i="80" s="1"/>
  <c r="AB605" i="80" s="1"/>
  <c r="AB606" i="80" s="1"/>
  <c r="AB607" i="80" s="1"/>
  <c r="AB608" i="80" s="1"/>
  <c r="AB609" i="80" s="1"/>
  <c r="AB610" i="80" s="1"/>
  <c r="AB611" i="80" s="1"/>
  <c r="AB612" i="80" s="1"/>
  <c r="AB613" i="80" s="1"/>
  <c r="AB614" i="80" s="1"/>
  <c r="AB615" i="80" s="1"/>
  <c r="AB616" i="80" s="1"/>
  <c r="AB617" i="80" s="1"/>
  <c r="AB618" i="80" s="1"/>
  <c r="AB619" i="80" s="1"/>
  <c r="AB620" i="80" s="1"/>
  <c r="AB621" i="80" s="1"/>
  <c r="AB622" i="80" s="1"/>
  <c r="AB623" i="80" s="1"/>
  <c r="AB624" i="80" s="1"/>
  <c r="AB625" i="80" s="1"/>
  <c r="AB626" i="80" s="1"/>
  <c r="AB627" i="80" s="1"/>
  <c r="AB628" i="80" s="1"/>
  <c r="AB629" i="80" s="1"/>
  <c r="AB630" i="80" s="1"/>
  <c r="AB631" i="80" s="1"/>
  <c r="AB632" i="80" s="1"/>
  <c r="AB633" i="80" s="1"/>
  <c r="AB634" i="80" s="1"/>
  <c r="AB635" i="80" s="1"/>
  <c r="AB636" i="80" s="1"/>
  <c r="AB637" i="80" s="1"/>
  <c r="AB638" i="80" s="1"/>
  <c r="AB639" i="80" s="1"/>
  <c r="AB640" i="80" s="1"/>
  <c r="AB641" i="80" s="1"/>
  <c r="AB642" i="80" s="1"/>
  <c r="AB643" i="80" s="1"/>
  <c r="AB644" i="80" s="1"/>
  <c r="AB645" i="80" s="1"/>
  <c r="AB646" i="80" s="1"/>
  <c r="AB647" i="80" s="1"/>
  <c r="AB648" i="80" s="1"/>
  <c r="AB649" i="80" s="1"/>
  <c r="AB650" i="80" s="1"/>
  <c r="AB651" i="80" s="1"/>
  <c r="AB652" i="80" s="1"/>
  <c r="AB653" i="80" s="1"/>
  <c r="AB654" i="80" s="1"/>
  <c r="AB655" i="80" s="1"/>
  <c r="AB656" i="80" s="1"/>
  <c r="AB657" i="80" s="1"/>
  <c r="AB658" i="80" s="1"/>
  <c r="AB659" i="80" s="1"/>
  <c r="AB660" i="80" s="1"/>
  <c r="AB661" i="80" s="1"/>
  <c r="AB662" i="80" s="1"/>
  <c r="AB663" i="80" s="1"/>
  <c r="AB664" i="80" s="1"/>
  <c r="AB665" i="80" s="1"/>
  <c r="AB666" i="80" s="1"/>
  <c r="AB667" i="80" s="1"/>
  <c r="AB668" i="80" s="1"/>
  <c r="AB669" i="80" s="1"/>
  <c r="AB670" i="80" s="1"/>
  <c r="AB671" i="80" s="1"/>
  <c r="AB672" i="80" s="1"/>
  <c r="AB673" i="80" s="1"/>
  <c r="AB674" i="80" s="1"/>
  <c r="AB675" i="80" s="1"/>
  <c r="AB676" i="80" s="1"/>
  <c r="AB677" i="80" s="1"/>
  <c r="AB678" i="80" s="1"/>
  <c r="AB679" i="80" s="1"/>
  <c r="AB680" i="80" s="1"/>
  <c r="U85" i="80"/>
  <c r="Z167" i="80" l="1"/>
  <c r="Z175" i="80"/>
  <c r="Z183" i="80"/>
  <c r="Z191" i="80"/>
  <c r="Z199" i="80"/>
  <c r="Z207" i="80"/>
  <c r="Z215" i="80"/>
  <c r="Z223" i="80"/>
  <c r="Z231" i="80"/>
  <c r="Z239" i="80"/>
  <c r="Z247" i="80"/>
  <c r="Z255" i="80"/>
  <c r="Z263" i="80"/>
  <c r="Z271" i="80"/>
  <c r="Z279" i="80"/>
  <c r="Z287" i="80"/>
  <c r="Z295" i="80"/>
  <c r="Z303" i="80"/>
  <c r="Z311" i="80"/>
  <c r="Z319" i="80"/>
  <c r="Z327" i="80"/>
  <c r="Z335" i="80"/>
  <c r="Z343" i="80"/>
  <c r="Z351" i="80"/>
  <c r="Z359" i="80"/>
  <c r="Z367" i="80"/>
  <c r="Z375" i="80"/>
  <c r="Z383" i="80"/>
  <c r="Z391" i="80"/>
  <c r="Z399" i="80"/>
  <c r="Z407" i="80"/>
  <c r="Z415" i="80"/>
  <c r="Z423" i="80"/>
  <c r="Z431" i="80"/>
  <c r="Z439" i="80"/>
  <c r="Z447" i="80"/>
  <c r="Z455" i="80"/>
  <c r="Z463" i="80"/>
  <c r="Z471" i="80"/>
  <c r="Z479" i="80"/>
  <c r="Z487" i="80"/>
  <c r="Z495" i="80"/>
  <c r="Z503" i="80"/>
  <c r="Z511" i="80"/>
  <c r="Z519" i="80"/>
  <c r="Z527" i="80"/>
  <c r="Z535" i="80"/>
  <c r="Z543" i="80"/>
  <c r="Z551" i="80"/>
  <c r="Z559" i="80"/>
  <c r="Z567" i="80"/>
  <c r="Z575" i="80"/>
  <c r="Z583" i="80"/>
  <c r="Z591" i="80"/>
  <c r="Z599" i="80"/>
  <c r="Z607" i="80"/>
  <c r="Z615" i="80"/>
  <c r="Z623" i="80"/>
  <c r="Z631" i="80"/>
  <c r="Z639" i="80"/>
  <c r="Z647" i="80"/>
  <c r="Z655" i="80"/>
  <c r="Z663" i="80"/>
  <c r="Z671" i="80"/>
  <c r="Z679" i="80"/>
  <c r="Z513" i="80"/>
  <c r="Z593" i="80"/>
  <c r="Z633" i="80"/>
  <c r="Z594" i="80"/>
  <c r="Z634" i="80"/>
  <c r="Z168" i="80"/>
  <c r="Z176" i="80"/>
  <c r="Z184" i="80"/>
  <c r="Z192" i="80"/>
  <c r="Z200" i="80"/>
  <c r="Z208" i="80"/>
  <c r="Z216" i="80"/>
  <c r="Z224" i="80"/>
  <c r="Z232" i="80"/>
  <c r="Z240" i="80"/>
  <c r="Z248" i="80"/>
  <c r="Z256" i="80"/>
  <c r="Z264" i="80"/>
  <c r="Z272" i="80"/>
  <c r="Z280" i="80"/>
  <c r="Z288" i="80"/>
  <c r="Z296" i="80"/>
  <c r="Z304" i="80"/>
  <c r="Z312" i="80"/>
  <c r="Z320" i="80"/>
  <c r="Z328" i="80"/>
  <c r="Z336" i="80"/>
  <c r="Z344" i="80"/>
  <c r="Z352" i="80"/>
  <c r="Z360" i="80"/>
  <c r="Z368" i="80"/>
  <c r="Z376" i="80"/>
  <c r="Z384" i="80"/>
  <c r="Z392" i="80"/>
  <c r="Z400" i="80"/>
  <c r="Z408" i="80"/>
  <c r="Z416" i="80"/>
  <c r="Z424" i="80"/>
  <c r="Z432" i="80"/>
  <c r="Z440" i="80"/>
  <c r="Z448" i="80"/>
  <c r="Z456" i="80"/>
  <c r="Z464" i="80"/>
  <c r="Z472" i="80"/>
  <c r="Z480" i="80"/>
  <c r="Z488" i="80"/>
  <c r="Z496" i="80"/>
  <c r="Z504" i="80"/>
  <c r="Z512" i="80"/>
  <c r="Z520" i="80"/>
  <c r="Z528" i="80"/>
  <c r="Z536" i="80"/>
  <c r="Z544" i="80"/>
  <c r="Z552" i="80"/>
  <c r="Z560" i="80"/>
  <c r="Z568" i="80"/>
  <c r="Z576" i="80"/>
  <c r="Z584" i="80"/>
  <c r="Z592" i="80"/>
  <c r="Z600" i="80"/>
  <c r="Z608" i="80"/>
  <c r="Z616" i="80"/>
  <c r="Z624" i="80"/>
  <c r="Z632" i="80"/>
  <c r="Z640" i="80"/>
  <c r="Z648" i="80"/>
  <c r="Z656" i="80"/>
  <c r="Z664" i="80"/>
  <c r="Z672" i="80"/>
  <c r="Z680" i="80"/>
  <c r="Z497" i="80"/>
  <c r="Z601" i="80"/>
  <c r="Z673" i="80"/>
  <c r="Z618" i="80"/>
  <c r="Z642" i="80"/>
  <c r="Z169" i="80"/>
  <c r="Z177" i="80"/>
  <c r="Z185" i="80"/>
  <c r="Z193" i="80"/>
  <c r="Z201" i="80"/>
  <c r="Z209" i="80"/>
  <c r="Z217" i="80"/>
  <c r="Z225" i="80"/>
  <c r="Z233" i="80"/>
  <c r="Z241" i="80"/>
  <c r="Z249" i="80"/>
  <c r="Z257" i="80"/>
  <c r="Z265" i="80"/>
  <c r="Z273" i="80"/>
  <c r="Z281" i="80"/>
  <c r="Z289" i="80"/>
  <c r="Z297" i="80"/>
  <c r="Z305" i="80"/>
  <c r="Z313" i="80"/>
  <c r="Z321" i="80"/>
  <c r="Z329" i="80"/>
  <c r="Z337" i="80"/>
  <c r="Z345" i="80"/>
  <c r="Z353" i="80"/>
  <c r="Z361" i="80"/>
  <c r="Z369" i="80"/>
  <c r="Z377" i="80"/>
  <c r="Z385" i="80"/>
  <c r="Z393" i="80"/>
  <c r="Z401" i="80"/>
  <c r="Z409" i="80"/>
  <c r="Z417" i="80"/>
  <c r="Z425" i="80"/>
  <c r="Z433" i="80"/>
  <c r="Z441" i="80"/>
  <c r="Z449" i="80"/>
  <c r="Z457" i="80"/>
  <c r="Z465" i="80"/>
  <c r="Z473" i="80"/>
  <c r="Z481" i="80"/>
  <c r="Z489" i="80"/>
  <c r="Z537" i="80"/>
  <c r="Z577" i="80"/>
  <c r="Z170" i="80"/>
  <c r="Z178" i="80"/>
  <c r="Z186" i="80"/>
  <c r="Z194" i="80"/>
  <c r="Z202" i="80"/>
  <c r="Z210" i="80"/>
  <c r="Z218" i="80"/>
  <c r="Z226" i="80"/>
  <c r="Z234" i="80"/>
  <c r="Z242" i="80"/>
  <c r="Z250" i="80"/>
  <c r="Z258" i="80"/>
  <c r="Z266" i="80"/>
  <c r="Z274" i="80"/>
  <c r="Z282" i="80"/>
  <c r="Z290" i="80"/>
  <c r="Z298" i="80"/>
  <c r="Z306" i="80"/>
  <c r="Z314" i="80"/>
  <c r="Z322" i="80"/>
  <c r="Z330" i="80"/>
  <c r="Z338" i="80"/>
  <c r="Z346" i="80"/>
  <c r="Z354" i="80"/>
  <c r="Z362" i="80"/>
  <c r="Z370" i="80"/>
  <c r="Z378" i="80"/>
  <c r="Z386" i="80"/>
  <c r="Z394" i="80"/>
  <c r="Z402" i="80"/>
  <c r="Z410" i="80"/>
  <c r="Z418" i="80"/>
  <c r="Z426" i="80"/>
  <c r="Z434" i="80"/>
  <c r="Z442" i="80"/>
  <c r="Z450" i="80"/>
  <c r="Z458" i="80"/>
  <c r="Z466" i="80"/>
  <c r="Z474" i="80"/>
  <c r="Z482" i="80"/>
  <c r="Z490" i="80"/>
  <c r="Z498" i="80"/>
  <c r="Z506" i="80"/>
  <c r="Z514" i="80"/>
  <c r="Z522" i="80"/>
  <c r="Z530" i="80"/>
  <c r="Z538" i="80"/>
  <c r="Z546" i="80"/>
  <c r="Z554" i="80"/>
  <c r="Z562" i="80"/>
  <c r="Z570" i="80"/>
  <c r="Z626" i="80"/>
  <c r="Z171" i="80"/>
  <c r="Z179" i="80"/>
  <c r="Z187" i="80"/>
  <c r="Z195" i="80"/>
  <c r="Z203" i="80"/>
  <c r="Z211" i="80"/>
  <c r="Z219" i="80"/>
  <c r="Z227" i="80"/>
  <c r="Z235" i="80"/>
  <c r="Z243" i="80"/>
  <c r="Z251" i="80"/>
  <c r="Z259" i="80"/>
  <c r="Z267" i="80"/>
  <c r="Z275" i="80"/>
  <c r="Z283" i="80"/>
  <c r="Z291" i="80"/>
  <c r="Z299" i="80"/>
  <c r="Z307" i="80"/>
  <c r="Z315" i="80"/>
  <c r="Z323" i="80"/>
  <c r="Z331" i="80"/>
  <c r="Z339" i="80"/>
  <c r="Z347" i="80"/>
  <c r="Z355" i="80"/>
  <c r="Z363" i="80"/>
  <c r="Z371" i="80"/>
  <c r="Z379" i="80"/>
  <c r="Z387" i="80"/>
  <c r="Z395" i="80"/>
  <c r="Z403" i="80"/>
  <c r="Z411" i="80"/>
  <c r="Z419" i="80"/>
  <c r="Z427" i="80"/>
  <c r="Z435" i="80"/>
  <c r="Z443" i="80"/>
  <c r="Z451" i="80"/>
  <c r="Z459" i="80"/>
  <c r="Z467" i="80"/>
  <c r="Z475" i="80"/>
  <c r="Z483" i="80"/>
  <c r="Z491" i="80"/>
  <c r="Z499" i="80"/>
  <c r="Z507" i="80"/>
  <c r="Z515" i="80"/>
  <c r="Z523" i="80"/>
  <c r="Z531" i="80"/>
  <c r="Z539" i="80"/>
  <c r="Z547" i="80"/>
  <c r="Z555" i="80"/>
  <c r="Z563" i="80"/>
  <c r="Z571" i="80"/>
  <c r="Z579" i="80"/>
  <c r="Z587" i="80"/>
  <c r="Z595" i="80"/>
  <c r="Z603" i="80"/>
  <c r="Z611" i="80"/>
  <c r="Z619" i="80"/>
  <c r="Z627" i="80"/>
  <c r="Z635" i="80"/>
  <c r="Z643" i="80"/>
  <c r="Z651" i="80"/>
  <c r="Z659" i="80"/>
  <c r="Z667" i="80"/>
  <c r="Z675" i="80"/>
  <c r="Z545" i="80"/>
  <c r="Z569" i="80"/>
  <c r="Z625" i="80"/>
  <c r="Z657" i="80"/>
  <c r="Z578" i="80"/>
  <c r="Z650" i="80"/>
  <c r="Z172" i="80"/>
  <c r="Z180" i="80"/>
  <c r="Z188" i="80"/>
  <c r="Z196" i="80"/>
  <c r="Z204" i="80"/>
  <c r="Z212" i="80"/>
  <c r="Z220" i="80"/>
  <c r="Z228" i="80"/>
  <c r="Z236" i="80"/>
  <c r="Z244" i="80"/>
  <c r="Z252" i="80"/>
  <c r="Z260" i="80"/>
  <c r="Z268" i="80"/>
  <c r="Z276" i="80"/>
  <c r="Z284" i="80"/>
  <c r="Z292" i="80"/>
  <c r="Z300" i="80"/>
  <c r="Z308" i="80"/>
  <c r="Z316" i="80"/>
  <c r="Z324" i="80"/>
  <c r="Z332" i="80"/>
  <c r="Z340" i="80"/>
  <c r="Z348" i="80"/>
  <c r="Z356" i="80"/>
  <c r="Z364" i="80"/>
  <c r="Z372" i="80"/>
  <c r="Z380" i="80"/>
  <c r="Z388" i="80"/>
  <c r="Z396" i="80"/>
  <c r="Z404" i="80"/>
  <c r="Z412" i="80"/>
  <c r="Z420" i="80"/>
  <c r="Z428" i="80"/>
  <c r="Z436" i="80"/>
  <c r="Z444" i="80"/>
  <c r="Z452" i="80"/>
  <c r="Z460" i="80"/>
  <c r="Z468" i="80"/>
  <c r="Z476" i="80"/>
  <c r="Z484" i="80"/>
  <c r="Z492" i="80"/>
  <c r="Z500" i="80"/>
  <c r="Z508" i="80"/>
  <c r="Z516" i="80"/>
  <c r="Z524" i="80"/>
  <c r="Z532" i="80"/>
  <c r="Z540" i="80"/>
  <c r="Z548" i="80"/>
  <c r="Z556" i="80"/>
  <c r="Z564" i="80"/>
  <c r="Z572" i="80"/>
  <c r="Z580" i="80"/>
  <c r="Z588" i="80"/>
  <c r="Z596" i="80"/>
  <c r="Z604" i="80"/>
  <c r="Z612" i="80"/>
  <c r="Z620" i="80"/>
  <c r="Z628" i="80"/>
  <c r="Z636" i="80"/>
  <c r="Z644" i="80"/>
  <c r="Z652" i="80"/>
  <c r="Z660" i="80"/>
  <c r="Z668" i="80"/>
  <c r="Z676" i="80"/>
  <c r="Z529" i="80"/>
  <c r="Z561" i="80"/>
  <c r="Z617" i="80"/>
  <c r="Z649" i="80"/>
  <c r="Z602" i="80"/>
  <c r="Z658" i="80"/>
  <c r="Z173" i="80"/>
  <c r="Z181" i="80"/>
  <c r="Z189" i="80"/>
  <c r="Z197" i="80"/>
  <c r="Z205" i="80"/>
  <c r="Z213" i="80"/>
  <c r="Z221" i="80"/>
  <c r="Z229" i="80"/>
  <c r="Z237" i="80"/>
  <c r="Z245" i="80"/>
  <c r="Z253" i="80"/>
  <c r="Z261" i="80"/>
  <c r="Z269" i="80"/>
  <c r="Z277" i="80"/>
  <c r="Z285" i="80"/>
  <c r="Z293" i="80"/>
  <c r="Z301" i="80"/>
  <c r="Z309" i="80"/>
  <c r="Z317" i="80"/>
  <c r="Z325" i="80"/>
  <c r="Z333" i="80"/>
  <c r="Z341" i="80"/>
  <c r="Z349" i="80"/>
  <c r="Z357" i="80"/>
  <c r="Z365" i="80"/>
  <c r="Z373" i="80"/>
  <c r="Z381" i="80"/>
  <c r="Z389" i="80"/>
  <c r="Z397" i="80"/>
  <c r="Z405" i="80"/>
  <c r="Z413" i="80"/>
  <c r="Z421" i="80"/>
  <c r="Z429" i="80"/>
  <c r="Z437" i="80"/>
  <c r="Z445" i="80"/>
  <c r="Z453" i="80"/>
  <c r="Z461" i="80"/>
  <c r="Z469" i="80"/>
  <c r="Z477" i="80"/>
  <c r="Z485" i="80"/>
  <c r="Z493" i="80"/>
  <c r="Z501" i="80"/>
  <c r="Z509" i="80"/>
  <c r="Z517" i="80"/>
  <c r="Z525" i="80"/>
  <c r="Z533" i="80"/>
  <c r="Z541" i="80"/>
  <c r="Z549" i="80"/>
  <c r="Z557" i="80"/>
  <c r="Z565" i="80"/>
  <c r="Z573" i="80"/>
  <c r="Z581" i="80"/>
  <c r="Z589" i="80"/>
  <c r="Z597" i="80"/>
  <c r="Z605" i="80"/>
  <c r="Z613" i="80"/>
  <c r="Z621" i="80"/>
  <c r="Z629" i="80"/>
  <c r="Z637" i="80"/>
  <c r="Z645" i="80"/>
  <c r="Z653" i="80"/>
  <c r="Z661" i="80"/>
  <c r="Z669" i="80"/>
  <c r="Z677" i="80"/>
  <c r="Z521" i="80"/>
  <c r="Z553" i="80"/>
  <c r="Z609" i="80"/>
  <c r="Z665" i="80"/>
  <c r="Z610" i="80"/>
  <c r="Z666" i="80"/>
  <c r="Z174" i="80"/>
  <c r="Z182" i="80"/>
  <c r="Z190" i="80"/>
  <c r="Z198" i="80"/>
  <c r="Z206" i="80"/>
  <c r="Z214" i="80"/>
  <c r="Z222" i="80"/>
  <c r="Z230" i="80"/>
  <c r="Z238" i="80"/>
  <c r="Z246" i="80"/>
  <c r="Z254" i="80"/>
  <c r="Z262" i="80"/>
  <c r="Z270" i="80"/>
  <c r="Z278" i="80"/>
  <c r="Z286" i="80"/>
  <c r="Z294" i="80"/>
  <c r="Z302" i="80"/>
  <c r="Z310" i="80"/>
  <c r="Z318" i="80"/>
  <c r="Z326" i="80"/>
  <c r="Z334" i="80"/>
  <c r="Z342" i="80"/>
  <c r="Z350" i="80"/>
  <c r="Z358" i="80"/>
  <c r="Z366" i="80"/>
  <c r="Z374" i="80"/>
  <c r="Z382" i="80"/>
  <c r="Z390" i="80"/>
  <c r="Z398" i="80"/>
  <c r="Z406" i="80"/>
  <c r="Z414" i="80"/>
  <c r="Z422" i="80"/>
  <c r="Z430" i="80"/>
  <c r="Z438" i="80"/>
  <c r="Z446" i="80"/>
  <c r="Z454" i="80"/>
  <c r="Z462" i="80"/>
  <c r="Z470" i="80"/>
  <c r="Z478" i="80"/>
  <c r="Z486" i="80"/>
  <c r="Z494" i="80"/>
  <c r="Z502" i="80"/>
  <c r="Z510" i="80"/>
  <c r="Z518" i="80"/>
  <c r="Z526" i="80"/>
  <c r="Z534" i="80"/>
  <c r="Z542" i="80"/>
  <c r="Z550" i="80"/>
  <c r="Z558" i="80"/>
  <c r="Z566" i="80"/>
  <c r="Z574" i="80"/>
  <c r="Z582" i="80"/>
  <c r="Z590" i="80"/>
  <c r="Z598" i="80"/>
  <c r="Z606" i="80"/>
  <c r="Z614" i="80"/>
  <c r="Z622" i="80"/>
  <c r="Z630" i="80"/>
  <c r="Z638" i="80"/>
  <c r="Z646" i="80"/>
  <c r="Z654" i="80"/>
  <c r="Z662" i="80"/>
  <c r="Z670" i="80"/>
  <c r="Z678" i="80"/>
  <c r="Z505" i="80"/>
  <c r="Z585" i="80"/>
  <c r="Z641" i="80"/>
  <c r="Z586" i="80"/>
  <c r="Z674" i="80"/>
  <c r="Z86" i="80"/>
  <c r="Z94" i="80"/>
  <c r="Z102" i="80"/>
  <c r="Z110" i="80"/>
  <c r="Z118" i="80"/>
  <c r="Z126" i="80"/>
  <c r="Z134" i="80"/>
  <c r="Z142" i="80"/>
  <c r="Z150" i="80"/>
  <c r="Z158" i="80"/>
  <c r="Z166" i="80"/>
  <c r="Z87" i="80"/>
  <c r="Z95" i="80"/>
  <c r="Z103" i="80"/>
  <c r="Z111" i="80"/>
  <c r="Z119" i="80"/>
  <c r="Z127" i="80"/>
  <c r="Z135" i="80"/>
  <c r="Z143" i="80"/>
  <c r="Z151" i="80"/>
  <c r="Z159" i="80"/>
  <c r="Z88" i="80"/>
  <c r="Z96" i="80"/>
  <c r="Z104" i="80"/>
  <c r="Z112" i="80"/>
  <c r="Z120" i="80"/>
  <c r="Z128" i="80"/>
  <c r="Z136" i="80"/>
  <c r="Z144" i="80"/>
  <c r="Z152" i="80"/>
  <c r="Z160" i="80"/>
  <c r="Z89" i="80"/>
  <c r="Z97" i="80"/>
  <c r="Z105" i="80"/>
  <c r="Z113" i="80"/>
  <c r="Z121" i="80"/>
  <c r="Z129" i="80"/>
  <c r="Z137" i="80"/>
  <c r="Z145" i="80"/>
  <c r="Z153" i="80"/>
  <c r="Z161" i="80"/>
  <c r="Z90" i="80"/>
  <c r="Z98" i="80"/>
  <c r="Z106" i="80"/>
  <c r="Z114" i="80"/>
  <c r="Z122" i="80"/>
  <c r="Z130" i="80"/>
  <c r="Z138" i="80"/>
  <c r="Z146" i="80"/>
  <c r="Z154" i="80"/>
  <c r="Z162" i="80"/>
  <c r="Z91" i="80"/>
  <c r="Z99" i="80"/>
  <c r="Z107" i="80"/>
  <c r="Z115" i="80"/>
  <c r="Z123" i="80"/>
  <c r="Z131" i="80"/>
  <c r="Z139" i="80"/>
  <c r="Z147" i="80"/>
  <c r="Z155" i="80"/>
  <c r="Z163" i="80"/>
  <c r="Z92" i="80"/>
  <c r="Z100" i="80"/>
  <c r="Z108" i="80"/>
  <c r="Z116" i="80"/>
  <c r="Z124" i="80"/>
  <c r="Z132" i="80"/>
  <c r="Z140" i="80"/>
  <c r="Z148" i="80"/>
  <c r="Z156" i="80"/>
  <c r="Z164" i="80"/>
  <c r="Z85" i="80"/>
  <c r="Z93" i="80"/>
  <c r="Z101" i="80"/>
  <c r="Z109" i="80"/>
  <c r="Z117" i="80"/>
  <c r="Z125" i="80"/>
  <c r="Z133" i="80"/>
  <c r="Z141" i="80"/>
  <c r="Z149" i="80"/>
  <c r="Z157" i="80"/>
  <c r="Z165" i="80"/>
  <c r="S85" i="80"/>
  <c r="AA85" i="80"/>
  <c r="AA93" i="80"/>
  <c r="AA86" i="80"/>
  <c r="AA94" i="80"/>
  <c r="AA87" i="80"/>
  <c r="BM87" i="80" s="1"/>
  <c r="AA95" i="80"/>
  <c r="AA97" i="80"/>
  <c r="AA88" i="80"/>
  <c r="AA96" i="80"/>
  <c r="AA89" i="80"/>
  <c r="AA90" i="80"/>
  <c r="AA98" i="80"/>
  <c r="AA92" i="80"/>
  <c r="AA91" i="80"/>
  <c r="AA99" i="80"/>
  <c r="T85" i="80" l="1"/>
  <c r="Y85" i="80"/>
  <c r="BM88" i="80"/>
  <c r="AC85" i="80"/>
  <c r="BX85" i="80" l="1"/>
  <c r="BM89" i="80"/>
  <c r="BM90" i="80" l="1"/>
  <c r="BM91" i="80" l="1"/>
  <c r="BM92" i="80" l="1"/>
  <c r="BM93" i="80" l="1"/>
  <c r="BM94" i="80" l="1"/>
  <c r="BM95" i="80" l="1"/>
  <c r="BM96" i="80" l="1"/>
  <c r="BM97" i="80" l="1"/>
  <c r="BM98" i="80" l="1"/>
  <c r="BM99" i="80" l="1"/>
  <c r="J86" i="80" l="1"/>
  <c r="BM86" i="80"/>
  <c r="AP85" i="80"/>
  <c r="AQ85" i="80" s="1"/>
  <c r="AD85" i="80"/>
  <c r="AF85" i="80" s="1"/>
  <c r="BV86" i="80" l="1"/>
  <c r="J87" i="80"/>
  <c r="R85" i="80"/>
  <c r="AS85" i="80"/>
  <c r="AR85" i="80"/>
  <c r="AH85" i="80"/>
  <c r="AI85" i="80" s="1"/>
  <c r="AJ85" i="80" s="1"/>
  <c r="AG85" i="80"/>
  <c r="AE85" i="80"/>
  <c r="BE85" i="80"/>
  <c r="AO85" i="80"/>
  <c r="F51" i="69"/>
  <c r="J88" i="80" l="1"/>
  <c r="AT85" i="80"/>
  <c r="AX85" i="80"/>
  <c r="AK85" i="80"/>
  <c r="AL85" i="80" s="1"/>
  <c r="BW86" i="80" s="1"/>
  <c r="BD85" i="80"/>
  <c r="F21" i="69"/>
  <c r="C48" i="69"/>
  <c r="C24" i="79"/>
  <c r="C24" i="76"/>
  <c r="C24" i="78"/>
  <c r="C24" i="77"/>
  <c r="J89" i="80" l="1"/>
  <c r="AM85" i="80"/>
  <c r="AV85" i="80" s="1"/>
  <c r="C32" i="69"/>
  <c r="F18" i="69"/>
  <c r="AW85" i="80"/>
  <c r="J90" i="80" l="1"/>
  <c r="AY85" i="80"/>
  <c r="BA85" i="80" s="1"/>
  <c r="K10" i="32"/>
  <c r="J91" i="80" l="1"/>
  <c r="AZ85" i="80"/>
  <c r="BB85" i="80"/>
  <c r="B6" i="74"/>
  <c r="B7" i="74" s="1"/>
  <c r="B8" i="74" s="1"/>
  <c r="B9" i="74" s="1"/>
  <c r="B10" i="74" s="1"/>
  <c r="B11" i="74" s="1"/>
  <c r="B12" i="74" s="1"/>
  <c r="B13" i="74" s="1"/>
  <c r="B14" i="74" s="1"/>
  <c r="B15" i="74" s="1"/>
  <c r="B16" i="74" s="1"/>
  <c r="B17" i="74" s="1"/>
  <c r="B18" i="74" s="1"/>
  <c r="B20" i="74" s="1"/>
  <c r="B22" i="74" s="1"/>
  <c r="B23" i="74" s="1"/>
  <c r="B24" i="74" s="1"/>
  <c r="B25" i="74" s="1"/>
  <c r="B26" i="74" s="1"/>
  <c r="B27" i="74" s="1"/>
  <c r="B28" i="74" s="1"/>
  <c r="E69" i="75"/>
  <c r="D69" i="75"/>
  <c r="E68" i="75"/>
  <c r="D68" i="75"/>
  <c r="E67" i="75"/>
  <c r="D67" i="75"/>
  <c r="E66" i="75"/>
  <c r="D66" i="75"/>
  <c r="E65" i="75"/>
  <c r="D65" i="75"/>
  <c r="E64" i="75"/>
  <c r="D64" i="75"/>
  <c r="E63" i="75"/>
  <c r="D63" i="75"/>
  <c r="E62" i="75"/>
  <c r="D62" i="75"/>
  <c r="E61" i="75"/>
  <c r="D61" i="75"/>
  <c r="E60" i="75"/>
  <c r="D60" i="75"/>
  <c r="E59" i="75"/>
  <c r="D59" i="75"/>
  <c r="E58" i="75"/>
  <c r="D58" i="75"/>
  <c r="E57" i="75"/>
  <c r="D57" i="75"/>
  <c r="E56" i="75"/>
  <c r="D56" i="75"/>
  <c r="E55" i="75"/>
  <c r="D55" i="75"/>
  <c r="E54" i="75"/>
  <c r="D54" i="75"/>
  <c r="E53" i="75"/>
  <c r="D53" i="75"/>
  <c r="E52" i="75"/>
  <c r="D52" i="75"/>
  <c r="E51" i="75"/>
  <c r="D51" i="75"/>
  <c r="E50" i="75"/>
  <c r="D50" i="75"/>
  <c r="E49" i="75"/>
  <c r="D49" i="75"/>
  <c r="E48" i="75"/>
  <c r="D48" i="75"/>
  <c r="E47" i="75"/>
  <c r="D47" i="75"/>
  <c r="E46" i="75"/>
  <c r="D46" i="75"/>
  <c r="E45" i="75"/>
  <c r="D45" i="75"/>
  <c r="E44" i="75"/>
  <c r="D44" i="75"/>
  <c r="E43" i="75"/>
  <c r="D43" i="75"/>
  <c r="E42" i="75"/>
  <c r="D42" i="75"/>
  <c r="E41" i="75"/>
  <c r="D41" i="75"/>
  <c r="E40" i="75"/>
  <c r="D40" i="75"/>
  <c r="E39" i="75"/>
  <c r="D39" i="75"/>
  <c r="E38" i="75"/>
  <c r="D38" i="75"/>
  <c r="E37" i="75"/>
  <c r="D37" i="75"/>
  <c r="E36" i="75"/>
  <c r="D36" i="75"/>
  <c r="E35" i="75"/>
  <c r="D35" i="75"/>
  <c r="E34" i="75"/>
  <c r="D34" i="75"/>
  <c r="E33" i="75"/>
  <c r="D33" i="75"/>
  <c r="E32" i="75"/>
  <c r="D32" i="75"/>
  <c r="E31" i="75"/>
  <c r="D31" i="75"/>
  <c r="E30" i="75"/>
  <c r="D30" i="75"/>
  <c r="E29" i="75"/>
  <c r="D29" i="75"/>
  <c r="E28" i="75"/>
  <c r="D28" i="75"/>
  <c r="E27" i="75"/>
  <c r="D27" i="75"/>
  <c r="E26" i="75"/>
  <c r="D26" i="75"/>
  <c r="E25" i="75"/>
  <c r="D25" i="75"/>
  <c r="E24" i="75"/>
  <c r="D24" i="75"/>
  <c r="E23" i="75"/>
  <c r="D23" i="75"/>
  <c r="E22" i="75"/>
  <c r="D22" i="75"/>
  <c r="E21" i="75"/>
  <c r="D21" i="75"/>
  <c r="E20" i="75"/>
  <c r="D20" i="75"/>
  <c r="E19" i="75"/>
  <c r="D19" i="75"/>
  <c r="E18" i="75"/>
  <c r="D18" i="75"/>
  <c r="E17" i="75"/>
  <c r="D17" i="75"/>
  <c r="E16" i="75"/>
  <c r="D16" i="75"/>
  <c r="E15" i="75"/>
  <c r="D15" i="75"/>
  <c r="E14" i="75"/>
  <c r="D14" i="75"/>
  <c r="E13" i="75"/>
  <c r="D13" i="75"/>
  <c r="E12" i="75"/>
  <c r="D12" i="75"/>
  <c r="E11" i="75"/>
  <c r="D11" i="75"/>
  <c r="E10" i="75"/>
  <c r="D10" i="75"/>
  <c r="E9" i="75"/>
  <c r="D9" i="75"/>
  <c r="E8" i="75"/>
  <c r="D8" i="75"/>
  <c r="E7" i="75"/>
  <c r="D7" i="75"/>
  <c r="E6" i="75"/>
  <c r="D6" i="75"/>
  <c r="E5" i="75"/>
  <c r="D5" i="75"/>
  <c r="BF85" i="80"/>
  <c r="J92" i="80" l="1"/>
  <c r="BG85" i="80"/>
  <c r="BH85" i="80" s="1"/>
  <c r="C22" i="69"/>
  <c r="C23" i="69" s="1"/>
  <c r="F15" i="69"/>
  <c r="F16" i="69"/>
  <c r="F17" i="69"/>
  <c r="F19" i="69"/>
  <c r="F22" i="69"/>
  <c r="F23" i="69"/>
  <c r="F24" i="69"/>
  <c r="F25" i="69"/>
  <c r="F26" i="69"/>
  <c r="F27" i="69"/>
  <c r="F28" i="69"/>
  <c r="F29" i="69"/>
  <c r="F30" i="69"/>
  <c r="F31" i="69"/>
  <c r="F32" i="69"/>
  <c r="F33" i="69"/>
  <c r="F34" i="69"/>
  <c r="F35" i="69"/>
  <c r="F36" i="69"/>
  <c r="F37" i="69"/>
  <c r="F38" i="69"/>
  <c r="F39" i="69"/>
  <c r="F40" i="69"/>
  <c r="F41" i="69"/>
  <c r="F42" i="69"/>
  <c r="F43" i="69"/>
  <c r="F44" i="69"/>
  <c r="F45" i="69"/>
  <c r="F46" i="69"/>
  <c r="F47" i="69"/>
  <c r="F48" i="69"/>
  <c r="F49" i="69"/>
  <c r="F50" i="69"/>
  <c r="F52" i="69"/>
  <c r="F53" i="69"/>
  <c r="F54" i="69"/>
  <c r="F55" i="69"/>
  <c r="F56" i="69"/>
  <c r="F57" i="69"/>
  <c r="F58" i="69"/>
  <c r="F59" i="69"/>
  <c r="F60" i="69"/>
  <c r="F61" i="69"/>
  <c r="F62" i="69"/>
  <c r="F14" i="69"/>
  <c r="BI85" i="80" l="1"/>
  <c r="BJ85" i="80" s="1"/>
  <c r="J93" i="80"/>
  <c r="C33" i="69"/>
  <c r="C34" i="69" s="1"/>
  <c r="C35" i="69" s="1"/>
  <c r="BK85" i="80" l="1"/>
  <c r="BL85" i="80" s="1"/>
  <c r="J94" i="80"/>
  <c r="C24" i="69"/>
  <c r="C25" i="69" l="1"/>
  <c r="C47" i="69" s="1"/>
  <c r="C26" i="69"/>
  <c r="C27" i="69" s="1"/>
  <c r="C28" i="69" s="1"/>
  <c r="J95" i="80"/>
  <c r="C36" i="69"/>
  <c r="C41" i="69" l="1"/>
  <c r="C29" i="69"/>
  <c r="C30" i="69" s="1"/>
  <c r="C31" i="69" s="1"/>
  <c r="C37" i="69"/>
  <c r="J96" i="80"/>
  <c r="C39" i="69" l="1"/>
  <c r="J97" i="80"/>
  <c r="X56" i="51"/>
  <c r="W57" i="51"/>
  <c r="X57" i="51"/>
  <c r="V58" i="51"/>
  <c r="W58" i="51"/>
  <c r="X58" i="51"/>
  <c r="U59" i="51"/>
  <c r="V59" i="51"/>
  <c r="W59" i="51"/>
  <c r="X59" i="51"/>
  <c r="T60" i="51"/>
  <c r="U60" i="51"/>
  <c r="V60" i="51"/>
  <c r="W60" i="51"/>
  <c r="X60" i="51"/>
  <c r="T61" i="51"/>
  <c r="U61" i="51"/>
  <c r="V61" i="51"/>
  <c r="W61" i="51"/>
  <c r="X61" i="51"/>
  <c r="S62" i="51"/>
  <c r="T62" i="51"/>
  <c r="U62" i="51"/>
  <c r="V62" i="51"/>
  <c r="W62" i="51"/>
  <c r="X62" i="51"/>
  <c r="R63" i="51"/>
  <c r="S63" i="51"/>
  <c r="T63" i="51"/>
  <c r="U63" i="51"/>
  <c r="V63" i="51"/>
  <c r="W63" i="51"/>
  <c r="X63" i="51"/>
  <c r="Q64" i="51"/>
  <c r="R64" i="51"/>
  <c r="S64" i="51"/>
  <c r="T64" i="51"/>
  <c r="U64" i="51"/>
  <c r="V64" i="51"/>
  <c r="W64" i="51"/>
  <c r="X64" i="51"/>
  <c r="P65" i="51"/>
  <c r="Q65" i="51"/>
  <c r="R65" i="51"/>
  <c r="S65" i="51"/>
  <c r="T65" i="51"/>
  <c r="U65" i="51"/>
  <c r="V65" i="51"/>
  <c r="W65" i="51"/>
  <c r="X65" i="51"/>
  <c r="O66" i="51"/>
  <c r="P66" i="51"/>
  <c r="Q66" i="51"/>
  <c r="R66" i="51"/>
  <c r="S66" i="51"/>
  <c r="T66" i="51"/>
  <c r="U66" i="51"/>
  <c r="V66" i="51"/>
  <c r="W66" i="51"/>
  <c r="X66" i="51"/>
  <c r="X48" i="51"/>
  <c r="W48" i="51"/>
  <c r="V48" i="51"/>
  <c r="U48" i="51"/>
  <c r="T48" i="51"/>
  <c r="T59" i="51" s="1"/>
  <c r="S48" i="51"/>
  <c r="S52" i="51" s="1"/>
  <c r="R48" i="51"/>
  <c r="R58" i="51" s="1"/>
  <c r="Q48" i="51"/>
  <c r="Q57" i="51" s="1"/>
  <c r="P48" i="51"/>
  <c r="P57" i="51" s="1"/>
  <c r="O48" i="51"/>
  <c r="N48" i="51"/>
  <c r="N66" i="51" s="1"/>
  <c r="M48" i="51"/>
  <c r="L48" i="51"/>
  <c r="K48" i="51"/>
  <c r="K52" i="51" s="1"/>
  <c r="J48" i="51"/>
  <c r="J54" i="51" s="1"/>
  <c r="I48" i="51"/>
  <c r="I65" i="51" s="1"/>
  <c r="H48" i="51"/>
  <c r="H65" i="51" s="1"/>
  <c r="G48" i="51"/>
  <c r="G66" i="51" s="1"/>
  <c r="F48" i="51"/>
  <c r="F58" i="51" s="1"/>
  <c r="X47" i="51"/>
  <c r="W47" i="51"/>
  <c r="V47" i="51"/>
  <c r="U47" i="51"/>
  <c r="T47" i="51"/>
  <c r="S47" i="51"/>
  <c r="R47" i="51"/>
  <c r="Q47" i="51"/>
  <c r="P47" i="51"/>
  <c r="O47" i="51"/>
  <c r="N47" i="51"/>
  <c r="M47" i="51"/>
  <c r="L47" i="51"/>
  <c r="K47" i="51"/>
  <c r="J47" i="51"/>
  <c r="I47" i="51"/>
  <c r="H47" i="51"/>
  <c r="G47" i="51"/>
  <c r="F47" i="51"/>
  <c r="C40" i="69"/>
  <c r="J98" i="80" l="1"/>
  <c r="J60" i="51"/>
  <c r="F65" i="51"/>
  <c r="F56" i="51"/>
  <c r="J53" i="51"/>
  <c r="J52" i="51"/>
  <c r="J62" i="51"/>
  <c r="J58" i="51"/>
  <c r="J50" i="51"/>
  <c r="R53" i="51"/>
  <c r="R56" i="51"/>
  <c r="R60" i="51"/>
  <c r="R54" i="51"/>
  <c r="R62" i="51"/>
  <c r="F64" i="51"/>
  <c r="J66" i="51"/>
  <c r="R52" i="51"/>
  <c r="F60" i="51"/>
  <c r="H61" i="51"/>
  <c r="R50" i="51"/>
  <c r="L55" i="51"/>
  <c r="L51" i="51"/>
  <c r="F57" i="51"/>
  <c r="M52" i="51"/>
  <c r="M55" i="51"/>
  <c r="M59" i="51"/>
  <c r="M51" i="51"/>
  <c r="U52" i="51"/>
  <c r="U51" i="51"/>
  <c r="N51" i="51"/>
  <c r="N50" i="51"/>
  <c r="N52" i="51"/>
  <c r="N54" i="51"/>
  <c r="N56" i="51"/>
  <c r="N60" i="51"/>
  <c r="N62" i="51"/>
  <c r="N58" i="51"/>
  <c r="N64" i="51"/>
  <c r="V51" i="51"/>
  <c r="V50" i="51"/>
  <c r="V52" i="51"/>
  <c r="V56" i="51"/>
  <c r="V54" i="51"/>
  <c r="F52" i="51"/>
  <c r="G51" i="51"/>
  <c r="G54" i="51"/>
  <c r="G62" i="51"/>
  <c r="G58" i="51"/>
  <c r="G50" i="51"/>
  <c r="O51" i="51"/>
  <c r="O58" i="51"/>
  <c r="O50" i="51"/>
  <c r="O54" i="51"/>
  <c r="O62" i="51"/>
  <c r="W51" i="51"/>
  <c r="W50" i="51"/>
  <c r="W54" i="51"/>
  <c r="J64" i="51"/>
  <c r="M63" i="51"/>
  <c r="J56" i="51"/>
  <c r="H50" i="51"/>
  <c r="H53" i="51"/>
  <c r="H57" i="51"/>
  <c r="P50" i="51"/>
  <c r="P61" i="51"/>
  <c r="P53" i="51"/>
  <c r="X50" i="51"/>
  <c r="X53" i="51"/>
  <c r="U55" i="51"/>
  <c r="I50" i="51"/>
  <c r="I57" i="51"/>
  <c r="I61" i="51"/>
  <c r="I53" i="51"/>
  <c r="Q50" i="51"/>
  <c r="Q61" i="51"/>
  <c r="Q53" i="51"/>
  <c r="L63" i="51"/>
  <c r="T55" i="51"/>
  <c r="L52" i="51"/>
  <c r="L56" i="51"/>
  <c r="L60" i="51"/>
  <c r="L64" i="51"/>
  <c r="L53" i="51"/>
  <c r="L57" i="51"/>
  <c r="L61" i="51"/>
  <c r="L65" i="51"/>
  <c r="L50" i="51"/>
  <c r="L54" i="51"/>
  <c r="L58" i="51"/>
  <c r="L62" i="51"/>
  <c r="L66" i="51"/>
  <c r="T52" i="51"/>
  <c r="T56" i="51"/>
  <c r="T53" i="51"/>
  <c r="T57" i="51"/>
  <c r="T50" i="51"/>
  <c r="T54" i="51"/>
  <c r="T58" i="51"/>
  <c r="L59" i="51"/>
  <c r="T51" i="51"/>
  <c r="F63" i="51"/>
  <c r="F55" i="51"/>
  <c r="M66" i="51"/>
  <c r="O65" i="51"/>
  <c r="G65" i="51"/>
  <c r="I64" i="51"/>
  <c r="K63" i="51"/>
  <c r="M62" i="51"/>
  <c r="O61" i="51"/>
  <c r="G61" i="51"/>
  <c r="Q60" i="51"/>
  <c r="I60" i="51"/>
  <c r="S59" i="51"/>
  <c r="K59" i="51"/>
  <c r="U58" i="51"/>
  <c r="M58" i="51"/>
  <c r="O57" i="51"/>
  <c r="G57" i="51"/>
  <c r="Q56" i="51"/>
  <c r="I56" i="51"/>
  <c r="S55" i="51"/>
  <c r="K55" i="51"/>
  <c r="U54" i="51"/>
  <c r="M54" i="51"/>
  <c r="W53" i="51"/>
  <c r="O53" i="51"/>
  <c r="G53" i="51"/>
  <c r="Q52" i="51"/>
  <c r="I52" i="51"/>
  <c r="S51" i="51"/>
  <c r="K51" i="51"/>
  <c r="U50" i="51"/>
  <c r="M50" i="51"/>
  <c r="F62" i="51"/>
  <c r="F54" i="51"/>
  <c r="N65" i="51"/>
  <c r="P64" i="51"/>
  <c r="H64" i="51"/>
  <c r="J63" i="51"/>
  <c r="N61" i="51"/>
  <c r="P60" i="51"/>
  <c r="H60" i="51"/>
  <c r="R59" i="51"/>
  <c r="J59" i="51"/>
  <c r="V57" i="51"/>
  <c r="N57" i="51"/>
  <c r="P56" i="51"/>
  <c r="H56" i="51"/>
  <c r="R55" i="51"/>
  <c r="J55" i="51"/>
  <c r="V53" i="51"/>
  <c r="N53" i="51"/>
  <c r="X52" i="51"/>
  <c r="P52" i="51"/>
  <c r="H52" i="51"/>
  <c r="R51" i="51"/>
  <c r="J51" i="51"/>
  <c r="F61" i="51"/>
  <c r="F53" i="51"/>
  <c r="K66" i="51"/>
  <c r="M65" i="51"/>
  <c r="O64" i="51"/>
  <c r="G64" i="51"/>
  <c r="Q63" i="51"/>
  <c r="I63" i="51"/>
  <c r="K62" i="51"/>
  <c r="M61" i="51"/>
  <c r="O60" i="51"/>
  <c r="G60" i="51"/>
  <c r="Q59" i="51"/>
  <c r="I59" i="51"/>
  <c r="S58" i="51"/>
  <c r="K58" i="51"/>
  <c r="U57" i="51"/>
  <c r="M57" i="51"/>
  <c r="W56" i="51"/>
  <c r="O56" i="51"/>
  <c r="G56" i="51"/>
  <c r="Q55" i="51"/>
  <c r="I55" i="51"/>
  <c r="S54" i="51"/>
  <c r="K54" i="51"/>
  <c r="U53" i="51"/>
  <c r="M53" i="51"/>
  <c r="W52" i="51"/>
  <c r="O52" i="51"/>
  <c r="G52" i="51"/>
  <c r="Q51" i="51"/>
  <c r="I51" i="51"/>
  <c r="S50" i="51"/>
  <c r="K50" i="51"/>
  <c r="P63" i="51"/>
  <c r="H63" i="51"/>
  <c r="P59" i="51"/>
  <c r="H59" i="51"/>
  <c r="X55" i="51"/>
  <c r="P55" i="51"/>
  <c r="H55" i="51"/>
  <c r="X51" i="51"/>
  <c r="P51" i="51"/>
  <c r="H51" i="51"/>
  <c r="F50" i="51"/>
  <c r="F59" i="51"/>
  <c r="F51" i="51"/>
  <c r="I66" i="51"/>
  <c r="K65" i="51"/>
  <c r="M64" i="51"/>
  <c r="O63" i="51"/>
  <c r="G63" i="51"/>
  <c r="Q62" i="51"/>
  <c r="I62" i="51"/>
  <c r="S61" i="51"/>
  <c r="K61" i="51"/>
  <c r="M60" i="51"/>
  <c r="O59" i="51"/>
  <c r="G59" i="51"/>
  <c r="Q58" i="51"/>
  <c r="I58" i="51"/>
  <c r="S57" i="51"/>
  <c r="K57" i="51"/>
  <c r="U56" i="51"/>
  <c r="M56" i="51"/>
  <c r="W55" i="51"/>
  <c r="O55" i="51"/>
  <c r="G55" i="51"/>
  <c r="Q54" i="51"/>
  <c r="I54" i="51"/>
  <c r="S53" i="51"/>
  <c r="K53" i="51"/>
  <c r="F66" i="51"/>
  <c r="H66" i="51"/>
  <c r="J65" i="51"/>
  <c r="N63" i="51"/>
  <c r="P62" i="51"/>
  <c r="H62" i="51"/>
  <c r="R61" i="51"/>
  <c r="J61" i="51"/>
  <c r="N59" i="51"/>
  <c r="P58" i="51"/>
  <c r="H58" i="51"/>
  <c r="R57" i="51"/>
  <c r="J57" i="51"/>
  <c r="V55" i="51"/>
  <c r="N55" i="51"/>
  <c r="X54" i="51"/>
  <c r="P54" i="51"/>
  <c r="H54" i="51"/>
  <c r="K64" i="51"/>
  <c r="S60" i="51"/>
  <c r="K60" i="51"/>
  <c r="S56" i="51"/>
  <c r="K56" i="51"/>
  <c r="J99" i="80" l="1"/>
  <c r="X26" i="51"/>
  <c r="W26" i="51"/>
  <c r="V26" i="51"/>
  <c r="U26" i="51"/>
  <c r="T26" i="51"/>
  <c r="S26" i="51"/>
  <c r="R26" i="51"/>
  <c r="Q26" i="51"/>
  <c r="P26" i="51"/>
  <c r="O26" i="51"/>
  <c r="N26" i="51"/>
  <c r="M26" i="51"/>
  <c r="L26" i="51"/>
  <c r="K26" i="51"/>
  <c r="J26" i="51"/>
  <c r="I26" i="51"/>
  <c r="H26" i="51"/>
  <c r="G26" i="51"/>
  <c r="F26" i="51"/>
  <c r="X25" i="51"/>
  <c r="W25" i="51"/>
  <c r="V25" i="51"/>
  <c r="U25" i="51"/>
  <c r="T25" i="51"/>
  <c r="S25" i="51"/>
  <c r="R25" i="51"/>
  <c r="Q25" i="51"/>
  <c r="P25" i="51"/>
  <c r="O25" i="51"/>
  <c r="N25" i="51"/>
  <c r="M25" i="51"/>
  <c r="L25" i="51"/>
  <c r="K25" i="51"/>
  <c r="J25" i="51"/>
  <c r="I25" i="51"/>
  <c r="H25" i="51"/>
  <c r="G25" i="51"/>
  <c r="F25" i="51"/>
  <c r="J100" i="80" l="1"/>
  <c r="F4" i="51"/>
  <c r="F3" i="51"/>
  <c r="J101" i="80" l="1"/>
  <c r="G4" i="51"/>
  <c r="G3" i="51"/>
  <c r="J102" i="80" l="1"/>
  <c r="H4" i="51"/>
  <c r="H3" i="51"/>
  <c r="J103" i="80" l="1"/>
  <c r="I4" i="51"/>
  <c r="I3" i="51"/>
  <c r="J104" i="80" l="1"/>
  <c r="J3" i="51"/>
  <c r="J4" i="51"/>
  <c r="J105" i="80" l="1"/>
  <c r="K3" i="51"/>
  <c r="K4" i="51"/>
  <c r="J106" i="80" l="1"/>
  <c r="L3" i="51"/>
  <c r="L4" i="51"/>
  <c r="J107" i="80" l="1"/>
  <c r="M4" i="51"/>
  <c r="M3" i="51"/>
  <c r="J108" i="80" l="1"/>
  <c r="N4" i="51"/>
  <c r="N3" i="51"/>
  <c r="J109" i="80" l="1"/>
  <c r="O4" i="51"/>
  <c r="O3" i="51"/>
  <c r="J110" i="80" l="1"/>
  <c r="P4" i="51"/>
  <c r="P3" i="51"/>
  <c r="J111" i="80" l="1"/>
  <c r="Q4" i="51"/>
  <c r="Q3" i="51"/>
  <c r="J112" i="80" l="1"/>
  <c r="R3" i="51"/>
  <c r="R4" i="51"/>
  <c r="J113" i="80" l="1"/>
  <c r="S3" i="51"/>
  <c r="S4" i="51"/>
  <c r="J114" i="80" l="1"/>
  <c r="T3" i="51"/>
  <c r="T4" i="51"/>
  <c r="J115" i="80" l="1"/>
  <c r="U3" i="51"/>
  <c r="U4" i="51"/>
  <c r="J116" i="80" l="1"/>
  <c r="V4" i="51"/>
  <c r="V3" i="51"/>
  <c r="J117" i="80" l="1"/>
  <c r="W4" i="51"/>
  <c r="W3" i="51"/>
  <c r="J118" i="80" l="1"/>
  <c r="X4" i="51"/>
  <c r="X3" i="51"/>
  <c r="J119" i="80" l="1"/>
  <c r="D21" i="37"/>
  <c r="D20" i="37"/>
  <c r="D19" i="37"/>
  <c r="D18" i="37"/>
  <c r="D16" i="37"/>
  <c r="D17" i="37"/>
  <c r="D15" i="37"/>
  <c r="D14" i="37"/>
  <c r="D13" i="37"/>
  <c r="D12" i="37"/>
  <c r="D11" i="37"/>
  <c r="D6" i="37"/>
  <c r="D7" i="37"/>
  <c r="D8" i="37"/>
  <c r="G8" i="37"/>
  <c r="D9" i="37"/>
  <c r="D10" i="37"/>
  <c r="D5" i="37"/>
  <c r="E4" i="37"/>
  <c r="F4" i="37" s="1"/>
  <c r="G4" i="37" s="1"/>
  <c r="H4" i="37" s="1"/>
  <c r="I4" i="37" s="1"/>
  <c r="J4" i="37" s="1"/>
  <c r="K4" i="37" s="1"/>
  <c r="L4" i="37" s="1"/>
  <c r="M4" i="37" s="1"/>
  <c r="N4" i="37" s="1"/>
  <c r="O4" i="37" s="1"/>
  <c r="P4" i="37" s="1"/>
  <c r="Q4" i="37" s="1"/>
  <c r="Q6" i="37" s="1"/>
  <c r="E4" i="36"/>
  <c r="F4" i="36" s="1"/>
  <c r="G4" i="36" s="1"/>
  <c r="H4" i="36" s="1"/>
  <c r="I4" i="36" s="1"/>
  <c r="J4" i="36" s="1"/>
  <c r="K4" i="36" s="1"/>
  <c r="L4" i="36" s="1"/>
  <c r="M4" i="36" s="1"/>
  <c r="N4" i="36" s="1"/>
  <c r="O4" i="36" s="1"/>
  <c r="P4" i="36" s="1"/>
  <c r="Q4" i="36" s="1"/>
  <c r="E4" i="33"/>
  <c r="F4" i="33" s="1"/>
  <c r="G4" i="33" s="1"/>
  <c r="H4" i="33" s="1"/>
  <c r="I4" i="33" s="1"/>
  <c r="J4" i="33" s="1"/>
  <c r="K4" i="33" s="1"/>
  <c r="L4" i="33" s="1"/>
  <c r="M4" i="33" s="1"/>
  <c r="N4" i="33" s="1"/>
  <c r="O4" i="33" s="1"/>
  <c r="P4" i="33" s="1"/>
  <c r="Q4" i="33" s="1"/>
  <c r="D6" i="32"/>
  <c r="E6" i="32"/>
  <c r="F6" i="32"/>
  <c r="G6" i="32"/>
  <c r="H6" i="32"/>
  <c r="I6" i="32"/>
  <c r="J6" i="32"/>
  <c r="K6" i="32"/>
  <c r="L6" i="32"/>
  <c r="M6" i="32"/>
  <c r="D7" i="32"/>
  <c r="E7" i="32"/>
  <c r="F7" i="32"/>
  <c r="G7" i="32"/>
  <c r="H7" i="32"/>
  <c r="I7" i="32"/>
  <c r="J7" i="32"/>
  <c r="K7" i="32"/>
  <c r="L7" i="32"/>
  <c r="M7" i="32"/>
  <c r="D8" i="32"/>
  <c r="E8" i="32"/>
  <c r="F8" i="32"/>
  <c r="G8" i="32"/>
  <c r="H8" i="32"/>
  <c r="I8" i="32"/>
  <c r="J8" i="32"/>
  <c r="K8" i="32"/>
  <c r="L8" i="32"/>
  <c r="D9" i="32"/>
  <c r="E9" i="32"/>
  <c r="F9" i="32"/>
  <c r="G9" i="32"/>
  <c r="H9" i="32"/>
  <c r="I9" i="32"/>
  <c r="J9" i="32"/>
  <c r="K9" i="32"/>
  <c r="L9" i="32"/>
  <c r="D10" i="32"/>
  <c r="E10" i="32"/>
  <c r="F10" i="32"/>
  <c r="G10" i="32"/>
  <c r="H10" i="32"/>
  <c r="I10" i="32"/>
  <c r="J10" i="32"/>
  <c r="D11" i="32"/>
  <c r="E11" i="32"/>
  <c r="F11" i="32"/>
  <c r="G11" i="32"/>
  <c r="H11" i="32"/>
  <c r="I11" i="32"/>
  <c r="J11" i="32"/>
  <c r="K11" i="32"/>
  <c r="D12" i="32"/>
  <c r="E12" i="32"/>
  <c r="F12" i="32"/>
  <c r="G12" i="32"/>
  <c r="H12" i="32"/>
  <c r="I12" i="32"/>
  <c r="J12" i="32"/>
  <c r="K12" i="32"/>
  <c r="D13" i="32"/>
  <c r="E13" i="32"/>
  <c r="F13" i="32"/>
  <c r="G13" i="32"/>
  <c r="H13" i="32"/>
  <c r="I13" i="32"/>
  <c r="J13" i="32"/>
  <c r="E5" i="32"/>
  <c r="F5" i="32"/>
  <c r="G5" i="32"/>
  <c r="H5" i="32"/>
  <c r="I5" i="32"/>
  <c r="J5" i="32"/>
  <c r="K5" i="32"/>
  <c r="L5" i="32"/>
  <c r="M5" i="32"/>
  <c r="D5" i="32"/>
  <c r="D6" i="30"/>
  <c r="E6" i="30"/>
  <c r="F6" i="30"/>
  <c r="G6" i="30"/>
  <c r="H6" i="30"/>
  <c r="I6" i="30"/>
  <c r="J6" i="30"/>
  <c r="K6" i="30"/>
  <c r="L6" i="30"/>
  <c r="D7" i="30"/>
  <c r="E7" i="30"/>
  <c r="F7" i="30"/>
  <c r="G7" i="30"/>
  <c r="H7" i="30"/>
  <c r="I7" i="30"/>
  <c r="J7" i="30"/>
  <c r="K7" i="30"/>
  <c r="L7" i="30"/>
  <c r="D8" i="30"/>
  <c r="E8" i="30"/>
  <c r="F8" i="30"/>
  <c r="G8" i="30"/>
  <c r="H8" i="30"/>
  <c r="I8" i="30"/>
  <c r="J8" i="30"/>
  <c r="K8" i="30"/>
  <c r="L8" i="30"/>
  <c r="D9" i="30"/>
  <c r="E9" i="30"/>
  <c r="F9" i="30"/>
  <c r="G9" i="30"/>
  <c r="H9" i="30"/>
  <c r="I9" i="30"/>
  <c r="J9" i="30"/>
  <c r="K9" i="30"/>
  <c r="L9" i="30"/>
  <c r="D10" i="30"/>
  <c r="E10" i="30"/>
  <c r="F10" i="30"/>
  <c r="G10" i="30"/>
  <c r="H10" i="30"/>
  <c r="I10" i="30"/>
  <c r="J10" i="30"/>
  <c r="K10" i="30"/>
  <c r="L10" i="30"/>
  <c r="D11" i="30"/>
  <c r="E11" i="30"/>
  <c r="F11" i="30"/>
  <c r="G11" i="30"/>
  <c r="H11" i="30"/>
  <c r="I11" i="30"/>
  <c r="J11" i="30"/>
  <c r="K11" i="30"/>
  <c r="L11" i="30"/>
  <c r="D12" i="30"/>
  <c r="E12" i="30"/>
  <c r="F12" i="30"/>
  <c r="G12" i="30"/>
  <c r="H12" i="30"/>
  <c r="I12" i="30"/>
  <c r="J12" i="30"/>
  <c r="K12" i="30"/>
  <c r="L12" i="30"/>
  <c r="D13" i="30"/>
  <c r="E13" i="30"/>
  <c r="F13" i="30"/>
  <c r="G13" i="30"/>
  <c r="H13" i="30"/>
  <c r="I13" i="30"/>
  <c r="J13" i="30"/>
  <c r="K13" i="30"/>
  <c r="L13" i="30"/>
  <c r="D14" i="30"/>
  <c r="E14" i="30"/>
  <c r="F14" i="30"/>
  <c r="G14" i="30"/>
  <c r="H14" i="30"/>
  <c r="I14" i="30"/>
  <c r="J14" i="30"/>
  <c r="K14" i="30"/>
  <c r="L14" i="30"/>
  <c r="D15" i="30"/>
  <c r="E15" i="30"/>
  <c r="F15" i="30"/>
  <c r="G15" i="30"/>
  <c r="H15" i="30"/>
  <c r="I15" i="30"/>
  <c r="J15" i="30"/>
  <c r="K15" i="30"/>
  <c r="L15" i="30"/>
  <c r="D16" i="30"/>
  <c r="E16" i="30"/>
  <c r="F16" i="30"/>
  <c r="G16" i="30"/>
  <c r="H16" i="30"/>
  <c r="I16" i="30"/>
  <c r="J16" i="30"/>
  <c r="K16" i="30"/>
  <c r="L16" i="30"/>
  <c r="D17" i="30"/>
  <c r="E17" i="30"/>
  <c r="F17" i="30"/>
  <c r="G17" i="30"/>
  <c r="H17" i="30"/>
  <c r="I17" i="30"/>
  <c r="J17" i="30"/>
  <c r="K17" i="30"/>
  <c r="L17" i="30"/>
  <c r="D18" i="30"/>
  <c r="E18" i="30"/>
  <c r="F18" i="30"/>
  <c r="G18" i="30"/>
  <c r="H18" i="30"/>
  <c r="I18" i="30"/>
  <c r="J18" i="30"/>
  <c r="K18" i="30"/>
  <c r="L18" i="30"/>
  <c r="D19" i="30"/>
  <c r="E19" i="30"/>
  <c r="F19" i="30"/>
  <c r="G19" i="30"/>
  <c r="H19" i="30"/>
  <c r="I19" i="30"/>
  <c r="J19" i="30"/>
  <c r="K19" i="30"/>
  <c r="L19" i="30"/>
  <c r="D20" i="30"/>
  <c r="E20" i="30"/>
  <c r="F20" i="30"/>
  <c r="G20" i="30"/>
  <c r="H20" i="30"/>
  <c r="I20" i="30"/>
  <c r="J20" i="30"/>
  <c r="K20" i="30"/>
  <c r="L20" i="30"/>
  <c r="D21" i="30"/>
  <c r="E21" i="30"/>
  <c r="F21" i="30"/>
  <c r="G21" i="30"/>
  <c r="H21" i="30"/>
  <c r="I21" i="30"/>
  <c r="J21" i="30"/>
  <c r="K21" i="30"/>
  <c r="L21" i="30"/>
  <c r="E5" i="30"/>
  <c r="F5" i="30"/>
  <c r="G5" i="30"/>
  <c r="H5" i="30"/>
  <c r="I5" i="30"/>
  <c r="J5" i="30"/>
  <c r="K5" i="30"/>
  <c r="L5" i="30"/>
  <c r="D5" i="30"/>
  <c r="M4" i="30"/>
  <c r="M7" i="30" s="1"/>
  <c r="C27" i="33"/>
  <c r="C19" i="32"/>
  <c r="C27" i="36"/>
  <c r="J120" i="80" l="1"/>
  <c r="J5" i="37"/>
  <c r="O10" i="37"/>
  <c r="M5" i="30"/>
  <c r="K9" i="37"/>
  <c r="M11" i="30"/>
  <c r="F5" i="37"/>
  <c r="M9" i="37"/>
  <c r="I8" i="37"/>
  <c r="E7" i="37"/>
  <c r="P11" i="37"/>
  <c r="F12" i="37"/>
  <c r="I14" i="37"/>
  <c r="F17" i="37"/>
  <c r="I19" i="37"/>
  <c r="M16" i="30"/>
  <c r="L11" i="37"/>
  <c r="E14" i="37"/>
  <c r="G19" i="37"/>
  <c r="M10" i="37"/>
  <c r="I9" i="37"/>
  <c r="O6" i="37"/>
  <c r="J11" i="37"/>
  <c r="K13" i="37"/>
  <c r="J16" i="37"/>
  <c r="K10" i="37"/>
  <c r="E9" i="37"/>
  <c r="Q7" i="37"/>
  <c r="M6" i="37"/>
  <c r="H11" i="37"/>
  <c r="I13" i="37"/>
  <c r="L15" i="37"/>
  <c r="F16" i="37"/>
  <c r="H20" i="37"/>
  <c r="M19" i="30"/>
  <c r="M14" i="30"/>
  <c r="M8" i="30"/>
  <c r="P5" i="37"/>
  <c r="G10" i="37"/>
  <c r="O7" i="37"/>
  <c r="K6" i="37"/>
  <c r="G13" i="37"/>
  <c r="J15" i="37"/>
  <c r="F20" i="37"/>
  <c r="N5" i="37"/>
  <c r="E10" i="37"/>
  <c r="Q8" i="37"/>
  <c r="M7" i="37"/>
  <c r="G6" i="37"/>
  <c r="N12" i="37"/>
  <c r="F15" i="37"/>
  <c r="I18" i="37"/>
  <c r="M18" i="30"/>
  <c r="O8" i="37"/>
  <c r="I7" i="37"/>
  <c r="E6" i="37"/>
  <c r="L12" i="37"/>
  <c r="M14" i="37"/>
  <c r="E18" i="37"/>
  <c r="H5" i="37"/>
  <c r="Q9" i="37"/>
  <c r="K8" i="37"/>
  <c r="G7" i="37"/>
  <c r="H12" i="37"/>
  <c r="K14" i="37"/>
  <c r="J17" i="37"/>
  <c r="M21" i="30"/>
  <c r="M13" i="30"/>
  <c r="M10" i="30"/>
  <c r="M15" i="30"/>
  <c r="N4" i="30"/>
  <c r="M6" i="30"/>
  <c r="M20" i="30"/>
  <c r="M12" i="30"/>
  <c r="M17" i="30"/>
  <c r="M9" i="30"/>
  <c r="Q5" i="37"/>
  <c r="I5" i="37"/>
  <c r="N10" i="37"/>
  <c r="F10" i="37"/>
  <c r="L9" i="37"/>
  <c r="J8" i="37"/>
  <c r="P7" i="37"/>
  <c r="H7" i="37"/>
  <c r="N6" i="37"/>
  <c r="F6" i="37"/>
  <c r="K11" i="37"/>
  <c r="O12" i="37"/>
  <c r="G12" i="37"/>
  <c r="J13" i="37"/>
  <c r="L14" i="37"/>
  <c r="E15" i="37"/>
  <c r="E17" i="37"/>
  <c r="E16" i="37"/>
  <c r="G20" i="37"/>
  <c r="O5" i="37"/>
  <c r="G5" i="37"/>
  <c r="L10" i="37"/>
  <c r="J9" i="37"/>
  <c r="P8" i="37"/>
  <c r="H8" i="37"/>
  <c r="N7" i="37"/>
  <c r="F7" i="37"/>
  <c r="L6" i="37"/>
  <c r="I11" i="37"/>
  <c r="M12" i="37"/>
  <c r="E12" i="37"/>
  <c r="H13" i="37"/>
  <c r="J14" i="37"/>
  <c r="K15" i="37"/>
  <c r="K17" i="37"/>
  <c r="K16" i="37"/>
  <c r="J18" i="37"/>
  <c r="H19" i="37"/>
  <c r="E20" i="37"/>
  <c r="M5" i="37"/>
  <c r="E5" i="37"/>
  <c r="J10" i="37"/>
  <c r="P9" i="37"/>
  <c r="H9" i="37"/>
  <c r="N8" i="37"/>
  <c r="F8" i="37"/>
  <c r="L7" i="37"/>
  <c r="J6" i="37"/>
  <c r="O11" i="37"/>
  <c r="G11" i="37"/>
  <c r="K12" i="37"/>
  <c r="N13" i="37"/>
  <c r="F13" i="37"/>
  <c r="H14" i="37"/>
  <c r="I15" i="37"/>
  <c r="I17" i="37"/>
  <c r="I16" i="37"/>
  <c r="H18" i="37"/>
  <c r="F19" i="37"/>
  <c r="G21" i="37"/>
  <c r="L5" i="37"/>
  <c r="Q10" i="37"/>
  <c r="I10" i="37"/>
  <c r="O9" i="37"/>
  <c r="G9" i="37"/>
  <c r="M8" i="37"/>
  <c r="E8" i="37"/>
  <c r="K7" i="37"/>
  <c r="I6" i="37"/>
  <c r="N11" i="37"/>
  <c r="F11" i="37"/>
  <c r="J12" i="37"/>
  <c r="M13" i="37"/>
  <c r="E13" i="37"/>
  <c r="G14" i="37"/>
  <c r="H15" i="37"/>
  <c r="H17" i="37"/>
  <c r="H16" i="37"/>
  <c r="G18" i="37"/>
  <c r="E19" i="37"/>
  <c r="F21" i="37"/>
  <c r="K5" i="37"/>
  <c r="P10" i="37"/>
  <c r="H10" i="37"/>
  <c r="N9" i="37"/>
  <c r="F9" i="37"/>
  <c r="L8" i="37"/>
  <c r="J7" i="37"/>
  <c r="P6" i="37"/>
  <c r="H6" i="37"/>
  <c r="M11" i="37"/>
  <c r="E11" i="37"/>
  <c r="I12" i="37"/>
  <c r="L13" i="37"/>
  <c r="F14" i="37"/>
  <c r="G15" i="37"/>
  <c r="G17" i="37"/>
  <c r="G16" i="37"/>
  <c r="F18" i="37"/>
  <c r="E21" i="37"/>
  <c r="C27" i="37"/>
  <c r="J121" i="80" l="1"/>
  <c r="O4" i="30"/>
  <c r="N14" i="30"/>
  <c r="N13" i="30"/>
  <c r="N9" i="30"/>
  <c r="N17" i="30"/>
  <c r="N12" i="30"/>
  <c r="N20" i="30"/>
  <c r="N15" i="30"/>
  <c r="N7" i="30"/>
  <c r="N6" i="30"/>
  <c r="N10" i="30"/>
  <c r="N18" i="30"/>
  <c r="N11" i="30"/>
  <c r="N21" i="30"/>
  <c r="N5" i="30"/>
  <c r="N8" i="30"/>
  <c r="N19" i="30"/>
  <c r="N16" i="30"/>
  <c r="J122" i="80" l="1"/>
  <c r="P4" i="30"/>
  <c r="O6" i="30"/>
  <c r="O11" i="30"/>
  <c r="O19" i="30"/>
  <c r="O5" i="30"/>
  <c r="O14" i="30"/>
  <c r="O20" i="30"/>
  <c r="O10" i="30"/>
  <c r="O18" i="30"/>
  <c r="O9" i="30"/>
  <c r="O17" i="30"/>
  <c r="O12" i="30"/>
  <c r="O7" i="30"/>
  <c r="O15" i="30"/>
  <c r="O8" i="30"/>
  <c r="O13" i="30"/>
  <c r="O21" i="30"/>
  <c r="O16" i="30"/>
  <c r="M4" i="29"/>
  <c r="J123" i="80" l="1"/>
  <c r="N4" i="29"/>
  <c r="O4" i="29" s="1"/>
  <c r="P4" i="29" s="1"/>
  <c r="Q4" i="29" s="1"/>
  <c r="R4" i="29" s="1"/>
  <c r="S4" i="29" s="1"/>
  <c r="T4" i="29" s="1"/>
  <c r="U4" i="29" s="1"/>
  <c r="V4" i="29" s="1"/>
  <c r="W4" i="29" s="1"/>
  <c r="X4" i="29" s="1"/>
  <c r="Y4" i="29" s="1"/>
  <c r="Z4" i="29" s="1"/>
  <c r="AA4" i="29" s="1"/>
  <c r="AB4" i="29" s="1"/>
  <c r="AC4" i="29" s="1"/>
  <c r="AD4" i="29" s="1"/>
  <c r="AE4" i="29" s="1"/>
  <c r="AF4" i="29" s="1"/>
  <c r="AG4" i="29" s="1"/>
  <c r="AH4" i="29" s="1"/>
  <c r="AI4" i="29" s="1"/>
  <c r="AJ4" i="29" s="1"/>
  <c r="AK4" i="29" s="1"/>
  <c r="AL4" i="29" s="1"/>
  <c r="Q4" i="30"/>
  <c r="P8" i="30"/>
  <c r="P16" i="30"/>
  <c r="P11" i="30"/>
  <c r="P19" i="30"/>
  <c r="P5" i="30"/>
  <c r="P14" i="30"/>
  <c r="P17" i="30"/>
  <c r="P9" i="30"/>
  <c r="P15" i="30"/>
  <c r="P12" i="30"/>
  <c r="P20" i="30"/>
  <c r="P7" i="30"/>
  <c r="P6" i="30"/>
  <c r="P10" i="30"/>
  <c r="P13" i="30"/>
  <c r="P21" i="30"/>
  <c r="P18" i="30"/>
  <c r="C27" i="29"/>
  <c r="J124" i="80" l="1"/>
  <c r="R4" i="30"/>
  <c r="Q6" i="30"/>
  <c r="Q13" i="30"/>
  <c r="Q21" i="30"/>
  <c r="Q8" i="30"/>
  <c r="Q16" i="30"/>
  <c r="Q11" i="30"/>
  <c r="Q19" i="30"/>
  <c r="Q5" i="30"/>
  <c r="Q14" i="30"/>
  <c r="Q9" i="30"/>
  <c r="Q17" i="30"/>
  <c r="Q12" i="30"/>
  <c r="Q10" i="30"/>
  <c r="Q20" i="30"/>
  <c r="Q7" i="30"/>
  <c r="Q18" i="30"/>
  <c r="Q15" i="30"/>
  <c r="M4" i="28"/>
  <c r="N4" i="28" s="1"/>
  <c r="O4" i="28" s="1"/>
  <c r="P4" i="28" s="1"/>
  <c r="Q4" i="28" s="1"/>
  <c r="R4" i="28" s="1"/>
  <c r="S4" i="28" s="1"/>
  <c r="T4" i="28" s="1"/>
  <c r="U4" i="28" s="1"/>
  <c r="V4" i="28" s="1"/>
  <c r="W4" i="28" s="1"/>
  <c r="X4" i="28" s="1"/>
  <c r="Y4" i="28" s="1"/>
  <c r="Z4" i="28" s="1"/>
  <c r="AA4" i="28" s="1"/>
  <c r="AB4" i="28" s="1"/>
  <c r="AC4" i="28" s="1"/>
  <c r="AD4" i="28" s="1"/>
  <c r="AE4" i="28" s="1"/>
  <c r="AF4" i="28" s="1"/>
  <c r="AG4" i="28" s="1"/>
  <c r="AH4" i="28" s="1"/>
  <c r="AI4" i="28" s="1"/>
  <c r="AJ4" i="28" s="1"/>
  <c r="AK4" i="28" s="1"/>
  <c r="AL4" i="28" s="1"/>
  <c r="C27" i="28"/>
  <c r="C19" i="25"/>
  <c r="C19" i="27"/>
  <c r="J125" i="80" l="1"/>
  <c r="S4" i="30"/>
  <c r="R6" i="30"/>
  <c r="R10" i="30"/>
  <c r="R18" i="30"/>
  <c r="R13" i="30"/>
  <c r="R21" i="30"/>
  <c r="R5" i="30"/>
  <c r="R8" i="30"/>
  <c r="R16" i="30"/>
  <c r="R19" i="30"/>
  <c r="R17" i="30"/>
  <c r="R11" i="30"/>
  <c r="R9" i="30"/>
  <c r="R14" i="30"/>
  <c r="R7" i="30"/>
  <c r="R12" i="30"/>
  <c r="R20" i="30"/>
  <c r="R15" i="30"/>
  <c r="J126" i="80" l="1"/>
  <c r="T4" i="30"/>
  <c r="S7" i="30"/>
  <c r="S15" i="30"/>
  <c r="S10" i="30"/>
  <c r="S18" i="30"/>
  <c r="S16" i="30"/>
  <c r="S13" i="30"/>
  <c r="S21" i="30"/>
  <c r="S8" i="30"/>
  <c r="S14" i="30"/>
  <c r="S11" i="30"/>
  <c r="S19" i="30"/>
  <c r="S5" i="30"/>
  <c r="S9" i="30"/>
  <c r="S12" i="30"/>
  <c r="S6" i="30"/>
  <c r="S20" i="30"/>
  <c r="S17" i="30"/>
  <c r="J127" i="80" l="1"/>
  <c r="U4" i="30"/>
  <c r="T12" i="30"/>
  <c r="T20" i="30"/>
  <c r="T7" i="30"/>
  <c r="T15" i="30"/>
  <c r="T21" i="30"/>
  <c r="T10" i="30"/>
  <c r="T18" i="30"/>
  <c r="T13" i="30"/>
  <c r="T8" i="30"/>
  <c r="T16" i="30"/>
  <c r="T11" i="30"/>
  <c r="T6" i="30"/>
  <c r="T19" i="30"/>
  <c r="T5" i="30"/>
  <c r="T9" i="30"/>
  <c r="T14" i="30"/>
  <c r="T17" i="30"/>
  <c r="J128" i="80" l="1"/>
  <c r="V4" i="30"/>
  <c r="U6" i="30"/>
  <c r="U9" i="30"/>
  <c r="U17" i="30"/>
  <c r="U12" i="30"/>
  <c r="U20" i="30"/>
  <c r="U8" i="30"/>
  <c r="U7" i="30"/>
  <c r="U15" i="30"/>
  <c r="U10" i="30"/>
  <c r="U18" i="30"/>
  <c r="U13" i="30"/>
  <c r="U21" i="30"/>
  <c r="U16" i="30"/>
  <c r="U14" i="30"/>
  <c r="U11" i="30"/>
  <c r="U19" i="30"/>
  <c r="U5" i="30"/>
  <c r="J129" i="80" l="1"/>
  <c r="W4" i="30"/>
  <c r="V6" i="30"/>
  <c r="V14" i="30"/>
  <c r="V9" i="30"/>
  <c r="V17" i="30"/>
  <c r="V13" i="30"/>
  <c r="V12" i="30"/>
  <c r="V20" i="30"/>
  <c r="V7" i="30"/>
  <c r="V15" i="30"/>
  <c r="V10" i="30"/>
  <c r="V18" i="30"/>
  <c r="V16" i="30"/>
  <c r="V11" i="30"/>
  <c r="V19" i="30"/>
  <c r="V5" i="30"/>
  <c r="V21" i="30"/>
  <c r="V8" i="30"/>
  <c r="J130" i="80" l="1"/>
  <c r="X4" i="30"/>
  <c r="W6" i="30"/>
  <c r="W11" i="30"/>
  <c r="W19" i="30"/>
  <c r="W5" i="30"/>
  <c r="W20" i="30"/>
  <c r="W18" i="30"/>
  <c r="W14" i="30"/>
  <c r="W9" i="30"/>
  <c r="W17" i="30"/>
  <c r="W12" i="30"/>
  <c r="W10" i="30"/>
  <c r="W7" i="30"/>
  <c r="W15" i="30"/>
  <c r="W8" i="30"/>
  <c r="W21" i="30"/>
  <c r="W13" i="30"/>
  <c r="W16" i="30"/>
  <c r="J131" i="80" l="1"/>
  <c r="Y4" i="30"/>
  <c r="X8" i="30"/>
  <c r="X16" i="30"/>
  <c r="X6" i="30"/>
  <c r="X11" i="30"/>
  <c r="X19" i="30"/>
  <c r="X5" i="30"/>
  <c r="X17" i="30"/>
  <c r="X14" i="30"/>
  <c r="X9" i="30"/>
  <c r="X12" i="30"/>
  <c r="X20" i="30"/>
  <c r="X7" i="30"/>
  <c r="X15" i="30"/>
  <c r="X18" i="30"/>
  <c r="X21" i="30"/>
  <c r="X10" i="30"/>
  <c r="X13" i="30"/>
  <c r="J132" i="80" l="1"/>
  <c r="Z4" i="30"/>
  <c r="Y6" i="30"/>
  <c r="Y13" i="30"/>
  <c r="Y21" i="30"/>
  <c r="Y8" i="30"/>
  <c r="Y16" i="30"/>
  <c r="Y11" i="30"/>
  <c r="Y19" i="30"/>
  <c r="Y5" i="30"/>
  <c r="Y14" i="30"/>
  <c r="Y9" i="30"/>
  <c r="Y17" i="30"/>
  <c r="Y12" i="30"/>
  <c r="Y7" i="30"/>
  <c r="Y15" i="30"/>
  <c r="Y18" i="30"/>
  <c r="Y20" i="30"/>
  <c r="Y10" i="30"/>
  <c r="J133" i="80" l="1"/>
  <c r="AA4" i="30"/>
  <c r="Z6" i="30"/>
  <c r="Z10" i="30"/>
  <c r="Z18" i="30"/>
  <c r="Z19" i="30"/>
  <c r="Z13" i="30"/>
  <c r="Z21" i="30"/>
  <c r="Z5" i="30"/>
  <c r="Z17" i="30"/>
  <c r="Z8" i="30"/>
  <c r="Z16" i="30"/>
  <c r="Z9" i="30"/>
  <c r="Z11" i="30"/>
  <c r="Z14" i="30"/>
  <c r="Z7" i="30"/>
  <c r="Z15" i="30"/>
  <c r="Z20" i="30"/>
  <c r="Z12" i="30"/>
  <c r="J134" i="80" l="1"/>
  <c r="AB4" i="30"/>
  <c r="AA7" i="30"/>
  <c r="AA15" i="30"/>
  <c r="AA10" i="30"/>
  <c r="AA18" i="30"/>
  <c r="AA6" i="30"/>
  <c r="AA13" i="30"/>
  <c r="AA21" i="30"/>
  <c r="AA16" i="30"/>
  <c r="AA14" i="30"/>
  <c r="AA8" i="30"/>
  <c r="AA11" i="30"/>
  <c r="AA19" i="30"/>
  <c r="AA5" i="30"/>
  <c r="AA17" i="30"/>
  <c r="AA20" i="30"/>
  <c r="AA9" i="30"/>
  <c r="AA12" i="30"/>
  <c r="J135" i="80" l="1"/>
  <c r="AC4" i="30"/>
  <c r="AB12" i="30"/>
  <c r="AB20" i="30"/>
  <c r="AB7" i="30"/>
  <c r="AB15" i="30"/>
  <c r="AB21" i="30"/>
  <c r="AB10" i="30"/>
  <c r="AB18" i="30"/>
  <c r="AB6" i="30"/>
  <c r="AB13" i="30"/>
  <c r="AB11" i="30"/>
  <c r="AB8" i="30"/>
  <c r="AB16" i="30"/>
  <c r="AB14" i="30"/>
  <c r="AB17" i="30"/>
  <c r="AB5" i="30"/>
  <c r="AB19" i="30"/>
  <c r="AB9" i="30"/>
  <c r="J136" i="80" l="1"/>
  <c r="AD4" i="30"/>
  <c r="AC6" i="30"/>
  <c r="AC9" i="30"/>
  <c r="AC17" i="30"/>
  <c r="AC8" i="30"/>
  <c r="AC12" i="30"/>
  <c r="AC20" i="30"/>
  <c r="AC7" i="30"/>
  <c r="AC15" i="30"/>
  <c r="AC10" i="30"/>
  <c r="AC18" i="30"/>
  <c r="AC13" i="30"/>
  <c r="AC21" i="30"/>
  <c r="AC16" i="30"/>
  <c r="AC5" i="30"/>
  <c r="AC14" i="30"/>
  <c r="AC11" i="30"/>
  <c r="AC19" i="30"/>
  <c r="J137" i="80" l="1"/>
  <c r="AE4" i="30"/>
  <c r="AD14" i="30"/>
  <c r="AD9" i="30"/>
  <c r="AD17" i="30"/>
  <c r="AD12" i="30"/>
  <c r="AD20" i="30"/>
  <c r="AD13" i="30"/>
  <c r="AD7" i="30"/>
  <c r="AD15" i="30"/>
  <c r="AD6" i="30"/>
  <c r="AD10" i="30"/>
  <c r="AD18" i="30"/>
  <c r="AD16" i="30"/>
  <c r="AD21" i="30"/>
  <c r="AD5" i="30"/>
  <c r="AD8" i="30"/>
  <c r="AD11" i="30"/>
  <c r="AD19" i="30"/>
  <c r="J138" i="80" l="1"/>
  <c r="AF4" i="30"/>
  <c r="AE6" i="30"/>
  <c r="AE11" i="30"/>
  <c r="AE19" i="30"/>
  <c r="AE5" i="30"/>
  <c r="AE14" i="30"/>
  <c r="AE20" i="30"/>
  <c r="AE9" i="30"/>
  <c r="AE17" i="30"/>
  <c r="AE12" i="30"/>
  <c r="AE7" i="30"/>
  <c r="AE15" i="30"/>
  <c r="AE10" i="30"/>
  <c r="AE8" i="30"/>
  <c r="AE18" i="30"/>
  <c r="AE13" i="30"/>
  <c r="AE16" i="30"/>
  <c r="AE21" i="30"/>
  <c r="J139" i="80" l="1"/>
  <c r="AG4" i="30"/>
  <c r="AF8" i="30"/>
  <c r="AF16" i="30"/>
  <c r="AF15" i="30"/>
  <c r="AF11" i="30"/>
  <c r="AF19" i="30"/>
  <c r="AF5" i="30"/>
  <c r="AF14" i="30"/>
  <c r="AF9" i="30"/>
  <c r="AF17" i="30"/>
  <c r="AF12" i="30"/>
  <c r="AF20" i="30"/>
  <c r="AF7" i="30"/>
  <c r="AF6" i="30"/>
  <c r="AF18" i="30"/>
  <c r="AF10" i="30"/>
  <c r="AF13" i="30"/>
  <c r="AF21" i="30"/>
  <c r="J140" i="80" l="1"/>
  <c r="AH4" i="30"/>
  <c r="AG6" i="30"/>
  <c r="AG13" i="30"/>
  <c r="AG21" i="30"/>
  <c r="AG8" i="30"/>
  <c r="AG16" i="30"/>
  <c r="AG11" i="30"/>
  <c r="AG19" i="30"/>
  <c r="AG5" i="30"/>
  <c r="AG14" i="30"/>
  <c r="AG9" i="30"/>
  <c r="AG17" i="30"/>
  <c r="AG12" i="30"/>
  <c r="AG20" i="30"/>
  <c r="AG7" i="30"/>
  <c r="AG15" i="30"/>
  <c r="AG18" i="30"/>
  <c r="AG10" i="30"/>
  <c r="J141" i="80" l="1"/>
  <c r="AI4" i="30"/>
  <c r="AH6" i="30"/>
  <c r="AH10" i="30"/>
  <c r="AH18" i="30"/>
  <c r="AH13" i="30"/>
  <c r="AH21" i="30"/>
  <c r="AH19" i="30"/>
  <c r="AH5" i="30"/>
  <c r="AH9" i="30"/>
  <c r="AH8" i="30"/>
  <c r="AH16" i="30"/>
  <c r="AH11" i="30"/>
  <c r="AH17" i="30"/>
  <c r="AH14" i="30"/>
  <c r="AH7" i="30"/>
  <c r="AH20" i="30"/>
  <c r="AH15" i="30"/>
  <c r="AH12" i="30"/>
  <c r="J142" i="80" l="1"/>
  <c r="AJ4" i="30"/>
  <c r="AI7" i="30"/>
  <c r="AI15" i="30"/>
  <c r="AI14" i="30"/>
  <c r="AI10" i="30"/>
  <c r="AI18" i="30"/>
  <c r="AI13" i="30"/>
  <c r="AI21" i="30"/>
  <c r="AI16" i="30"/>
  <c r="AI8" i="30"/>
  <c r="AI11" i="30"/>
  <c r="AI19" i="30"/>
  <c r="AI5" i="30"/>
  <c r="AI17" i="30"/>
  <c r="AI20" i="30"/>
  <c r="AI6" i="30"/>
  <c r="AI9" i="30"/>
  <c r="AI12" i="30"/>
  <c r="J143" i="80" l="1"/>
  <c r="AK4" i="30"/>
  <c r="AJ12" i="30"/>
  <c r="AJ20" i="30"/>
  <c r="AJ7" i="30"/>
  <c r="AJ15" i="30"/>
  <c r="AJ21" i="30"/>
  <c r="AJ10" i="30"/>
  <c r="AJ18" i="30"/>
  <c r="AJ13" i="30"/>
  <c r="AJ8" i="30"/>
  <c r="AJ16" i="30"/>
  <c r="AJ11" i="30"/>
  <c r="AJ6" i="30"/>
  <c r="AJ9" i="30"/>
  <c r="AJ14" i="30"/>
  <c r="AJ17" i="30"/>
  <c r="AJ19" i="30"/>
  <c r="AJ5" i="30"/>
  <c r="J144" i="80" l="1"/>
  <c r="AL4" i="30"/>
  <c r="AK6" i="30"/>
  <c r="AK9" i="30"/>
  <c r="AK17" i="30"/>
  <c r="AK12" i="30"/>
  <c r="AK20" i="30"/>
  <c r="AK16" i="30"/>
  <c r="AK7" i="30"/>
  <c r="AK15" i="30"/>
  <c r="AK10" i="30"/>
  <c r="AK18" i="30"/>
  <c r="AK13" i="30"/>
  <c r="AK21" i="30"/>
  <c r="AK8" i="30"/>
  <c r="AK14" i="30"/>
  <c r="AK19" i="30"/>
  <c r="AK5" i="30"/>
  <c r="AK11" i="30"/>
  <c r="C27" i="30"/>
  <c r="J145" i="80" l="1"/>
  <c r="AL6" i="30"/>
  <c r="AL14" i="30"/>
  <c r="AL13" i="30"/>
  <c r="AL9" i="30"/>
  <c r="AL17" i="30"/>
  <c r="AL12" i="30"/>
  <c r="AL20" i="30"/>
  <c r="AL7" i="30"/>
  <c r="AL15" i="30"/>
  <c r="AL10" i="30"/>
  <c r="AL18" i="30"/>
  <c r="AL19" i="30"/>
  <c r="AL5" i="30"/>
  <c r="AL21" i="30"/>
  <c r="AL16" i="30"/>
  <c r="AL11" i="30"/>
  <c r="AL8" i="30"/>
  <c r="J146" i="80" l="1"/>
  <c r="C42" i="69"/>
  <c r="C44" i="69" s="1"/>
  <c r="J147" i="80" l="1"/>
  <c r="C43" i="69"/>
  <c r="C45" i="69"/>
  <c r="C49" i="69"/>
  <c r="J148" i="80" l="1"/>
  <c r="C50" i="69"/>
  <c r="C51" i="69"/>
  <c r="C52" i="69" l="1"/>
  <c r="C53" i="69" s="1"/>
  <c r="J149" i="80"/>
  <c r="C57" i="69" l="1"/>
  <c r="C58" i="69" s="1"/>
  <c r="C61" i="69" s="1"/>
  <c r="C54" i="69"/>
  <c r="C55" i="69" s="1"/>
  <c r="J150" i="80"/>
  <c r="C60" i="69" l="1"/>
  <c r="C59" i="69"/>
  <c r="C62" i="69"/>
  <c r="H13" i="69"/>
  <c r="J151" i="80"/>
  <c r="J152" i="80" l="1"/>
  <c r="J153" i="80" l="1"/>
  <c r="J154" i="80" l="1"/>
  <c r="J155" i="80" l="1"/>
  <c r="J156" i="80" l="1"/>
  <c r="J157" i="80" l="1"/>
  <c r="J158" i="80" l="1"/>
  <c r="J159" i="80" l="1"/>
  <c r="J160" i="80" l="1"/>
  <c r="J161" i="80" l="1"/>
  <c r="J162" i="80" l="1"/>
  <c r="J163" i="80" l="1"/>
  <c r="J164" i="80" l="1"/>
  <c r="J165" i="80" l="1"/>
  <c r="J166" i="80" l="1"/>
  <c r="J167" i="80" l="1"/>
  <c r="J168" i="80" l="1"/>
  <c r="J169" i="80" l="1"/>
  <c r="J170" i="80" l="1"/>
  <c r="J171" i="80" l="1"/>
  <c r="J172" i="80" l="1"/>
  <c r="J173" i="80" l="1"/>
  <c r="J174" i="80" l="1"/>
  <c r="J175" i="80" l="1"/>
  <c r="J176" i="80" l="1"/>
  <c r="J177" i="80" l="1"/>
  <c r="J178" i="80" l="1"/>
  <c r="J179" i="80" l="1"/>
  <c r="J180" i="80" l="1"/>
  <c r="J181" i="80" l="1"/>
  <c r="J182" i="80" l="1"/>
  <c r="J183" i="80" l="1"/>
  <c r="J184" i="80" l="1"/>
  <c r="J185" i="80" l="1"/>
  <c r="J186" i="80" l="1"/>
  <c r="J187" i="80" l="1"/>
  <c r="J188" i="80" l="1"/>
  <c r="J189" i="80" l="1"/>
  <c r="J190" i="80" l="1"/>
  <c r="J191" i="80" l="1"/>
  <c r="J192" i="80" l="1"/>
  <c r="J193" i="80" l="1"/>
  <c r="J194" i="80" l="1"/>
  <c r="J195" i="80" l="1"/>
  <c r="J196" i="80" l="1"/>
  <c r="J197" i="80" l="1"/>
  <c r="J198" i="80" l="1"/>
  <c r="J199" i="80" l="1"/>
  <c r="J200" i="80" l="1"/>
  <c r="J201" i="80" l="1"/>
  <c r="J202" i="80" l="1"/>
  <c r="J203" i="80" l="1"/>
  <c r="J204" i="80" l="1"/>
  <c r="J205" i="80" l="1"/>
  <c r="J206" i="80" l="1"/>
  <c r="J207" i="80" l="1"/>
  <c r="J208" i="80" l="1"/>
  <c r="J209" i="80" l="1"/>
  <c r="J210" i="80" l="1"/>
  <c r="J211" i="80" l="1"/>
  <c r="J212" i="80" l="1"/>
  <c r="J213" i="80" l="1"/>
  <c r="J214" i="80" l="1"/>
  <c r="J215" i="80" l="1"/>
  <c r="J216" i="80" l="1"/>
  <c r="J217" i="80" l="1"/>
  <c r="J218" i="80" l="1"/>
  <c r="J219" i="80" l="1"/>
  <c r="J220" i="80" l="1"/>
  <c r="J221" i="80" l="1"/>
  <c r="J222" i="80" l="1"/>
  <c r="J223" i="80" l="1"/>
  <c r="J224" i="80" l="1"/>
  <c r="J225" i="80" l="1"/>
  <c r="J226" i="80" l="1"/>
  <c r="J227" i="80" l="1"/>
  <c r="J228" i="80" l="1"/>
  <c r="J229" i="80" l="1"/>
  <c r="J230" i="80" l="1"/>
  <c r="J231" i="80" l="1"/>
  <c r="J232" i="80" l="1"/>
  <c r="J233" i="80" l="1"/>
  <c r="J234" i="80" l="1"/>
  <c r="J235" i="80" l="1"/>
  <c r="J236" i="80" l="1"/>
  <c r="J237" i="80" l="1"/>
  <c r="J238" i="80" l="1"/>
  <c r="J239" i="80" l="1"/>
  <c r="J240" i="80" l="1"/>
  <c r="J241" i="80" l="1"/>
  <c r="J242" i="80" l="1"/>
  <c r="J243" i="80" l="1"/>
  <c r="J244" i="80" l="1"/>
  <c r="J245" i="80" l="1"/>
  <c r="J246" i="80" l="1"/>
  <c r="J247" i="80" l="1"/>
  <c r="J248" i="80" l="1"/>
  <c r="J249" i="80" l="1"/>
  <c r="J250" i="80" l="1"/>
  <c r="J251" i="80" l="1"/>
  <c r="J252" i="80" l="1"/>
  <c r="J253" i="80" l="1"/>
  <c r="J254" i="80" l="1"/>
  <c r="J255" i="80" l="1"/>
  <c r="J256" i="80" l="1"/>
  <c r="J257" i="80" l="1"/>
  <c r="J258" i="80" l="1"/>
  <c r="J259" i="80" l="1"/>
  <c r="J260" i="80" l="1"/>
  <c r="J261" i="80" l="1"/>
  <c r="J262" i="80" l="1"/>
  <c r="J263" i="80" l="1"/>
  <c r="J264" i="80" l="1"/>
  <c r="J265" i="80" l="1"/>
  <c r="J266" i="80" l="1"/>
  <c r="J267" i="80" l="1"/>
  <c r="J268" i="80" l="1"/>
  <c r="J269" i="80" l="1"/>
  <c r="J270" i="80" l="1"/>
  <c r="J271" i="80" l="1"/>
  <c r="J272" i="80" l="1"/>
  <c r="J273" i="80" l="1"/>
  <c r="J274" i="80" l="1"/>
  <c r="J275" i="80" l="1"/>
  <c r="J276" i="80" l="1"/>
  <c r="J277" i="80" l="1"/>
  <c r="J278" i="80" l="1"/>
  <c r="J279" i="80" l="1"/>
  <c r="J280" i="80" l="1"/>
  <c r="J281" i="80" l="1"/>
  <c r="J282" i="80" l="1"/>
  <c r="J283" i="80" l="1"/>
  <c r="J284" i="80" l="1"/>
  <c r="J285" i="80" l="1"/>
  <c r="J286" i="80" l="1"/>
  <c r="J287" i="80" l="1"/>
  <c r="J288" i="80" l="1"/>
  <c r="J289" i="80" l="1"/>
  <c r="J290" i="80" l="1"/>
  <c r="J291" i="80" l="1"/>
  <c r="J292" i="80" l="1"/>
  <c r="J293" i="80" l="1"/>
  <c r="J294" i="80" l="1"/>
  <c r="J295" i="80" l="1"/>
  <c r="J296" i="80" l="1"/>
  <c r="J297" i="80" l="1"/>
  <c r="J298" i="80" l="1"/>
  <c r="J299" i="80" l="1"/>
  <c r="J300" i="80" l="1"/>
  <c r="J301" i="80" l="1"/>
  <c r="J302" i="80" l="1"/>
  <c r="J303" i="80" l="1"/>
  <c r="J304" i="80" l="1"/>
  <c r="J305" i="80" l="1"/>
  <c r="J306" i="80" l="1"/>
  <c r="J307" i="80" l="1"/>
  <c r="J308" i="80" l="1"/>
  <c r="J309" i="80" l="1"/>
  <c r="J310" i="80" l="1"/>
  <c r="J311" i="80" l="1"/>
  <c r="J312" i="80" l="1"/>
  <c r="J313" i="80" l="1"/>
  <c r="J314" i="80" l="1"/>
  <c r="J315" i="80" l="1"/>
  <c r="J316" i="80" l="1"/>
  <c r="J317" i="80" l="1"/>
  <c r="J318" i="80" l="1"/>
  <c r="J319" i="80" l="1"/>
  <c r="J320" i="80" l="1"/>
  <c r="J321" i="80" l="1"/>
  <c r="J322" i="80" l="1"/>
  <c r="J323" i="80" l="1"/>
  <c r="J324" i="80" l="1"/>
  <c r="J325" i="80" l="1"/>
  <c r="J326" i="80" l="1"/>
  <c r="J327" i="80" l="1"/>
  <c r="J328" i="80" l="1"/>
  <c r="J329" i="80" l="1"/>
  <c r="J330" i="80" l="1"/>
  <c r="J331" i="80" l="1"/>
  <c r="J332" i="80" l="1"/>
  <c r="J333" i="80" l="1"/>
  <c r="J334" i="80" l="1"/>
  <c r="J335" i="80" l="1"/>
  <c r="J336" i="80" l="1"/>
  <c r="J337" i="80" l="1"/>
  <c r="J338" i="80" l="1"/>
  <c r="J339" i="80" l="1"/>
  <c r="J340" i="80" l="1"/>
  <c r="J341" i="80" l="1"/>
  <c r="J342" i="80" l="1"/>
  <c r="J343" i="80" l="1"/>
  <c r="J344" i="80" l="1"/>
  <c r="J345" i="80" l="1"/>
  <c r="J346" i="80" l="1"/>
  <c r="J347" i="80" l="1"/>
  <c r="J348" i="80" l="1"/>
  <c r="J349" i="80" l="1"/>
  <c r="J350" i="80" l="1"/>
  <c r="J351" i="80" l="1"/>
  <c r="J352" i="80" l="1"/>
  <c r="J353" i="80" l="1"/>
  <c r="J354" i="80" l="1"/>
  <c r="J355" i="80" l="1"/>
  <c r="J356" i="80" l="1"/>
  <c r="J357" i="80" l="1"/>
  <c r="J358" i="80" l="1"/>
  <c r="J359" i="80" l="1"/>
  <c r="J360" i="80" l="1"/>
  <c r="J361" i="80" l="1"/>
  <c r="J362" i="80" l="1"/>
  <c r="J363" i="80" l="1"/>
  <c r="J364" i="80" l="1"/>
  <c r="J365" i="80" l="1"/>
  <c r="J366" i="80" l="1"/>
  <c r="J367" i="80" l="1"/>
  <c r="J368" i="80" l="1"/>
  <c r="J369" i="80" l="1"/>
  <c r="J370" i="80" l="1"/>
  <c r="J371" i="80" l="1"/>
  <c r="J372" i="80" l="1"/>
  <c r="J373" i="80" l="1"/>
  <c r="J374" i="80" l="1"/>
  <c r="J375" i="80" l="1"/>
  <c r="J376" i="80" l="1"/>
  <c r="J377" i="80" l="1"/>
  <c r="J378" i="80" l="1"/>
  <c r="J379" i="80" l="1"/>
  <c r="J380" i="80" l="1"/>
  <c r="J381" i="80" l="1"/>
  <c r="J382" i="80" l="1"/>
  <c r="J383" i="80" l="1"/>
  <c r="J384" i="80" l="1"/>
  <c r="J385" i="80" l="1"/>
  <c r="J386" i="80" l="1"/>
  <c r="J387" i="80" l="1"/>
  <c r="J388" i="80" l="1"/>
  <c r="J389" i="80" l="1"/>
  <c r="J390" i="80" l="1"/>
  <c r="J391" i="80" l="1"/>
  <c r="J392" i="80" l="1"/>
  <c r="J393" i="80" l="1"/>
  <c r="J394" i="80" l="1"/>
  <c r="J395" i="80" l="1"/>
  <c r="J396" i="80" l="1"/>
  <c r="J397" i="80" l="1"/>
  <c r="J398" i="80" l="1"/>
  <c r="J399" i="80" l="1"/>
  <c r="J400" i="80" l="1"/>
  <c r="J401" i="80" l="1"/>
  <c r="J402" i="80" l="1"/>
  <c r="J403" i="80" l="1"/>
  <c r="J404" i="80" l="1"/>
  <c r="J405" i="80" l="1"/>
  <c r="J406" i="80" l="1"/>
  <c r="J407" i="80" l="1"/>
  <c r="J408" i="80" l="1"/>
  <c r="J409" i="80" l="1"/>
  <c r="J410" i="80" l="1"/>
  <c r="J411" i="80" l="1"/>
  <c r="J412" i="80" l="1"/>
  <c r="J413" i="80" l="1"/>
  <c r="J414" i="80" l="1"/>
  <c r="J415" i="80" l="1"/>
  <c r="J416" i="80" l="1"/>
  <c r="J417" i="80" l="1"/>
  <c r="J418" i="80" l="1"/>
  <c r="J419" i="80" l="1"/>
  <c r="J420" i="80" l="1"/>
  <c r="J421" i="80" l="1"/>
  <c r="J422" i="80" l="1"/>
  <c r="J423" i="80" l="1"/>
  <c r="J424" i="80" l="1"/>
  <c r="J425" i="80" l="1"/>
  <c r="J426" i="80" l="1"/>
  <c r="J427" i="80" l="1"/>
  <c r="J428" i="80" l="1"/>
  <c r="J429" i="80" l="1"/>
  <c r="J430" i="80" l="1"/>
  <c r="J431" i="80" l="1"/>
  <c r="J432" i="80" l="1"/>
  <c r="J433" i="80" l="1"/>
  <c r="J434" i="80" l="1"/>
  <c r="J435" i="80" l="1"/>
  <c r="J436" i="80" l="1"/>
  <c r="J437" i="80" l="1"/>
  <c r="J438" i="80" l="1"/>
  <c r="J439" i="80" l="1"/>
  <c r="J440" i="80" l="1"/>
  <c r="J441" i="80" l="1"/>
  <c r="J442" i="80" l="1"/>
  <c r="J443" i="80" l="1"/>
  <c r="J444" i="80" l="1"/>
  <c r="J445" i="80" l="1"/>
  <c r="J446" i="80" l="1"/>
  <c r="J447" i="80" l="1"/>
  <c r="J448" i="80" l="1"/>
  <c r="J449" i="80" l="1"/>
  <c r="J450" i="80" l="1"/>
  <c r="J451" i="80" l="1"/>
  <c r="J452" i="80" l="1"/>
  <c r="J453" i="80" l="1"/>
  <c r="J454" i="80" l="1"/>
  <c r="J455" i="80" l="1"/>
  <c r="J456" i="80" l="1"/>
  <c r="J457" i="80" l="1"/>
  <c r="J458" i="80" l="1"/>
  <c r="J459" i="80" l="1"/>
  <c r="J460" i="80" l="1"/>
  <c r="J461" i="80" l="1"/>
  <c r="J462" i="80" l="1"/>
  <c r="J463" i="80" l="1"/>
  <c r="J464" i="80" l="1"/>
  <c r="J465" i="80" l="1"/>
  <c r="J466" i="80" l="1"/>
  <c r="J467" i="80" l="1"/>
  <c r="J468" i="80" l="1"/>
  <c r="J469" i="80" l="1"/>
  <c r="J470" i="80" l="1"/>
  <c r="J471" i="80" l="1"/>
  <c r="J472" i="80" l="1"/>
  <c r="J473" i="80" l="1"/>
  <c r="J474" i="80" l="1"/>
  <c r="J475" i="80" l="1"/>
  <c r="J476" i="80" l="1"/>
  <c r="J477" i="80" l="1"/>
  <c r="J478" i="80" l="1"/>
  <c r="J479" i="80" l="1"/>
  <c r="J480" i="80" l="1"/>
  <c r="J481" i="80" l="1"/>
  <c r="J482" i="80" l="1"/>
  <c r="J483" i="80" l="1"/>
  <c r="J484" i="80" l="1"/>
  <c r="J485" i="80" l="1"/>
  <c r="J486" i="80" l="1"/>
  <c r="J487" i="80" l="1"/>
  <c r="J488" i="80" l="1"/>
  <c r="J489" i="80" l="1"/>
  <c r="J490" i="80" l="1"/>
  <c r="J491" i="80" l="1"/>
  <c r="J492" i="80" l="1"/>
  <c r="J493" i="80" l="1"/>
  <c r="J494" i="80" l="1"/>
  <c r="J495" i="80" l="1"/>
  <c r="J496" i="80" l="1"/>
  <c r="J497" i="80" l="1"/>
  <c r="J498" i="80" l="1"/>
  <c r="J499" i="80" l="1"/>
  <c r="J500" i="80" l="1"/>
  <c r="J501" i="80" l="1"/>
  <c r="J502" i="80" l="1"/>
  <c r="J503" i="80" l="1"/>
  <c r="J504" i="80" l="1"/>
  <c r="J505" i="80" l="1"/>
  <c r="J506" i="80" l="1"/>
  <c r="J507" i="80" l="1"/>
  <c r="J508" i="80" l="1"/>
  <c r="J509" i="80" l="1"/>
  <c r="J510" i="80" l="1"/>
  <c r="J511" i="80" l="1"/>
  <c r="J512" i="80" l="1"/>
  <c r="J513" i="80" l="1"/>
  <c r="J514" i="80" l="1"/>
  <c r="J515" i="80" l="1"/>
  <c r="J516" i="80" l="1"/>
  <c r="J517" i="80" l="1"/>
  <c r="J518" i="80" l="1"/>
  <c r="J519" i="80" l="1"/>
  <c r="J520" i="80" l="1"/>
  <c r="J521" i="80" l="1"/>
  <c r="J522" i="80" l="1"/>
  <c r="J523" i="80" l="1"/>
  <c r="J524" i="80" l="1"/>
  <c r="J525" i="80" l="1"/>
  <c r="J526" i="80" l="1"/>
  <c r="J527" i="80" l="1"/>
  <c r="J528" i="80" l="1"/>
  <c r="J529" i="80" l="1"/>
  <c r="J530" i="80" l="1"/>
  <c r="J531" i="80" l="1"/>
  <c r="J532" i="80" l="1"/>
  <c r="J533" i="80" l="1"/>
  <c r="J534" i="80" l="1"/>
  <c r="J535" i="80" l="1"/>
  <c r="J536" i="80" l="1"/>
  <c r="J537" i="80" l="1"/>
  <c r="J538" i="80" l="1"/>
  <c r="J539" i="80" l="1"/>
  <c r="J540" i="80" l="1"/>
  <c r="J541" i="80" l="1"/>
  <c r="J542" i="80" l="1"/>
  <c r="J543" i="80" l="1"/>
  <c r="J544" i="80" l="1"/>
  <c r="J545" i="80" l="1"/>
  <c r="J546" i="80" l="1"/>
  <c r="J547" i="80" l="1"/>
  <c r="J548" i="80" l="1"/>
  <c r="J549" i="80" l="1"/>
  <c r="J550" i="80" l="1"/>
  <c r="J551" i="80" l="1"/>
  <c r="J552" i="80" l="1"/>
  <c r="J553" i="80" l="1"/>
  <c r="J554" i="80" l="1"/>
  <c r="J555" i="80" l="1"/>
  <c r="J556" i="80" l="1"/>
  <c r="J557" i="80" l="1"/>
  <c r="J558" i="80" l="1"/>
  <c r="J559" i="80" l="1"/>
  <c r="J560" i="80" l="1"/>
  <c r="J561" i="80" l="1"/>
  <c r="J562" i="80" l="1"/>
  <c r="J563" i="80" l="1"/>
  <c r="J564" i="80" l="1"/>
  <c r="J565" i="80" l="1"/>
  <c r="J566" i="80" l="1"/>
  <c r="J567" i="80" l="1"/>
  <c r="J568" i="80" l="1"/>
  <c r="J569" i="80" l="1"/>
  <c r="J570" i="80" l="1"/>
  <c r="J571" i="80" l="1"/>
  <c r="J572" i="80" l="1"/>
  <c r="J573" i="80" l="1"/>
  <c r="J574" i="80" l="1"/>
  <c r="J575" i="80" l="1"/>
  <c r="J576" i="80" l="1"/>
  <c r="J577" i="80" l="1"/>
  <c r="J578" i="80" l="1"/>
  <c r="J579" i="80" l="1"/>
  <c r="J580" i="80" l="1"/>
  <c r="J581" i="80" l="1"/>
  <c r="J582" i="80" l="1"/>
  <c r="J583" i="80" l="1"/>
  <c r="J584" i="80" l="1"/>
  <c r="J585" i="80" l="1"/>
  <c r="J586" i="80" l="1"/>
  <c r="J587" i="80" l="1"/>
  <c r="J588" i="80" l="1"/>
  <c r="J589" i="80" l="1"/>
  <c r="J590" i="80" l="1"/>
  <c r="J591" i="80" l="1"/>
  <c r="J592" i="80" l="1"/>
  <c r="J593" i="80" l="1"/>
  <c r="J594" i="80" l="1"/>
  <c r="J595" i="80" l="1"/>
  <c r="J596" i="80" l="1"/>
  <c r="J597" i="80" l="1"/>
  <c r="J598" i="80" l="1"/>
  <c r="J599" i="80" l="1"/>
  <c r="J600" i="80" l="1"/>
  <c r="J601" i="80" l="1"/>
  <c r="J602" i="80" l="1"/>
  <c r="J603" i="80" l="1"/>
  <c r="J604" i="80" l="1"/>
  <c r="J605" i="80" l="1"/>
  <c r="J606" i="80" l="1"/>
  <c r="J607" i="80" l="1"/>
  <c r="J608" i="80" l="1"/>
  <c r="J609" i="80" l="1"/>
  <c r="J610" i="80" l="1"/>
  <c r="J611" i="80" l="1"/>
  <c r="J612" i="80" l="1"/>
  <c r="J613" i="80" l="1"/>
  <c r="J614" i="80" l="1"/>
  <c r="J615" i="80" l="1"/>
  <c r="J616" i="80" l="1"/>
  <c r="J617" i="80" l="1"/>
  <c r="J618" i="80" l="1"/>
  <c r="J619" i="80" l="1"/>
  <c r="J620" i="80" l="1"/>
  <c r="J621" i="80" l="1"/>
  <c r="J622" i="80" l="1"/>
  <c r="J623" i="80" l="1"/>
  <c r="J624" i="80" l="1"/>
  <c r="J625" i="80" l="1"/>
  <c r="J626" i="80" l="1"/>
  <c r="J627" i="80" l="1"/>
  <c r="J628" i="80" l="1"/>
  <c r="J629" i="80" l="1"/>
  <c r="J630" i="80" l="1"/>
  <c r="J631" i="80" l="1"/>
  <c r="J632" i="80" l="1"/>
  <c r="J633" i="80" l="1"/>
  <c r="J634" i="80" l="1"/>
  <c r="J635" i="80" l="1"/>
  <c r="J636" i="80" l="1"/>
  <c r="J637" i="80" l="1"/>
  <c r="J638" i="80" l="1"/>
  <c r="J639" i="80" l="1"/>
  <c r="J640" i="80" l="1"/>
  <c r="J641" i="80" l="1"/>
  <c r="J642" i="80" l="1"/>
  <c r="J643" i="80" l="1"/>
  <c r="J644" i="80" l="1"/>
  <c r="J645" i="80" l="1"/>
  <c r="J646" i="80" l="1"/>
  <c r="J647" i="80" l="1"/>
  <c r="J648" i="80" l="1"/>
  <c r="J649" i="80" l="1"/>
  <c r="J650" i="80" l="1"/>
  <c r="J651" i="80" l="1"/>
  <c r="J652" i="80" l="1"/>
  <c r="J653" i="80" l="1"/>
  <c r="J654" i="80" l="1"/>
  <c r="J655" i="80" l="1"/>
  <c r="J656" i="80" l="1"/>
  <c r="J657" i="80" l="1"/>
  <c r="J658" i="80" l="1"/>
  <c r="J659" i="80" l="1"/>
  <c r="J660" i="80" l="1"/>
  <c r="J661" i="80" l="1"/>
  <c r="J662" i="80" l="1"/>
  <c r="J663" i="80" l="1"/>
  <c r="J664" i="80" l="1"/>
  <c r="J665" i="80" l="1"/>
  <c r="J666" i="80" l="1"/>
  <c r="J667" i="80" l="1"/>
  <c r="J668" i="80" l="1"/>
  <c r="J669" i="80" l="1"/>
  <c r="J670" i="80" l="1"/>
  <c r="J671" i="80" l="1"/>
  <c r="J672" i="80" l="1"/>
  <c r="J673" i="80" l="1"/>
  <c r="J674" i="80" l="1"/>
  <c r="J675" i="80" l="1"/>
  <c r="J676" i="80" l="1"/>
  <c r="J677" i="80" l="1"/>
  <c r="J678" i="80" l="1"/>
  <c r="J679" i="80" l="1"/>
  <c r="J680" i="80" l="1"/>
  <c r="L83" i="80" l="1"/>
  <c r="AA172" i="80" l="1"/>
  <c r="BM172" i="80" s="1"/>
  <c r="AA180" i="80"/>
  <c r="AA188" i="80"/>
  <c r="BM188" i="80" s="1"/>
  <c r="AA196" i="80"/>
  <c r="BM196" i="80" s="1"/>
  <c r="AA204" i="80"/>
  <c r="BM204" i="80" s="1"/>
  <c r="AA212" i="80"/>
  <c r="BM212" i="80" s="1"/>
  <c r="AA220" i="80"/>
  <c r="BM220" i="80" s="1"/>
  <c r="AA228" i="80"/>
  <c r="BM228" i="80" s="1"/>
  <c r="AA236" i="80"/>
  <c r="BM236" i="80" s="1"/>
  <c r="AA244" i="80"/>
  <c r="AA252" i="80"/>
  <c r="BM252" i="80" s="1"/>
  <c r="AA260" i="80"/>
  <c r="BM260" i="80" s="1"/>
  <c r="AA268" i="80"/>
  <c r="BM268" i="80" s="1"/>
  <c r="AA276" i="80"/>
  <c r="BM276" i="80" s="1"/>
  <c r="AA284" i="80"/>
  <c r="BM284" i="80" s="1"/>
  <c r="AA292" i="80"/>
  <c r="BM292" i="80" s="1"/>
  <c r="AA300" i="80"/>
  <c r="BM300" i="80" s="1"/>
  <c r="AA308" i="80"/>
  <c r="BM308" i="80" s="1"/>
  <c r="AA316" i="80"/>
  <c r="BM316" i="80" s="1"/>
  <c r="AA324" i="80"/>
  <c r="BM324" i="80" s="1"/>
  <c r="AA332" i="80"/>
  <c r="BM332" i="80" s="1"/>
  <c r="AA340" i="80"/>
  <c r="BM340" i="80" s="1"/>
  <c r="AA348" i="80"/>
  <c r="BM348" i="80" s="1"/>
  <c r="AA356" i="80"/>
  <c r="BM356" i="80" s="1"/>
  <c r="AA364" i="80"/>
  <c r="BM364" i="80" s="1"/>
  <c r="AA372" i="80"/>
  <c r="AA380" i="80"/>
  <c r="BM380" i="80" s="1"/>
  <c r="AA388" i="80"/>
  <c r="BM388" i="80" s="1"/>
  <c r="AA396" i="80"/>
  <c r="BM396" i="80" s="1"/>
  <c r="AA404" i="80"/>
  <c r="BM404" i="80" s="1"/>
  <c r="AA412" i="80"/>
  <c r="BM412" i="80" s="1"/>
  <c r="AA420" i="80"/>
  <c r="BM420" i="80" s="1"/>
  <c r="AA428" i="80"/>
  <c r="BM428" i="80" s="1"/>
  <c r="AA436" i="80"/>
  <c r="BM436" i="80" s="1"/>
  <c r="AA444" i="80"/>
  <c r="BM444" i="80" s="1"/>
  <c r="AA452" i="80"/>
  <c r="BM452" i="80" s="1"/>
  <c r="AA460" i="80"/>
  <c r="BM460" i="80" s="1"/>
  <c r="AA468" i="80"/>
  <c r="BM468" i="80" s="1"/>
  <c r="AA476" i="80"/>
  <c r="BM476" i="80" s="1"/>
  <c r="AA484" i="80"/>
  <c r="BM484" i="80" s="1"/>
  <c r="AA492" i="80"/>
  <c r="BM492" i="80" s="1"/>
  <c r="AA500" i="80"/>
  <c r="AA508" i="80"/>
  <c r="AA516" i="80"/>
  <c r="BM516" i="80" s="1"/>
  <c r="AA524" i="80"/>
  <c r="AA532" i="80"/>
  <c r="BM532" i="80" s="1"/>
  <c r="AA540" i="80"/>
  <c r="BM540" i="80" s="1"/>
  <c r="AA548" i="80"/>
  <c r="BM548" i="80" s="1"/>
  <c r="AA556" i="80"/>
  <c r="BM556" i="80" s="1"/>
  <c r="AA564" i="80"/>
  <c r="BM564" i="80" s="1"/>
  <c r="AA572" i="80"/>
  <c r="BM572" i="80" s="1"/>
  <c r="AA580" i="80"/>
  <c r="BM580" i="80" s="1"/>
  <c r="AA588" i="80"/>
  <c r="BM588" i="80" s="1"/>
  <c r="AA596" i="80"/>
  <c r="BM596" i="80" s="1"/>
  <c r="AA604" i="80"/>
  <c r="BM604" i="80" s="1"/>
  <c r="AA612" i="80"/>
  <c r="BM612" i="80" s="1"/>
  <c r="AA620" i="80"/>
  <c r="BM620" i="80" s="1"/>
  <c r="AA628" i="80"/>
  <c r="AA636" i="80"/>
  <c r="AA644" i="80"/>
  <c r="AA652" i="80"/>
  <c r="BM652" i="80" s="1"/>
  <c r="AA660" i="80"/>
  <c r="BM660" i="80" s="1"/>
  <c r="AA668" i="80"/>
  <c r="BM668" i="80" s="1"/>
  <c r="AA676" i="80"/>
  <c r="BM676" i="80" s="1"/>
  <c r="AA227" i="80"/>
  <c r="BM227" i="80" s="1"/>
  <c r="AA283" i="80"/>
  <c r="BM283" i="80" s="1"/>
  <c r="AA347" i="80"/>
  <c r="BM347" i="80" s="1"/>
  <c r="AA411" i="80"/>
  <c r="BM411" i="80" s="1"/>
  <c r="AA475" i="80"/>
  <c r="BM475" i="80" s="1"/>
  <c r="AA531" i="80"/>
  <c r="BM531" i="80" s="1"/>
  <c r="AA587" i="80"/>
  <c r="BM587" i="80" s="1"/>
  <c r="AA651" i="80"/>
  <c r="BM651" i="80" s="1"/>
  <c r="AA173" i="80"/>
  <c r="BM173" i="80" s="1"/>
  <c r="AA181" i="80"/>
  <c r="AA189" i="80"/>
  <c r="BM189" i="80" s="1"/>
  <c r="AA197" i="80"/>
  <c r="AA205" i="80"/>
  <c r="BM205" i="80" s="1"/>
  <c r="AA213" i="80"/>
  <c r="BM213" i="80" s="1"/>
  <c r="AA221" i="80"/>
  <c r="BM221" i="80" s="1"/>
  <c r="AA229" i="80"/>
  <c r="BM229" i="80" s="1"/>
  <c r="AA237" i="80"/>
  <c r="BM237" i="80" s="1"/>
  <c r="AA245" i="80"/>
  <c r="AA253" i="80"/>
  <c r="BM253" i="80" s="1"/>
  <c r="AA261" i="80"/>
  <c r="AA269" i="80"/>
  <c r="BM269" i="80" s="1"/>
  <c r="AA277" i="80"/>
  <c r="BM277" i="80" s="1"/>
  <c r="AA285" i="80"/>
  <c r="BM285" i="80" s="1"/>
  <c r="AA293" i="80"/>
  <c r="BM293" i="80" s="1"/>
  <c r="AA301" i="80"/>
  <c r="BM301" i="80" s="1"/>
  <c r="AA309" i="80"/>
  <c r="BM309" i="80" s="1"/>
  <c r="AA317" i="80"/>
  <c r="BM317" i="80" s="1"/>
  <c r="AA325" i="80"/>
  <c r="BM325" i="80" s="1"/>
  <c r="AA333" i="80"/>
  <c r="BM333" i="80" s="1"/>
  <c r="AA341" i="80"/>
  <c r="BM341" i="80" s="1"/>
  <c r="AA349" i="80"/>
  <c r="BM349" i="80" s="1"/>
  <c r="AA357" i="80"/>
  <c r="BM357" i="80" s="1"/>
  <c r="AA365" i="80"/>
  <c r="BM365" i="80" s="1"/>
  <c r="AA373" i="80"/>
  <c r="AA381" i="80"/>
  <c r="BM381" i="80" s="1"/>
  <c r="AA389" i="80"/>
  <c r="BM389" i="80" s="1"/>
  <c r="AA397" i="80"/>
  <c r="BM397" i="80" s="1"/>
  <c r="AA405" i="80"/>
  <c r="BM405" i="80" s="1"/>
  <c r="AA413" i="80"/>
  <c r="BM413" i="80" s="1"/>
  <c r="AA421" i="80"/>
  <c r="BM421" i="80" s="1"/>
  <c r="AA429" i="80"/>
  <c r="BM429" i="80" s="1"/>
  <c r="AA437" i="80"/>
  <c r="BM437" i="80" s="1"/>
  <c r="AA445" i="80"/>
  <c r="BM445" i="80" s="1"/>
  <c r="AA453" i="80"/>
  <c r="BM453" i="80" s="1"/>
  <c r="AA461" i="80"/>
  <c r="BM461" i="80" s="1"/>
  <c r="AA469" i="80"/>
  <c r="BM469" i="80" s="1"/>
  <c r="AA477" i="80"/>
  <c r="BM477" i="80" s="1"/>
  <c r="AA485" i="80"/>
  <c r="BM485" i="80" s="1"/>
  <c r="AA493" i="80"/>
  <c r="BM493" i="80" s="1"/>
  <c r="AA501" i="80"/>
  <c r="AA509" i="80"/>
  <c r="BM509" i="80" s="1"/>
  <c r="AA517" i="80"/>
  <c r="BM517" i="80" s="1"/>
  <c r="AA525" i="80"/>
  <c r="BM525" i="80" s="1"/>
  <c r="AA533" i="80"/>
  <c r="BM533" i="80" s="1"/>
  <c r="AA541" i="80"/>
  <c r="BM541" i="80" s="1"/>
  <c r="AA549" i="80"/>
  <c r="BM549" i="80" s="1"/>
  <c r="AA557" i="80"/>
  <c r="BM557" i="80" s="1"/>
  <c r="AA565" i="80"/>
  <c r="AA573" i="80"/>
  <c r="BM573" i="80" s="1"/>
  <c r="AA581" i="80"/>
  <c r="BM581" i="80" s="1"/>
  <c r="AA589" i="80"/>
  <c r="BM589" i="80" s="1"/>
  <c r="AA597" i="80"/>
  <c r="BM597" i="80" s="1"/>
  <c r="AA605" i="80"/>
  <c r="BM605" i="80" s="1"/>
  <c r="AA613" i="80"/>
  <c r="BM613" i="80" s="1"/>
  <c r="AA621" i="80"/>
  <c r="BM621" i="80" s="1"/>
  <c r="AA629" i="80"/>
  <c r="AA637" i="80"/>
  <c r="BM637" i="80" s="1"/>
  <c r="AA645" i="80"/>
  <c r="BM645" i="80" s="1"/>
  <c r="AA653" i="80"/>
  <c r="BM653" i="80" s="1"/>
  <c r="AA661" i="80"/>
  <c r="BM661" i="80" s="1"/>
  <c r="AA669" i="80"/>
  <c r="BM669" i="80" s="1"/>
  <c r="AA677" i="80"/>
  <c r="BM677" i="80" s="1"/>
  <c r="AA674" i="80"/>
  <c r="BM674" i="80" s="1"/>
  <c r="AA211" i="80"/>
  <c r="BM211" i="80" s="1"/>
  <c r="AA299" i="80"/>
  <c r="BM299" i="80" s="1"/>
  <c r="AA371" i="80"/>
  <c r="BM371" i="80" s="1"/>
  <c r="AA435" i="80"/>
  <c r="BM435" i="80" s="1"/>
  <c r="AA483" i="80"/>
  <c r="BM483" i="80" s="1"/>
  <c r="AA539" i="80"/>
  <c r="BM539" i="80" s="1"/>
  <c r="AA603" i="80"/>
  <c r="BM603" i="80" s="1"/>
  <c r="AA659" i="80"/>
  <c r="BM659" i="80" s="1"/>
  <c r="AA174" i="80"/>
  <c r="BM174" i="80" s="1"/>
  <c r="AA182" i="80"/>
  <c r="AA190" i="80"/>
  <c r="BM190" i="80" s="1"/>
  <c r="AA198" i="80"/>
  <c r="BM198" i="80" s="1"/>
  <c r="AA206" i="80"/>
  <c r="BM206" i="80" s="1"/>
  <c r="AA214" i="80"/>
  <c r="BM214" i="80" s="1"/>
  <c r="AA222" i="80"/>
  <c r="BM222" i="80" s="1"/>
  <c r="AA230" i="80"/>
  <c r="BM230" i="80" s="1"/>
  <c r="AA238" i="80"/>
  <c r="BM238" i="80" s="1"/>
  <c r="AA246" i="80"/>
  <c r="BM246" i="80" s="1"/>
  <c r="AA254" i="80"/>
  <c r="BM254" i="80" s="1"/>
  <c r="AA262" i="80"/>
  <c r="BM262" i="80" s="1"/>
  <c r="AA270" i="80"/>
  <c r="BM270" i="80" s="1"/>
  <c r="AA278" i="80"/>
  <c r="BM278" i="80" s="1"/>
  <c r="AA286" i="80"/>
  <c r="BM286" i="80" s="1"/>
  <c r="AA294" i="80"/>
  <c r="BM294" i="80" s="1"/>
  <c r="AA302" i="80"/>
  <c r="BM302" i="80" s="1"/>
  <c r="AA310" i="80"/>
  <c r="AA318" i="80"/>
  <c r="BM318" i="80" s="1"/>
  <c r="AA326" i="80"/>
  <c r="BM326" i="80" s="1"/>
  <c r="AA334" i="80"/>
  <c r="BM334" i="80" s="1"/>
  <c r="AA342" i="80"/>
  <c r="BM342" i="80" s="1"/>
  <c r="AA350" i="80"/>
  <c r="BM350" i="80" s="1"/>
  <c r="AA358" i="80"/>
  <c r="BM358" i="80" s="1"/>
  <c r="AA366" i="80"/>
  <c r="BM366" i="80" s="1"/>
  <c r="AA374" i="80"/>
  <c r="BM374" i="80" s="1"/>
  <c r="AA382" i="80"/>
  <c r="BM382" i="80" s="1"/>
  <c r="AA390" i="80"/>
  <c r="BM390" i="80" s="1"/>
  <c r="AA398" i="80"/>
  <c r="BM398" i="80" s="1"/>
  <c r="AA406" i="80"/>
  <c r="BM406" i="80" s="1"/>
  <c r="AA414" i="80"/>
  <c r="BM414" i="80" s="1"/>
  <c r="AA422" i="80"/>
  <c r="BM422" i="80" s="1"/>
  <c r="AA430" i="80"/>
  <c r="BM430" i="80" s="1"/>
  <c r="AA438" i="80"/>
  <c r="BM438" i="80" s="1"/>
  <c r="AA446" i="80"/>
  <c r="BM446" i="80" s="1"/>
  <c r="AA454" i="80"/>
  <c r="BM454" i="80" s="1"/>
  <c r="AA462" i="80"/>
  <c r="BM462" i="80" s="1"/>
  <c r="AA470" i="80"/>
  <c r="BM470" i="80" s="1"/>
  <c r="AA478" i="80"/>
  <c r="BM478" i="80" s="1"/>
  <c r="AA486" i="80"/>
  <c r="BM486" i="80" s="1"/>
  <c r="AA494" i="80"/>
  <c r="BM494" i="80" s="1"/>
  <c r="AA502" i="80"/>
  <c r="BM502" i="80" s="1"/>
  <c r="AA510" i="80"/>
  <c r="BM510" i="80" s="1"/>
  <c r="AA518" i="80"/>
  <c r="BM518" i="80" s="1"/>
  <c r="AA526" i="80"/>
  <c r="BM526" i="80" s="1"/>
  <c r="AA534" i="80"/>
  <c r="BM534" i="80" s="1"/>
  <c r="AA542" i="80"/>
  <c r="BM542" i="80" s="1"/>
  <c r="AA550" i="80"/>
  <c r="BM550" i="80" s="1"/>
  <c r="AA558" i="80"/>
  <c r="BM558" i="80" s="1"/>
  <c r="AA566" i="80"/>
  <c r="BM566" i="80" s="1"/>
  <c r="AA574" i="80"/>
  <c r="BM574" i="80" s="1"/>
  <c r="AA582" i="80"/>
  <c r="BM582" i="80" s="1"/>
  <c r="AA590" i="80"/>
  <c r="BM590" i="80" s="1"/>
  <c r="AA598" i="80"/>
  <c r="BM598" i="80" s="1"/>
  <c r="AA606" i="80"/>
  <c r="BM606" i="80" s="1"/>
  <c r="AA614" i="80"/>
  <c r="AA622" i="80"/>
  <c r="BM622" i="80" s="1"/>
  <c r="AA630" i="80"/>
  <c r="AA638" i="80"/>
  <c r="BM638" i="80" s="1"/>
  <c r="AA646" i="80"/>
  <c r="AA654" i="80"/>
  <c r="BM654" i="80" s="1"/>
  <c r="AA662" i="80"/>
  <c r="BM662" i="80" s="1"/>
  <c r="AA670" i="80"/>
  <c r="BM670" i="80" s="1"/>
  <c r="AA678" i="80"/>
  <c r="BM678" i="80" s="1"/>
  <c r="AA219" i="80"/>
  <c r="BM219" i="80" s="1"/>
  <c r="AA291" i="80"/>
  <c r="BM291" i="80" s="1"/>
  <c r="AA363" i="80"/>
  <c r="BM363" i="80" s="1"/>
  <c r="AA419" i="80"/>
  <c r="BM419" i="80" s="1"/>
  <c r="AA491" i="80"/>
  <c r="BM491" i="80" s="1"/>
  <c r="AA547" i="80"/>
  <c r="BM547" i="80" s="1"/>
  <c r="AA595" i="80"/>
  <c r="BM595" i="80" s="1"/>
  <c r="AA643" i="80"/>
  <c r="AA175" i="80"/>
  <c r="BM175" i="80" s="1"/>
  <c r="AA183" i="80"/>
  <c r="AA191" i="80"/>
  <c r="BM191" i="80" s="1"/>
  <c r="AA199" i="80"/>
  <c r="BM199" i="80" s="1"/>
  <c r="AA207" i="80"/>
  <c r="BM207" i="80" s="1"/>
  <c r="AA215" i="80"/>
  <c r="BM215" i="80" s="1"/>
  <c r="AA223" i="80"/>
  <c r="BM223" i="80" s="1"/>
  <c r="AA231" i="80"/>
  <c r="BM231" i="80" s="1"/>
  <c r="AA239" i="80"/>
  <c r="AA247" i="80"/>
  <c r="AA255" i="80"/>
  <c r="BM255" i="80" s="1"/>
  <c r="AA263" i="80"/>
  <c r="BM263" i="80" s="1"/>
  <c r="AA271" i="80"/>
  <c r="BM271" i="80" s="1"/>
  <c r="AA279" i="80"/>
  <c r="BM279" i="80" s="1"/>
  <c r="AA287" i="80"/>
  <c r="BM287" i="80" s="1"/>
  <c r="AA295" i="80"/>
  <c r="BM295" i="80" s="1"/>
  <c r="AA303" i="80"/>
  <c r="BM303" i="80" s="1"/>
  <c r="AA311" i="80"/>
  <c r="AA319" i="80"/>
  <c r="BM319" i="80" s="1"/>
  <c r="AA327" i="80"/>
  <c r="BM327" i="80" s="1"/>
  <c r="AA335" i="80"/>
  <c r="BM335" i="80" s="1"/>
  <c r="AA343" i="80"/>
  <c r="BM343" i="80" s="1"/>
  <c r="AA351" i="80"/>
  <c r="BM351" i="80" s="1"/>
  <c r="AA359" i="80"/>
  <c r="BM359" i="80" s="1"/>
  <c r="AA367" i="80"/>
  <c r="BM367" i="80" s="1"/>
  <c r="AA375" i="80"/>
  <c r="BM375" i="80" s="1"/>
  <c r="AA383" i="80"/>
  <c r="BM383" i="80" s="1"/>
  <c r="AA391" i="80"/>
  <c r="AA399" i="80"/>
  <c r="BM399" i="80" s="1"/>
  <c r="AA407" i="80"/>
  <c r="BM407" i="80" s="1"/>
  <c r="AA415" i="80"/>
  <c r="BM415" i="80" s="1"/>
  <c r="AA423" i="80"/>
  <c r="BM423" i="80" s="1"/>
  <c r="AA431" i="80"/>
  <c r="BM431" i="80" s="1"/>
  <c r="AA439" i="80"/>
  <c r="BM439" i="80" s="1"/>
  <c r="AA447" i="80"/>
  <c r="BM447" i="80" s="1"/>
  <c r="AA455" i="80"/>
  <c r="BM455" i="80" s="1"/>
  <c r="AA463" i="80"/>
  <c r="BM463" i="80" s="1"/>
  <c r="AA471" i="80"/>
  <c r="BM471" i="80" s="1"/>
  <c r="AA479" i="80"/>
  <c r="BM479" i="80" s="1"/>
  <c r="AA487" i="80"/>
  <c r="BM487" i="80" s="1"/>
  <c r="AA495" i="80"/>
  <c r="BM495" i="80" s="1"/>
  <c r="AA503" i="80"/>
  <c r="BM503" i="80" s="1"/>
  <c r="AA511" i="80"/>
  <c r="BM511" i="80" s="1"/>
  <c r="AA519" i="80"/>
  <c r="BM519" i="80" s="1"/>
  <c r="AA527" i="80"/>
  <c r="BM527" i="80" s="1"/>
  <c r="AA535" i="80"/>
  <c r="BM535" i="80" s="1"/>
  <c r="AA543" i="80"/>
  <c r="BM543" i="80" s="1"/>
  <c r="AA551" i="80"/>
  <c r="BM551" i="80" s="1"/>
  <c r="AA559" i="80"/>
  <c r="BM559" i="80" s="1"/>
  <c r="AA567" i="80"/>
  <c r="BM567" i="80" s="1"/>
  <c r="AA575" i="80"/>
  <c r="BM575" i="80" s="1"/>
  <c r="AA583" i="80"/>
  <c r="BM583" i="80" s="1"/>
  <c r="AA591" i="80"/>
  <c r="BM591" i="80" s="1"/>
  <c r="AA599" i="80"/>
  <c r="BM599" i="80" s="1"/>
  <c r="AA607" i="80"/>
  <c r="BM607" i="80" s="1"/>
  <c r="AA615" i="80"/>
  <c r="BM615" i="80" s="1"/>
  <c r="AA623" i="80"/>
  <c r="BM623" i="80" s="1"/>
  <c r="AA631" i="80"/>
  <c r="AA639" i="80"/>
  <c r="BM639" i="80" s="1"/>
  <c r="AA647" i="80"/>
  <c r="BM647" i="80" s="1"/>
  <c r="AA655" i="80"/>
  <c r="BM655" i="80" s="1"/>
  <c r="AA663" i="80"/>
  <c r="BM663" i="80" s="1"/>
  <c r="AA671" i="80"/>
  <c r="BM671" i="80" s="1"/>
  <c r="AA679" i="80"/>
  <c r="BM679" i="80" s="1"/>
  <c r="AA666" i="80"/>
  <c r="AA195" i="80"/>
  <c r="BM195" i="80" s="1"/>
  <c r="AA307" i="80"/>
  <c r="BM307" i="80" s="1"/>
  <c r="AA379" i="80"/>
  <c r="BM379" i="80" s="1"/>
  <c r="AA427" i="80"/>
  <c r="BM427" i="80" s="1"/>
  <c r="AA467" i="80"/>
  <c r="BM467" i="80" s="1"/>
  <c r="AA523" i="80"/>
  <c r="BM523" i="80" s="1"/>
  <c r="AA579" i="80"/>
  <c r="BM579" i="80" s="1"/>
  <c r="AA635" i="80"/>
  <c r="BM635" i="80" s="1"/>
  <c r="AA176" i="80"/>
  <c r="AA184" i="80"/>
  <c r="BM184" i="80" s="1"/>
  <c r="AA192" i="80"/>
  <c r="BM192" i="80" s="1"/>
  <c r="AA200" i="80"/>
  <c r="BM200" i="80" s="1"/>
  <c r="AA208" i="80"/>
  <c r="BM208" i="80" s="1"/>
  <c r="AA216" i="80"/>
  <c r="BM216" i="80" s="1"/>
  <c r="AA224" i="80"/>
  <c r="BM224" i="80" s="1"/>
  <c r="AA232" i="80"/>
  <c r="BM232" i="80" s="1"/>
  <c r="AA240" i="80"/>
  <c r="BM240" i="80" s="1"/>
  <c r="AA248" i="80"/>
  <c r="BM248" i="80" s="1"/>
  <c r="AA256" i="80"/>
  <c r="BM256" i="80" s="1"/>
  <c r="AA264" i="80"/>
  <c r="BM264" i="80" s="1"/>
  <c r="AA272" i="80"/>
  <c r="BM272" i="80" s="1"/>
  <c r="AA280" i="80"/>
  <c r="BM280" i="80" s="1"/>
  <c r="AA288" i="80"/>
  <c r="BM288" i="80" s="1"/>
  <c r="AA296" i="80"/>
  <c r="BM296" i="80" s="1"/>
  <c r="AA304" i="80"/>
  <c r="BM304" i="80" s="1"/>
  <c r="AA312" i="80"/>
  <c r="BM312" i="80" s="1"/>
  <c r="AA320" i="80"/>
  <c r="BM320" i="80" s="1"/>
  <c r="AA328" i="80"/>
  <c r="BM328" i="80" s="1"/>
  <c r="AA336" i="80"/>
  <c r="BM336" i="80" s="1"/>
  <c r="AA344" i="80"/>
  <c r="BM344" i="80" s="1"/>
  <c r="AA352" i="80"/>
  <c r="BM352" i="80" s="1"/>
  <c r="AA360" i="80"/>
  <c r="BM360" i="80" s="1"/>
  <c r="AA368" i="80"/>
  <c r="BM368" i="80" s="1"/>
  <c r="AA376" i="80"/>
  <c r="BM376" i="80" s="1"/>
  <c r="AA384" i="80"/>
  <c r="BM384" i="80" s="1"/>
  <c r="AA392" i="80"/>
  <c r="BM392" i="80" s="1"/>
  <c r="AA400" i="80"/>
  <c r="BM400" i="80" s="1"/>
  <c r="AA408" i="80"/>
  <c r="BM408" i="80" s="1"/>
  <c r="AA416" i="80"/>
  <c r="BM416" i="80" s="1"/>
  <c r="AA424" i="80"/>
  <c r="BM424" i="80" s="1"/>
  <c r="AA432" i="80"/>
  <c r="BM432" i="80" s="1"/>
  <c r="AA440" i="80"/>
  <c r="BM440" i="80" s="1"/>
  <c r="AA448" i="80"/>
  <c r="BM448" i="80" s="1"/>
  <c r="AA456" i="80"/>
  <c r="BM456" i="80" s="1"/>
  <c r="AA464" i="80"/>
  <c r="BM464" i="80" s="1"/>
  <c r="AA472" i="80"/>
  <c r="BM472" i="80" s="1"/>
  <c r="AA480" i="80"/>
  <c r="BM480" i="80" s="1"/>
  <c r="AA488" i="80"/>
  <c r="BM488" i="80" s="1"/>
  <c r="AA496" i="80"/>
  <c r="BM496" i="80" s="1"/>
  <c r="AA504" i="80"/>
  <c r="BM504" i="80" s="1"/>
  <c r="AA512" i="80"/>
  <c r="BM512" i="80" s="1"/>
  <c r="AA520" i="80"/>
  <c r="BM520" i="80" s="1"/>
  <c r="AA528" i="80"/>
  <c r="BM528" i="80" s="1"/>
  <c r="AA536" i="80"/>
  <c r="BM536" i="80" s="1"/>
  <c r="AA544" i="80"/>
  <c r="BM544" i="80" s="1"/>
  <c r="AA552" i="80"/>
  <c r="BM552" i="80" s="1"/>
  <c r="AA560" i="80"/>
  <c r="BM560" i="80" s="1"/>
  <c r="AA568" i="80"/>
  <c r="BM568" i="80" s="1"/>
  <c r="AA576" i="80"/>
  <c r="BM576" i="80" s="1"/>
  <c r="AA584" i="80"/>
  <c r="BM584" i="80" s="1"/>
  <c r="AA592" i="80"/>
  <c r="BM592" i="80" s="1"/>
  <c r="AA600" i="80"/>
  <c r="BM600" i="80" s="1"/>
  <c r="AA608" i="80"/>
  <c r="BM608" i="80" s="1"/>
  <c r="AA616" i="80"/>
  <c r="BM616" i="80" s="1"/>
  <c r="AA624" i="80"/>
  <c r="BM624" i="80" s="1"/>
  <c r="AA632" i="80"/>
  <c r="BM632" i="80" s="1"/>
  <c r="AA640" i="80"/>
  <c r="BM640" i="80" s="1"/>
  <c r="AA648" i="80"/>
  <c r="BM648" i="80" s="1"/>
  <c r="AA656" i="80"/>
  <c r="BM656" i="80" s="1"/>
  <c r="AA664" i="80"/>
  <c r="BM664" i="80" s="1"/>
  <c r="AA672" i="80"/>
  <c r="BM672" i="80" s="1"/>
  <c r="AA680" i="80"/>
  <c r="BM680" i="80" s="1"/>
  <c r="AA634" i="80"/>
  <c r="BM634" i="80" s="1"/>
  <c r="AA203" i="80"/>
  <c r="BM203" i="80" s="1"/>
  <c r="AA315" i="80"/>
  <c r="BM315" i="80" s="1"/>
  <c r="AA387" i="80"/>
  <c r="BM387" i="80" s="1"/>
  <c r="AA443" i="80"/>
  <c r="BM443" i="80" s="1"/>
  <c r="AA499" i="80"/>
  <c r="BM499" i="80" s="1"/>
  <c r="AA563" i="80"/>
  <c r="BM563" i="80" s="1"/>
  <c r="AA627" i="80"/>
  <c r="BM627" i="80" s="1"/>
  <c r="AA177" i="80"/>
  <c r="AA185" i="80"/>
  <c r="BM185" i="80" s="1"/>
  <c r="AA193" i="80"/>
  <c r="BM193" i="80" s="1"/>
  <c r="AA201" i="80"/>
  <c r="BM201" i="80" s="1"/>
  <c r="AA209" i="80"/>
  <c r="BM209" i="80" s="1"/>
  <c r="AA217" i="80"/>
  <c r="BM217" i="80" s="1"/>
  <c r="AA225" i="80"/>
  <c r="BM225" i="80" s="1"/>
  <c r="AA233" i="80"/>
  <c r="BM233" i="80" s="1"/>
  <c r="AA241" i="80"/>
  <c r="BM241" i="80" s="1"/>
  <c r="AA249" i="80"/>
  <c r="BM249" i="80" s="1"/>
  <c r="AA257" i="80"/>
  <c r="BM257" i="80" s="1"/>
  <c r="AA265" i="80"/>
  <c r="BM265" i="80" s="1"/>
  <c r="AA273" i="80"/>
  <c r="BM273" i="80" s="1"/>
  <c r="AA281" i="80"/>
  <c r="BM281" i="80" s="1"/>
  <c r="AA289" i="80"/>
  <c r="BM289" i="80" s="1"/>
  <c r="AA297" i="80"/>
  <c r="BM297" i="80" s="1"/>
  <c r="AA305" i="80"/>
  <c r="BM305" i="80" s="1"/>
  <c r="AA313" i="80"/>
  <c r="BM313" i="80" s="1"/>
  <c r="AA321" i="80"/>
  <c r="BM321" i="80" s="1"/>
  <c r="AA329" i="80"/>
  <c r="BM329" i="80" s="1"/>
  <c r="AA337" i="80"/>
  <c r="BM337" i="80" s="1"/>
  <c r="AA345" i="80"/>
  <c r="BM345" i="80" s="1"/>
  <c r="AA353" i="80"/>
  <c r="BM353" i="80" s="1"/>
  <c r="AA361" i="80"/>
  <c r="BM361" i="80" s="1"/>
  <c r="AA369" i="80"/>
  <c r="BM369" i="80" s="1"/>
  <c r="AA377" i="80"/>
  <c r="BM377" i="80" s="1"/>
  <c r="AA385" i="80"/>
  <c r="BM385" i="80" s="1"/>
  <c r="AA393" i="80"/>
  <c r="BM393" i="80" s="1"/>
  <c r="AA401" i="80"/>
  <c r="BM401" i="80" s="1"/>
  <c r="AA409" i="80"/>
  <c r="BM409" i="80" s="1"/>
  <c r="AA417" i="80"/>
  <c r="BM417" i="80" s="1"/>
  <c r="AA425" i="80"/>
  <c r="BM425" i="80" s="1"/>
  <c r="AA433" i="80"/>
  <c r="BM433" i="80" s="1"/>
  <c r="AA441" i="80"/>
  <c r="BM441" i="80" s="1"/>
  <c r="AA449" i="80"/>
  <c r="BM449" i="80" s="1"/>
  <c r="AA457" i="80"/>
  <c r="BM457" i="80" s="1"/>
  <c r="AA465" i="80"/>
  <c r="BM465" i="80" s="1"/>
  <c r="AA473" i="80"/>
  <c r="BM473" i="80" s="1"/>
  <c r="AA481" i="80"/>
  <c r="BM481" i="80" s="1"/>
  <c r="AA489" i="80"/>
  <c r="BM489" i="80" s="1"/>
  <c r="AA497" i="80"/>
  <c r="BM497" i="80" s="1"/>
  <c r="AA505" i="80"/>
  <c r="BM505" i="80" s="1"/>
  <c r="AA513" i="80"/>
  <c r="BM513" i="80" s="1"/>
  <c r="AA521" i="80"/>
  <c r="BM521" i="80" s="1"/>
  <c r="AA529" i="80"/>
  <c r="BM529" i="80" s="1"/>
  <c r="AA537" i="80"/>
  <c r="BM537" i="80" s="1"/>
  <c r="AA545" i="80"/>
  <c r="BM545" i="80" s="1"/>
  <c r="AA553" i="80"/>
  <c r="BM553" i="80" s="1"/>
  <c r="AA561" i="80"/>
  <c r="BM561" i="80" s="1"/>
  <c r="AA569" i="80"/>
  <c r="BM569" i="80" s="1"/>
  <c r="AA577" i="80"/>
  <c r="BM577" i="80" s="1"/>
  <c r="AA585" i="80"/>
  <c r="BM585" i="80" s="1"/>
  <c r="AA593" i="80"/>
  <c r="BM593" i="80" s="1"/>
  <c r="AA601" i="80"/>
  <c r="BM601" i="80" s="1"/>
  <c r="AA609" i="80"/>
  <c r="BM609" i="80" s="1"/>
  <c r="AA617" i="80"/>
  <c r="BM617" i="80" s="1"/>
  <c r="AA625" i="80"/>
  <c r="BM625" i="80" s="1"/>
  <c r="AA633" i="80"/>
  <c r="BM633" i="80" s="1"/>
  <c r="AA641" i="80"/>
  <c r="BM641" i="80" s="1"/>
  <c r="AA649" i="80"/>
  <c r="BM649" i="80" s="1"/>
  <c r="AA657" i="80"/>
  <c r="BM657" i="80" s="1"/>
  <c r="AA665" i="80"/>
  <c r="BM665" i="80" s="1"/>
  <c r="AA673" i="80"/>
  <c r="BM673" i="80" s="1"/>
  <c r="AA650" i="80"/>
  <c r="BM650" i="80" s="1"/>
  <c r="AA179" i="80"/>
  <c r="BM179" i="80" s="1"/>
  <c r="AA243" i="80"/>
  <c r="BM243" i="80" s="1"/>
  <c r="AA259" i="80"/>
  <c r="BM259" i="80" s="1"/>
  <c r="AA275" i="80"/>
  <c r="BM275" i="80" s="1"/>
  <c r="AA323" i="80"/>
  <c r="BM323" i="80" s="1"/>
  <c r="AA339" i="80"/>
  <c r="BM339" i="80" s="1"/>
  <c r="AA395" i="80"/>
  <c r="BM395" i="80" s="1"/>
  <c r="AA459" i="80"/>
  <c r="BM459" i="80" s="1"/>
  <c r="AA515" i="80"/>
  <c r="AA555" i="80"/>
  <c r="BM555" i="80" s="1"/>
  <c r="AA611" i="80"/>
  <c r="BM611" i="80" s="1"/>
  <c r="AA675" i="80"/>
  <c r="BM675" i="80" s="1"/>
  <c r="AA178" i="80"/>
  <c r="BM178" i="80" s="1"/>
  <c r="AA186" i="80"/>
  <c r="BM186" i="80" s="1"/>
  <c r="AA194" i="80"/>
  <c r="BM194" i="80" s="1"/>
  <c r="AA202" i="80"/>
  <c r="BM202" i="80" s="1"/>
  <c r="AA210" i="80"/>
  <c r="BM210" i="80" s="1"/>
  <c r="AA218" i="80"/>
  <c r="BM218" i="80" s="1"/>
  <c r="AA226" i="80"/>
  <c r="BM226" i="80" s="1"/>
  <c r="AA234" i="80"/>
  <c r="BM234" i="80" s="1"/>
  <c r="AA242" i="80"/>
  <c r="BM242" i="80" s="1"/>
  <c r="AA250" i="80"/>
  <c r="BM250" i="80" s="1"/>
  <c r="AA258" i="80"/>
  <c r="BM258" i="80" s="1"/>
  <c r="AA266" i="80"/>
  <c r="BM266" i="80" s="1"/>
  <c r="AA274" i="80"/>
  <c r="BM274" i="80" s="1"/>
  <c r="AA282" i="80"/>
  <c r="BM282" i="80" s="1"/>
  <c r="AA290" i="80"/>
  <c r="BM290" i="80" s="1"/>
  <c r="AA298" i="80"/>
  <c r="BM298" i="80" s="1"/>
  <c r="AA306" i="80"/>
  <c r="BM306" i="80" s="1"/>
  <c r="AA314" i="80"/>
  <c r="BM314" i="80" s="1"/>
  <c r="AA322" i="80"/>
  <c r="BM322" i="80" s="1"/>
  <c r="AA330" i="80"/>
  <c r="BM330" i="80" s="1"/>
  <c r="AA338" i="80"/>
  <c r="BM338" i="80" s="1"/>
  <c r="AA346" i="80"/>
  <c r="BM346" i="80" s="1"/>
  <c r="AA354" i="80"/>
  <c r="BM354" i="80" s="1"/>
  <c r="AA362" i="80"/>
  <c r="BM362" i="80" s="1"/>
  <c r="AA370" i="80"/>
  <c r="BM370" i="80" s="1"/>
  <c r="AA378" i="80"/>
  <c r="BM378" i="80" s="1"/>
  <c r="AA386" i="80"/>
  <c r="BM386" i="80" s="1"/>
  <c r="AA394" i="80"/>
  <c r="BM394" i="80" s="1"/>
  <c r="AA402" i="80"/>
  <c r="BM402" i="80" s="1"/>
  <c r="AA410" i="80"/>
  <c r="BM410" i="80" s="1"/>
  <c r="AA418" i="80"/>
  <c r="BM418" i="80" s="1"/>
  <c r="AA426" i="80"/>
  <c r="BM426" i="80" s="1"/>
  <c r="AA434" i="80"/>
  <c r="BM434" i="80" s="1"/>
  <c r="AA442" i="80"/>
  <c r="BM442" i="80" s="1"/>
  <c r="AA450" i="80"/>
  <c r="BM450" i="80" s="1"/>
  <c r="AA458" i="80"/>
  <c r="BM458" i="80" s="1"/>
  <c r="AA466" i="80"/>
  <c r="BM466" i="80" s="1"/>
  <c r="AA474" i="80"/>
  <c r="BM474" i="80" s="1"/>
  <c r="AA482" i="80"/>
  <c r="BM482" i="80" s="1"/>
  <c r="AA490" i="80"/>
  <c r="BM490" i="80" s="1"/>
  <c r="AA498" i="80"/>
  <c r="BM498" i="80" s="1"/>
  <c r="AA506" i="80"/>
  <c r="BM506" i="80" s="1"/>
  <c r="AA514" i="80"/>
  <c r="BM514" i="80" s="1"/>
  <c r="AA522" i="80"/>
  <c r="BM522" i="80" s="1"/>
  <c r="AA530" i="80"/>
  <c r="BM530" i="80" s="1"/>
  <c r="AA538" i="80"/>
  <c r="BM538" i="80" s="1"/>
  <c r="AA546" i="80"/>
  <c r="BM546" i="80" s="1"/>
  <c r="AA554" i="80"/>
  <c r="BM554" i="80" s="1"/>
  <c r="AA562" i="80"/>
  <c r="BM562" i="80" s="1"/>
  <c r="AA570" i="80"/>
  <c r="BM570" i="80" s="1"/>
  <c r="AA578" i="80"/>
  <c r="BM578" i="80" s="1"/>
  <c r="AA586" i="80"/>
  <c r="BM586" i="80" s="1"/>
  <c r="AA594" i="80"/>
  <c r="BM594" i="80" s="1"/>
  <c r="AA602" i="80"/>
  <c r="BM602" i="80" s="1"/>
  <c r="AA610" i="80"/>
  <c r="BM610" i="80" s="1"/>
  <c r="AA618" i="80"/>
  <c r="BM618" i="80" s="1"/>
  <c r="AA626" i="80"/>
  <c r="BM626" i="80" s="1"/>
  <c r="AA642" i="80"/>
  <c r="BM642" i="80" s="1"/>
  <c r="AA658" i="80"/>
  <c r="BM658" i="80" s="1"/>
  <c r="AA187" i="80"/>
  <c r="BM187" i="80" s="1"/>
  <c r="AA235" i="80"/>
  <c r="BM235" i="80" s="1"/>
  <c r="AA251" i="80"/>
  <c r="BM251" i="80" s="1"/>
  <c r="AA267" i="80"/>
  <c r="BM267" i="80" s="1"/>
  <c r="AA331" i="80"/>
  <c r="BM331" i="80" s="1"/>
  <c r="AA355" i="80"/>
  <c r="BM355" i="80" s="1"/>
  <c r="AA403" i="80"/>
  <c r="BM403" i="80" s="1"/>
  <c r="AA451" i="80"/>
  <c r="BM451" i="80" s="1"/>
  <c r="AA507" i="80"/>
  <c r="BM507" i="80" s="1"/>
  <c r="AA571" i="80"/>
  <c r="BM571" i="80" s="1"/>
  <c r="AA619" i="80"/>
  <c r="BM619" i="80" s="1"/>
  <c r="AA667" i="80"/>
  <c r="BM667" i="80" s="1"/>
  <c r="AA100" i="80"/>
  <c r="BM100" i="80" s="1"/>
  <c r="AA108" i="80"/>
  <c r="BM108" i="80" s="1"/>
  <c r="AA116" i="80"/>
  <c r="BM116" i="80" s="1"/>
  <c r="AA124" i="80"/>
  <c r="BM124" i="80" s="1"/>
  <c r="AA132" i="80"/>
  <c r="BM132" i="80" s="1"/>
  <c r="AA140" i="80"/>
  <c r="BM140" i="80" s="1"/>
  <c r="AA148" i="80"/>
  <c r="BM148" i="80" s="1"/>
  <c r="AA156" i="80"/>
  <c r="BM156" i="80" s="1"/>
  <c r="AA164" i="80"/>
  <c r="BM164" i="80" s="1"/>
  <c r="AA146" i="80"/>
  <c r="BM146" i="80" s="1"/>
  <c r="AA107" i="80"/>
  <c r="BM107" i="80" s="1"/>
  <c r="AA155" i="80"/>
  <c r="BM155" i="80" s="1"/>
  <c r="AA101" i="80"/>
  <c r="BM101" i="80" s="1"/>
  <c r="AA109" i="80"/>
  <c r="BM109" i="80" s="1"/>
  <c r="AA117" i="80"/>
  <c r="BM117" i="80" s="1"/>
  <c r="AA125" i="80"/>
  <c r="BM125" i="80" s="1"/>
  <c r="AA133" i="80"/>
  <c r="BM133" i="80" s="1"/>
  <c r="AA141" i="80"/>
  <c r="BM141" i="80" s="1"/>
  <c r="AA149" i="80"/>
  <c r="BM149" i="80" s="1"/>
  <c r="AA157" i="80"/>
  <c r="BM157" i="80" s="1"/>
  <c r="AA165" i="80"/>
  <c r="BM165" i="80" s="1"/>
  <c r="AA138" i="80"/>
  <c r="BM138" i="80" s="1"/>
  <c r="AA147" i="80"/>
  <c r="BM147" i="80" s="1"/>
  <c r="AA102" i="80"/>
  <c r="BM102" i="80" s="1"/>
  <c r="AA110" i="80"/>
  <c r="BM110" i="80" s="1"/>
  <c r="AA118" i="80"/>
  <c r="BM118" i="80" s="1"/>
  <c r="AA126" i="80"/>
  <c r="BM126" i="80" s="1"/>
  <c r="AA134" i="80"/>
  <c r="BM134" i="80" s="1"/>
  <c r="AA142" i="80"/>
  <c r="BM142" i="80" s="1"/>
  <c r="AA150" i="80"/>
  <c r="BM150" i="80" s="1"/>
  <c r="AA158" i="80"/>
  <c r="BM158" i="80" s="1"/>
  <c r="AA166" i="80"/>
  <c r="BM166" i="80" s="1"/>
  <c r="AA130" i="80"/>
  <c r="BM130" i="80" s="1"/>
  <c r="AA162" i="80"/>
  <c r="BM162" i="80" s="1"/>
  <c r="AA115" i="80"/>
  <c r="BM115" i="80" s="1"/>
  <c r="AA163" i="80"/>
  <c r="BM163" i="80" s="1"/>
  <c r="AA103" i="80"/>
  <c r="BM103" i="80" s="1"/>
  <c r="AA111" i="80"/>
  <c r="BM111" i="80" s="1"/>
  <c r="AA119" i="80"/>
  <c r="BM119" i="80" s="1"/>
  <c r="AA127" i="80"/>
  <c r="BM127" i="80" s="1"/>
  <c r="AA135" i="80"/>
  <c r="BM135" i="80" s="1"/>
  <c r="AA143" i="80"/>
  <c r="BM143" i="80" s="1"/>
  <c r="AA151" i="80"/>
  <c r="BM151" i="80" s="1"/>
  <c r="AA159" i="80"/>
  <c r="BM159" i="80" s="1"/>
  <c r="AA167" i="80"/>
  <c r="BM167" i="80" s="1"/>
  <c r="AA114" i="80"/>
  <c r="BM114" i="80" s="1"/>
  <c r="AA139" i="80"/>
  <c r="BM139" i="80" s="1"/>
  <c r="AA104" i="80"/>
  <c r="BM104" i="80" s="1"/>
  <c r="AA112" i="80"/>
  <c r="BM112" i="80" s="1"/>
  <c r="AA120" i="80"/>
  <c r="BM120" i="80" s="1"/>
  <c r="AA128" i="80"/>
  <c r="BM128" i="80" s="1"/>
  <c r="AA136" i="80"/>
  <c r="BM136" i="80" s="1"/>
  <c r="AA144" i="80"/>
  <c r="BM144" i="80" s="1"/>
  <c r="AA152" i="80"/>
  <c r="BM152" i="80" s="1"/>
  <c r="AA160" i="80"/>
  <c r="BM160" i="80" s="1"/>
  <c r="AA168" i="80"/>
  <c r="BM168" i="80" s="1"/>
  <c r="AA106" i="80"/>
  <c r="BM106" i="80" s="1"/>
  <c r="AA170" i="80"/>
  <c r="BM170" i="80" s="1"/>
  <c r="AA131" i="80"/>
  <c r="BM131" i="80" s="1"/>
  <c r="AA105" i="80"/>
  <c r="BM105" i="80" s="1"/>
  <c r="AA113" i="80"/>
  <c r="BM113" i="80" s="1"/>
  <c r="AA121" i="80"/>
  <c r="BM121" i="80" s="1"/>
  <c r="AA129" i="80"/>
  <c r="BM129" i="80" s="1"/>
  <c r="AA137" i="80"/>
  <c r="BM137" i="80" s="1"/>
  <c r="AA145" i="80"/>
  <c r="BM145" i="80" s="1"/>
  <c r="AA153" i="80"/>
  <c r="BM153" i="80" s="1"/>
  <c r="AA161" i="80"/>
  <c r="BM161" i="80" s="1"/>
  <c r="AA169" i="80"/>
  <c r="BM169" i="80" s="1"/>
  <c r="AA122" i="80"/>
  <c r="BM122" i="80" s="1"/>
  <c r="AA154" i="80"/>
  <c r="BM154" i="80" s="1"/>
  <c r="AA123" i="80"/>
  <c r="BM123" i="80" s="1"/>
  <c r="AA171" i="80"/>
  <c r="BM171" i="80" s="1"/>
  <c r="BM182" i="80"/>
  <c r="BM310" i="80"/>
  <c r="BM614" i="80"/>
  <c r="BM630" i="80"/>
  <c r="BM646" i="80"/>
  <c r="BM372" i="80"/>
  <c r="BM183" i="80"/>
  <c r="BM239" i="80"/>
  <c r="BM247" i="80"/>
  <c r="BM311" i="80"/>
  <c r="BM391" i="80"/>
  <c r="BM631" i="80"/>
  <c r="BM176" i="80"/>
  <c r="BM644" i="80"/>
  <c r="BM177" i="80"/>
  <c r="BM180" i="80"/>
  <c r="BM524" i="80"/>
  <c r="BM636" i="80"/>
  <c r="BM666" i="80"/>
  <c r="BM244" i="80"/>
  <c r="BM500" i="80"/>
  <c r="BM628" i="80"/>
  <c r="BM515" i="80"/>
  <c r="BM643" i="80"/>
  <c r="BM508" i="80"/>
  <c r="BM181" i="80"/>
  <c r="BM197" i="80"/>
  <c r="BM245" i="80"/>
  <c r="BM261" i="80"/>
  <c r="BM373" i="80"/>
  <c r="BM501" i="80"/>
  <c r="BM565" i="80"/>
  <c r="BM629" i="80"/>
  <c r="BM85" i="80"/>
  <c r="BN85" i="80" s="1"/>
  <c r="BO85" i="80" s="1"/>
  <c r="Q85" i="80" l="1"/>
  <c r="BQ85" i="80"/>
  <c r="BR85" i="80" l="1"/>
  <c r="BS85" i="80" s="1"/>
  <c r="BP85" i="80"/>
  <c r="K85" i="80"/>
  <c r="M86" i="80" s="1"/>
  <c r="L85" i="80"/>
  <c r="N86" i="80" s="1"/>
  <c r="BU86" i="80" l="1"/>
  <c r="BT86" i="80" l="1"/>
  <c r="O86" i="80"/>
  <c r="S86" i="80" s="1"/>
  <c r="X86" i="80" l="1"/>
  <c r="T86" i="80"/>
  <c r="V86" i="80" s="1"/>
  <c r="Y86" i="80" s="1"/>
  <c r="BY86" i="80"/>
  <c r="P86" i="80"/>
  <c r="U86" i="80" s="1"/>
  <c r="AC86" i="80"/>
  <c r="BE86" i="80" l="1"/>
  <c r="R86" i="80"/>
  <c r="BV87" i="80"/>
  <c r="AO86" i="80"/>
  <c r="AP86" i="80"/>
  <c r="AQ86" i="80" s="1"/>
  <c r="AD86" i="80"/>
  <c r="BX86" i="80"/>
  <c r="AE86" i="80" l="1"/>
  <c r="AF86" i="80"/>
  <c r="AR86" i="80"/>
  <c r="AS86" i="80"/>
  <c r="AH86" i="80" l="1"/>
  <c r="AI86" i="80" s="1"/>
  <c r="AJ86" i="80" s="1"/>
  <c r="AG86" i="80"/>
  <c r="AK86" i="80" l="1"/>
  <c r="AL86" i="80" s="1"/>
  <c r="AX86" i="80"/>
  <c r="BD86" i="80"/>
  <c r="AT86" i="80"/>
  <c r="AM86" i="80" l="1"/>
  <c r="AV86" i="80" s="1"/>
  <c r="BW87" i="80"/>
  <c r="AN86" i="80"/>
  <c r="AW86" i="80"/>
  <c r="AY86" i="80" l="1"/>
  <c r="BA86" i="80" s="1"/>
  <c r="AZ86" i="80" l="1"/>
  <c r="BB86" i="80"/>
  <c r="BF86" i="80"/>
  <c r="BG86" i="80" l="1"/>
  <c r="BH86" i="80" s="1"/>
  <c r="BI86" i="80" l="1"/>
  <c r="BJ86" i="80" l="1"/>
  <c r="BK86" i="80" s="1"/>
  <c r="BL86" i="80" s="1"/>
  <c r="BN86" i="80"/>
  <c r="Q86" i="80" s="1"/>
  <c r="BO86" i="80" l="1"/>
  <c r="BR86" i="80" s="1"/>
  <c r="BS86" i="80" s="1"/>
  <c r="BQ86" i="80"/>
  <c r="K86" i="80"/>
  <c r="M87" i="80" s="1"/>
  <c r="L86" i="80"/>
  <c r="N87" i="80" s="1"/>
  <c r="BP86" i="80" l="1"/>
  <c r="BT87" i="80"/>
  <c r="O87" i="80"/>
  <c r="S87" i="80" s="1"/>
  <c r="BU87" i="80"/>
  <c r="BY87" i="80" l="1"/>
  <c r="P87" i="80"/>
  <c r="U87" i="80" s="1"/>
  <c r="T87" i="80" l="1"/>
  <c r="V87" i="80" s="1"/>
  <c r="X87" i="80"/>
  <c r="Y87" i="80" l="1"/>
  <c r="BX87" i="80" s="1"/>
  <c r="AC87" i="80"/>
  <c r="AD87" i="80" l="1"/>
  <c r="AE87" i="80" s="1"/>
  <c r="AP87" i="80"/>
  <c r="AQ87" i="80" s="1"/>
  <c r="AS87" i="80" s="1"/>
  <c r="AO87" i="80"/>
  <c r="BE87" i="80"/>
  <c r="R87" i="80"/>
  <c r="BV88" i="80"/>
  <c r="AF87" i="80" l="1"/>
  <c r="AH87" i="80" s="1"/>
  <c r="AI87" i="80" s="1"/>
  <c r="AJ87" i="80" s="1"/>
  <c r="AR87" i="80"/>
  <c r="AG87" i="80" l="1"/>
  <c r="AK87" i="80" s="1"/>
  <c r="AL87" i="80" s="1"/>
  <c r="AT87" i="80" l="1"/>
  <c r="BD87" i="80"/>
  <c r="AX87" i="80"/>
  <c r="AM87" i="80"/>
  <c r="BW88" i="80"/>
  <c r="AN87" i="80"/>
  <c r="AV87" i="80" l="1"/>
  <c r="AW87" i="80"/>
  <c r="AY87" i="80" l="1"/>
  <c r="BA87" i="80" s="1"/>
  <c r="BB87" i="80" l="1"/>
  <c r="AZ87" i="80"/>
  <c r="BF87" i="80"/>
  <c r="BG87" i="80" l="1"/>
  <c r="BH87" i="80" s="1"/>
  <c r="BI87" i="80" s="1"/>
  <c r="BJ87" i="80" l="1"/>
  <c r="BK87" i="80" s="1"/>
  <c r="BL87" i="80" s="1"/>
  <c r="BN87" i="80"/>
  <c r="Q87" i="80" s="1"/>
  <c r="BO87" i="80" l="1"/>
  <c r="BR87" i="80" s="1"/>
  <c r="BS87" i="80" s="1"/>
  <c r="BQ87" i="80"/>
  <c r="K87" i="80"/>
  <c r="M88" i="80" s="1"/>
  <c r="L87" i="80"/>
  <c r="N88" i="80" s="1"/>
  <c r="BP87" i="80" l="1"/>
  <c r="BU88" i="80"/>
  <c r="BT88" i="80"/>
  <c r="O88" i="80"/>
  <c r="S88" i="80" s="1"/>
  <c r="BY88" i="80" l="1"/>
  <c r="P88" i="80"/>
  <c r="U88" i="80" s="1"/>
  <c r="T88" i="80" l="1"/>
  <c r="V88" i="80" s="1"/>
  <c r="X88" i="80"/>
  <c r="Y88" i="80" l="1"/>
  <c r="BX88" i="80" s="1"/>
  <c r="AC88" i="80"/>
  <c r="AD88" i="80" l="1"/>
  <c r="AF88" i="80" s="1"/>
  <c r="AP88" i="80"/>
  <c r="AQ88" i="80" s="1"/>
  <c r="AR88" i="80" s="1"/>
  <c r="BV89" i="80"/>
  <c r="R88" i="80"/>
  <c r="BE88" i="80"/>
  <c r="AO88" i="80"/>
  <c r="AS88" i="80" l="1"/>
  <c r="AE88" i="80"/>
  <c r="AH88" i="80"/>
  <c r="AI88" i="80" s="1"/>
  <c r="AJ88" i="80" s="1"/>
  <c r="AG88" i="80"/>
  <c r="AK88" i="80" l="1"/>
  <c r="AL88" i="80" s="1"/>
  <c r="AX88" i="80"/>
  <c r="BD88" i="80"/>
  <c r="AT88" i="80"/>
  <c r="AM88" i="80" l="1"/>
  <c r="AV88" i="80" s="1"/>
  <c r="AN88" i="80"/>
  <c r="BW89" i="80"/>
  <c r="AW88" i="80"/>
  <c r="AY88" i="80" l="1"/>
  <c r="BA88" i="80" s="1"/>
  <c r="AZ88" i="80" l="1"/>
  <c r="BB88" i="80"/>
  <c r="BF88" i="80"/>
  <c r="BG88" i="80" l="1"/>
  <c r="BH88" i="80" s="1"/>
  <c r="BI88" i="80" l="1"/>
  <c r="BN88" i="80" l="1"/>
  <c r="Q88" i="80" s="1"/>
  <c r="BJ88" i="80"/>
  <c r="BK88" i="80" s="1"/>
  <c r="BL88" i="80" s="1"/>
  <c r="BO88" i="80" l="1"/>
  <c r="BR88" i="80" s="1"/>
  <c r="BS88" i="80" s="1"/>
  <c r="BQ88" i="80"/>
  <c r="L88" i="80"/>
  <c r="N89" i="80" s="1"/>
  <c r="K88" i="80"/>
  <c r="M89" i="80" s="1"/>
  <c r="BP88" i="80" l="1"/>
  <c r="BT89" i="80"/>
  <c r="O89" i="80"/>
  <c r="S89" i="80" s="1"/>
  <c r="BU89" i="80"/>
  <c r="BY89" i="80" l="1"/>
  <c r="P89" i="80"/>
  <c r="U89" i="80" s="1"/>
  <c r="T89" i="80" l="1"/>
  <c r="V89" i="80" s="1"/>
  <c r="X89" i="80"/>
  <c r="Y89" i="80" l="1"/>
  <c r="BX89" i="80" s="1"/>
  <c r="AC89" i="80"/>
  <c r="AD89" i="80" l="1"/>
  <c r="AE89" i="80" s="1"/>
  <c r="AP89" i="80"/>
  <c r="AQ89" i="80" s="1"/>
  <c r="AR89" i="80" s="1"/>
  <c r="R89" i="80"/>
  <c r="BE89" i="80"/>
  <c r="AO89" i="80"/>
  <c r="BV90" i="80"/>
  <c r="AF89" i="80" l="1"/>
  <c r="AH89" i="80" s="1"/>
  <c r="AI89" i="80" s="1"/>
  <c r="AJ89" i="80" s="1"/>
  <c r="AS89" i="80"/>
  <c r="AG89" i="80" l="1"/>
  <c r="AX89" i="80" s="1"/>
  <c r="AT89" i="80" l="1"/>
  <c r="BD89" i="80"/>
  <c r="AK89" i="80"/>
  <c r="AL89" i="80" s="1"/>
  <c r="AM89" i="80" s="1"/>
  <c r="AV89" i="80" l="1"/>
  <c r="AN89" i="80"/>
  <c r="BW90" i="80"/>
  <c r="AW89" i="80"/>
  <c r="AY89" i="80" l="1"/>
  <c r="BA89" i="80" s="1"/>
  <c r="BB89" i="80" s="1"/>
  <c r="BF89" i="80"/>
  <c r="AZ89" i="80" l="1"/>
  <c r="BG89" i="80"/>
  <c r="BH89" i="80" s="1"/>
  <c r="BI89" i="80" l="1"/>
  <c r="BJ89" i="80" l="1"/>
  <c r="BK89" i="80" s="1"/>
  <c r="BL89" i="80" s="1"/>
  <c r="BN89" i="80"/>
  <c r="Q89" i="80" s="1"/>
  <c r="BO89" i="80" l="1"/>
  <c r="BR89" i="80" s="1"/>
  <c r="BS89" i="80" s="1"/>
  <c r="BQ89" i="80"/>
  <c r="K89" i="80"/>
  <c r="M90" i="80" s="1"/>
  <c r="L89" i="80"/>
  <c r="N90" i="80" s="1"/>
  <c r="BP89" i="80" l="1"/>
  <c r="BU90" i="80"/>
  <c r="BT90" i="80"/>
  <c r="O90" i="80"/>
  <c r="S90" i="80" s="1"/>
  <c r="BY90" i="80" l="1"/>
  <c r="P90" i="80"/>
  <c r="U90" i="80" s="1"/>
  <c r="T90" i="80" l="1"/>
  <c r="V90" i="80" s="1"/>
  <c r="X90" i="80"/>
  <c r="Y90" i="80" l="1"/>
  <c r="BX90" i="80" s="1"/>
  <c r="AC90" i="80"/>
  <c r="AD90" i="80" l="1"/>
  <c r="AE90" i="80" s="1"/>
  <c r="AP90" i="80"/>
  <c r="AQ90" i="80" s="1"/>
  <c r="AR90" i="80" s="1"/>
  <c r="BE90" i="80"/>
  <c r="R90" i="80"/>
  <c r="AO90" i="80"/>
  <c r="BV91" i="80"/>
  <c r="AF90" i="80" l="1"/>
  <c r="AH90" i="80" s="1"/>
  <c r="AI90" i="80" s="1"/>
  <c r="AJ90" i="80" s="1"/>
  <c r="AS90" i="80"/>
  <c r="AG90" i="80" l="1"/>
  <c r="AK90" i="80" s="1"/>
  <c r="AL90" i="80" s="1"/>
  <c r="BD90" i="80" l="1"/>
  <c r="AT90" i="80"/>
  <c r="AX90" i="80"/>
  <c r="AM90" i="80"/>
  <c r="AN90" i="80"/>
  <c r="BW91" i="80"/>
  <c r="AV90" i="80" l="1"/>
  <c r="AW90" i="80"/>
  <c r="AY90" i="80" l="1"/>
  <c r="BA90" i="80" s="1"/>
  <c r="BB90" i="80" l="1"/>
  <c r="AZ90" i="80"/>
  <c r="BF90" i="80"/>
  <c r="BG90" i="80" l="1"/>
  <c r="BH90" i="80" l="1"/>
  <c r="BI90" i="80" s="1"/>
  <c r="BJ90" i="80" l="1"/>
  <c r="BK90" i="80" s="1"/>
  <c r="BL90" i="80" s="1"/>
  <c r="BN90" i="80"/>
  <c r="Q90" i="80" s="1"/>
  <c r="L90" i="80" s="1"/>
  <c r="N91" i="80" s="1"/>
  <c r="BO90" i="80" l="1"/>
  <c r="BP90" i="80" s="1"/>
  <c r="BQ90" i="80"/>
  <c r="K90" i="80"/>
  <c r="M91" i="80" s="1"/>
  <c r="BT91" i="80" s="1"/>
  <c r="BU91" i="80"/>
  <c r="BR90" i="80" l="1"/>
  <c r="BS90" i="80" s="1"/>
  <c r="O91" i="80"/>
  <c r="S91" i="80" s="1"/>
  <c r="BY91" i="80" l="1"/>
  <c r="P91" i="80"/>
  <c r="U91" i="80" s="1"/>
  <c r="T91" i="80"/>
  <c r="V91" i="80" s="1"/>
  <c r="X91" i="80"/>
  <c r="Y91" i="80" l="1"/>
  <c r="BX91" i="80" s="1"/>
  <c r="AC91" i="80"/>
  <c r="BE91" i="80" l="1"/>
  <c r="BV92" i="80"/>
  <c r="R91" i="80"/>
  <c r="AP91" i="80"/>
  <c r="AQ91" i="80" s="1"/>
  <c r="AR91" i="80" s="1"/>
  <c r="AD91" i="80"/>
  <c r="AE91" i="80" s="1"/>
  <c r="AO91" i="80"/>
  <c r="AF91" i="80" l="1"/>
  <c r="AH91" i="80" s="1"/>
  <c r="AI91" i="80" s="1"/>
  <c r="AJ91" i="80" s="1"/>
  <c r="AS91" i="80"/>
  <c r="AG91" i="80" l="1"/>
  <c r="AK91" i="80" s="1"/>
  <c r="AL91" i="80" s="1"/>
  <c r="AX91" i="80" l="1"/>
  <c r="AT91" i="80"/>
  <c r="BD91" i="80"/>
  <c r="AM91" i="80"/>
  <c r="AN91" i="80"/>
  <c r="BW92" i="80"/>
  <c r="AV91" i="80" l="1"/>
  <c r="AW91" i="80"/>
  <c r="AY91" i="80" l="1"/>
  <c r="BA91" i="80" s="1"/>
  <c r="BB91" i="80" l="1"/>
  <c r="AZ91" i="80"/>
  <c r="BF91" i="80"/>
  <c r="BG91" i="80" l="1"/>
  <c r="BH91" i="80" s="1"/>
  <c r="BI91" i="80" s="1"/>
  <c r="BJ91" i="80" l="1"/>
  <c r="BK91" i="80" s="1"/>
  <c r="BL91" i="80" s="1"/>
  <c r="BN91" i="80"/>
  <c r="Q91" i="80" s="1"/>
  <c r="BO91" i="80" l="1"/>
  <c r="BP91" i="80" s="1"/>
  <c r="BQ91" i="80"/>
  <c r="K91" i="80"/>
  <c r="M92" i="80" s="1"/>
  <c r="L91" i="80"/>
  <c r="N92" i="80" s="1"/>
  <c r="BR91" i="80" l="1"/>
  <c r="BS91" i="80" s="1"/>
  <c r="BU92" i="80"/>
  <c r="BT92" i="80"/>
  <c r="O92" i="80"/>
  <c r="S92" i="80" s="1"/>
  <c r="P92" i="80" l="1"/>
  <c r="U92" i="80" s="1"/>
  <c r="BY92" i="80"/>
  <c r="T92" i="80" l="1"/>
  <c r="V92" i="80" s="1"/>
  <c r="X92" i="80"/>
  <c r="Y92" i="80" l="1"/>
  <c r="AP92" i="80" s="1"/>
  <c r="AQ92" i="80" s="1"/>
  <c r="AC92" i="80"/>
  <c r="AD92" i="80" l="1"/>
  <c r="AE92" i="80" s="1"/>
  <c r="BX92" i="80"/>
  <c r="BE92" i="80"/>
  <c r="BV93" i="80"/>
  <c r="R92" i="80"/>
  <c r="AO92" i="80"/>
  <c r="AR92" i="80"/>
  <c r="AS92" i="80"/>
  <c r="AF92" i="80" l="1"/>
  <c r="AH92" i="80" s="1"/>
  <c r="AI92" i="80" s="1"/>
  <c r="AJ92" i="80" s="1"/>
  <c r="AG92" i="80" l="1"/>
  <c r="AX92" i="80" s="1"/>
  <c r="AT92" i="80" l="1"/>
  <c r="BD92" i="80"/>
  <c r="AK92" i="80"/>
  <c r="AL92" i="80" s="1"/>
  <c r="AM92" i="80" s="1"/>
  <c r="AV92" i="80" l="1"/>
  <c r="AN92" i="80"/>
  <c r="BW93" i="80"/>
  <c r="AW92" i="80"/>
  <c r="AY92" i="80" l="1"/>
  <c r="BA92" i="80" s="1"/>
  <c r="BB92" i="80" s="1"/>
  <c r="BF92" i="80"/>
  <c r="AZ92" i="80" l="1"/>
  <c r="BG92" i="80"/>
  <c r="BH92" i="80" s="1"/>
  <c r="BI92" i="80" l="1"/>
  <c r="BJ92" i="80" s="1"/>
  <c r="BK92" i="80" s="1"/>
  <c r="BL92" i="80" s="1"/>
  <c r="BN92" i="80" l="1"/>
  <c r="Q92" i="80" s="1"/>
  <c r="BO92" i="80" l="1"/>
  <c r="BP92" i="80" s="1"/>
  <c r="BQ92" i="80"/>
  <c r="L92" i="80"/>
  <c r="N93" i="80" s="1"/>
  <c r="K92" i="80"/>
  <c r="M93" i="80" s="1"/>
  <c r="BR92" i="80" l="1"/>
  <c r="BS92" i="80" s="1"/>
  <c r="BT93" i="80"/>
  <c r="O93" i="80"/>
  <c r="S93" i="80" s="1"/>
  <c r="BU93" i="80"/>
  <c r="P93" i="80" l="1"/>
  <c r="U93" i="80" s="1"/>
  <c r="BY93" i="80"/>
  <c r="T93" i="80" l="1"/>
  <c r="V93" i="80" s="1"/>
  <c r="X93" i="80"/>
  <c r="Y93" i="80" l="1"/>
  <c r="AP93" i="80" s="1"/>
  <c r="AQ93" i="80" s="1"/>
  <c r="AC93" i="80"/>
  <c r="BE93" i="80" l="1"/>
  <c r="R93" i="80"/>
  <c r="BV94" i="80"/>
  <c r="AD93" i="80"/>
  <c r="AE93" i="80" s="1"/>
  <c r="BX93" i="80"/>
  <c r="AO93" i="80"/>
  <c r="AR93" i="80"/>
  <c r="AS93" i="80"/>
  <c r="AF93" i="80" l="1"/>
  <c r="AH93" i="80" s="1"/>
  <c r="AI93" i="80" s="1"/>
  <c r="AJ93" i="80" s="1"/>
  <c r="AG93" i="80" l="1"/>
  <c r="AK93" i="80" s="1"/>
  <c r="AL93" i="80" s="1"/>
  <c r="AT93" i="80" l="1"/>
  <c r="BD93" i="80"/>
  <c r="AX93" i="80"/>
  <c r="AM93" i="80"/>
  <c r="BW94" i="80"/>
  <c r="AN93" i="80"/>
  <c r="AV93" i="80" l="1"/>
  <c r="AW93" i="80"/>
  <c r="AY93" i="80" l="1"/>
  <c r="BA93" i="80" s="1"/>
  <c r="BB93" i="80" s="1"/>
  <c r="BF93" i="80"/>
  <c r="AZ93" i="80" l="1"/>
  <c r="BG93" i="80"/>
  <c r="BH93" i="80" s="1"/>
  <c r="BI93" i="80" l="1"/>
  <c r="BN93" i="80" s="1"/>
  <c r="Q93" i="80" s="1"/>
  <c r="BJ93" i="80" l="1"/>
  <c r="BK93" i="80" s="1"/>
  <c r="BL93" i="80" s="1"/>
  <c r="BQ93" i="80"/>
  <c r="BO93" i="80"/>
  <c r="K93" i="80" l="1"/>
  <c r="M94" i="80" s="1"/>
  <c r="L93" i="80"/>
  <c r="N94" i="80" s="1"/>
  <c r="BR93" i="80"/>
  <c r="BS93" i="80" s="1"/>
  <c r="BP93" i="80"/>
  <c r="BU94" i="80" l="1"/>
  <c r="BT94" i="80"/>
  <c r="O94" i="80"/>
  <c r="S94" i="80" s="1"/>
  <c r="P94" i="80" l="1"/>
  <c r="U94" i="80" s="1"/>
  <c r="BY94" i="80"/>
  <c r="T94" i="80" l="1"/>
  <c r="V94" i="80" s="1"/>
  <c r="X94" i="80"/>
  <c r="Y94" i="80" l="1"/>
  <c r="BX94" i="80" s="1"/>
  <c r="AC94" i="80"/>
  <c r="AD94" i="80" l="1"/>
  <c r="AE94" i="80" s="1"/>
  <c r="AP94" i="80"/>
  <c r="AQ94" i="80" s="1"/>
  <c r="AR94" i="80" s="1"/>
  <c r="BE94" i="80"/>
  <c r="AO94" i="80"/>
  <c r="R94" i="80"/>
  <c r="BV95" i="80"/>
  <c r="AF94" i="80" l="1"/>
  <c r="AH94" i="80" s="1"/>
  <c r="AI94" i="80" s="1"/>
  <c r="AJ94" i="80" s="1"/>
  <c r="AS94" i="80"/>
  <c r="AG94" i="80" l="1"/>
  <c r="AX94" i="80" s="1"/>
  <c r="AT94" i="80" l="1"/>
  <c r="AK94" i="80"/>
  <c r="AL94" i="80" s="1"/>
  <c r="AM94" i="80" s="1"/>
  <c r="BD94" i="80"/>
  <c r="AV94" i="80" l="1"/>
  <c r="AN94" i="80"/>
  <c r="BW95" i="80"/>
  <c r="AW94" i="80"/>
  <c r="AY94" i="80" l="1"/>
  <c r="BA94" i="80" s="1"/>
  <c r="BB94" i="80" l="1"/>
  <c r="AZ94" i="80"/>
  <c r="BF94" i="80"/>
  <c r="BG94" i="80" l="1"/>
  <c r="BH94" i="80" l="1"/>
  <c r="BI94" i="80" s="1"/>
  <c r="BN94" i="80" s="1"/>
  <c r="Q94" i="80" l="1"/>
  <c r="K94" i="80" s="1"/>
  <c r="M95" i="80" s="1"/>
  <c r="BO94" i="80"/>
  <c r="BR94" i="80" s="1"/>
  <c r="BS94" i="80" s="1"/>
  <c r="BJ94" i="80"/>
  <c r="BK94" i="80" s="1"/>
  <c r="BL94" i="80" s="1"/>
  <c r="BQ94" i="80"/>
  <c r="BP94" i="80" l="1"/>
  <c r="L94" i="80"/>
  <c r="N95" i="80" s="1"/>
  <c r="O95" i="80" s="1"/>
  <c r="S95" i="80" s="1"/>
  <c r="BT95" i="80"/>
  <c r="BU95" i="80" l="1"/>
  <c r="BY95" i="80"/>
  <c r="P95" i="80"/>
  <c r="U95" i="80" s="1"/>
  <c r="T95" i="80" l="1"/>
  <c r="V95" i="80" s="1"/>
  <c r="X95" i="80"/>
  <c r="Y95" i="80" l="1"/>
  <c r="AP95" i="80" s="1"/>
  <c r="AQ95" i="80" s="1"/>
  <c r="AC95" i="80"/>
  <c r="AD95" i="80" l="1"/>
  <c r="AF95" i="80" s="1"/>
  <c r="BX95" i="80"/>
  <c r="R95" i="80"/>
  <c r="BE95" i="80"/>
  <c r="AO95" i="80"/>
  <c r="BV96" i="80"/>
  <c r="AR95" i="80"/>
  <c r="AS95" i="80"/>
  <c r="AE95" i="80" l="1"/>
  <c r="AH95" i="80"/>
  <c r="AI95" i="80" s="1"/>
  <c r="AJ95" i="80" s="1"/>
  <c r="AG95" i="80"/>
  <c r="AX95" i="80" l="1"/>
  <c r="AK95" i="80"/>
  <c r="AL95" i="80" s="1"/>
  <c r="BD95" i="80"/>
  <c r="AT95" i="80"/>
  <c r="AM95" i="80" l="1"/>
  <c r="AV95" i="80" s="1"/>
  <c r="AN95" i="80"/>
  <c r="BW96" i="80"/>
  <c r="AW95" i="80"/>
  <c r="AY95" i="80" l="1"/>
  <c r="BA95" i="80" s="1"/>
  <c r="AZ95" i="80" l="1"/>
  <c r="BB95" i="80"/>
  <c r="BF95" i="80"/>
  <c r="BG95" i="80" l="1"/>
  <c r="BH95" i="80" s="1"/>
  <c r="BI95" i="80" l="1"/>
  <c r="BJ95" i="80" l="1"/>
  <c r="BK95" i="80" s="1"/>
  <c r="BL95" i="80" s="1"/>
  <c r="BN95" i="80"/>
  <c r="Q95" i="80" s="1"/>
  <c r="BO95" i="80" l="1"/>
  <c r="BR95" i="80" s="1"/>
  <c r="BS95" i="80" s="1"/>
  <c r="BQ95" i="80"/>
  <c r="K95" i="80"/>
  <c r="M96" i="80" s="1"/>
  <c r="L95" i="80"/>
  <c r="N96" i="80" s="1"/>
  <c r="BP95" i="80" l="1"/>
  <c r="BU96" i="80"/>
  <c r="BT96" i="80"/>
  <c r="O96" i="80"/>
  <c r="S96" i="80" s="1"/>
  <c r="BY96" i="80" l="1"/>
  <c r="P96" i="80"/>
  <c r="U96" i="80" s="1"/>
  <c r="T96" i="80" l="1"/>
  <c r="V96" i="80" s="1"/>
  <c r="X96" i="80"/>
  <c r="Y96" i="80" l="1"/>
  <c r="BX96" i="80" s="1"/>
  <c r="AC96" i="80"/>
  <c r="AD96" i="80" l="1"/>
  <c r="AE96" i="80" s="1"/>
  <c r="AP96" i="80"/>
  <c r="AQ96" i="80" s="1"/>
  <c r="AR96" i="80" s="1"/>
  <c r="BE96" i="80"/>
  <c r="R96" i="80"/>
  <c r="AO96" i="80"/>
  <c r="BV97" i="80"/>
  <c r="AF96" i="80" l="1"/>
  <c r="AH96" i="80" s="1"/>
  <c r="AI96" i="80" s="1"/>
  <c r="AJ96" i="80" s="1"/>
  <c r="AS96" i="80"/>
  <c r="AG96" i="80" l="1"/>
  <c r="AX96" i="80" s="1"/>
  <c r="AT96" i="80" l="1"/>
  <c r="BD96" i="80"/>
  <c r="AK96" i="80"/>
  <c r="AL96" i="80" s="1"/>
  <c r="AM96" i="80" s="1"/>
  <c r="AV96" i="80" s="1"/>
  <c r="AW96" i="80"/>
  <c r="AN96" i="80" l="1"/>
  <c r="BW97" i="80"/>
  <c r="AY96" i="80"/>
  <c r="BA96" i="80" s="1"/>
  <c r="AZ96" i="80" l="1"/>
  <c r="BB96" i="80"/>
  <c r="BF96" i="80"/>
  <c r="BG96" i="80" l="1"/>
  <c r="BH96" i="80" s="1"/>
  <c r="BI96" i="80" l="1"/>
  <c r="BJ96" i="80" l="1"/>
  <c r="BK96" i="80" s="1"/>
  <c r="BL96" i="80" s="1"/>
  <c r="BN96" i="80"/>
  <c r="Q96" i="80" s="1"/>
  <c r="BO96" i="80" l="1"/>
  <c r="BR96" i="80" s="1"/>
  <c r="BS96" i="80" s="1"/>
  <c r="BQ96" i="80"/>
  <c r="L96" i="80"/>
  <c r="N97" i="80" s="1"/>
  <c r="K96" i="80"/>
  <c r="M97" i="80" s="1"/>
  <c r="BP96" i="80" l="1"/>
  <c r="BT97" i="80"/>
  <c r="O97" i="80"/>
  <c r="S97" i="80" s="1"/>
  <c r="BU97" i="80"/>
  <c r="P97" i="80" l="1"/>
  <c r="U97" i="80" s="1"/>
  <c r="BY97" i="80"/>
  <c r="T97" i="80" l="1"/>
  <c r="V97" i="80" s="1"/>
  <c r="X97" i="80"/>
  <c r="Y97" i="80" l="1"/>
  <c r="AP97" i="80" s="1"/>
  <c r="AQ97" i="80" s="1"/>
  <c r="AC97" i="80"/>
  <c r="AD97" i="80" l="1"/>
  <c r="AF97" i="80" s="1"/>
  <c r="BX97" i="80"/>
  <c r="BE97" i="80"/>
  <c r="R97" i="80"/>
  <c r="BV98" i="80"/>
  <c r="AO97" i="80"/>
  <c r="AR97" i="80"/>
  <c r="AS97" i="80"/>
  <c r="AE97" i="80" l="1"/>
  <c r="AH97" i="80"/>
  <c r="AI97" i="80" s="1"/>
  <c r="AJ97" i="80" s="1"/>
  <c r="AG97" i="80"/>
  <c r="AX97" i="80" l="1"/>
  <c r="AK97" i="80"/>
  <c r="AL97" i="80" s="1"/>
  <c r="BD97" i="80"/>
  <c r="AT97" i="80"/>
  <c r="AM97" i="80" l="1"/>
  <c r="AV97" i="80" s="1"/>
  <c r="BW98" i="80"/>
  <c r="AN97" i="80"/>
  <c r="AW97" i="80"/>
  <c r="AY97" i="80" l="1"/>
  <c r="BA97" i="80" s="1"/>
  <c r="AZ97" i="80" l="1"/>
  <c r="BB97" i="80"/>
  <c r="BF97" i="80"/>
  <c r="BG97" i="80" l="1"/>
  <c r="BH97" i="80" s="1"/>
  <c r="BI97" i="80" l="1"/>
  <c r="BJ97" i="80" l="1"/>
  <c r="BK97" i="80" s="1"/>
  <c r="BL97" i="80" s="1"/>
  <c r="BN97" i="80"/>
  <c r="Q97" i="80" s="1"/>
  <c r="BO97" i="80" l="1"/>
  <c r="BR97" i="80" s="1"/>
  <c r="BS97" i="80" s="1"/>
  <c r="BQ97" i="80"/>
  <c r="K97" i="80"/>
  <c r="M98" i="80" s="1"/>
  <c r="L97" i="80"/>
  <c r="N98" i="80" s="1"/>
  <c r="BP97" i="80" l="1"/>
  <c r="BU98" i="80"/>
  <c r="BT98" i="80"/>
  <c r="O98" i="80"/>
  <c r="S98" i="80" s="1"/>
  <c r="P98" i="80" l="1"/>
  <c r="U98" i="80" s="1"/>
  <c r="BY98" i="80"/>
  <c r="T98" i="80" l="1"/>
  <c r="V98" i="80" s="1"/>
  <c r="X98" i="80"/>
  <c r="Y98" i="80" l="1"/>
  <c r="AC98" i="80"/>
  <c r="R98" i="80" l="1"/>
  <c r="BE98" i="80"/>
  <c r="BV99" i="80"/>
  <c r="AO98" i="80"/>
  <c r="AD98" i="80"/>
  <c r="AE98" i="80" s="1"/>
  <c r="BX98" i="80"/>
  <c r="AP98" i="80"/>
  <c r="AQ98" i="80" s="1"/>
  <c r="AR98" i="80" s="1"/>
  <c r="AS98" i="80" l="1"/>
  <c r="AF98" i="80"/>
  <c r="AH98" i="80" s="1"/>
  <c r="AI98" i="80" s="1"/>
  <c r="AJ98" i="80" s="1"/>
  <c r="AG98" i="80" l="1"/>
  <c r="AK98" i="80" s="1"/>
  <c r="AL98" i="80" s="1"/>
  <c r="AT98" i="80" l="1"/>
  <c r="BD98" i="80"/>
  <c r="AX98" i="80"/>
  <c r="AM98" i="80"/>
  <c r="AN98" i="80"/>
  <c r="BW99" i="80"/>
  <c r="AV98" i="80" l="1"/>
  <c r="AW98" i="80"/>
  <c r="AY98" i="80" l="1"/>
  <c r="BA98" i="80" s="1"/>
  <c r="BB98" i="80" l="1"/>
  <c r="AZ98" i="80"/>
  <c r="BF98" i="80"/>
  <c r="BG98" i="80" l="1"/>
  <c r="BH98" i="80" l="1"/>
  <c r="BI98" i="80" s="1"/>
  <c r="BJ98" i="80" l="1"/>
  <c r="BK98" i="80" s="1"/>
  <c r="BL98" i="80" s="1"/>
  <c r="BN98" i="80"/>
  <c r="Q98" i="80" s="1"/>
  <c r="L98" i="80" s="1"/>
  <c r="N99" i="80" s="1"/>
  <c r="BQ98" i="80" l="1"/>
  <c r="K98" i="80"/>
  <c r="M99" i="80" s="1"/>
  <c r="BT99" i="80" s="1"/>
  <c r="BO98" i="80"/>
  <c r="BR98" i="80" s="1"/>
  <c r="BS98" i="80" s="1"/>
  <c r="BU99" i="80"/>
  <c r="O99" i="80" l="1"/>
  <c r="S99" i="80" s="1"/>
  <c r="BP98" i="80"/>
  <c r="BY99" i="80" l="1"/>
  <c r="P99" i="80"/>
  <c r="U99" i="80" s="1"/>
  <c r="T99" i="80"/>
  <c r="V99" i="80" s="1"/>
  <c r="X99" i="80"/>
  <c r="Y99" i="80" l="1"/>
  <c r="AD99" i="80" s="1"/>
  <c r="AC99" i="80"/>
  <c r="R99" i="80" l="1"/>
  <c r="BE99" i="80"/>
  <c r="BV100" i="80"/>
  <c r="AP99" i="80"/>
  <c r="AQ99" i="80" s="1"/>
  <c r="AS99" i="80" s="1"/>
  <c r="BX99" i="80"/>
  <c r="AO99" i="80"/>
  <c r="AE99" i="80"/>
  <c r="AF99" i="80"/>
  <c r="AR99" i="80" l="1"/>
  <c r="AH99" i="80"/>
  <c r="AI99" i="80" s="1"/>
  <c r="AJ99" i="80" s="1"/>
  <c r="AG99" i="80"/>
  <c r="AX99" i="80" l="1"/>
  <c r="AK99" i="80"/>
  <c r="AL99" i="80" s="1"/>
  <c r="BD99" i="80"/>
  <c r="AT99" i="80"/>
  <c r="AM99" i="80" l="1"/>
  <c r="AV99" i="80" s="1"/>
  <c r="BW100" i="80"/>
  <c r="AN99" i="80"/>
  <c r="AW99" i="80"/>
  <c r="AY99" i="80" l="1"/>
  <c r="BA99" i="80" s="1"/>
  <c r="AZ99" i="80" l="1"/>
  <c r="BB99" i="80"/>
  <c r="BF99" i="80"/>
  <c r="BG99" i="80" l="1"/>
  <c r="BH99" i="80" s="1"/>
  <c r="BI99" i="80" l="1"/>
  <c r="BJ99" i="80" l="1"/>
  <c r="BK99" i="80" s="1"/>
  <c r="BL99" i="80" s="1"/>
  <c r="BN99" i="80"/>
  <c r="Q99" i="80" s="1"/>
  <c r="BO99" i="80" l="1"/>
  <c r="BR99" i="80" s="1"/>
  <c r="BS99" i="80" s="1"/>
  <c r="BQ99" i="80"/>
  <c r="K99" i="80"/>
  <c r="M100" i="80" s="1"/>
  <c r="L99" i="80"/>
  <c r="N100" i="80" s="1"/>
  <c r="BP99" i="80" l="1"/>
  <c r="BU100" i="80"/>
  <c r="BT100" i="80"/>
  <c r="O100" i="80"/>
  <c r="S100" i="80" s="1"/>
  <c r="P100" i="80" l="1"/>
  <c r="U100" i="80" s="1"/>
  <c r="BY100" i="80"/>
  <c r="T100" i="80" l="1"/>
  <c r="V100" i="80" s="1"/>
  <c r="X100" i="80"/>
  <c r="Y100" i="80" l="1"/>
  <c r="AP100" i="80" s="1"/>
  <c r="AQ100" i="80" s="1"/>
  <c r="AC100" i="80"/>
  <c r="BE100" i="80" l="1"/>
  <c r="AD100" i="80"/>
  <c r="AE100" i="80" s="1"/>
  <c r="BV101" i="80"/>
  <c r="R100" i="80"/>
  <c r="BX100" i="80"/>
  <c r="AO100" i="80"/>
  <c r="AR100" i="80"/>
  <c r="AS100" i="80"/>
  <c r="AF100" i="80" l="1"/>
  <c r="AH100" i="80" s="1"/>
  <c r="AI100" i="80" s="1"/>
  <c r="AJ100" i="80" s="1"/>
  <c r="AG100" i="80" l="1"/>
  <c r="AX100" i="80" s="1"/>
  <c r="AK100" i="80" l="1"/>
  <c r="AL100" i="80" s="1"/>
  <c r="AM100" i="80" s="1"/>
  <c r="AT100" i="80"/>
  <c r="BD100" i="80"/>
  <c r="AN100" i="80" l="1"/>
  <c r="AV100" i="80"/>
  <c r="BW101" i="80"/>
  <c r="AW100" i="80"/>
  <c r="AY100" i="80" l="1"/>
  <c r="BA100" i="80" s="1"/>
  <c r="BB100" i="80" s="1"/>
  <c r="BF100" i="80"/>
  <c r="AZ100" i="80" l="1"/>
  <c r="BG100" i="80"/>
  <c r="BH100" i="80" s="1"/>
  <c r="BI100" i="80" l="1"/>
  <c r="BN100" i="80" l="1"/>
  <c r="Q100" i="80" s="1"/>
  <c r="BJ100" i="80"/>
  <c r="BK100" i="80" s="1"/>
  <c r="BL100" i="80" s="1"/>
  <c r="BO100" i="80" l="1"/>
  <c r="BR100" i="80" s="1"/>
  <c r="BS100" i="80" s="1"/>
  <c r="BQ100" i="80"/>
  <c r="L100" i="80"/>
  <c r="N101" i="80" s="1"/>
  <c r="K100" i="80"/>
  <c r="M101" i="80" s="1"/>
  <c r="BP100" i="80" l="1"/>
  <c r="BU101" i="80"/>
  <c r="BT101" i="80"/>
  <c r="O101" i="80"/>
  <c r="S101" i="80" s="1"/>
  <c r="BY101" i="80" l="1"/>
  <c r="P101" i="80"/>
  <c r="U101" i="80" s="1"/>
  <c r="T101" i="80" l="1"/>
  <c r="V101" i="80" s="1"/>
  <c r="X101" i="80"/>
  <c r="Y101" i="80" l="1"/>
  <c r="BX101" i="80" s="1"/>
  <c r="AC101" i="80"/>
  <c r="BE101" i="80" l="1"/>
  <c r="BV102" i="80"/>
  <c r="R101" i="80"/>
  <c r="AD101" i="80"/>
  <c r="AE101" i="80" s="1"/>
  <c r="AP101" i="80"/>
  <c r="AQ101" i="80" s="1"/>
  <c r="AR101" i="80" s="1"/>
  <c r="AO101" i="80"/>
  <c r="AF101" i="80" l="1"/>
  <c r="AH101" i="80" s="1"/>
  <c r="AI101" i="80" s="1"/>
  <c r="AJ101" i="80" s="1"/>
  <c r="AS101" i="80"/>
  <c r="AG101" i="80" l="1"/>
  <c r="AK101" i="80" s="1"/>
  <c r="AL101" i="80" s="1"/>
  <c r="AT101" i="80" l="1"/>
  <c r="BD101" i="80"/>
  <c r="AX101" i="80"/>
  <c r="AM101" i="80"/>
  <c r="BW102" i="80"/>
  <c r="AN101" i="80"/>
  <c r="AV101" i="80" l="1"/>
  <c r="AW101" i="80"/>
  <c r="AY101" i="80" l="1"/>
  <c r="BA101" i="80" s="1"/>
  <c r="BB101" i="80" s="1"/>
  <c r="BF101" i="80"/>
  <c r="AZ101" i="80" l="1"/>
  <c r="BG101" i="80"/>
  <c r="BH101" i="80" s="1"/>
  <c r="BI101" i="80" l="1"/>
  <c r="BJ101" i="80" l="1"/>
  <c r="BK101" i="80" s="1"/>
  <c r="BL101" i="80" s="1"/>
  <c r="BN101" i="80"/>
  <c r="Q101" i="80" s="1"/>
  <c r="BO101" i="80" l="1"/>
  <c r="BR101" i="80" s="1"/>
  <c r="BS101" i="80" s="1"/>
  <c r="BQ101" i="80"/>
  <c r="L101" i="80"/>
  <c r="N102" i="80" s="1"/>
  <c r="K101" i="80"/>
  <c r="M102" i="80" s="1"/>
  <c r="BP101" i="80" l="1"/>
  <c r="BU102" i="80"/>
  <c r="BT102" i="80"/>
  <c r="O102" i="80"/>
  <c r="S102" i="80" s="1"/>
  <c r="BY102" i="80" l="1"/>
  <c r="P102" i="80"/>
  <c r="U102" i="80" s="1"/>
  <c r="T102" i="80" l="1"/>
  <c r="V102" i="80" s="1"/>
  <c r="X102" i="80"/>
  <c r="Y102" i="80" l="1"/>
  <c r="AC102" i="80"/>
  <c r="BE102" i="80" l="1"/>
  <c r="AO102" i="80"/>
  <c r="BV103" i="80"/>
  <c r="R102" i="80"/>
  <c r="AD102" i="80"/>
  <c r="AE102" i="80" s="1"/>
  <c r="AP102" i="80"/>
  <c r="AQ102" i="80" s="1"/>
  <c r="AR102" i="80" s="1"/>
  <c r="BX102" i="80"/>
  <c r="AF102" i="80" l="1"/>
  <c r="AH102" i="80" s="1"/>
  <c r="AI102" i="80" s="1"/>
  <c r="AJ102" i="80" s="1"/>
  <c r="AS102" i="80"/>
  <c r="AG102" i="80" l="1"/>
  <c r="AX102" i="80" s="1"/>
  <c r="AT102" i="80" l="1"/>
  <c r="BD102" i="80"/>
  <c r="AK102" i="80"/>
  <c r="AL102" i="80" s="1"/>
  <c r="AM102" i="80" s="1"/>
  <c r="AV102" i="80" l="1"/>
  <c r="AN102" i="80"/>
  <c r="BW103" i="80"/>
  <c r="AW102" i="80"/>
  <c r="AY102" i="80" l="1"/>
  <c r="BA102" i="80" s="1"/>
  <c r="BB102" i="80" l="1"/>
  <c r="AZ102" i="80"/>
  <c r="BF102" i="80"/>
  <c r="BG102" i="80" l="1"/>
  <c r="BH102" i="80" l="1"/>
  <c r="BI102" i="80" s="1"/>
  <c r="BJ102" i="80" l="1"/>
  <c r="BK102" i="80" s="1"/>
  <c r="BL102" i="80" s="1"/>
  <c r="BN102" i="80"/>
  <c r="Q102" i="80" s="1"/>
  <c r="K102" i="80" s="1"/>
  <c r="M103" i="80" s="1"/>
  <c r="BQ102" i="80" l="1"/>
  <c r="L102" i="80"/>
  <c r="N103" i="80" s="1"/>
  <c r="O103" i="80" s="1"/>
  <c r="S103" i="80" s="1"/>
  <c r="BO102" i="80"/>
  <c r="BT103" i="80"/>
  <c r="BU103" i="80" l="1"/>
  <c r="BR102" i="80"/>
  <c r="BS102" i="80" s="1"/>
  <c r="BP102" i="80"/>
  <c r="BY103" i="80"/>
  <c r="P103" i="80"/>
  <c r="U103" i="80" s="1"/>
  <c r="T103" i="80" l="1"/>
  <c r="V103" i="80" s="1"/>
  <c r="X103" i="80"/>
  <c r="Y103" i="80" l="1"/>
  <c r="AC103" i="80"/>
  <c r="BV104" i="80" l="1"/>
  <c r="R103" i="80"/>
  <c r="BE103" i="80"/>
  <c r="AO103" i="80"/>
  <c r="AD103" i="80"/>
  <c r="AE103" i="80" s="1"/>
  <c r="AP103" i="80"/>
  <c r="AQ103" i="80" s="1"/>
  <c r="AR103" i="80" s="1"/>
  <c r="BX103" i="80"/>
  <c r="AF103" i="80" l="1"/>
  <c r="AH103" i="80" s="1"/>
  <c r="AI103" i="80" s="1"/>
  <c r="AJ103" i="80" s="1"/>
  <c r="AS103" i="80"/>
  <c r="AG103" i="80" l="1"/>
  <c r="AK103" i="80" s="1"/>
  <c r="AL103" i="80" s="1"/>
  <c r="AT103" i="80" l="1"/>
  <c r="BD103" i="80"/>
  <c r="AX103" i="80"/>
  <c r="AM103" i="80"/>
  <c r="AN103" i="80"/>
  <c r="BW104" i="80"/>
  <c r="AV103" i="80" l="1"/>
  <c r="AW103" i="80"/>
  <c r="AY103" i="80" l="1"/>
  <c r="BA103" i="80" s="1"/>
  <c r="BB103" i="80" s="1"/>
  <c r="BF103" i="80"/>
  <c r="AZ103" i="80" l="1"/>
  <c r="BG103" i="80"/>
  <c r="BH103" i="80" s="1"/>
  <c r="BI103" i="80" l="1"/>
  <c r="BJ103" i="80" l="1"/>
  <c r="BK103" i="80" s="1"/>
  <c r="BL103" i="80" s="1"/>
  <c r="BN103" i="80"/>
  <c r="Q103" i="80" s="1"/>
  <c r="BO103" i="80" l="1"/>
  <c r="BR103" i="80" s="1"/>
  <c r="BS103" i="80" s="1"/>
  <c r="BQ103" i="80"/>
  <c r="K103" i="80"/>
  <c r="M104" i="80" s="1"/>
  <c r="L103" i="80"/>
  <c r="N104" i="80" s="1"/>
  <c r="BP103" i="80" l="1"/>
  <c r="BU104" i="80"/>
  <c r="BT104" i="80"/>
  <c r="O104" i="80"/>
  <c r="S104" i="80" s="1"/>
  <c r="BY104" i="80" l="1"/>
  <c r="P104" i="80"/>
  <c r="U104" i="80" s="1"/>
  <c r="T104" i="80" l="1"/>
  <c r="V104" i="80" s="1"/>
  <c r="X104" i="80"/>
  <c r="Y104" i="80" l="1"/>
  <c r="BX104" i="80" s="1"/>
  <c r="AC104" i="80"/>
  <c r="R104" i="80" l="1"/>
  <c r="BV105" i="80"/>
  <c r="BE104" i="80"/>
  <c r="AD104" i="80"/>
  <c r="AE104" i="80" s="1"/>
  <c r="AP104" i="80"/>
  <c r="AQ104" i="80" s="1"/>
  <c r="AS104" i="80" s="1"/>
  <c r="AO104" i="80"/>
  <c r="AF104" i="80" l="1"/>
  <c r="AH104" i="80" s="1"/>
  <c r="AI104" i="80" s="1"/>
  <c r="AJ104" i="80" s="1"/>
  <c r="AR104" i="80"/>
  <c r="AG104" i="80" l="1"/>
  <c r="AK104" i="80" s="1"/>
  <c r="AL104" i="80" s="1"/>
  <c r="AT104" i="80" l="1"/>
  <c r="BD104" i="80"/>
  <c r="AX104" i="80"/>
  <c r="AM104" i="80"/>
  <c r="AV104" i="80" s="1"/>
  <c r="BW105" i="80"/>
  <c r="AN104" i="80"/>
  <c r="AW104" i="80"/>
  <c r="AY104" i="80" l="1"/>
  <c r="BA104" i="80" s="1"/>
  <c r="AZ104" i="80" l="1"/>
  <c r="BB104" i="80"/>
  <c r="BF104" i="80"/>
  <c r="BG104" i="80" l="1"/>
  <c r="BH104" i="80" s="1"/>
  <c r="BI104" i="80" l="1"/>
  <c r="BJ104" i="80" s="1"/>
  <c r="BK104" i="80" s="1"/>
  <c r="BL104" i="80" s="1"/>
  <c r="BN104" i="80" l="1"/>
  <c r="Q104" i="80" s="1"/>
  <c r="BO104" i="80" l="1"/>
  <c r="BR104" i="80" s="1"/>
  <c r="BS104" i="80" s="1"/>
  <c r="BQ104" i="80"/>
  <c r="L104" i="80"/>
  <c r="N105" i="80" s="1"/>
  <c r="K104" i="80"/>
  <c r="M105" i="80" s="1"/>
  <c r="BP104" i="80" l="1"/>
  <c r="BU105" i="80"/>
  <c r="BT105" i="80"/>
  <c r="O105" i="80"/>
  <c r="S105" i="80" s="1"/>
  <c r="BY105" i="80" l="1"/>
  <c r="P105" i="80"/>
  <c r="U105" i="80" s="1"/>
  <c r="T105" i="80" l="1"/>
  <c r="V105" i="80" s="1"/>
  <c r="X105" i="80"/>
  <c r="Y105" i="80" l="1"/>
  <c r="AC105" i="80"/>
  <c r="R105" i="80" l="1"/>
  <c r="AO105" i="80"/>
  <c r="BV106" i="80"/>
  <c r="BE105" i="80"/>
  <c r="AD105" i="80"/>
  <c r="AE105" i="80" s="1"/>
  <c r="AP105" i="80"/>
  <c r="AQ105" i="80" s="1"/>
  <c r="AR105" i="80" s="1"/>
  <c r="BX105" i="80"/>
  <c r="AF105" i="80" l="1"/>
  <c r="AH105" i="80" s="1"/>
  <c r="AI105" i="80" s="1"/>
  <c r="AJ105" i="80" s="1"/>
  <c r="AS105" i="80"/>
  <c r="AG105" i="80" l="1"/>
  <c r="AX105" i="80" s="1"/>
  <c r="AT105" i="80" l="1"/>
  <c r="BD105" i="80"/>
  <c r="AK105" i="80"/>
  <c r="AL105" i="80" s="1"/>
  <c r="AM105" i="80" s="1"/>
  <c r="AV105" i="80" l="1"/>
  <c r="AN105" i="80"/>
  <c r="BW106" i="80"/>
  <c r="AW105" i="80"/>
  <c r="AY105" i="80" l="1"/>
  <c r="BA105" i="80" s="1"/>
  <c r="BB105" i="80" s="1"/>
  <c r="BF105" i="80"/>
  <c r="AZ105" i="80" l="1"/>
  <c r="BG105" i="80"/>
  <c r="BH105" i="80" s="1"/>
  <c r="BI105" i="80" l="1"/>
  <c r="BJ105" i="80" l="1"/>
  <c r="BK105" i="80" s="1"/>
  <c r="BL105" i="80" s="1"/>
  <c r="BN105" i="80"/>
  <c r="Q105" i="80" s="1"/>
  <c r="BO105" i="80" l="1"/>
  <c r="BR105" i="80" s="1"/>
  <c r="BS105" i="80" s="1"/>
  <c r="BQ105" i="80"/>
  <c r="L105" i="80"/>
  <c r="N106" i="80" s="1"/>
  <c r="K105" i="80"/>
  <c r="M106" i="80" s="1"/>
  <c r="BP105" i="80" l="1"/>
  <c r="BT106" i="80"/>
  <c r="O106" i="80"/>
  <c r="S106" i="80" s="1"/>
  <c r="BU106" i="80"/>
  <c r="BY106" i="80" l="1"/>
  <c r="P106" i="80"/>
  <c r="U106" i="80" s="1"/>
  <c r="T106" i="80" l="1"/>
  <c r="V106" i="80" s="1"/>
  <c r="X106" i="80"/>
  <c r="Y106" i="80" l="1"/>
  <c r="AP106" i="80" s="1"/>
  <c r="AQ106" i="80" s="1"/>
  <c r="AC106" i="80"/>
  <c r="BV107" i="80" l="1"/>
  <c r="AD106" i="80"/>
  <c r="AE106" i="80" s="1"/>
  <c r="BX106" i="80"/>
  <c r="R106" i="80"/>
  <c r="BE106" i="80"/>
  <c r="AO106" i="80"/>
  <c r="AR106" i="80"/>
  <c r="AS106" i="80"/>
  <c r="AF106" i="80" l="1"/>
  <c r="AH106" i="80" s="1"/>
  <c r="AI106" i="80" s="1"/>
  <c r="AJ106" i="80" s="1"/>
  <c r="AG106" i="80" l="1"/>
  <c r="AK106" i="80" s="1"/>
  <c r="AL106" i="80" s="1"/>
  <c r="AT106" i="80" l="1"/>
  <c r="BD106" i="80"/>
  <c r="AX106" i="80"/>
  <c r="AM106" i="80"/>
  <c r="BW107" i="80"/>
  <c r="AN106" i="80"/>
  <c r="AV106" i="80" l="1"/>
  <c r="AW106" i="80"/>
  <c r="AY106" i="80" l="1"/>
  <c r="BA106" i="80" s="1"/>
  <c r="BB106" i="80" s="1"/>
  <c r="BF106" i="80"/>
  <c r="AZ106" i="80" l="1"/>
  <c r="BG106" i="80"/>
  <c r="BH106" i="80" s="1"/>
  <c r="BI106" i="80" l="1"/>
  <c r="BJ106" i="80" s="1"/>
  <c r="BK106" i="80" s="1"/>
  <c r="BL106" i="80" s="1"/>
  <c r="BN106" i="80" l="1"/>
  <c r="Q106" i="80" s="1"/>
  <c r="BO106" i="80" l="1"/>
  <c r="BR106" i="80" s="1"/>
  <c r="BS106" i="80" s="1"/>
  <c r="BQ106" i="80"/>
  <c r="K106" i="80"/>
  <c r="M107" i="80" s="1"/>
  <c r="L106" i="80"/>
  <c r="N107" i="80" s="1"/>
  <c r="BP106" i="80" l="1"/>
  <c r="BU107" i="80"/>
  <c r="BT107" i="80"/>
  <c r="O107" i="80"/>
  <c r="S107" i="80" s="1"/>
  <c r="P107" i="80" l="1"/>
  <c r="U107" i="80" s="1"/>
  <c r="BY107" i="80"/>
  <c r="T107" i="80" l="1"/>
  <c r="V107" i="80" s="1"/>
  <c r="X107" i="80"/>
  <c r="Y107" i="80" l="1"/>
  <c r="AP107" i="80" s="1"/>
  <c r="AQ107" i="80" s="1"/>
  <c r="AC107" i="80"/>
  <c r="BE107" i="80" l="1"/>
  <c r="R107" i="80"/>
  <c r="BV108" i="80"/>
  <c r="AD107" i="80"/>
  <c r="AE107" i="80" s="1"/>
  <c r="BX107" i="80"/>
  <c r="AO107" i="80"/>
  <c r="AR107" i="80"/>
  <c r="AS107" i="80"/>
  <c r="AF107" i="80" l="1"/>
  <c r="AH107" i="80" s="1"/>
  <c r="AI107" i="80" s="1"/>
  <c r="AJ107" i="80" s="1"/>
  <c r="AG107" i="80" l="1"/>
  <c r="AX107" i="80" s="1"/>
  <c r="AT107" i="80" l="1"/>
  <c r="BD107" i="80"/>
  <c r="AK107" i="80"/>
  <c r="AL107" i="80" s="1"/>
  <c r="AM107" i="80" s="1"/>
  <c r="AV107" i="80" l="1"/>
  <c r="AN107" i="80"/>
  <c r="BW108" i="80"/>
  <c r="AW107" i="80"/>
  <c r="AY107" i="80" l="1"/>
  <c r="BA107" i="80" s="1"/>
  <c r="BB107" i="80" s="1"/>
  <c r="BF107" i="80"/>
  <c r="AZ107" i="80" l="1"/>
  <c r="BG107" i="80"/>
  <c r="BH107" i="80" s="1"/>
  <c r="BI107" i="80" l="1"/>
  <c r="BJ107" i="80" l="1"/>
  <c r="BK107" i="80" s="1"/>
  <c r="BL107" i="80" s="1"/>
  <c r="BN107" i="80"/>
  <c r="Q107" i="80" s="1"/>
  <c r="BO107" i="80" l="1"/>
  <c r="BR107" i="80" s="1"/>
  <c r="BS107" i="80" s="1"/>
  <c r="BQ107" i="80"/>
  <c r="L107" i="80"/>
  <c r="N108" i="80" s="1"/>
  <c r="K107" i="80"/>
  <c r="M108" i="80" s="1"/>
  <c r="BP107" i="80" l="1"/>
  <c r="BT108" i="80"/>
  <c r="O108" i="80"/>
  <c r="S108" i="80" s="1"/>
  <c r="BU108" i="80"/>
  <c r="P108" i="80" l="1"/>
  <c r="U108" i="80" s="1"/>
  <c r="BY108" i="80"/>
  <c r="T108" i="80" l="1"/>
  <c r="V108" i="80" s="1"/>
  <c r="X108" i="80"/>
  <c r="Y108" i="80" l="1"/>
  <c r="AP108" i="80" s="1"/>
  <c r="AQ108" i="80" s="1"/>
  <c r="AC108" i="80"/>
  <c r="R108" i="80" l="1"/>
  <c r="AD108" i="80"/>
  <c r="AE108" i="80" s="1"/>
  <c r="BX108" i="80"/>
  <c r="AO108" i="80"/>
  <c r="BE108" i="80"/>
  <c r="BV109" i="80"/>
  <c r="AR108" i="80"/>
  <c r="AS108" i="80"/>
  <c r="AF108" i="80" l="1"/>
  <c r="AH108" i="80" s="1"/>
  <c r="AI108" i="80" s="1"/>
  <c r="AJ108" i="80" s="1"/>
  <c r="AG108" i="80" l="1"/>
  <c r="AX108" i="80" s="1"/>
  <c r="AT108" i="80" l="1"/>
  <c r="BD108" i="80"/>
  <c r="AK108" i="80"/>
  <c r="AL108" i="80" s="1"/>
  <c r="AM108" i="80" s="1"/>
  <c r="AN108" i="80" l="1"/>
  <c r="AV108" i="80"/>
  <c r="BW109" i="80"/>
  <c r="AW108" i="80"/>
  <c r="AY108" i="80" l="1"/>
  <c r="BA108" i="80" s="1"/>
  <c r="BB108" i="80" l="1"/>
  <c r="AZ108" i="80"/>
  <c r="BF108" i="80"/>
  <c r="BG108" i="80" l="1"/>
  <c r="BH108" i="80" l="1"/>
  <c r="BI108" i="80" s="1"/>
  <c r="BN108" i="80" l="1"/>
  <c r="Q108" i="80" s="1"/>
  <c r="K108" i="80" s="1"/>
  <c r="M109" i="80" s="1"/>
  <c r="BJ108" i="80"/>
  <c r="BK108" i="80" s="1"/>
  <c r="BL108" i="80" s="1"/>
  <c r="BO108" i="80"/>
  <c r="BR108" i="80" s="1"/>
  <c r="BS108" i="80" s="1"/>
  <c r="BQ108" i="80" l="1"/>
  <c r="L108" i="80"/>
  <c r="N109" i="80" s="1"/>
  <c r="BU109" i="80" s="1"/>
  <c r="BP108" i="80"/>
  <c r="BT109" i="80"/>
  <c r="O109" i="80" l="1"/>
  <c r="S109" i="80" s="1"/>
  <c r="P109" i="80" l="1"/>
  <c r="U109" i="80" s="1"/>
  <c r="BY109" i="80"/>
  <c r="T109" i="80"/>
  <c r="V109" i="80" s="1"/>
  <c r="X109" i="80"/>
  <c r="Y109" i="80" l="1"/>
  <c r="AP109" i="80" s="1"/>
  <c r="AQ109" i="80" s="1"/>
  <c r="AC109" i="80"/>
  <c r="BE109" i="80" l="1"/>
  <c r="BX109" i="80"/>
  <c r="AD109" i="80"/>
  <c r="AF109" i="80" s="1"/>
  <c r="AO109" i="80"/>
  <c r="BV110" i="80"/>
  <c r="R109" i="80"/>
  <c r="AR109" i="80"/>
  <c r="AS109" i="80"/>
  <c r="AE109" i="80" l="1"/>
  <c r="AH109" i="80"/>
  <c r="AI109" i="80" s="1"/>
  <c r="AJ109" i="80" s="1"/>
  <c r="AG109" i="80"/>
  <c r="AX109" i="80" l="1"/>
  <c r="AK109" i="80"/>
  <c r="AL109" i="80" s="1"/>
  <c r="BD109" i="80"/>
  <c r="AT109" i="80"/>
  <c r="AM109" i="80" l="1"/>
  <c r="AV109" i="80" s="1"/>
  <c r="BW110" i="80"/>
  <c r="AN109" i="80"/>
  <c r="AW109" i="80"/>
  <c r="AY109" i="80" l="1"/>
  <c r="BA109" i="80" s="1"/>
  <c r="AZ109" i="80" l="1"/>
  <c r="BB109" i="80"/>
  <c r="BF109" i="80"/>
  <c r="BG109" i="80" l="1"/>
  <c r="BH109" i="80" s="1"/>
  <c r="BI109" i="80" l="1"/>
  <c r="BJ109" i="80" l="1"/>
  <c r="BK109" i="80" s="1"/>
  <c r="BL109" i="80" s="1"/>
  <c r="BN109" i="80"/>
  <c r="Q109" i="80" s="1"/>
  <c r="BO109" i="80" l="1"/>
  <c r="BP109" i="80" s="1"/>
  <c r="BQ109" i="80"/>
  <c r="L109" i="80"/>
  <c r="N110" i="80" s="1"/>
  <c r="K109" i="80"/>
  <c r="M110" i="80" s="1"/>
  <c r="BR109" i="80" l="1"/>
  <c r="BS109" i="80" s="1"/>
  <c r="BT110" i="80"/>
  <c r="O110" i="80"/>
  <c r="S110" i="80" s="1"/>
  <c r="BU110" i="80"/>
  <c r="BY110" i="80" l="1"/>
  <c r="P110" i="80"/>
  <c r="U110" i="80" s="1"/>
  <c r="T110" i="80" l="1"/>
  <c r="V110" i="80" s="1"/>
  <c r="X110" i="80"/>
  <c r="Y110" i="80" l="1"/>
  <c r="AP110" i="80" s="1"/>
  <c r="AQ110" i="80" s="1"/>
  <c r="AC110" i="80"/>
  <c r="BE110" i="80" l="1"/>
  <c r="R110" i="80"/>
  <c r="BV111" i="80"/>
  <c r="AD110" i="80"/>
  <c r="AF110" i="80" s="1"/>
  <c r="AO110" i="80"/>
  <c r="BX110" i="80"/>
  <c r="AR110" i="80"/>
  <c r="AS110" i="80"/>
  <c r="AE110" i="80" l="1"/>
  <c r="AH110" i="80"/>
  <c r="AI110" i="80" s="1"/>
  <c r="AJ110" i="80" s="1"/>
  <c r="AG110" i="80"/>
  <c r="AX110" i="80" l="1"/>
  <c r="AK110" i="80"/>
  <c r="AL110" i="80" s="1"/>
  <c r="BD110" i="80"/>
  <c r="AT110" i="80"/>
  <c r="AM110" i="80" l="1"/>
  <c r="AV110" i="80" s="1"/>
  <c r="BW111" i="80"/>
  <c r="AN110" i="80"/>
  <c r="AW110" i="80"/>
  <c r="AY110" i="80" l="1"/>
  <c r="BA110" i="80" s="1"/>
  <c r="AZ110" i="80" l="1"/>
  <c r="BB110" i="80"/>
  <c r="BF110" i="80"/>
  <c r="BG110" i="80" l="1"/>
  <c r="BH110" i="80" s="1"/>
  <c r="BI110" i="80" l="1"/>
  <c r="BJ110" i="80" l="1"/>
  <c r="BK110" i="80" s="1"/>
  <c r="BL110" i="80" s="1"/>
  <c r="BN110" i="80"/>
  <c r="Q110" i="80" s="1"/>
  <c r="BO110" i="80" l="1"/>
  <c r="BR110" i="80" s="1"/>
  <c r="BS110" i="80" s="1"/>
  <c r="BQ110" i="80"/>
  <c r="K110" i="80"/>
  <c r="M111" i="80" s="1"/>
  <c r="L110" i="80"/>
  <c r="N111" i="80" s="1"/>
  <c r="BP110" i="80" l="1"/>
  <c r="BU111" i="80"/>
  <c r="BT111" i="80"/>
  <c r="O111" i="80"/>
  <c r="S111" i="80" s="1"/>
  <c r="P111" i="80" l="1"/>
  <c r="U111" i="80" s="1"/>
  <c r="BY111" i="80"/>
  <c r="T111" i="80" l="1"/>
  <c r="V111" i="80" s="1"/>
  <c r="X111" i="80"/>
  <c r="Y111" i="80" l="1"/>
  <c r="BX111" i="80" s="1"/>
  <c r="AC111" i="80"/>
  <c r="R111" i="80" l="1"/>
  <c r="BV112" i="80"/>
  <c r="BE111" i="80"/>
  <c r="AO111" i="80"/>
  <c r="AD111" i="80"/>
  <c r="AE111" i="80" s="1"/>
  <c r="AP111" i="80"/>
  <c r="AQ111" i="80" s="1"/>
  <c r="AS111" i="80" s="1"/>
  <c r="AF111" i="80" l="1"/>
  <c r="AH111" i="80" s="1"/>
  <c r="AI111" i="80" s="1"/>
  <c r="AJ111" i="80" s="1"/>
  <c r="AR111" i="80"/>
  <c r="AG111" i="80" l="1"/>
  <c r="AX111" i="80" s="1"/>
  <c r="AK111" i="80" l="1"/>
  <c r="AL111" i="80" s="1"/>
  <c r="AM111" i="80" s="1"/>
  <c r="AT111" i="80"/>
  <c r="BD111" i="80"/>
  <c r="AV111" i="80" l="1"/>
  <c r="BW112" i="80"/>
  <c r="AN111" i="80"/>
  <c r="AW111" i="80"/>
  <c r="AY111" i="80" l="1"/>
  <c r="BA111" i="80" s="1"/>
  <c r="BB111" i="80" l="1"/>
  <c r="AZ111" i="80"/>
  <c r="BF111" i="80"/>
  <c r="BG111" i="80" l="1"/>
  <c r="BH111" i="80" s="1"/>
  <c r="BI111" i="80" s="1"/>
  <c r="BN111" i="80" l="1"/>
  <c r="Q111" i="80" s="1"/>
  <c r="BJ111" i="80"/>
  <c r="BK111" i="80" s="1"/>
  <c r="BL111" i="80" s="1"/>
  <c r="BO111" i="80" l="1"/>
  <c r="BR111" i="80" s="1"/>
  <c r="BS111" i="80" s="1"/>
  <c r="BQ111" i="80"/>
  <c r="L111" i="80"/>
  <c r="N112" i="80" s="1"/>
  <c r="K111" i="80"/>
  <c r="M112" i="80" s="1"/>
  <c r="BP111" i="80" l="1"/>
  <c r="BT112" i="80"/>
  <c r="O112" i="80"/>
  <c r="S112" i="80" s="1"/>
  <c r="BU112" i="80"/>
  <c r="P112" i="80" l="1"/>
  <c r="U112" i="80" s="1"/>
  <c r="BY112" i="80"/>
  <c r="T112" i="80" l="1"/>
  <c r="V112" i="80" s="1"/>
  <c r="X112" i="80"/>
  <c r="Y112" i="80" l="1"/>
  <c r="AP112" i="80" s="1"/>
  <c r="AQ112" i="80" s="1"/>
  <c r="AC112" i="80"/>
  <c r="BE112" i="80" l="1"/>
  <c r="AD112" i="80"/>
  <c r="AE112" i="80" s="1"/>
  <c r="BX112" i="80"/>
  <c r="AO112" i="80"/>
  <c r="BV113" i="80"/>
  <c r="R112" i="80"/>
  <c r="AR112" i="80"/>
  <c r="AS112" i="80"/>
  <c r="AF112" i="80" l="1"/>
  <c r="AH112" i="80" s="1"/>
  <c r="AI112" i="80" s="1"/>
  <c r="AJ112" i="80" s="1"/>
  <c r="AG112" i="80" l="1"/>
  <c r="AX112" i="80" s="1"/>
  <c r="AT112" i="80" l="1"/>
  <c r="BD112" i="80"/>
  <c r="AK112" i="80"/>
  <c r="AL112" i="80" s="1"/>
  <c r="AM112" i="80" s="1"/>
  <c r="AV112" i="80" l="1"/>
  <c r="AN112" i="80"/>
  <c r="BW113" i="80"/>
  <c r="AW112" i="80"/>
  <c r="AY112" i="80" l="1"/>
  <c r="BA112" i="80" s="1"/>
  <c r="BB112" i="80" s="1"/>
  <c r="BF112" i="80"/>
  <c r="AZ112" i="80" l="1"/>
  <c r="BG112" i="80"/>
  <c r="BH112" i="80" s="1"/>
  <c r="BI112" i="80" l="1"/>
  <c r="BN112" i="80" l="1"/>
  <c r="Q112" i="80" s="1"/>
  <c r="BJ112" i="80"/>
  <c r="BK112" i="80" s="1"/>
  <c r="BL112" i="80" s="1"/>
  <c r="BO112" i="80" l="1"/>
  <c r="BR112" i="80" s="1"/>
  <c r="BS112" i="80" s="1"/>
  <c r="BQ112" i="80"/>
  <c r="K112" i="80"/>
  <c r="M113" i="80" s="1"/>
  <c r="L112" i="80"/>
  <c r="N113" i="80" s="1"/>
  <c r="BP112" i="80" l="1"/>
  <c r="BU113" i="80"/>
  <c r="BT113" i="80"/>
  <c r="O113" i="80"/>
  <c r="S113" i="80" s="1"/>
  <c r="P113" i="80" l="1"/>
  <c r="U113" i="80" s="1"/>
  <c r="BY113" i="80"/>
  <c r="T113" i="80" l="1"/>
  <c r="V113" i="80" s="1"/>
  <c r="X113" i="80"/>
  <c r="Y113" i="80" l="1"/>
  <c r="AC113" i="80"/>
  <c r="R113" i="80" l="1"/>
  <c r="BV114" i="80"/>
  <c r="BE113" i="80"/>
  <c r="AO113" i="80"/>
  <c r="AD113" i="80"/>
  <c r="AF113" i="80" s="1"/>
  <c r="BX113" i="80"/>
  <c r="AP113" i="80"/>
  <c r="AQ113" i="80" s="1"/>
  <c r="AR113" i="80" s="1"/>
  <c r="AE113" i="80" l="1"/>
  <c r="AS113" i="80"/>
  <c r="AH113" i="80"/>
  <c r="AI113" i="80" s="1"/>
  <c r="AJ113" i="80" s="1"/>
  <c r="AG113" i="80"/>
  <c r="AK113" i="80" l="1"/>
  <c r="AL113" i="80" s="1"/>
  <c r="AX113" i="80"/>
  <c r="BD113" i="80"/>
  <c r="AT113" i="80"/>
  <c r="AM113" i="80" l="1"/>
  <c r="AV113" i="80" s="1"/>
  <c r="BW114" i="80"/>
  <c r="AN113" i="80"/>
  <c r="AW113" i="80"/>
  <c r="AY113" i="80" l="1"/>
  <c r="BA113" i="80" s="1"/>
  <c r="AZ113" i="80" l="1"/>
  <c r="BB113" i="80"/>
  <c r="BF113" i="80"/>
  <c r="BG113" i="80" l="1"/>
  <c r="BH113" i="80" s="1"/>
  <c r="BI113" i="80" l="1"/>
  <c r="BJ113" i="80" l="1"/>
  <c r="BK113" i="80" s="1"/>
  <c r="BL113" i="80" s="1"/>
  <c r="BN113" i="80"/>
  <c r="Q113" i="80" s="1"/>
  <c r="BO113" i="80" l="1"/>
  <c r="BP113" i="80" s="1"/>
  <c r="BQ113" i="80"/>
  <c r="L113" i="80"/>
  <c r="N114" i="80" s="1"/>
  <c r="K113" i="80"/>
  <c r="M114" i="80" s="1"/>
  <c r="BR113" i="80" l="1"/>
  <c r="BS113" i="80" s="1"/>
  <c r="BT114" i="80"/>
  <c r="O114" i="80"/>
  <c r="S114" i="80" s="1"/>
  <c r="BU114" i="80"/>
  <c r="P114" i="80" l="1"/>
  <c r="U114" i="80" s="1"/>
  <c r="BY114" i="80"/>
  <c r="T114" i="80" l="1"/>
  <c r="V114" i="80" s="1"/>
  <c r="X114" i="80"/>
  <c r="Y114" i="80" l="1"/>
  <c r="BX114" i="80" s="1"/>
  <c r="AC114" i="80"/>
  <c r="R114" i="80" l="1"/>
  <c r="BV115" i="80"/>
  <c r="BE114" i="80"/>
  <c r="AD114" i="80"/>
  <c r="AE114" i="80" s="1"/>
  <c r="AO114" i="80"/>
  <c r="AP114" i="80"/>
  <c r="AQ114" i="80" s="1"/>
  <c r="AR114" i="80" s="1"/>
  <c r="AF114" i="80" l="1"/>
  <c r="AG114" i="80" s="1"/>
  <c r="AS114" i="80"/>
  <c r="AH114" i="80" l="1"/>
  <c r="AI114" i="80" s="1"/>
  <c r="AJ114" i="80" s="1"/>
  <c r="AX114" i="80"/>
  <c r="AK114" i="80"/>
  <c r="AL114" i="80" s="1"/>
  <c r="BD114" i="80"/>
  <c r="AT114" i="80"/>
  <c r="AM114" i="80" l="1"/>
  <c r="AV114" i="80" s="1"/>
  <c r="AN114" i="80"/>
  <c r="BW115" i="80"/>
  <c r="AW114" i="80"/>
  <c r="AY114" i="80" l="1"/>
  <c r="BA114" i="80" s="1"/>
  <c r="AZ114" i="80" l="1"/>
  <c r="BB114" i="80"/>
  <c r="BF114" i="80"/>
  <c r="BG114" i="80" l="1"/>
  <c r="BH114" i="80" s="1"/>
  <c r="BI114" i="80" l="1"/>
  <c r="BJ114" i="80" l="1"/>
  <c r="BK114" i="80" s="1"/>
  <c r="BL114" i="80" s="1"/>
  <c r="BN114" i="80"/>
  <c r="Q114" i="80" s="1"/>
  <c r="BO114" i="80" l="1"/>
  <c r="BR114" i="80" s="1"/>
  <c r="BS114" i="80" s="1"/>
  <c r="BQ114" i="80"/>
  <c r="K114" i="80"/>
  <c r="M115" i="80" s="1"/>
  <c r="L114" i="80"/>
  <c r="N115" i="80" s="1"/>
  <c r="BP114" i="80" l="1"/>
  <c r="BU115" i="80"/>
  <c r="BT115" i="80"/>
  <c r="O115" i="80"/>
  <c r="S115" i="80" s="1"/>
  <c r="P115" i="80" l="1"/>
  <c r="U115" i="80" s="1"/>
  <c r="BY115" i="80"/>
  <c r="T115" i="80" l="1"/>
  <c r="V115" i="80" s="1"/>
  <c r="X115" i="80"/>
  <c r="Y115" i="80" l="1"/>
  <c r="AP115" i="80" s="1"/>
  <c r="AQ115" i="80" s="1"/>
  <c r="AC115" i="80"/>
  <c r="BE115" i="80" l="1"/>
  <c r="AD115" i="80"/>
  <c r="AE115" i="80" s="1"/>
  <c r="BX115" i="80"/>
  <c r="R115" i="80"/>
  <c r="AO115" i="80"/>
  <c r="BV116" i="80"/>
  <c r="AR115" i="80"/>
  <c r="AS115" i="80"/>
  <c r="AF115" i="80" l="1"/>
  <c r="AH115" i="80" s="1"/>
  <c r="AI115" i="80" s="1"/>
  <c r="AJ115" i="80" s="1"/>
  <c r="AG115" i="80" l="1"/>
  <c r="AK115" i="80" s="1"/>
  <c r="AL115" i="80" s="1"/>
  <c r="AT115" i="80" l="1"/>
  <c r="BD115" i="80"/>
  <c r="AX115" i="80"/>
  <c r="AM115" i="80"/>
  <c r="BW116" i="80"/>
  <c r="AN115" i="80"/>
  <c r="AV115" i="80" l="1"/>
  <c r="AW115" i="80"/>
  <c r="AY115" i="80" l="1"/>
  <c r="BA115" i="80" s="1"/>
  <c r="BB115" i="80" s="1"/>
  <c r="BF115" i="80"/>
  <c r="AZ115" i="80" l="1"/>
  <c r="BG115" i="80"/>
  <c r="BH115" i="80" s="1"/>
  <c r="BI115" i="80" l="1"/>
  <c r="BJ115" i="80" l="1"/>
  <c r="BK115" i="80" s="1"/>
  <c r="BL115" i="80" s="1"/>
  <c r="BN115" i="80"/>
  <c r="Q115" i="80" s="1"/>
  <c r="BO115" i="80" l="1"/>
  <c r="BR115" i="80" s="1"/>
  <c r="BS115" i="80" s="1"/>
  <c r="BQ115" i="80"/>
  <c r="L115" i="80"/>
  <c r="N116" i="80" s="1"/>
  <c r="K115" i="80"/>
  <c r="M116" i="80" s="1"/>
  <c r="BP115" i="80" l="1"/>
  <c r="BT116" i="80"/>
  <c r="O116" i="80"/>
  <c r="S116" i="80" s="1"/>
  <c r="BU116" i="80"/>
  <c r="P116" i="80" l="1"/>
  <c r="U116" i="80" s="1"/>
  <c r="BY116" i="80"/>
  <c r="T116" i="80" l="1"/>
  <c r="V116" i="80" s="1"/>
  <c r="X116" i="80"/>
  <c r="Y116" i="80" l="1"/>
  <c r="BX116" i="80" s="1"/>
  <c r="AC116" i="80"/>
  <c r="BE116" i="80" l="1"/>
  <c r="BV117" i="80"/>
  <c r="R116" i="80"/>
  <c r="AD116" i="80"/>
  <c r="AE116" i="80" s="1"/>
  <c r="AP116" i="80"/>
  <c r="AQ116" i="80" s="1"/>
  <c r="AR116" i="80" s="1"/>
  <c r="AO116" i="80"/>
  <c r="AF116" i="80" l="1"/>
  <c r="AH116" i="80" s="1"/>
  <c r="AI116" i="80" s="1"/>
  <c r="AJ116" i="80" s="1"/>
  <c r="AS116" i="80"/>
  <c r="AG116" i="80" l="1"/>
  <c r="AX116" i="80" s="1"/>
  <c r="AT116" i="80" l="1"/>
  <c r="BD116" i="80"/>
  <c r="AK116" i="80"/>
  <c r="AL116" i="80" s="1"/>
  <c r="AM116" i="80" s="1"/>
  <c r="AV116" i="80" l="1"/>
  <c r="AN116" i="80"/>
  <c r="BW117" i="80"/>
  <c r="AW116" i="80"/>
  <c r="AY116" i="80" l="1"/>
  <c r="BA116" i="80" s="1"/>
  <c r="BB116" i="80" s="1"/>
  <c r="BF116" i="80"/>
  <c r="AZ116" i="80" l="1"/>
  <c r="BG116" i="80"/>
  <c r="BH116" i="80" s="1"/>
  <c r="BI116" i="80" l="1"/>
  <c r="BJ116" i="80" l="1"/>
  <c r="BK116" i="80" s="1"/>
  <c r="BL116" i="80" s="1"/>
  <c r="BN116" i="80"/>
  <c r="Q116" i="80" s="1"/>
  <c r="BO116" i="80" l="1"/>
  <c r="BR116" i="80" s="1"/>
  <c r="BS116" i="80" s="1"/>
  <c r="BQ116" i="80"/>
  <c r="K116" i="80"/>
  <c r="M117" i="80" s="1"/>
  <c r="L116" i="80"/>
  <c r="N117" i="80" s="1"/>
  <c r="BP116" i="80" l="1"/>
  <c r="BU117" i="80"/>
  <c r="BT117" i="80"/>
  <c r="O117" i="80"/>
  <c r="S117" i="80" s="1"/>
  <c r="BY117" i="80" l="1"/>
  <c r="P117" i="80"/>
  <c r="U117" i="80" s="1"/>
  <c r="T117" i="80" l="1"/>
  <c r="V117" i="80" s="1"/>
  <c r="X117" i="80"/>
  <c r="Y117" i="80" l="1"/>
  <c r="AC117" i="80"/>
  <c r="BE117" i="80" l="1"/>
  <c r="BV118" i="80"/>
  <c r="AO117" i="80"/>
  <c r="R117" i="80"/>
  <c r="AD117" i="80"/>
  <c r="AF117" i="80" s="1"/>
  <c r="AP117" i="80"/>
  <c r="AQ117" i="80" s="1"/>
  <c r="AR117" i="80" s="1"/>
  <c r="BX117" i="80"/>
  <c r="AE117" i="80" l="1"/>
  <c r="AS117" i="80"/>
  <c r="AH117" i="80"/>
  <c r="AI117" i="80" s="1"/>
  <c r="AJ117" i="80" s="1"/>
  <c r="AG117" i="80"/>
  <c r="AK117" i="80" l="1"/>
  <c r="AL117" i="80" s="1"/>
  <c r="AX117" i="80"/>
  <c r="BD117" i="80"/>
  <c r="AT117" i="80"/>
  <c r="AM117" i="80" l="1"/>
  <c r="AV117" i="80" s="1"/>
  <c r="BW118" i="80"/>
  <c r="AN117" i="80"/>
  <c r="AW117" i="80"/>
  <c r="AY117" i="80" l="1"/>
  <c r="BA117" i="80" s="1"/>
  <c r="AZ117" i="80" l="1"/>
  <c r="BB117" i="80"/>
  <c r="BF117" i="80"/>
  <c r="BG117" i="80" l="1"/>
  <c r="BH117" i="80" s="1"/>
  <c r="BI117" i="80" l="1"/>
  <c r="BJ117" i="80" l="1"/>
  <c r="BK117" i="80" s="1"/>
  <c r="BL117" i="80" s="1"/>
  <c r="BN117" i="80"/>
  <c r="Q117" i="80" s="1"/>
  <c r="BO117" i="80" l="1"/>
  <c r="BR117" i="80" s="1"/>
  <c r="BS117" i="80" s="1"/>
  <c r="BQ117" i="80"/>
  <c r="L117" i="80"/>
  <c r="N118" i="80" s="1"/>
  <c r="K117" i="80"/>
  <c r="M118" i="80" s="1"/>
  <c r="BP117" i="80" l="1"/>
  <c r="BU118" i="80"/>
  <c r="BT118" i="80"/>
  <c r="O118" i="80"/>
  <c r="S118" i="80" s="1"/>
  <c r="BY118" i="80" l="1"/>
  <c r="P118" i="80"/>
  <c r="U118" i="80" s="1"/>
  <c r="T118" i="80" l="1"/>
  <c r="V118" i="80" s="1"/>
  <c r="X118" i="80"/>
  <c r="Y118" i="80" l="1"/>
  <c r="BX118" i="80" s="1"/>
  <c r="AC118" i="80"/>
  <c r="BE118" i="80" l="1"/>
  <c r="BV119" i="80"/>
  <c r="R118" i="80"/>
  <c r="AD118" i="80"/>
  <c r="AE118" i="80" s="1"/>
  <c r="AP118" i="80"/>
  <c r="AQ118" i="80" s="1"/>
  <c r="AR118" i="80" s="1"/>
  <c r="AO118" i="80"/>
  <c r="AF118" i="80" l="1"/>
  <c r="AH118" i="80" s="1"/>
  <c r="AI118" i="80" s="1"/>
  <c r="AJ118" i="80" s="1"/>
  <c r="AS118" i="80"/>
  <c r="AG118" i="80" l="1"/>
  <c r="AK118" i="80" s="1"/>
  <c r="AL118" i="80" s="1"/>
  <c r="AT118" i="80" l="1"/>
  <c r="BD118" i="80"/>
  <c r="AX118" i="80"/>
  <c r="AM118" i="80"/>
  <c r="AN118" i="80"/>
  <c r="BW119" i="80"/>
  <c r="AV118" i="80" l="1"/>
  <c r="AW118" i="80"/>
  <c r="AY118" i="80" l="1"/>
  <c r="BA118" i="80" s="1"/>
  <c r="BB118" i="80" s="1"/>
  <c r="BF118" i="80"/>
  <c r="AZ118" i="80" l="1"/>
  <c r="BG118" i="80"/>
  <c r="BH118" i="80" s="1"/>
  <c r="BI118" i="80" l="1"/>
  <c r="BN118" i="80" l="1"/>
  <c r="Q118" i="80" s="1"/>
  <c r="BJ118" i="80"/>
  <c r="BK118" i="80" s="1"/>
  <c r="BL118" i="80" s="1"/>
  <c r="BO118" i="80" l="1"/>
  <c r="BR118" i="80" s="1"/>
  <c r="BS118" i="80" s="1"/>
  <c r="BQ118" i="80"/>
  <c r="L118" i="80"/>
  <c r="N119" i="80" s="1"/>
  <c r="K118" i="80"/>
  <c r="M119" i="80" s="1"/>
  <c r="BP118" i="80" l="1"/>
  <c r="BT119" i="80"/>
  <c r="O119" i="80"/>
  <c r="S119" i="80" s="1"/>
  <c r="BU119" i="80"/>
  <c r="P119" i="80" l="1"/>
  <c r="U119" i="80" s="1"/>
  <c r="BY119" i="80"/>
  <c r="T119" i="80" l="1"/>
  <c r="V119" i="80" s="1"/>
  <c r="X119" i="80"/>
  <c r="Y119" i="80" l="1"/>
  <c r="AP119" i="80" s="1"/>
  <c r="AQ119" i="80" s="1"/>
  <c r="AC119" i="80"/>
  <c r="BX119" i="80" l="1"/>
  <c r="AD119" i="80"/>
  <c r="AE119" i="80" s="1"/>
  <c r="R119" i="80"/>
  <c r="AO119" i="80"/>
  <c r="BV120" i="80"/>
  <c r="BE119" i="80"/>
  <c r="AR119" i="80"/>
  <c r="AS119" i="80"/>
  <c r="AF119" i="80" l="1"/>
  <c r="AH119" i="80" s="1"/>
  <c r="AI119" i="80" s="1"/>
  <c r="AJ119" i="80" s="1"/>
  <c r="AG119" i="80" l="1"/>
  <c r="AX119" i="80" s="1"/>
  <c r="BD119" i="80" l="1"/>
  <c r="AT119" i="80"/>
  <c r="AK119" i="80"/>
  <c r="AL119" i="80" s="1"/>
  <c r="AM119" i="80" s="1"/>
  <c r="AV119" i="80" l="1"/>
  <c r="BW120" i="80"/>
  <c r="AN119" i="80"/>
  <c r="AW119" i="80"/>
  <c r="AY119" i="80" l="1"/>
  <c r="BA119" i="80" s="1"/>
  <c r="BB119" i="80" s="1"/>
  <c r="BF119" i="80"/>
  <c r="AZ119" i="80" l="1"/>
  <c r="BG119" i="80"/>
  <c r="BH119" i="80" s="1"/>
  <c r="BI119" i="80" l="1"/>
  <c r="BJ119" i="80" s="1"/>
  <c r="BK119" i="80" s="1"/>
  <c r="BL119" i="80" s="1"/>
  <c r="BN119" i="80" l="1"/>
  <c r="Q119" i="80" s="1"/>
  <c r="BO119" i="80" l="1"/>
  <c r="BR119" i="80" s="1"/>
  <c r="BS119" i="80" s="1"/>
  <c r="BQ119" i="80"/>
  <c r="K119" i="80"/>
  <c r="M120" i="80" s="1"/>
  <c r="L119" i="80"/>
  <c r="N120" i="80" s="1"/>
  <c r="BP119" i="80" l="1"/>
  <c r="BU120" i="80"/>
  <c r="BT120" i="80"/>
  <c r="O120" i="80"/>
  <c r="S120" i="80" s="1"/>
  <c r="BY120" i="80" l="1"/>
  <c r="P120" i="80"/>
  <c r="U120" i="80" s="1"/>
  <c r="T120" i="80" l="1"/>
  <c r="V120" i="80" s="1"/>
  <c r="X120" i="80"/>
  <c r="Y120" i="80" l="1"/>
  <c r="AD120" i="80" s="1"/>
  <c r="AC120" i="80"/>
  <c r="BE120" i="80" l="1"/>
  <c r="AO120" i="80"/>
  <c r="BV121" i="80"/>
  <c r="R120" i="80"/>
  <c r="BX120" i="80"/>
  <c r="AP120" i="80"/>
  <c r="AQ120" i="80" s="1"/>
  <c r="AR120" i="80" s="1"/>
  <c r="AE120" i="80"/>
  <c r="AF120" i="80"/>
  <c r="AS120" i="80" l="1"/>
  <c r="AH120" i="80"/>
  <c r="AI120" i="80" s="1"/>
  <c r="AJ120" i="80" s="1"/>
  <c r="AG120" i="80"/>
  <c r="AK120" i="80" l="1"/>
  <c r="AL120" i="80" s="1"/>
  <c r="AX120" i="80"/>
  <c r="BD120" i="80"/>
  <c r="AT120" i="80"/>
  <c r="AM120" i="80" l="1"/>
  <c r="AV120" i="80" s="1"/>
  <c r="BW121" i="80"/>
  <c r="AN120" i="80"/>
  <c r="AW120" i="80"/>
  <c r="AY120" i="80" l="1"/>
  <c r="BA120" i="80" s="1"/>
  <c r="AZ120" i="80" l="1"/>
  <c r="BB120" i="80"/>
  <c r="BF120" i="80"/>
  <c r="BG120" i="80" l="1"/>
  <c r="BH120" i="80" s="1"/>
  <c r="BI120" i="80" l="1"/>
  <c r="BJ120" i="80" l="1"/>
  <c r="BK120" i="80" s="1"/>
  <c r="BL120" i="80" s="1"/>
  <c r="BN120" i="80"/>
  <c r="Q120" i="80" s="1"/>
  <c r="BO120" i="80" l="1"/>
  <c r="BR120" i="80" s="1"/>
  <c r="BS120" i="80" s="1"/>
  <c r="BQ120" i="80"/>
  <c r="L120" i="80"/>
  <c r="N121" i="80" s="1"/>
  <c r="K120" i="80"/>
  <c r="M121" i="80" s="1"/>
  <c r="BP120" i="80" l="1"/>
  <c r="BT121" i="80"/>
  <c r="O121" i="80"/>
  <c r="S121" i="80" s="1"/>
  <c r="BU121" i="80"/>
  <c r="P121" i="80" l="1"/>
  <c r="U121" i="80" s="1"/>
  <c r="BY121" i="80"/>
  <c r="T121" i="80" l="1"/>
  <c r="V121" i="80" s="1"/>
  <c r="X121" i="80"/>
  <c r="Y121" i="80" l="1"/>
  <c r="AP121" i="80" s="1"/>
  <c r="AQ121" i="80" s="1"/>
  <c r="AC121" i="80"/>
  <c r="BE121" i="80" l="1"/>
  <c r="AD121" i="80"/>
  <c r="AE121" i="80" s="1"/>
  <c r="BX121" i="80"/>
  <c r="AO121" i="80"/>
  <c r="BV122" i="80"/>
  <c r="R121" i="80"/>
  <c r="AR121" i="80"/>
  <c r="AS121" i="80"/>
  <c r="AF121" i="80" l="1"/>
  <c r="AH121" i="80" s="1"/>
  <c r="AI121" i="80" s="1"/>
  <c r="AJ121" i="80" s="1"/>
  <c r="AG121" i="80" l="1"/>
  <c r="AK121" i="80" s="1"/>
  <c r="AL121" i="80" s="1"/>
  <c r="BD121" i="80" l="1"/>
  <c r="AT121" i="80"/>
  <c r="AX121" i="80"/>
  <c r="AM121" i="80"/>
  <c r="AN121" i="80"/>
  <c r="BW122" i="80"/>
  <c r="AV121" i="80" l="1"/>
  <c r="AW121" i="80"/>
  <c r="AY121" i="80" l="1"/>
  <c r="BA121" i="80" s="1"/>
  <c r="BB121" i="80" s="1"/>
  <c r="BF121" i="80"/>
  <c r="AZ121" i="80" l="1"/>
  <c r="BG121" i="80"/>
  <c r="BH121" i="80" s="1"/>
  <c r="BI121" i="80" l="1"/>
  <c r="BJ121" i="80" l="1"/>
  <c r="BK121" i="80" s="1"/>
  <c r="BL121" i="80" s="1"/>
  <c r="BN121" i="80"/>
  <c r="Q121" i="80" s="1"/>
  <c r="BO121" i="80" l="1"/>
  <c r="BR121" i="80" s="1"/>
  <c r="BS121" i="80" s="1"/>
  <c r="BQ121" i="80"/>
  <c r="K121" i="80"/>
  <c r="M122" i="80" s="1"/>
  <c r="L121" i="80"/>
  <c r="N122" i="80" s="1"/>
  <c r="BP121" i="80" l="1"/>
  <c r="BU122" i="80"/>
  <c r="BT122" i="80"/>
  <c r="O122" i="80"/>
  <c r="S122" i="80" s="1"/>
  <c r="P122" i="80" l="1"/>
  <c r="U122" i="80" s="1"/>
  <c r="BY122" i="80"/>
  <c r="T122" i="80" l="1"/>
  <c r="V122" i="80" s="1"/>
  <c r="X122" i="80"/>
  <c r="Y122" i="80" l="1"/>
  <c r="BX122" i="80" s="1"/>
  <c r="AC122" i="80"/>
  <c r="BE122" i="80" l="1"/>
  <c r="AD122" i="80"/>
  <c r="AF122" i="80" s="1"/>
  <c r="BV123" i="80"/>
  <c r="R122" i="80"/>
  <c r="AO122" i="80"/>
  <c r="AP122" i="80"/>
  <c r="AQ122" i="80" s="1"/>
  <c r="AR122" i="80" s="1"/>
  <c r="AE122" i="80" l="1"/>
  <c r="AS122" i="80"/>
  <c r="AH122" i="80"/>
  <c r="AI122" i="80" s="1"/>
  <c r="AJ122" i="80" s="1"/>
  <c r="AG122" i="80"/>
  <c r="AK122" i="80" l="1"/>
  <c r="AL122" i="80" s="1"/>
  <c r="AX122" i="80"/>
  <c r="BD122" i="80"/>
  <c r="AT122" i="80"/>
  <c r="AM122" i="80" l="1"/>
  <c r="AV122" i="80" s="1"/>
  <c r="BW123" i="80"/>
  <c r="AN122" i="80"/>
  <c r="AW122" i="80"/>
  <c r="AY122" i="80" l="1"/>
  <c r="BA122" i="80" s="1"/>
  <c r="AZ122" i="80" l="1"/>
  <c r="BB122" i="80"/>
  <c r="BF122" i="80"/>
  <c r="BG122" i="80" l="1"/>
  <c r="BH122" i="80" s="1"/>
  <c r="BI122" i="80" l="1"/>
  <c r="BJ122" i="80" l="1"/>
  <c r="BK122" i="80" s="1"/>
  <c r="BL122" i="80" s="1"/>
  <c r="BN122" i="80"/>
  <c r="Q122" i="80" s="1"/>
  <c r="BO122" i="80" l="1"/>
  <c r="BR122" i="80" s="1"/>
  <c r="BS122" i="80" s="1"/>
  <c r="BQ122" i="80"/>
  <c r="L122" i="80"/>
  <c r="N123" i="80" s="1"/>
  <c r="K122" i="80"/>
  <c r="M123" i="80" s="1"/>
  <c r="BP122" i="80" l="1"/>
  <c r="BU123" i="80"/>
  <c r="BT123" i="80"/>
  <c r="O123" i="80"/>
  <c r="S123" i="80" s="1"/>
  <c r="P123" i="80" l="1"/>
  <c r="U123" i="80" s="1"/>
  <c r="BY123" i="80"/>
  <c r="T123" i="80" l="1"/>
  <c r="V123" i="80" s="1"/>
  <c r="X123" i="80"/>
  <c r="Y123" i="80" l="1"/>
  <c r="AD123" i="80" s="1"/>
  <c r="AC123" i="80"/>
  <c r="R123" i="80" l="1"/>
  <c r="BX123" i="80"/>
  <c r="AP123" i="80"/>
  <c r="AQ123" i="80" s="1"/>
  <c r="AR123" i="80" s="1"/>
  <c r="AO123" i="80"/>
  <c r="BV124" i="80"/>
  <c r="BE123" i="80"/>
  <c r="AE123" i="80"/>
  <c r="AF123" i="80"/>
  <c r="AS123" i="80" l="1"/>
  <c r="AH123" i="80"/>
  <c r="AI123" i="80" s="1"/>
  <c r="AJ123" i="80" s="1"/>
  <c r="AG123" i="80"/>
  <c r="AX123" i="80" l="1"/>
  <c r="AK123" i="80"/>
  <c r="AL123" i="80" s="1"/>
  <c r="BD123" i="80"/>
  <c r="AT123" i="80"/>
  <c r="AM123" i="80" l="1"/>
  <c r="AV123" i="80" s="1"/>
  <c r="AN123" i="80"/>
  <c r="BW124" i="80"/>
  <c r="AW123" i="80"/>
  <c r="AY123" i="80" l="1"/>
  <c r="BA123" i="80" s="1"/>
  <c r="AZ123" i="80" l="1"/>
  <c r="BB123" i="80"/>
  <c r="BF123" i="80"/>
  <c r="BG123" i="80" l="1"/>
  <c r="BH123" i="80" s="1"/>
  <c r="BI123" i="80" l="1"/>
  <c r="BJ123" i="80" l="1"/>
  <c r="BK123" i="80" s="1"/>
  <c r="BL123" i="80" s="1"/>
  <c r="BN123" i="80"/>
  <c r="Q123" i="80" s="1"/>
  <c r="BO123" i="80" l="1"/>
  <c r="BR123" i="80" s="1"/>
  <c r="BS123" i="80" s="1"/>
  <c r="BQ123" i="80"/>
  <c r="L123" i="80"/>
  <c r="N124" i="80" s="1"/>
  <c r="K123" i="80"/>
  <c r="M124" i="80" s="1"/>
  <c r="BP123" i="80" l="1"/>
  <c r="BT124" i="80"/>
  <c r="O124" i="80"/>
  <c r="S124" i="80" s="1"/>
  <c r="BU124" i="80"/>
  <c r="P124" i="80" l="1"/>
  <c r="U124" i="80" s="1"/>
  <c r="BY124" i="80"/>
  <c r="T124" i="80" l="1"/>
  <c r="V124" i="80" s="1"/>
  <c r="X124" i="80"/>
  <c r="Y124" i="80" l="1"/>
  <c r="BX124" i="80" s="1"/>
  <c r="AC124" i="80"/>
  <c r="BE124" i="80" l="1"/>
  <c r="BV125" i="80"/>
  <c r="AD124" i="80"/>
  <c r="AE124" i="80" s="1"/>
  <c r="R124" i="80"/>
  <c r="AO124" i="80"/>
  <c r="AP124" i="80"/>
  <c r="AQ124" i="80" s="1"/>
  <c r="AR124" i="80" s="1"/>
  <c r="AF124" i="80" l="1"/>
  <c r="AH124" i="80" s="1"/>
  <c r="AI124" i="80" s="1"/>
  <c r="AJ124" i="80" s="1"/>
  <c r="AS124" i="80"/>
  <c r="AG124" i="80" l="1"/>
  <c r="AX124" i="80" s="1"/>
  <c r="AT124" i="80" l="1"/>
  <c r="BD124" i="80"/>
  <c r="AK124" i="80"/>
  <c r="AL124" i="80" s="1"/>
  <c r="AM124" i="80" s="1"/>
  <c r="AV124" i="80" l="1"/>
  <c r="BW125" i="80"/>
  <c r="AN124" i="80"/>
  <c r="AW124" i="80"/>
  <c r="AY124" i="80" l="1"/>
  <c r="BA124" i="80" s="1"/>
  <c r="BB124" i="80" s="1"/>
  <c r="BF124" i="80"/>
  <c r="AZ124" i="80" l="1"/>
  <c r="BG124" i="80"/>
  <c r="BH124" i="80" s="1"/>
  <c r="BI124" i="80" l="1"/>
  <c r="BN124" i="80" l="1"/>
  <c r="Q124" i="80" s="1"/>
  <c r="BJ124" i="80"/>
  <c r="BK124" i="80" s="1"/>
  <c r="BL124" i="80" s="1"/>
  <c r="BO124" i="80" l="1"/>
  <c r="BR124" i="80" s="1"/>
  <c r="BS124" i="80" s="1"/>
  <c r="BQ124" i="80"/>
  <c r="K124" i="80"/>
  <c r="M125" i="80" s="1"/>
  <c r="L124" i="80"/>
  <c r="N125" i="80" s="1"/>
  <c r="BP124" i="80" l="1"/>
  <c r="BU125" i="80"/>
  <c r="BT125" i="80"/>
  <c r="O125" i="80"/>
  <c r="S125" i="80" s="1"/>
  <c r="BY125" i="80" l="1"/>
  <c r="P125" i="80"/>
  <c r="U125" i="80" s="1"/>
  <c r="T125" i="80" l="1"/>
  <c r="V125" i="80" s="1"/>
  <c r="X125" i="80"/>
  <c r="Y125" i="80" l="1"/>
  <c r="AP125" i="80" s="1"/>
  <c r="AQ125" i="80" s="1"/>
  <c r="AC125" i="80"/>
  <c r="R125" i="80" l="1"/>
  <c r="BV126" i="80"/>
  <c r="BE125" i="80"/>
  <c r="AD125" i="80"/>
  <c r="AF125" i="80" s="1"/>
  <c r="AO125" i="80"/>
  <c r="BX125" i="80"/>
  <c r="AR125" i="80"/>
  <c r="AS125" i="80"/>
  <c r="AE125" i="80" l="1"/>
  <c r="AH125" i="80"/>
  <c r="AI125" i="80" s="1"/>
  <c r="AJ125" i="80" s="1"/>
  <c r="AG125" i="80"/>
  <c r="AK125" i="80" l="1"/>
  <c r="AL125" i="80" s="1"/>
  <c r="AX125" i="80"/>
  <c r="BD125" i="80"/>
  <c r="AT125" i="80"/>
  <c r="AM125" i="80" l="1"/>
  <c r="AV125" i="80" s="1"/>
  <c r="BW126" i="80"/>
  <c r="AN125" i="80"/>
  <c r="AW125" i="80"/>
  <c r="AY125" i="80" l="1"/>
  <c r="BA125" i="80" s="1"/>
  <c r="BB125" i="80" l="1"/>
  <c r="AZ125" i="80"/>
  <c r="BF125" i="80"/>
  <c r="BG125" i="80" l="1"/>
  <c r="BH125" i="80" s="1"/>
  <c r="BI125" i="80" l="1"/>
  <c r="BJ125" i="80" l="1"/>
  <c r="BK125" i="80" s="1"/>
  <c r="BL125" i="80" s="1"/>
  <c r="BN125" i="80"/>
  <c r="Q125" i="80" s="1"/>
  <c r="BO125" i="80" l="1"/>
  <c r="BP125" i="80" s="1"/>
  <c r="BQ125" i="80"/>
  <c r="L125" i="80"/>
  <c r="N126" i="80" s="1"/>
  <c r="K125" i="80"/>
  <c r="M126" i="80" s="1"/>
  <c r="BR125" i="80" l="1"/>
  <c r="BS125" i="80" s="1"/>
  <c r="BT126" i="80"/>
  <c r="O126" i="80"/>
  <c r="S126" i="80" s="1"/>
  <c r="BU126" i="80"/>
  <c r="BY126" i="80" l="1"/>
  <c r="P126" i="80"/>
  <c r="U126" i="80" s="1"/>
  <c r="T126" i="80" l="1"/>
  <c r="V126" i="80" s="1"/>
  <c r="X126" i="80"/>
  <c r="Y126" i="80" l="1"/>
  <c r="AP126" i="80" s="1"/>
  <c r="AQ126" i="80" s="1"/>
  <c r="AC126" i="80"/>
  <c r="BE126" i="80" l="1"/>
  <c r="BV127" i="80"/>
  <c r="R126" i="80"/>
  <c r="AD126" i="80"/>
  <c r="AE126" i="80" s="1"/>
  <c r="BX126" i="80"/>
  <c r="AO126" i="80"/>
  <c r="AR126" i="80"/>
  <c r="AS126" i="80"/>
  <c r="AF126" i="80" l="1"/>
  <c r="AH126" i="80" s="1"/>
  <c r="AI126" i="80" s="1"/>
  <c r="AJ126" i="80" s="1"/>
  <c r="AG126" i="80" l="1"/>
  <c r="AX126" i="80" s="1"/>
  <c r="AT126" i="80" l="1"/>
  <c r="BD126" i="80"/>
  <c r="AK126" i="80"/>
  <c r="AL126" i="80" s="1"/>
  <c r="AM126" i="80" s="1"/>
  <c r="AV126" i="80" l="1"/>
  <c r="AN126" i="80"/>
  <c r="BW127" i="80"/>
  <c r="AW126" i="80"/>
  <c r="AY126" i="80" l="1"/>
  <c r="BA126" i="80" s="1"/>
  <c r="BB126" i="80" s="1"/>
  <c r="BF126" i="80"/>
  <c r="AZ126" i="80" l="1"/>
  <c r="BG126" i="80"/>
  <c r="BH126" i="80" s="1"/>
  <c r="BI126" i="80" l="1"/>
  <c r="BN126" i="80" s="1"/>
  <c r="Q126" i="80" s="1"/>
  <c r="BJ126" i="80" l="1"/>
  <c r="BK126" i="80" s="1"/>
  <c r="BL126" i="80" s="1"/>
  <c r="BQ126" i="80"/>
  <c r="BO126" i="80"/>
  <c r="K126" i="80" l="1"/>
  <c r="M127" i="80" s="1"/>
  <c r="L126" i="80"/>
  <c r="N127" i="80" s="1"/>
  <c r="BR126" i="80"/>
  <c r="BS126" i="80" s="1"/>
  <c r="BP126" i="80"/>
  <c r="BU127" i="80" l="1"/>
  <c r="BT127" i="80"/>
  <c r="O127" i="80"/>
  <c r="S127" i="80" s="1"/>
  <c r="BY127" i="80" l="1"/>
  <c r="P127" i="80"/>
  <c r="U127" i="80" s="1"/>
  <c r="T127" i="80" l="1"/>
  <c r="V127" i="80" s="1"/>
  <c r="X127" i="80"/>
  <c r="Y127" i="80" l="1"/>
  <c r="BX127" i="80" s="1"/>
  <c r="AC127" i="80"/>
  <c r="R127" i="80" l="1"/>
  <c r="BV128" i="80"/>
  <c r="BE127" i="80"/>
  <c r="AD127" i="80"/>
  <c r="AE127" i="80" s="1"/>
  <c r="AO127" i="80"/>
  <c r="AP127" i="80"/>
  <c r="AQ127" i="80" s="1"/>
  <c r="AR127" i="80" s="1"/>
  <c r="AF127" i="80" l="1"/>
  <c r="AH127" i="80" s="1"/>
  <c r="AI127" i="80" s="1"/>
  <c r="AJ127" i="80" s="1"/>
  <c r="AS127" i="80"/>
  <c r="AG127" i="80" l="1"/>
  <c r="AX127" i="80" s="1"/>
  <c r="BD127" i="80" l="1"/>
  <c r="AT127" i="80"/>
  <c r="AK127" i="80"/>
  <c r="AL127" i="80" s="1"/>
  <c r="AM127" i="80" s="1"/>
  <c r="AV127" i="80" l="1"/>
  <c r="AN127" i="80"/>
  <c r="BW128" i="80"/>
  <c r="AW127" i="80"/>
  <c r="AY127" i="80" l="1"/>
  <c r="BA127" i="80" s="1"/>
  <c r="BB127" i="80" s="1"/>
  <c r="BF127" i="80"/>
  <c r="AZ127" i="80" l="1"/>
  <c r="BG127" i="80"/>
  <c r="BH127" i="80" s="1"/>
  <c r="BI127" i="80" l="1"/>
  <c r="BJ127" i="80" l="1"/>
  <c r="BK127" i="80" s="1"/>
  <c r="BL127" i="80" s="1"/>
  <c r="BN127" i="80"/>
  <c r="Q127" i="80" s="1"/>
  <c r="BO127" i="80" l="1"/>
  <c r="BR127" i="80" s="1"/>
  <c r="BS127" i="80" s="1"/>
  <c r="BQ127" i="80"/>
  <c r="L127" i="80"/>
  <c r="N128" i="80" s="1"/>
  <c r="K127" i="80"/>
  <c r="M128" i="80" s="1"/>
  <c r="BP127" i="80" l="1"/>
  <c r="BT128" i="80"/>
  <c r="O128" i="80"/>
  <c r="S128" i="80" s="1"/>
  <c r="BU128" i="80"/>
  <c r="P128" i="80" l="1"/>
  <c r="U128" i="80" s="1"/>
  <c r="BY128" i="80"/>
  <c r="T128" i="80" l="1"/>
  <c r="V128" i="80" s="1"/>
  <c r="X128" i="80"/>
  <c r="Y128" i="80" l="1"/>
  <c r="AP128" i="80" s="1"/>
  <c r="AQ128" i="80" s="1"/>
  <c r="AC128" i="80"/>
  <c r="BE128" i="80" l="1"/>
  <c r="BX128" i="80"/>
  <c r="AD128" i="80"/>
  <c r="AF128" i="80" s="1"/>
  <c r="AO128" i="80"/>
  <c r="BV129" i="80"/>
  <c r="R128" i="80"/>
  <c r="AR128" i="80"/>
  <c r="AS128" i="80"/>
  <c r="AE128" i="80" l="1"/>
  <c r="AH128" i="80"/>
  <c r="AI128" i="80" s="1"/>
  <c r="AJ128" i="80" s="1"/>
  <c r="AG128" i="80"/>
  <c r="AX128" i="80" l="1"/>
  <c r="AK128" i="80"/>
  <c r="AL128" i="80" s="1"/>
  <c r="BD128" i="80"/>
  <c r="AT128" i="80"/>
  <c r="AM128" i="80" l="1"/>
  <c r="AV128" i="80" s="1"/>
  <c r="AN128" i="80"/>
  <c r="BW129" i="80"/>
  <c r="AW128" i="80"/>
  <c r="AY128" i="80" l="1"/>
  <c r="BA128" i="80" s="1"/>
  <c r="AZ128" i="80" l="1"/>
  <c r="BB128" i="80"/>
  <c r="BF128" i="80"/>
  <c r="BG128" i="80" l="1"/>
  <c r="BH128" i="80" s="1"/>
  <c r="BI128" i="80" l="1"/>
  <c r="BN128" i="80" l="1"/>
  <c r="Q128" i="80" s="1"/>
  <c r="BJ128" i="80"/>
  <c r="BK128" i="80" s="1"/>
  <c r="BL128" i="80" s="1"/>
  <c r="BO128" i="80" l="1"/>
  <c r="BR128" i="80" s="1"/>
  <c r="BS128" i="80" s="1"/>
  <c r="BQ128" i="80"/>
  <c r="K128" i="80"/>
  <c r="M129" i="80" s="1"/>
  <c r="L128" i="80"/>
  <c r="N129" i="80" s="1"/>
  <c r="BP128" i="80" l="1"/>
  <c r="BT129" i="80"/>
  <c r="O129" i="80"/>
  <c r="S129" i="80" s="1"/>
  <c r="BU129" i="80"/>
  <c r="BY129" i="80" l="1"/>
  <c r="P129" i="80"/>
  <c r="U129" i="80" s="1"/>
  <c r="T129" i="80" l="1"/>
  <c r="V129" i="80" s="1"/>
  <c r="X129" i="80"/>
  <c r="Y129" i="80" l="1"/>
  <c r="AP129" i="80" s="1"/>
  <c r="AQ129" i="80" s="1"/>
  <c r="AC129" i="80"/>
  <c r="BE129" i="80" l="1"/>
  <c r="BV130" i="80"/>
  <c r="R129" i="80"/>
  <c r="AD129" i="80"/>
  <c r="AE129" i="80" s="1"/>
  <c r="AO129" i="80"/>
  <c r="BX129" i="80"/>
  <c r="AR129" i="80"/>
  <c r="AS129" i="80"/>
  <c r="AF129" i="80" l="1"/>
  <c r="AH129" i="80" s="1"/>
  <c r="AI129" i="80" s="1"/>
  <c r="AJ129" i="80" s="1"/>
  <c r="AG129" i="80" l="1"/>
  <c r="AK129" i="80" s="1"/>
  <c r="AL129" i="80" s="1"/>
  <c r="AT129" i="80" l="1"/>
  <c r="BD129" i="80"/>
  <c r="AX129" i="80"/>
  <c r="AM129" i="80"/>
  <c r="BW130" i="80"/>
  <c r="AN129" i="80"/>
  <c r="AV129" i="80" l="1"/>
  <c r="AW129" i="80"/>
  <c r="AY129" i="80" l="1"/>
  <c r="BA129" i="80" s="1"/>
  <c r="BB129" i="80" s="1"/>
  <c r="BF129" i="80"/>
  <c r="AZ129" i="80" l="1"/>
  <c r="BG129" i="80"/>
  <c r="BH129" i="80" s="1"/>
  <c r="BI129" i="80" l="1"/>
  <c r="BN129" i="80" l="1"/>
  <c r="Q129" i="80" s="1"/>
  <c r="BJ129" i="80"/>
  <c r="BK129" i="80" s="1"/>
  <c r="BL129" i="80" s="1"/>
  <c r="BO129" i="80" l="1"/>
  <c r="BR129" i="80" s="1"/>
  <c r="BS129" i="80" s="1"/>
  <c r="BQ129" i="80"/>
  <c r="K129" i="80"/>
  <c r="M130" i="80" s="1"/>
  <c r="L129" i="80"/>
  <c r="N130" i="80" s="1"/>
  <c r="BP129" i="80" l="1"/>
  <c r="BU130" i="80"/>
  <c r="BT130" i="80"/>
  <c r="O130" i="80"/>
  <c r="S130" i="80" s="1"/>
  <c r="P130" i="80" l="1"/>
  <c r="U130" i="80" s="1"/>
  <c r="BY130" i="80"/>
  <c r="T130" i="80" l="1"/>
  <c r="V130" i="80" s="1"/>
  <c r="X130" i="80"/>
  <c r="Y130" i="80" l="1"/>
  <c r="AC130" i="80"/>
  <c r="R130" i="80" l="1"/>
  <c r="BV131" i="80"/>
  <c r="BE130" i="80"/>
  <c r="AO130" i="80"/>
  <c r="AD130" i="80"/>
  <c r="AE130" i="80" s="1"/>
  <c r="AP130" i="80"/>
  <c r="AQ130" i="80" s="1"/>
  <c r="AR130" i="80" s="1"/>
  <c r="BX130" i="80"/>
  <c r="AF130" i="80" l="1"/>
  <c r="AG130" i="80" s="1"/>
  <c r="AS130" i="80"/>
  <c r="AH130" i="80" l="1"/>
  <c r="AI130" i="80" s="1"/>
  <c r="AJ130" i="80" s="1"/>
  <c r="AK130" i="80"/>
  <c r="AL130" i="80" s="1"/>
  <c r="AX130" i="80"/>
  <c r="BD130" i="80"/>
  <c r="AT130" i="80"/>
  <c r="AM130" i="80" l="1"/>
  <c r="AV130" i="80" s="1"/>
  <c r="BW131" i="80"/>
  <c r="AN130" i="80"/>
  <c r="AW130" i="80"/>
  <c r="AY130" i="80" l="1"/>
  <c r="BA130" i="80" s="1"/>
  <c r="AZ130" i="80" l="1"/>
  <c r="BB130" i="80"/>
  <c r="BF130" i="80"/>
  <c r="BG130" i="80" l="1"/>
  <c r="BH130" i="80" s="1"/>
  <c r="BI130" i="80" l="1"/>
  <c r="BJ130" i="80" l="1"/>
  <c r="BK130" i="80" s="1"/>
  <c r="BL130" i="80" s="1"/>
  <c r="BN130" i="80"/>
  <c r="Q130" i="80" s="1"/>
  <c r="BO130" i="80" l="1"/>
  <c r="BR130" i="80" s="1"/>
  <c r="BS130" i="80" s="1"/>
  <c r="BQ130" i="80"/>
  <c r="L130" i="80"/>
  <c r="N131" i="80" s="1"/>
  <c r="K130" i="80"/>
  <c r="M131" i="80" s="1"/>
  <c r="BP130" i="80" l="1"/>
  <c r="BT131" i="80"/>
  <c r="O131" i="80"/>
  <c r="S131" i="80" s="1"/>
  <c r="BU131" i="80"/>
  <c r="P131" i="80" l="1"/>
  <c r="U131" i="80" s="1"/>
  <c r="BY131" i="80"/>
  <c r="T131" i="80" l="1"/>
  <c r="V131" i="80" s="1"/>
  <c r="X131" i="80"/>
  <c r="Y131" i="80" l="1"/>
  <c r="BX131" i="80" s="1"/>
  <c r="AC131" i="80"/>
  <c r="AD131" i="80" l="1"/>
  <c r="AE131" i="80" s="1"/>
  <c r="BE131" i="80"/>
  <c r="AO131" i="80"/>
  <c r="AP131" i="80"/>
  <c r="AQ131" i="80" s="1"/>
  <c r="AS131" i="80" s="1"/>
  <c r="BV132" i="80"/>
  <c r="R131" i="80"/>
  <c r="AF131" i="80" l="1"/>
  <c r="AH131" i="80" s="1"/>
  <c r="AI131" i="80" s="1"/>
  <c r="AJ131" i="80" s="1"/>
  <c r="AR131" i="80"/>
  <c r="AG131" i="80" l="1"/>
  <c r="AK131" i="80" s="1"/>
  <c r="AL131" i="80" s="1"/>
  <c r="AT131" i="80" l="1"/>
  <c r="BD131" i="80"/>
  <c r="AX131" i="80"/>
  <c r="AM131" i="80"/>
  <c r="BW132" i="80"/>
  <c r="AN131" i="80"/>
  <c r="AV131" i="80" l="1"/>
  <c r="AW131" i="80"/>
  <c r="AY131" i="80" l="1"/>
  <c r="BA131" i="80" s="1"/>
  <c r="BB131" i="80" s="1"/>
  <c r="BF131" i="80"/>
  <c r="AZ131" i="80" l="1"/>
  <c r="BG131" i="80"/>
  <c r="BH131" i="80" s="1"/>
  <c r="BI131" i="80" l="1"/>
  <c r="BN131" i="80" l="1"/>
  <c r="Q131" i="80" s="1"/>
  <c r="BJ131" i="80"/>
  <c r="BK131" i="80" s="1"/>
  <c r="BL131" i="80" s="1"/>
  <c r="BO131" i="80" l="1"/>
  <c r="BR131" i="80" s="1"/>
  <c r="BS131" i="80" s="1"/>
  <c r="BQ131" i="80"/>
  <c r="K131" i="80"/>
  <c r="M132" i="80" s="1"/>
  <c r="L131" i="80"/>
  <c r="N132" i="80" s="1"/>
  <c r="BP131" i="80" l="1"/>
  <c r="BU132" i="80"/>
  <c r="BT132" i="80"/>
  <c r="O132" i="80"/>
  <c r="S132" i="80" s="1"/>
  <c r="BY132" i="80" l="1"/>
  <c r="P132" i="80"/>
  <c r="U132" i="80" s="1"/>
  <c r="T132" i="80" l="1"/>
  <c r="V132" i="80" s="1"/>
  <c r="X132" i="80"/>
  <c r="Y132" i="80" l="1"/>
  <c r="AC132" i="80"/>
  <c r="BE132" i="80" l="1"/>
  <c r="BV133" i="80"/>
  <c r="R132" i="80"/>
  <c r="AO132" i="80"/>
  <c r="AD132" i="80"/>
  <c r="AF132" i="80" s="1"/>
  <c r="BX132" i="80"/>
  <c r="AP132" i="80"/>
  <c r="AQ132" i="80" s="1"/>
  <c r="AR132" i="80" s="1"/>
  <c r="AE132" i="80" l="1"/>
  <c r="AS132" i="80"/>
  <c r="AH132" i="80"/>
  <c r="AI132" i="80" s="1"/>
  <c r="AJ132" i="80" s="1"/>
  <c r="AG132" i="80"/>
  <c r="AK132" i="80" l="1"/>
  <c r="AL132" i="80" s="1"/>
  <c r="AX132" i="80"/>
  <c r="BD132" i="80"/>
  <c r="AT132" i="80"/>
  <c r="AM132" i="80" l="1"/>
  <c r="AV132" i="80" s="1"/>
  <c r="BW133" i="80"/>
  <c r="AN132" i="80"/>
  <c r="AW132" i="80"/>
  <c r="AY132" i="80" l="1"/>
  <c r="BA132" i="80" s="1"/>
  <c r="AZ132" i="80" l="1"/>
  <c r="BB132" i="80"/>
  <c r="BF132" i="80"/>
  <c r="BG132" i="80" l="1"/>
  <c r="BH132" i="80" s="1"/>
  <c r="BI132" i="80" l="1"/>
  <c r="BJ132" i="80" l="1"/>
  <c r="BK132" i="80" s="1"/>
  <c r="BL132" i="80" s="1"/>
  <c r="BN132" i="80"/>
  <c r="Q132" i="80" s="1"/>
  <c r="BO132" i="80" l="1"/>
  <c r="BR132" i="80" s="1"/>
  <c r="BS132" i="80" s="1"/>
  <c r="BQ132" i="80"/>
  <c r="L132" i="80"/>
  <c r="N133" i="80" s="1"/>
  <c r="K132" i="80"/>
  <c r="M133" i="80" s="1"/>
  <c r="BP132" i="80" l="1"/>
  <c r="BT133" i="80"/>
  <c r="O133" i="80"/>
  <c r="S133" i="80" s="1"/>
  <c r="BU133" i="80"/>
  <c r="P133" i="80" l="1"/>
  <c r="U133" i="80" s="1"/>
  <c r="BY133" i="80"/>
  <c r="T133" i="80" l="1"/>
  <c r="V133" i="80" s="1"/>
  <c r="X133" i="80"/>
  <c r="Y133" i="80" l="1"/>
  <c r="AP133" i="80" s="1"/>
  <c r="AQ133" i="80" s="1"/>
  <c r="AC133" i="80"/>
  <c r="BE133" i="80" l="1"/>
  <c r="BV134" i="80"/>
  <c r="R133" i="80"/>
  <c r="AD133" i="80"/>
  <c r="AE133" i="80" s="1"/>
  <c r="BX133" i="80"/>
  <c r="AO133" i="80"/>
  <c r="AR133" i="80"/>
  <c r="AS133" i="80"/>
  <c r="AF133" i="80" l="1"/>
  <c r="AH133" i="80" s="1"/>
  <c r="AI133" i="80" s="1"/>
  <c r="AJ133" i="80" s="1"/>
  <c r="AG133" i="80" l="1"/>
  <c r="AX133" i="80" s="1"/>
  <c r="AT133" i="80" l="1"/>
  <c r="BD133" i="80"/>
  <c r="AK133" i="80"/>
  <c r="AL133" i="80" s="1"/>
  <c r="AM133" i="80" s="1"/>
  <c r="AV133" i="80" l="1"/>
  <c r="BW134" i="80"/>
  <c r="AN133" i="80"/>
  <c r="AW133" i="80"/>
  <c r="AY133" i="80" l="1"/>
  <c r="BA133" i="80" s="1"/>
  <c r="BB133" i="80" s="1"/>
  <c r="BF133" i="80"/>
  <c r="AZ133" i="80" l="1"/>
  <c r="BG133" i="80"/>
  <c r="BH133" i="80" s="1"/>
  <c r="BI133" i="80" l="1"/>
  <c r="BN133" i="80" s="1"/>
  <c r="Q133" i="80" s="1"/>
  <c r="BJ133" i="80" l="1"/>
  <c r="BK133" i="80" s="1"/>
  <c r="BL133" i="80" s="1"/>
  <c r="BQ133" i="80"/>
  <c r="BO133" i="80"/>
  <c r="BR133" i="80" l="1"/>
  <c r="BS133" i="80" s="1"/>
  <c r="BP133" i="80"/>
  <c r="K133" i="80"/>
  <c r="M134" i="80" s="1"/>
  <c r="L133" i="80"/>
  <c r="N134" i="80" s="1"/>
  <c r="BU134" i="80" l="1"/>
  <c r="BT134" i="80"/>
  <c r="O134" i="80"/>
  <c r="S134" i="80" s="1"/>
  <c r="P134" i="80" l="1"/>
  <c r="U134" i="80" s="1"/>
  <c r="BY134" i="80"/>
  <c r="T134" i="80" l="1"/>
  <c r="V134" i="80" s="1"/>
  <c r="X134" i="80"/>
  <c r="Y134" i="80" l="1"/>
  <c r="AP134" i="80" s="1"/>
  <c r="AQ134" i="80" s="1"/>
  <c r="AC134" i="80"/>
  <c r="BE134" i="80" l="1"/>
  <c r="AD134" i="80"/>
  <c r="AE134" i="80" s="1"/>
  <c r="BX134" i="80"/>
  <c r="AO134" i="80"/>
  <c r="R134" i="80"/>
  <c r="BV135" i="80"/>
  <c r="AR134" i="80"/>
  <c r="AS134" i="80"/>
  <c r="AF134" i="80" l="1"/>
  <c r="AH134" i="80" s="1"/>
  <c r="AI134" i="80" s="1"/>
  <c r="AJ134" i="80" s="1"/>
  <c r="AG134" i="80" l="1"/>
  <c r="AK134" i="80" s="1"/>
  <c r="AL134" i="80" s="1"/>
  <c r="AT134" i="80" l="1"/>
  <c r="BD134" i="80"/>
  <c r="AX134" i="80"/>
  <c r="AM134" i="80"/>
  <c r="AN134" i="80"/>
  <c r="BW135" i="80"/>
  <c r="AV134" i="80" l="1"/>
  <c r="AW134" i="80"/>
  <c r="AY134" i="80" l="1"/>
  <c r="BA134" i="80" s="1"/>
  <c r="BB134" i="80" s="1"/>
  <c r="BF134" i="80"/>
  <c r="AZ134" i="80" l="1"/>
  <c r="BG134" i="80"/>
  <c r="BH134" i="80" s="1"/>
  <c r="BI134" i="80" l="1"/>
  <c r="BN134" i="80" s="1"/>
  <c r="Q134" i="80" s="1"/>
  <c r="BJ134" i="80" l="1"/>
  <c r="BK134" i="80" s="1"/>
  <c r="BL134" i="80" s="1"/>
  <c r="BQ134" i="80"/>
  <c r="BO134" i="80"/>
  <c r="L134" i="80" l="1"/>
  <c r="N135" i="80" s="1"/>
  <c r="K134" i="80"/>
  <c r="M135" i="80" s="1"/>
  <c r="BR134" i="80"/>
  <c r="BS134" i="80" s="1"/>
  <c r="BP134" i="80"/>
  <c r="BT135" i="80" l="1"/>
  <c r="O135" i="80"/>
  <c r="S135" i="80" s="1"/>
  <c r="BU135" i="80"/>
  <c r="BY135" i="80" l="1"/>
  <c r="P135" i="80"/>
  <c r="U135" i="80" s="1"/>
  <c r="T135" i="80" l="1"/>
  <c r="V135" i="80" s="1"/>
  <c r="X135" i="80"/>
  <c r="Y135" i="80" l="1"/>
  <c r="BX135" i="80" s="1"/>
  <c r="AC135" i="80"/>
  <c r="BE135" i="80" l="1"/>
  <c r="BV136" i="80"/>
  <c r="R135" i="80"/>
  <c r="AO135" i="80"/>
  <c r="AD135" i="80"/>
  <c r="AE135" i="80" s="1"/>
  <c r="AP135" i="80"/>
  <c r="AQ135" i="80" s="1"/>
  <c r="AR135" i="80" s="1"/>
  <c r="AF135" i="80" l="1"/>
  <c r="AH135" i="80" s="1"/>
  <c r="AI135" i="80" s="1"/>
  <c r="AJ135" i="80" s="1"/>
  <c r="AS135" i="80"/>
  <c r="AG135" i="80" l="1"/>
  <c r="AX135" i="80" s="1"/>
  <c r="AT135" i="80" l="1"/>
  <c r="BD135" i="80"/>
  <c r="AK135" i="80"/>
  <c r="AL135" i="80" s="1"/>
  <c r="AM135" i="80" s="1"/>
  <c r="AV135" i="80" l="1"/>
  <c r="AN135" i="80"/>
  <c r="BW136" i="80"/>
  <c r="AW135" i="80"/>
  <c r="AY135" i="80" l="1"/>
  <c r="BA135" i="80" s="1"/>
  <c r="BB135" i="80" s="1"/>
  <c r="BF135" i="80"/>
  <c r="AZ135" i="80" l="1"/>
  <c r="BG135" i="80"/>
  <c r="BH135" i="80" s="1"/>
  <c r="BI135" i="80" l="1"/>
  <c r="BN135" i="80" s="1"/>
  <c r="Q135" i="80" s="1"/>
  <c r="BJ135" i="80" l="1"/>
  <c r="BK135" i="80" s="1"/>
  <c r="BL135" i="80" s="1"/>
  <c r="BQ135" i="80"/>
  <c r="BO135" i="80"/>
  <c r="K135" i="80" l="1"/>
  <c r="M136" i="80" s="1"/>
  <c r="L135" i="80"/>
  <c r="N136" i="80" s="1"/>
  <c r="BR135" i="80"/>
  <c r="BS135" i="80" s="1"/>
  <c r="BP135" i="80"/>
  <c r="BU136" i="80" l="1"/>
  <c r="BT136" i="80"/>
  <c r="O136" i="80"/>
  <c r="S136" i="80" s="1"/>
  <c r="P136" i="80" l="1"/>
  <c r="U136" i="80" s="1"/>
  <c r="BY136" i="80"/>
  <c r="T136" i="80" l="1"/>
  <c r="V136" i="80" s="1"/>
  <c r="X136" i="80"/>
  <c r="Y136" i="80" l="1"/>
  <c r="BX136" i="80" s="1"/>
  <c r="AC136" i="80"/>
  <c r="BE136" i="80" l="1"/>
  <c r="BV137" i="80"/>
  <c r="R136" i="80"/>
  <c r="AD136" i="80"/>
  <c r="AE136" i="80" s="1"/>
  <c r="AO136" i="80"/>
  <c r="AP136" i="80"/>
  <c r="AQ136" i="80" s="1"/>
  <c r="AR136" i="80" s="1"/>
  <c r="AF136" i="80" l="1"/>
  <c r="AH136" i="80" s="1"/>
  <c r="AI136" i="80" s="1"/>
  <c r="AJ136" i="80" s="1"/>
  <c r="AS136" i="80"/>
  <c r="AG136" i="80" l="1"/>
  <c r="AX136" i="80" s="1"/>
  <c r="AK136" i="80" l="1"/>
  <c r="AL136" i="80" s="1"/>
  <c r="AN136" i="80" s="1"/>
  <c r="AT136" i="80"/>
  <c r="BD136" i="80"/>
  <c r="BW137" i="80" l="1"/>
  <c r="AM136" i="80"/>
  <c r="AV136" i="80" s="1"/>
  <c r="AW136" i="80"/>
  <c r="AY136" i="80" l="1"/>
  <c r="BA136" i="80" s="1"/>
  <c r="BB136" i="80" s="1"/>
  <c r="BF136" i="80"/>
  <c r="AZ136" i="80" l="1"/>
  <c r="BG136" i="80"/>
  <c r="BH136" i="80" s="1"/>
  <c r="BI136" i="80" l="1"/>
  <c r="BN136" i="80" l="1"/>
  <c r="Q136" i="80" s="1"/>
  <c r="BJ136" i="80"/>
  <c r="BK136" i="80" s="1"/>
  <c r="BL136" i="80" s="1"/>
  <c r="BO136" i="80"/>
  <c r="BQ136" i="80" l="1"/>
  <c r="L136" i="80"/>
  <c r="N137" i="80" s="1"/>
  <c r="K136" i="80"/>
  <c r="M137" i="80" s="1"/>
  <c r="BR136" i="80"/>
  <c r="BS136" i="80" s="1"/>
  <c r="BP136" i="80"/>
  <c r="BT137" i="80" l="1"/>
  <c r="O137" i="80"/>
  <c r="S137" i="80" s="1"/>
  <c r="BU137" i="80"/>
  <c r="P137" i="80" l="1"/>
  <c r="U137" i="80" s="1"/>
  <c r="BY137" i="80"/>
  <c r="T137" i="80" l="1"/>
  <c r="V137" i="80" s="1"/>
  <c r="X137" i="80"/>
  <c r="Y137" i="80" l="1"/>
  <c r="BX137" i="80" s="1"/>
  <c r="AC137" i="80"/>
  <c r="R137" i="80" l="1"/>
  <c r="AD137" i="80"/>
  <c r="AE137" i="80" s="1"/>
  <c r="AP137" i="80"/>
  <c r="AQ137" i="80" s="1"/>
  <c r="AR137" i="80" s="1"/>
  <c r="BV138" i="80"/>
  <c r="BE137" i="80"/>
  <c r="AO137" i="80"/>
  <c r="AF137" i="80" l="1"/>
  <c r="AH137" i="80" s="1"/>
  <c r="AI137" i="80" s="1"/>
  <c r="AJ137" i="80" s="1"/>
  <c r="AS137" i="80"/>
  <c r="AG137" i="80" l="1"/>
  <c r="AX137" i="80" s="1"/>
  <c r="AT137" i="80" l="1"/>
  <c r="BD137" i="80"/>
  <c r="AK137" i="80"/>
  <c r="AL137" i="80" s="1"/>
  <c r="AM137" i="80" s="1"/>
  <c r="AV137" i="80" l="1"/>
  <c r="BW138" i="80"/>
  <c r="AN137" i="80"/>
  <c r="AW137" i="80"/>
  <c r="AY137" i="80" l="1"/>
  <c r="BA137" i="80" s="1"/>
  <c r="BB137" i="80" s="1"/>
  <c r="BF137" i="80"/>
  <c r="AZ137" i="80" l="1"/>
  <c r="BG137" i="80"/>
  <c r="BH137" i="80" s="1"/>
  <c r="BI137" i="80" l="1"/>
  <c r="BN137" i="80" l="1"/>
  <c r="Q137" i="80" s="1"/>
  <c r="BJ137" i="80"/>
  <c r="BK137" i="80" s="1"/>
  <c r="BL137" i="80" s="1"/>
  <c r="BO137" i="80" l="1"/>
  <c r="BR137" i="80" s="1"/>
  <c r="BS137" i="80" s="1"/>
  <c r="BQ137" i="80"/>
  <c r="K137" i="80"/>
  <c r="M138" i="80" s="1"/>
  <c r="L137" i="80"/>
  <c r="N138" i="80" s="1"/>
  <c r="BP137" i="80" l="1"/>
  <c r="BU138" i="80"/>
  <c r="BT138" i="80"/>
  <c r="O138" i="80"/>
  <c r="S138" i="80" s="1"/>
  <c r="BY138" i="80" l="1"/>
  <c r="P138" i="80"/>
  <c r="U138" i="80" s="1"/>
  <c r="T138" i="80" l="1"/>
  <c r="V138" i="80" s="1"/>
  <c r="X138" i="80"/>
  <c r="Y138" i="80" l="1"/>
  <c r="AC138" i="80"/>
  <c r="R138" i="80" l="1"/>
  <c r="BV139" i="80"/>
  <c r="BE138" i="80"/>
  <c r="AO138" i="80"/>
  <c r="AD138" i="80"/>
  <c r="AE138" i="80" s="1"/>
  <c r="BX138" i="80"/>
  <c r="AP138" i="80"/>
  <c r="AQ138" i="80" s="1"/>
  <c r="AR138" i="80" s="1"/>
  <c r="AF138" i="80" l="1"/>
  <c r="AH138" i="80" s="1"/>
  <c r="AI138" i="80" s="1"/>
  <c r="AJ138" i="80" s="1"/>
  <c r="AS138" i="80"/>
  <c r="AG138" i="80" l="1"/>
  <c r="AX138" i="80" s="1"/>
  <c r="AT138" i="80" l="1"/>
  <c r="BD138" i="80"/>
  <c r="AK138" i="80"/>
  <c r="AL138" i="80" s="1"/>
  <c r="AM138" i="80" s="1"/>
  <c r="AV138" i="80" l="1"/>
  <c r="AN138" i="80"/>
  <c r="BW139" i="80"/>
  <c r="AW138" i="80"/>
  <c r="AY138" i="80" l="1"/>
  <c r="BA138" i="80" s="1"/>
  <c r="BB138" i="80" s="1"/>
  <c r="BF138" i="80"/>
  <c r="AZ138" i="80" l="1"/>
  <c r="BG138" i="80"/>
  <c r="BH138" i="80" s="1"/>
  <c r="BI138" i="80" l="1"/>
  <c r="BJ138" i="80" l="1"/>
  <c r="BK138" i="80" s="1"/>
  <c r="BL138" i="80" s="1"/>
  <c r="BN138" i="80"/>
  <c r="Q138" i="80" s="1"/>
  <c r="BO138" i="80" l="1"/>
  <c r="BP138" i="80" s="1"/>
  <c r="BQ138" i="80"/>
  <c r="L138" i="80"/>
  <c r="N139" i="80" s="1"/>
  <c r="K138" i="80"/>
  <c r="M139" i="80" s="1"/>
  <c r="BR138" i="80" l="1"/>
  <c r="BS138" i="80" s="1"/>
  <c r="BU139" i="80"/>
  <c r="BT139" i="80"/>
  <c r="O139" i="80"/>
  <c r="S139" i="80" s="1"/>
  <c r="BY139" i="80" l="1"/>
  <c r="P139" i="80"/>
  <c r="U139" i="80" s="1"/>
  <c r="T139" i="80" l="1"/>
  <c r="V139" i="80" s="1"/>
  <c r="X139" i="80"/>
  <c r="Y139" i="80" l="1"/>
  <c r="AP139" i="80" s="1"/>
  <c r="AQ139" i="80" s="1"/>
  <c r="AC139" i="80"/>
  <c r="R139" i="80" l="1"/>
  <c r="BV140" i="80"/>
  <c r="BE139" i="80"/>
  <c r="AD139" i="80"/>
  <c r="AE139" i="80" s="1"/>
  <c r="AO139" i="80"/>
  <c r="BX139" i="80"/>
  <c r="AR139" i="80"/>
  <c r="AS139" i="80"/>
  <c r="AF139" i="80" l="1"/>
  <c r="AH139" i="80" s="1"/>
  <c r="AI139" i="80" s="1"/>
  <c r="AJ139" i="80" s="1"/>
  <c r="AG139" i="80" l="1"/>
  <c r="AX139" i="80" s="1"/>
  <c r="AT139" i="80" l="1"/>
  <c r="BD139" i="80"/>
  <c r="AK139" i="80"/>
  <c r="AL139" i="80" s="1"/>
  <c r="AM139" i="80" s="1"/>
  <c r="AV139" i="80" s="1"/>
  <c r="AW139" i="80"/>
  <c r="AN139" i="80" l="1"/>
  <c r="BW140" i="80"/>
  <c r="AY139" i="80"/>
  <c r="BA139" i="80" s="1"/>
  <c r="AZ139" i="80" l="1"/>
  <c r="BB139" i="80"/>
  <c r="BF139" i="80"/>
  <c r="BG139" i="80" l="1"/>
  <c r="BH139" i="80" s="1"/>
  <c r="BI139" i="80" l="1"/>
  <c r="BJ139" i="80" l="1"/>
  <c r="BK139" i="80" s="1"/>
  <c r="BL139" i="80" s="1"/>
  <c r="BN139" i="80"/>
  <c r="Q139" i="80" s="1"/>
  <c r="BO139" i="80" l="1"/>
  <c r="BR139" i="80" s="1"/>
  <c r="BS139" i="80" s="1"/>
  <c r="BQ139" i="80"/>
  <c r="L139" i="80"/>
  <c r="N140" i="80" s="1"/>
  <c r="K139" i="80"/>
  <c r="M140" i="80" s="1"/>
  <c r="BP139" i="80" l="1"/>
  <c r="BU140" i="80"/>
  <c r="BT140" i="80"/>
  <c r="O140" i="80"/>
  <c r="S140" i="80" s="1"/>
  <c r="BY140" i="80" l="1"/>
  <c r="P140" i="80"/>
  <c r="U140" i="80" s="1"/>
  <c r="T140" i="80" l="1"/>
  <c r="V140" i="80" s="1"/>
  <c r="X140" i="80"/>
  <c r="Y140" i="80" l="1"/>
  <c r="BX140" i="80" s="1"/>
  <c r="AC140" i="80"/>
  <c r="R140" i="80" l="1"/>
  <c r="BV141" i="80"/>
  <c r="BE140" i="80"/>
  <c r="AD140" i="80"/>
  <c r="AE140" i="80" s="1"/>
  <c r="AO140" i="80"/>
  <c r="AP140" i="80"/>
  <c r="AQ140" i="80" s="1"/>
  <c r="AR140" i="80" s="1"/>
  <c r="AF140" i="80" l="1"/>
  <c r="AH140" i="80" s="1"/>
  <c r="AI140" i="80" s="1"/>
  <c r="AJ140" i="80" s="1"/>
  <c r="AS140" i="80"/>
  <c r="AG140" i="80" l="1"/>
  <c r="AK140" i="80" s="1"/>
  <c r="AL140" i="80" s="1"/>
  <c r="AT140" i="80" l="1"/>
  <c r="BD140" i="80"/>
  <c r="AX140" i="80"/>
  <c r="AM140" i="80"/>
  <c r="AN140" i="80"/>
  <c r="BW141" i="80"/>
  <c r="AV140" i="80" l="1"/>
  <c r="AW140" i="80"/>
  <c r="AY140" i="80" l="1"/>
  <c r="BA140" i="80" s="1"/>
  <c r="BB140" i="80" s="1"/>
  <c r="BF140" i="80"/>
  <c r="AZ140" i="80" l="1"/>
  <c r="BG140" i="80"/>
  <c r="BH140" i="80" s="1"/>
  <c r="BI140" i="80" l="1"/>
  <c r="BJ140" i="80" l="1"/>
  <c r="BK140" i="80" s="1"/>
  <c r="BL140" i="80" s="1"/>
  <c r="BN140" i="80"/>
  <c r="Q140" i="80" s="1"/>
  <c r="BO140" i="80" l="1"/>
  <c r="BR140" i="80" s="1"/>
  <c r="BS140" i="80" s="1"/>
  <c r="BQ140" i="80"/>
  <c r="L140" i="80"/>
  <c r="N141" i="80" s="1"/>
  <c r="K140" i="80"/>
  <c r="M141" i="80" s="1"/>
  <c r="BP140" i="80" l="1"/>
  <c r="BT141" i="80"/>
  <c r="O141" i="80"/>
  <c r="S141" i="80" s="1"/>
  <c r="BU141" i="80"/>
  <c r="BY141" i="80" l="1"/>
  <c r="P141" i="80"/>
  <c r="U141" i="80" s="1"/>
  <c r="T141" i="80" l="1"/>
  <c r="V141" i="80" s="1"/>
  <c r="X141" i="80"/>
  <c r="Y141" i="80" l="1"/>
  <c r="AP141" i="80" s="1"/>
  <c r="AQ141" i="80" s="1"/>
  <c r="AC141" i="80"/>
  <c r="BE141" i="80" l="1"/>
  <c r="BV142" i="80"/>
  <c r="R141" i="80"/>
  <c r="AD141" i="80"/>
  <c r="AF141" i="80" s="1"/>
  <c r="AO141" i="80"/>
  <c r="BX141" i="80"/>
  <c r="AR141" i="80"/>
  <c r="AS141" i="80"/>
  <c r="AE141" i="80" l="1"/>
  <c r="AH141" i="80"/>
  <c r="AI141" i="80" s="1"/>
  <c r="AJ141" i="80" s="1"/>
  <c r="AG141" i="80"/>
  <c r="AX141" i="80" l="1"/>
  <c r="AK141" i="80"/>
  <c r="AL141" i="80" s="1"/>
  <c r="BD141" i="80"/>
  <c r="AT141" i="80"/>
  <c r="AM141" i="80" l="1"/>
  <c r="AV141" i="80" s="1"/>
  <c r="BW142" i="80"/>
  <c r="AN141" i="80"/>
  <c r="AW141" i="80"/>
  <c r="AY141" i="80" l="1"/>
  <c r="BA141" i="80" s="1"/>
  <c r="AZ141" i="80" l="1"/>
  <c r="BB141" i="80"/>
  <c r="BF141" i="80"/>
  <c r="BG141" i="80" l="1"/>
  <c r="BH141" i="80" s="1"/>
  <c r="BI141" i="80" l="1"/>
  <c r="BJ141" i="80" l="1"/>
  <c r="BK141" i="80" s="1"/>
  <c r="BL141" i="80" s="1"/>
  <c r="BN141" i="80"/>
  <c r="Q141" i="80" s="1"/>
  <c r="BO141" i="80" l="1"/>
  <c r="BR141" i="80" s="1"/>
  <c r="BS141" i="80" s="1"/>
  <c r="BQ141" i="80"/>
  <c r="K141" i="80"/>
  <c r="M142" i="80" s="1"/>
  <c r="L141" i="80"/>
  <c r="N142" i="80" s="1"/>
  <c r="BP141" i="80" l="1"/>
  <c r="BU142" i="80"/>
  <c r="BT142" i="80"/>
  <c r="O142" i="80"/>
  <c r="S142" i="80" s="1"/>
  <c r="P142" i="80" l="1"/>
  <c r="U142" i="80" s="1"/>
  <c r="BY142" i="80"/>
  <c r="T142" i="80" l="1"/>
  <c r="V142" i="80" s="1"/>
  <c r="X142" i="80"/>
  <c r="Y142" i="80" l="1"/>
  <c r="BX142" i="80" s="1"/>
  <c r="AC142" i="80"/>
  <c r="BE142" i="80" l="1"/>
  <c r="AD142" i="80"/>
  <c r="AE142" i="80" s="1"/>
  <c r="AP142" i="80"/>
  <c r="AQ142" i="80" s="1"/>
  <c r="AR142" i="80" s="1"/>
  <c r="AO142" i="80"/>
  <c r="BV143" i="80"/>
  <c r="R142" i="80"/>
  <c r="AS142" i="80" l="1"/>
  <c r="AF142" i="80"/>
  <c r="AH142" i="80" s="1"/>
  <c r="AI142" i="80" s="1"/>
  <c r="AJ142" i="80" s="1"/>
  <c r="AG142" i="80" l="1"/>
  <c r="AK142" i="80" s="1"/>
  <c r="AL142" i="80" s="1"/>
  <c r="AT142" i="80" l="1"/>
  <c r="BD142" i="80"/>
  <c r="AX142" i="80"/>
  <c r="AM142" i="80"/>
  <c r="BW143" i="80"/>
  <c r="AN142" i="80"/>
  <c r="AV142" i="80" l="1"/>
  <c r="AW142" i="80"/>
  <c r="AY142" i="80" l="1"/>
  <c r="BA142" i="80" s="1"/>
  <c r="BB142" i="80" l="1"/>
  <c r="AZ142" i="80"/>
  <c r="BF142" i="80"/>
  <c r="BG142" i="80" l="1"/>
  <c r="BH142" i="80" s="1"/>
  <c r="BI142" i="80" s="1"/>
  <c r="BJ142" i="80" l="1"/>
  <c r="BK142" i="80" s="1"/>
  <c r="BL142" i="80" s="1"/>
  <c r="BN142" i="80"/>
  <c r="Q142" i="80" s="1"/>
  <c r="BO142" i="80" l="1"/>
  <c r="BR142" i="80" s="1"/>
  <c r="BS142" i="80" s="1"/>
  <c r="BQ142" i="80"/>
  <c r="L142" i="80"/>
  <c r="N143" i="80" s="1"/>
  <c r="K142" i="80"/>
  <c r="M143" i="80" s="1"/>
  <c r="BP142" i="80" l="1"/>
  <c r="BT143" i="80"/>
  <c r="O143" i="80"/>
  <c r="S143" i="80" s="1"/>
  <c r="BU143" i="80"/>
  <c r="P143" i="80" l="1"/>
  <c r="U143" i="80" s="1"/>
  <c r="BY143" i="80"/>
  <c r="T143" i="80" l="1"/>
  <c r="V143" i="80" s="1"/>
  <c r="X143" i="80"/>
  <c r="Y143" i="80" l="1"/>
  <c r="AC143" i="80"/>
  <c r="BE143" i="80" l="1"/>
  <c r="BV144" i="80"/>
  <c r="AO143" i="80"/>
  <c r="R143" i="80"/>
  <c r="AD143" i="80"/>
  <c r="AE143" i="80" s="1"/>
  <c r="BX143" i="80"/>
  <c r="AP143" i="80"/>
  <c r="AQ143" i="80" s="1"/>
  <c r="AR143" i="80" s="1"/>
  <c r="AF143" i="80" l="1"/>
  <c r="AG143" i="80" s="1"/>
  <c r="AS143" i="80"/>
  <c r="AH143" i="80" l="1"/>
  <c r="AI143" i="80" s="1"/>
  <c r="AJ143" i="80" s="1"/>
  <c r="AX143" i="80"/>
  <c r="AK143" i="80"/>
  <c r="AL143" i="80" s="1"/>
  <c r="BD143" i="80"/>
  <c r="AT143" i="80"/>
  <c r="AM143" i="80" l="1"/>
  <c r="AV143" i="80" s="1"/>
  <c r="AN143" i="80"/>
  <c r="BW144" i="80"/>
  <c r="AW143" i="80"/>
  <c r="AY143" i="80" l="1"/>
  <c r="BA143" i="80" s="1"/>
  <c r="AZ143" i="80" l="1"/>
  <c r="BB143" i="80"/>
  <c r="BF143" i="80"/>
  <c r="BG143" i="80" l="1"/>
  <c r="BH143" i="80" s="1"/>
  <c r="BI143" i="80" l="1"/>
  <c r="BJ143" i="80" l="1"/>
  <c r="BK143" i="80" s="1"/>
  <c r="BL143" i="80" s="1"/>
  <c r="BN143" i="80"/>
  <c r="Q143" i="80" s="1"/>
  <c r="BO143" i="80" l="1"/>
  <c r="BR143" i="80" s="1"/>
  <c r="BS143" i="80" s="1"/>
  <c r="BQ143" i="80"/>
  <c r="K143" i="80"/>
  <c r="M144" i="80" s="1"/>
  <c r="L143" i="80"/>
  <c r="N144" i="80" s="1"/>
  <c r="BP143" i="80" l="1"/>
  <c r="BU144" i="80"/>
  <c r="BT144" i="80"/>
  <c r="O144" i="80"/>
  <c r="S144" i="80" s="1"/>
  <c r="BY144" i="80" l="1"/>
  <c r="P144" i="80"/>
  <c r="U144" i="80" s="1"/>
  <c r="T144" i="80" l="1"/>
  <c r="V144" i="80" s="1"/>
  <c r="X144" i="80"/>
  <c r="Y144" i="80" l="1"/>
  <c r="BX144" i="80" s="1"/>
  <c r="AC144" i="80"/>
  <c r="R144" i="80" l="1"/>
  <c r="BV145" i="80"/>
  <c r="BE144" i="80"/>
  <c r="AD144" i="80"/>
  <c r="AE144" i="80" s="1"/>
  <c r="AP144" i="80"/>
  <c r="AQ144" i="80" s="1"/>
  <c r="AS144" i="80" s="1"/>
  <c r="AO144" i="80"/>
  <c r="AF144" i="80" l="1"/>
  <c r="AH144" i="80" s="1"/>
  <c r="AI144" i="80" s="1"/>
  <c r="AJ144" i="80" s="1"/>
  <c r="AR144" i="80"/>
  <c r="AG144" i="80" l="1"/>
  <c r="AX144" i="80" s="1"/>
  <c r="AK144" i="80" l="1"/>
  <c r="AL144" i="80" s="1"/>
  <c r="AM144" i="80" s="1"/>
  <c r="AT144" i="80"/>
  <c r="BD144" i="80"/>
  <c r="AN144" i="80" l="1"/>
  <c r="AV144" i="80"/>
  <c r="BW145" i="80"/>
  <c r="AW144" i="80"/>
  <c r="AY144" i="80" l="1"/>
  <c r="BA144" i="80" s="1"/>
  <c r="BB144" i="80" l="1"/>
  <c r="AZ144" i="80"/>
  <c r="BF144" i="80"/>
  <c r="BG144" i="80" l="1"/>
  <c r="BH144" i="80" s="1"/>
  <c r="BI144" i="80" s="1"/>
  <c r="BN144" i="80" l="1"/>
  <c r="Q144" i="80" s="1"/>
  <c r="BJ144" i="80"/>
  <c r="BK144" i="80" s="1"/>
  <c r="BL144" i="80" s="1"/>
  <c r="BO144" i="80" l="1"/>
  <c r="BP144" i="80" s="1"/>
  <c r="BQ144" i="80"/>
  <c r="L144" i="80"/>
  <c r="N145" i="80" s="1"/>
  <c r="K144" i="80"/>
  <c r="M145" i="80" s="1"/>
  <c r="BR144" i="80" l="1"/>
  <c r="BS144" i="80" s="1"/>
  <c r="BT145" i="80"/>
  <c r="O145" i="80"/>
  <c r="S145" i="80" s="1"/>
  <c r="BU145" i="80"/>
  <c r="BY145" i="80" l="1"/>
  <c r="P145" i="80"/>
  <c r="U145" i="80" s="1"/>
  <c r="T145" i="80" l="1"/>
  <c r="V145" i="80" s="1"/>
  <c r="X145" i="80"/>
  <c r="Y145" i="80" l="1"/>
  <c r="AP145" i="80" s="1"/>
  <c r="AQ145" i="80" s="1"/>
  <c r="AC145" i="80"/>
  <c r="R145" i="80" l="1"/>
  <c r="BV146" i="80"/>
  <c r="BE145" i="80"/>
  <c r="AO145" i="80"/>
  <c r="BX145" i="80"/>
  <c r="AD145" i="80"/>
  <c r="AE145" i="80" s="1"/>
  <c r="AR145" i="80"/>
  <c r="AS145" i="80"/>
  <c r="AF145" i="80" l="1"/>
  <c r="AH145" i="80" s="1"/>
  <c r="AI145" i="80" s="1"/>
  <c r="AJ145" i="80" s="1"/>
  <c r="AG145" i="80" l="1"/>
  <c r="AK145" i="80" s="1"/>
  <c r="AL145" i="80" s="1"/>
  <c r="BD145" i="80" l="1"/>
  <c r="AT145" i="80"/>
  <c r="AX145" i="80"/>
  <c r="AM145" i="80"/>
  <c r="AV145" i="80" s="1"/>
  <c r="AN145" i="80"/>
  <c r="BW146" i="80"/>
  <c r="AW145" i="80"/>
  <c r="AY145" i="80" l="1"/>
  <c r="BA145" i="80" s="1"/>
  <c r="AZ145" i="80" l="1"/>
  <c r="BB145" i="80"/>
  <c r="BF145" i="80"/>
  <c r="BG145" i="80" l="1"/>
  <c r="BH145" i="80" s="1"/>
  <c r="BI145" i="80" l="1"/>
  <c r="BJ145" i="80" l="1"/>
  <c r="BK145" i="80" s="1"/>
  <c r="BL145" i="80" s="1"/>
  <c r="BN145" i="80"/>
  <c r="Q145" i="80" s="1"/>
  <c r="BO145" i="80" l="1"/>
  <c r="BR145" i="80" s="1"/>
  <c r="BS145" i="80" s="1"/>
  <c r="BQ145" i="80"/>
  <c r="K145" i="80"/>
  <c r="M146" i="80" s="1"/>
  <c r="L145" i="80"/>
  <c r="N146" i="80" s="1"/>
  <c r="BP145" i="80" l="1"/>
  <c r="BU146" i="80"/>
  <c r="BT146" i="80"/>
  <c r="O146" i="80"/>
  <c r="S146" i="80" s="1"/>
  <c r="P146" i="80" l="1"/>
  <c r="U146" i="80" s="1"/>
  <c r="BY146" i="80"/>
  <c r="T146" i="80" l="1"/>
  <c r="V146" i="80" s="1"/>
  <c r="X146" i="80"/>
  <c r="Y146" i="80" l="1"/>
  <c r="BX146" i="80" s="1"/>
  <c r="AC146" i="80"/>
  <c r="R146" i="80" l="1"/>
  <c r="AD146" i="80"/>
  <c r="AE146" i="80" s="1"/>
  <c r="AP146" i="80"/>
  <c r="AQ146" i="80" s="1"/>
  <c r="AS146" i="80" s="1"/>
  <c r="BV147" i="80"/>
  <c r="BE146" i="80"/>
  <c r="AO146" i="80"/>
  <c r="AF146" i="80"/>
  <c r="AR146" i="80" l="1"/>
  <c r="AH146" i="80"/>
  <c r="AI146" i="80" s="1"/>
  <c r="AJ146" i="80" s="1"/>
  <c r="AG146" i="80"/>
  <c r="AX146" i="80" l="1"/>
  <c r="AK146" i="80"/>
  <c r="AL146" i="80" s="1"/>
  <c r="BD146" i="80"/>
  <c r="AT146" i="80"/>
  <c r="AM146" i="80" l="1"/>
  <c r="AV146" i="80" s="1"/>
  <c r="BW147" i="80"/>
  <c r="AN146" i="80"/>
  <c r="AW146" i="80"/>
  <c r="AY146" i="80" l="1"/>
  <c r="BA146" i="80" s="1"/>
  <c r="AZ146" i="80" l="1"/>
  <c r="BB146" i="80"/>
  <c r="BF146" i="80"/>
  <c r="BG146" i="80" l="1"/>
  <c r="BH146" i="80" s="1"/>
  <c r="BI146" i="80" l="1"/>
  <c r="BJ146" i="80" s="1"/>
  <c r="BK146" i="80" s="1"/>
  <c r="BL146" i="80" s="1"/>
  <c r="BN146" i="80" l="1"/>
  <c r="Q146" i="80" s="1"/>
  <c r="BO146" i="80" l="1"/>
  <c r="BR146" i="80" s="1"/>
  <c r="BS146" i="80" s="1"/>
  <c r="BQ146" i="80"/>
  <c r="L146" i="80"/>
  <c r="N147" i="80" s="1"/>
  <c r="K146" i="80"/>
  <c r="M147" i="80" s="1"/>
  <c r="BP146" i="80" l="1"/>
  <c r="BT147" i="80"/>
  <c r="O147" i="80"/>
  <c r="S147" i="80" s="1"/>
  <c r="BU147" i="80"/>
  <c r="P147" i="80" l="1"/>
  <c r="U147" i="80" s="1"/>
  <c r="BY147" i="80"/>
  <c r="T147" i="80" l="1"/>
  <c r="V147" i="80" s="1"/>
  <c r="X147" i="80"/>
  <c r="Y147" i="80" l="1"/>
  <c r="BX147" i="80" s="1"/>
  <c r="AC147" i="80"/>
  <c r="R147" i="80" l="1"/>
  <c r="AD147" i="80"/>
  <c r="AE147" i="80" s="1"/>
  <c r="AO147" i="80"/>
  <c r="AP147" i="80"/>
  <c r="AQ147" i="80" s="1"/>
  <c r="AR147" i="80" s="1"/>
  <c r="BV148" i="80"/>
  <c r="BE147" i="80"/>
  <c r="AF147" i="80" l="1"/>
  <c r="AH147" i="80" s="1"/>
  <c r="AI147" i="80" s="1"/>
  <c r="AJ147" i="80" s="1"/>
  <c r="AS147" i="80"/>
  <c r="AG147" i="80" l="1"/>
  <c r="AK147" i="80" s="1"/>
  <c r="AL147" i="80" s="1"/>
  <c r="AT147" i="80" l="1"/>
  <c r="AX147" i="80"/>
  <c r="BD147" i="80"/>
  <c r="AM147" i="80"/>
  <c r="BW148" i="80"/>
  <c r="AN147" i="80"/>
  <c r="AV147" i="80" l="1"/>
  <c r="AW147" i="80"/>
  <c r="AY147" i="80" l="1"/>
  <c r="BA147" i="80" s="1"/>
  <c r="BB147" i="80" s="1"/>
  <c r="BF147" i="80"/>
  <c r="AZ147" i="80" l="1"/>
  <c r="BG147" i="80"/>
  <c r="BH147" i="80" s="1"/>
  <c r="BI147" i="80" l="1"/>
  <c r="BJ147" i="80" l="1"/>
  <c r="BK147" i="80" s="1"/>
  <c r="BL147" i="80" s="1"/>
  <c r="BN147" i="80"/>
  <c r="Q147" i="80" s="1"/>
  <c r="BO147" i="80" l="1"/>
  <c r="BR147" i="80" s="1"/>
  <c r="BS147" i="80" s="1"/>
  <c r="BQ147" i="80"/>
  <c r="K147" i="80"/>
  <c r="M148" i="80" s="1"/>
  <c r="L147" i="80"/>
  <c r="N148" i="80" s="1"/>
  <c r="BP147" i="80" l="1"/>
  <c r="BU148" i="80"/>
  <c r="BT148" i="80"/>
  <c r="O148" i="80"/>
  <c r="S148" i="80" s="1"/>
  <c r="BY148" i="80" l="1"/>
  <c r="P148" i="80"/>
  <c r="U148" i="80" s="1"/>
  <c r="T148" i="80" l="1"/>
  <c r="V148" i="80" s="1"/>
  <c r="X148" i="80"/>
  <c r="Y148" i="80" l="1"/>
  <c r="BX148" i="80" s="1"/>
  <c r="AC148" i="80"/>
  <c r="R148" i="80" l="1"/>
  <c r="BV149" i="80"/>
  <c r="BE148" i="80"/>
  <c r="AD148" i="80"/>
  <c r="AE148" i="80" s="1"/>
  <c r="AP148" i="80"/>
  <c r="AQ148" i="80" s="1"/>
  <c r="AR148" i="80" s="1"/>
  <c r="AO148" i="80"/>
  <c r="AF148" i="80" l="1"/>
  <c r="AH148" i="80" s="1"/>
  <c r="AI148" i="80" s="1"/>
  <c r="AJ148" i="80" s="1"/>
  <c r="AS148" i="80"/>
  <c r="AG148" i="80" l="1"/>
  <c r="AK148" i="80" s="1"/>
  <c r="AL148" i="80" s="1"/>
  <c r="AT148" i="80" l="1"/>
  <c r="BD148" i="80"/>
  <c r="AX148" i="80"/>
  <c r="AM148" i="80"/>
  <c r="BW149" i="80"/>
  <c r="AN148" i="80"/>
  <c r="AV148" i="80" l="1"/>
  <c r="AW148" i="80"/>
  <c r="AY148" i="80" l="1"/>
  <c r="BA148" i="80" s="1"/>
  <c r="BB148" i="80" l="1"/>
  <c r="AZ148" i="80"/>
  <c r="BF148" i="80"/>
  <c r="BG148" i="80" l="1"/>
  <c r="BH148" i="80" l="1"/>
  <c r="BI148" i="80" s="1"/>
  <c r="BJ148" i="80" l="1"/>
  <c r="BK148" i="80" s="1"/>
  <c r="BL148" i="80" s="1"/>
  <c r="BN148" i="80"/>
  <c r="BQ148" i="80" s="1"/>
  <c r="Q148" i="80" l="1"/>
  <c r="BO148" i="80"/>
  <c r="BP148" i="80" l="1"/>
  <c r="BR148" i="80"/>
  <c r="BS148" i="80" s="1"/>
  <c r="L148" i="80"/>
  <c r="N149" i="80" s="1"/>
  <c r="BU149" i="80" s="1"/>
  <c r="K148" i="80"/>
  <c r="M149" i="80" s="1"/>
  <c r="BT149" i="80" l="1"/>
  <c r="O149" i="80"/>
  <c r="S149" i="80" l="1"/>
  <c r="BY149" i="80"/>
  <c r="P149" i="80"/>
  <c r="U149" i="80" s="1"/>
  <c r="T149" i="80" l="1"/>
  <c r="V149" i="80" s="1"/>
  <c r="Y149" i="80" s="1"/>
  <c r="BX149" i="80" s="1"/>
  <c r="X149" i="80"/>
  <c r="AD149" i="80" l="1"/>
  <c r="AE149" i="80" s="1"/>
  <c r="AP149" i="80"/>
  <c r="AQ149" i="80" s="1"/>
  <c r="AC149" i="80"/>
  <c r="AO149" i="80" l="1"/>
  <c r="AR149" i="80"/>
  <c r="R149" i="80"/>
  <c r="BE149" i="80"/>
  <c r="BV150" i="80"/>
  <c r="AF149" i="80"/>
  <c r="AH149" i="80" s="1"/>
  <c r="AI149" i="80" s="1"/>
  <c r="AJ149" i="80" s="1"/>
  <c r="AS149" i="80"/>
  <c r="AG149" i="80" l="1"/>
  <c r="AX149" i="80" s="1"/>
  <c r="BD149" i="80" l="1"/>
  <c r="AK149" i="80"/>
  <c r="AL149" i="80" s="1"/>
  <c r="AM149" i="80" s="1"/>
  <c r="AT149" i="80"/>
  <c r="AV149" i="80" l="1"/>
  <c r="AN149" i="80"/>
  <c r="BW150" i="80"/>
  <c r="AW149" i="80"/>
  <c r="AY149" i="80" l="1"/>
  <c r="BA149" i="80" s="1"/>
  <c r="BB149" i="80" s="1"/>
  <c r="BF149" i="80"/>
  <c r="AZ149" i="80" l="1"/>
  <c r="BG149" i="80"/>
  <c r="BH149" i="80" l="1"/>
  <c r="BI149" i="80" s="1"/>
  <c r="BN149" i="80" l="1"/>
  <c r="Q149" i="80" s="1"/>
  <c r="L149" i="80" s="1"/>
  <c r="N150" i="80" s="1"/>
  <c r="BJ149" i="80"/>
  <c r="BK149" i="80" s="1"/>
  <c r="BL149" i="80" s="1"/>
  <c r="BO149" i="80" l="1"/>
  <c r="BP149" i="80" s="1"/>
  <c r="BQ149" i="80"/>
  <c r="K149" i="80"/>
  <c r="M150" i="80" s="1"/>
  <c r="BT150" i="80" s="1"/>
  <c r="BU150" i="80"/>
  <c r="BR149" i="80" l="1"/>
  <c r="BS149" i="80" s="1"/>
  <c r="O150" i="80"/>
  <c r="S150" i="80" s="1"/>
  <c r="P150" i="80" l="1"/>
  <c r="U150" i="80" s="1"/>
  <c r="BY150" i="80"/>
  <c r="T150" i="80"/>
  <c r="V150" i="80" s="1"/>
  <c r="X150" i="80"/>
  <c r="Y150" i="80" l="1"/>
  <c r="AP150" i="80" s="1"/>
  <c r="AQ150" i="80" s="1"/>
  <c r="AC150" i="80"/>
  <c r="BE150" i="80" l="1"/>
  <c r="BV151" i="80"/>
  <c r="R150" i="80"/>
  <c r="AD150" i="80"/>
  <c r="AF150" i="80" s="1"/>
  <c r="BX150" i="80"/>
  <c r="AO150" i="80"/>
  <c r="AR150" i="80"/>
  <c r="AS150" i="80"/>
  <c r="AE150" i="80" l="1"/>
  <c r="AH150" i="80"/>
  <c r="AI150" i="80" s="1"/>
  <c r="AJ150" i="80" s="1"/>
  <c r="AG150" i="80"/>
  <c r="AK150" i="80" l="1"/>
  <c r="AL150" i="80" s="1"/>
  <c r="AX150" i="80"/>
  <c r="BD150" i="80"/>
  <c r="AT150" i="80"/>
  <c r="AM150" i="80" l="1"/>
  <c r="AV150" i="80" s="1"/>
  <c r="BW151" i="80"/>
  <c r="AN150" i="80"/>
  <c r="AW150" i="80"/>
  <c r="AY150" i="80" l="1"/>
  <c r="BA150" i="80" s="1"/>
  <c r="AZ150" i="80" l="1"/>
  <c r="BB150" i="80"/>
  <c r="BF150" i="80"/>
  <c r="BG150" i="80" l="1"/>
  <c r="BH150" i="80" s="1"/>
  <c r="BI150" i="80" l="1"/>
  <c r="BJ150" i="80" l="1"/>
  <c r="BK150" i="80" s="1"/>
  <c r="BL150" i="80" s="1"/>
  <c r="BN150" i="80"/>
  <c r="Q150" i="80" s="1"/>
  <c r="BO150" i="80" l="1"/>
  <c r="BR150" i="80" s="1"/>
  <c r="BS150" i="80" s="1"/>
  <c r="BQ150" i="80"/>
  <c r="K150" i="80"/>
  <c r="M151" i="80" s="1"/>
  <c r="L150" i="80"/>
  <c r="N151" i="80" s="1"/>
  <c r="BP150" i="80" l="1"/>
  <c r="BU151" i="80"/>
  <c r="BT151" i="80"/>
  <c r="O151" i="80"/>
  <c r="S151" i="80" s="1"/>
  <c r="BY151" i="80" l="1"/>
  <c r="P151" i="80"/>
  <c r="U151" i="80" s="1"/>
  <c r="T151" i="80" l="1"/>
  <c r="V151" i="80" s="1"/>
  <c r="X151" i="80"/>
  <c r="Y151" i="80" l="1"/>
  <c r="AP151" i="80" s="1"/>
  <c r="AQ151" i="80" s="1"/>
  <c r="AC151" i="80"/>
  <c r="R151" i="80" l="1"/>
  <c r="BE151" i="80"/>
  <c r="BV152" i="80"/>
  <c r="AD151" i="80"/>
  <c r="AF151" i="80" s="1"/>
  <c r="AO151" i="80"/>
  <c r="BX151" i="80"/>
  <c r="AR151" i="80"/>
  <c r="AS151" i="80"/>
  <c r="AE151" i="80" l="1"/>
  <c r="AH151" i="80"/>
  <c r="AI151" i="80" s="1"/>
  <c r="AJ151" i="80" s="1"/>
  <c r="AG151" i="80"/>
  <c r="AX151" i="80" l="1"/>
  <c r="AK151" i="80"/>
  <c r="AL151" i="80" s="1"/>
  <c r="BD151" i="80"/>
  <c r="AT151" i="80"/>
  <c r="AM151" i="80" l="1"/>
  <c r="AV151" i="80" s="1"/>
  <c r="BW152" i="80"/>
  <c r="AN151" i="80"/>
  <c r="AW151" i="80"/>
  <c r="AY151" i="80" l="1"/>
  <c r="BA151" i="80" s="1"/>
  <c r="AZ151" i="80" l="1"/>
  <c r="BB151" i="80"/>
  <c r="BF151" i="80"/>
  <c r="BG151" i="80" l="1"/>
  <c r="BH151" i="80" s="1"/>
  <c r="BI151" i="80" l="1"/>
  <c r="BJ151" i="80" s="1"/>
  <c r="BK151" i="80" s="1"/>
  <c r="BL151" i="80" s="1"/>
  <c r="BN151" i="80" l="1"/>
  <c r="Q151" i="80" s="1"/>
  <c r="BO151" i="80" l="1"/>
  <c r="BR151" i="80" s="1"/>
  <c r="BS151" i="80" s="1"/>
  <c r="BQ151" i="80"/>
  <c r="L151" i="80"/>
  <c r="N152" i="80" s="1"/>
  <c r="K151" i="80"/>
  <c r="M152" i="80" s="1"/>
  <c r="BP151" i="80" l="1"/>
  <c r="BT152" i="80"/>
  <c r="O152" i="80"/>
  <c r="S152" i="80" s="1"/>
  <c r="BU152" i="80"/>
  <c r="P152" i="80" l="1"/>
  <c r="U152" i="80" s="1"/>
  <c r="BY152" i="80"/>
  <c r="T152" i="80" l="1"/>
  <c r="V152" i="80" s="1"/>
  <c r="X152" i="80"/>
  <c r="Y152" i="80" l="1"/>
  <c r="AP152" i="80" s="1"/>
  <c r="AQ152" i="80" s="1"/>
  <c r="AC152" i="80"/>
  <c r="BE152" i="80" l="1"/>
  <c r="BV153" i="80"/>
  <c r="R152" i="80"/>
  <c r="BX152" i="80"/>
  <c r="AD152" i="80"/>
  <c r="AE152" i="80" s="1"/>
  <c r="AO152" i="80"/>
  <c r="AR152" i="80"/>
  <c r="AS152" i="80"/>
  <c r="AF152" i="80" l="1"/>
  <c r="AH152" i="80" s="1"/>
  <c r="AI152" i="80" s="1"/>
  <c r="AJ152" i="80" s="1"/>
  <c r="AG152" i="80" l="1"/>
  <c r="AX152" i="80" s="1"/>
  <c r="AT152" i="80" l="1"/>
  <c r="BD152" i="80"/>
  <c r="AK152" i="80"/>
  <c r="AL152" i="80" s="1"/>
  <c r="AM152" i="80" s="1"/>
  <c r="AV152" i="80" l="1"/>
  <c r="AN152" i="80"/>
  <c r="BW153" i="80"/>
  <c r="AW152" i="80"/>
  <c r="AY152" i="80" l="1"/>
  <c r="BA152" i="80" s="1"/>
  <c r="BB152" i="80" s="1"/>
  <c r="BF152" i="80"/>
  <c r="AZ152" i="80" l="1"/>
  <c r="BG152" i="80"/>
  <c r="BH152" i="80" s="1"/>
  <c r="BI152" i="80" l="1"/>
  <c r="BJ152" i="80" l="1"/>
  <c r="BK152" i="80" s="1"/>
  <c r="BL152" i="80" s="1"/>
  <c r="BN152" i="80"/>
  <c r="Q152" i="80" s="1"/>
  <c r="BO152" i="80" l="1"/>
  <c r="BR152" i="80" s="1"/>
  <c r="BS152" i="80" s="1"/>
  <c r="BQ152" i="80"/>
  <c r="K152" i="80"/>
  <c r="M153" i="80" s="1"/>
  <c r="L152" i="80"/>
  <c r="N153" i="80" s="1"/>
  <c r="BP152" i="80" l="1"/>
  <c r="BT153" i="80"/>
  <c r="O153" i="80"/>
  <c r="S153" i="80" s="1"/>
  <c r="BU153" i="80"/>
  <c r="BY153" i="80" l="1"/>
  <c r="P153" i="80"/>
  <c r="U153" i="80" s="1"/>
  <c r="T153" i="80" l="1"/>
  <c r="V153" i="80" s="1"/>
  <c r="X153" i="80"/>
  <c r="Y153" i="80" l="1"/>
  <c r="AP153" i="80" s="1"/>
  <c r="AQ153" i="80" s="1"/>
  <c r="AC153" i="80"/>
  <c r="BE153" i="80" l="1"/>
  <c r="BV154" i="80"/>
  <c r="R153" i="80"/>
  <c r="AD153" i="80"/>
  <c r="AE153" i="80" s="1"/>
  <c r="AO153" i="80"/>
  <c r="BX153" i="80"/>
  <c r="AR153" i="80"/>
  <c r="AS153" i="80"/>
  <c r="AF153" i="80" l="1"/>
  <c r="AH153" i="80" s="1"/>
  <c r="AI153" i="80" s="1"/>
  <c r="AJ153" i="80" s="1"/>
  <c r="AG153" i="80" l="1"/>
  <c r="AX153" i="80" s="1"/>
  <c r="BD153" i="80" l="1"/>
  <c r="AK153" i="80"/>
  <c r="AL153" i="80" s="1"/>
  <c r="AM153" i="80" s="1"/>
  <c r="AT153" i="80"/>
  <c r="AN153" i="80" l="1"/>
  <c r="BW154" i="80"/>
  <c r="AV153" i="80"/>
  <c r="AW153" i="80"/>
  <c r="AY153" i="80" l="1"/>
  <c r="BA153" i="80" s="1"/>
  <c r="BB153" i="80" l="1"/>
  <c r="AZ153" i="80"/>
  <c r="BF153" i="80"/>
  <c r="BG153" i="80" l="1"/>
  <c r="BH153" i="80" l="1"/>
  <c r="BI153" i="80" s="1"/>
  <c r="BJ153" i="80" l="1"/>
  <c r="BK153" i="80" s="1"/>
  <c r="BL153" i="80" s="1"/>
  <c r="BN153" i="80"/>
  <c r="Q153" i="80" s="1"/>
  <c r="L153" i="80" s="1"/>
  <c r="N154" i="80" s="1"/>
  <c r="BO153" i="80" l="1"/>
  <c r="BR153" i="80" s="1"/>
  <c r="BS153" i="80" s="1"/>
  <c r="BQ153" i="80"/>
  <c r="K153" i="80"/>
  <c r="M154" i="80" s="1"/>
  <c r="O154" i="80" s="1"/>
  <c r="S154" i="80" s="1"/>
  <c r="BU154" i="80"/>
  <c r="BP153" i="80" l="1"/>
  <c r="BT154" i="80"/>
  <c r="BY154" i="80"/>
  <c r="P154" i="80"/>
  <c r="U154" i="80" s="1"/>
  <c r="T154" i="80" l="1"/>
  <c r="V154" i="80" s="1"/>
  <c r="X154" i="80"/>
  <c r="Y154" i="80" l="1"/>
  <c r="AD154" i="80" s="1"/>
  <c r="AC154" i="80"/>
  <c r="BE154" i="80" l="1"/>
  <c r="AP154" i="80"/>
  <c r="AQ154" i="80" s="1"/>
  <c r="AR154" i="80" s="1"/>
  <c r="BX154" i="80"/>
  <c r="AO154" i="80"/>
  <c r="BV155" i="80"/>
  <c r="R154" i="80"/>
  <c r="AE154" i="80"/>
  <c r="AF154" i="80"/>
  <c r="AS154" i="80" l="1"/>
  <c r="AH154" i="80"/>
  <c r="AI154" i="80" s="1"/>
  <c r="AJ154" i="80" s="1"/>
  <c r="AG154" i="80"/>
  <c r="AK154" i="80" l="1"/>
  <c r="AL154" i="80" s="1"/>
  <c r="AX154" i="80"/>
  <c r="BD154" i="80"/>
  <c r="AT154" i="80"/>
  <c r="AM154" i="80" l="1"/>
  <c r="AV154" i="80" s="1"/>
  <c r="BW155" i="80"/>
  <c r="AN154" i="80"/>
  <c r="AW154" i="80"/>
  <c r="AY154" i="80" l="1"/>
  <c r="BA154" i="80" s="1"/>
  <c r="AZ154" i="80" l="1"/>
  <c r="BB154" i="80"/>
  <c r="BF154" i="80"/>
  <c r="BG154" i="80" l="1"/>
  <c r="BH154" i="80" s="1"/>
  <c r="BI154" i="80" l="1"/>
  <c r="BN154" i="80" l="1"/>
  <c r="Q154" i="80" s="1"/>
  <c r="BJ154" i="80"/>
  <c r="BK154" i="80" s="1"/>
  <c r="BL154" i="80" s="1"/>
  <c r="BO154" i="80" l="1"/>
  <c r="BR154" i="80" s="1"/>
  <c r="BS154" i="80" s="1"/>
  <c r="BQ154" i="80"/>
  <c r="L154" i="80"/>
  <c r="N155" i="80" s="1"/>
  <c r="K154" i="80"/>
  <c r="M155" i="80" s="1"/>
  <c r="BP154" i="80" l="1"/>
  <c r="BT155" i="80"/>
  <c r="O155" i="80"/>
  <c r="S155" i="80" s="1"/>
  <c r="BU155" i="80"/>
  <c r="BY155" i="80" l="1"/>
  <c r="P155" i="80"/>
  <c r="U155" i="80" s="1"/>
  <c r="T155" i="80" l="1"/>
  <c r="V155" i="80" s="1"/>
  <c r="X155" i="80"/>
  <c r="Y155" i="80" l="1"/>
  <c r="AC155" i="80"/>
  <c r="BE155" i="80" l="1"/>
  <c r="BV156" i="80"/>
  <c r="R155" i="80"/>
  <c r="AO155" i="80"/>
  <c r="AD155" i="80"/>
  <c r="AE155" i="80" s="1"/>
  <c r="AP155" i="80"/>
  <c r="AQ155" i="80" s="1"/>
  <c r="AR155" i="80" s="1"/>
  <c r="BX155" i="80"/>
  <c r="AF155" i="80" l="1"/>
  <c r="AH155" i="80" s="1"/>
  <c r="AI155" i="80" s="1"/>
  <c r="AJ155" i="80" s="1"/>
  <c r="AS155" i="80"/>
  <c r="AG155" i="80" l="1"/>
  <c r="AX155" i="80" s="1"/>
  <c r="AT155" i="80" l="1"/>
  <c r="BD155" i="80"/>
  <c r="AK155" i="80"/>
  <c r="AL155" i="80" s="1"/>
  <c r="AM155" i="80" s="1"/>
  <c r="AV155" i="80" s="1"/>
  <c r="AW155" i="80"/>
  <c r="AN155" i="80" l="1"/>
  <c r="BW156" i="80"/>
  <c r="AY155" i="80"/>
  <c r="BA155" i="80" s="1"/>
  <c r="AZ155" i="80" l="1"/>
  <c r="BB155" i="80"/>
  <c r="BF155" i="80"/>
  <c r="BG155" i="80" l="1"/>
  <c r="BH155" i="80" s="1"/>
  <c r="BI155" i="80" l="1"/>
  <c r="BN155" i="80" l="1"/>
  <c r="Q155" i="80" s="1"/>
  <c r="BJ155" i="80"/>
  <c r="BK155" i="80" s="1"/>
  <c r="BL155" i="80" s="1"/>
  <c r="BO155" i="80" l="1"/>
  <c r="BR155" i="80" s="1"/>
  <c r="BS155" i="80" s="1"/>
  <c r="BQ155" i="80"/>
  <c r="K155" i="80"/>
  <c r="M156" i="80" s="1"/>
  <c r="L155" i="80"/>
  <c r="N156" i="80" s="1"/>
  <c r="BP155" i="80" l="1"/>
  <c r="BU156" i="80"/>
  <c r="BT156" i="80"/>
  <c r="O156" i="80"/>
  <c r="S156" i="80" s="1"/>
  <c r="P156" i="80" l="1"/>
  <c r="U156" i="80" s="1"/>
  <c r="BY156" i="80"/>
  <c r="T156" i="80" l="1"/>
  <c r="V156" i="80" s="1"/>
  <c r="X156" i="80"/>
  <c r="Y156" i="80" l="1"/>
  <c r="BX156" i="80" s="1"/>
  <c r="AC156" i="80"/>
  <c r="R156" i="80" l="1"/>
  <c r="AD156" i="80"/>
  <c r="AF156" i="80" s="1"/>
  <c r="AP156" i="80"/>
  <c r="AQ156" i="80" s="1"/>
  <c r="AR156" i="80" s="1"/>
  <c r="BV157" i="80"/>
  <c r="AO156" i="80"/>
  <c r="BE156" i="80"/>
  <c r="AS156" i="80" l="1"/>
  <c r="AE156" i="80"/>
  <c r="AH156" i="80"/>
  <c r="AI156" i="80" s="1"/>
  <c r="AJ156" i="80" s="1"/>
  <c r="AG156" i="80"/>
  <c r="AK156" i="80" l="1"/>
  <c r="AL156" i="80" s="1"/>
  <c r="AX156" i="80"/>
  <c r="BD156" i="80"/>
  <c r="AT156" i="80"/>
  <c r="AM156" i="80" l="1"/>
  <c r="AV156" i="80" s="1"/>
  <c r="BW157" i="80"/>
  <c r="AN156" i="80"/>
  <c r="AW156" i="80"/>
  <c r="AY156" i="80" l="1"/>
  <c r="BA156" i="80" s="1"/>
  <c r="AZ156" i="80" l="1"/>
  <c r="BB156" i="80"/>
  <c r="BF156" i="80"/>
  <c r="BG156" i="80" l="1"/>
  <c r="BH156" i="80" s="1"/>
  <c r="BI156" i="80" l="1"/>
  <c r="BJ156" i="80" l="1"/>
  <c r="BK156" i="80" s="1"/>
  <c r="BL156" i="80" s="1"/>
  <c r="BN156" i="80"/>
  <c r="Q156" i="80" s="1"/>
  <c r="BO156" i="80" l="1"/>
  <c r="BR156" i="80" s="1"/>
  <c r="BS156" i="80" s="1"/>
  <c r="BQ156" i="80"/>
  <c r="L156" i="80"/>
  <c r="N157" i="80" s="1"/>
  <c r="K156" i="80"/>
  <c r="M157" i="80" s="1"/>
  <c r="BP156" i="80" l="1"/>
  <c r="BT157" i="80"/>
  <c r="O157" i="80"/>
  <c r="S157" i="80" s="1"/>
  <c r="BU157" i="80"/>
  <c r="P157" i="80" l="1"/>
  <c r="U157" i="80" s="1"/>
  <c r="BY157" i="80"/>
  <c r="T157" i="80" l="1"/>
  <c r="V157" i="80" s="1"/>
  <c r="X157" i="80"/>
  <c r="Y157" i="80" l="1"/>
  <c r="AP157" i="80" s="1"/>
  <c r="AQ157" i="80" s="1"/>
  <c r="AC157" i="80"/>
  <c r="BE157" i="80" l="1"/>
  <c r="BV158" i="80"/>
  <c r="R157" i="80"/>
  <c r="AO157" i="80"/>
  <c r="AD157" i="80"/>
  <c r="AE157" i="80" s="1"/>
  <c r="BX157" i="80"/>
  <c r="AR157" i="80"/>
  <c r="AS157" i="80"/>
  <c r="AF157" i="80" l="1"/>
  <c r="AH157" i="80" s="1"/>
  <c r="AI157" i="80" s="1"/>
  <c r="AJ157" i="80" s="1"/>
  <c r="AG157" i="80" l="1"/>
  <c r="AK157" i="80" s="1"/>
  <c r="AL157" i="80" s="1"/>
  <c r="AT157" i="80" l="1"/>
  <c r="BD157" i="80"/>
  <c r="AX157" i="80"/>
  <c r="AM157" i="80"/>
  <c r="AN157" i="80"/>
  <c r="BW158" i="80"/>
  <c r="AV157" i="80" l="1"/>
  <c r="AW157" i="80"/>
  <c r="AY157" i="80" l="1"/>
  <c r="BA157" i="80" s="1"/>
  <c r="BB157" i="80" s="1"/>
  <c r="BF157" i="80"/>
  <c r="AZ157" i="80" l="1"/>
  <c r="BG157" i="80"/>
  <c r="BH157" i="80" s="1"/>
  <c r="BI157" i="80" l="1"/>
  <c r="BJ157" i="80" l="1"/>
  <c r="BK157" i="80" s="1"/>
  <c r="BL157" i="80" s="1"/>
  <c r="BN157" i="80"/>
  <c r="Q157" i="80" s="1"/>
  <c r="BO157" i="80" l="1"/>
  <c r="BR157" i="80" s="1"/>
  <c r="BS157" i="80" s="1"/>
  <c r="BQ157" i="80"/>
  <c r="K157" i="80"/>
  <c r="M158" i="80" s="1"/>
  <c r="L157" i="80"/>
  <c r="N158" i="80" s="1"/>
  <c r="BP157" i="80" l="1"/>
  <c r="BU158" i="80"/>
  <c r="BT158" i="80"/>
  <c r="O158" i="80"/>
  <c r="S158" i="80" s="1"/>
  <c r="P158" i="80" l="1"/>
  <c r="U158" i="80" s="1"/>
  <c r="BY158" i="80"/>
  <c r="T158" i="80" l="1"/>
  <c r="V158" i="80" s="1"/>
  <c r="X158" i="80"/>
  <c r="Y158" i="80" l="1"/>
  <c r="BX158" i="80" s="1"/>
  <c r="AC158" i="80"/>
  <c r="R158" i="80" l="1"/>
  <c r="BV159" i="80"/>
  <c r="BE158" i="80"/>
  <c r="AD158" i="80"/>
  <c r="AE158" i="80" s="1"/>
  <c r="AO158" i="80"/>
  <c r="AP158" i="80"/>
  <c r="AQ158" i="80" s="1"/>
  <c r="AR158" i="80" s="1"/>
  <c r="AF158" i="80" l="1"/>
  <c r="AH158" i="80" s="1"/>
  <c r="AI158" i="80" s="1"/>
  <c r="AJ158" i="80" s="1"/>
  <c r="AS158" i="80"/>
  <c r="AG158" i="80" l="1"/>
  <c r="AK158" i="80" s="1"/>
  <c r="AL158" i="80" s="1"/>
  <c r="AT158" i="80" l="1"/>
  <c r="BD158" i="80"/>
  <c r="AX158" i="80"/>
  <c r="AM158" i="80"/>
  <c r="BW159" i="80"/>
  <c r="AN158" i="80"/>
  <c r="AV158" i="80" l="1"/>
  <c r="AW158" i="80"/>
  <c r="AY158" i="80" l="1"/>
  <c r="BA158" i="80" s="1"/>
  <c r="BB158" i="80" s="1"/>
  <c r="BF158" i="80"/>
  <c r="AZ158" i="80" l="1"/>
  <c r="BG158" i="80"/>
  <c r="BH158" i="80" s="1"/>
  <c r="BI158" i="80" l="1"/>
  <c r="BN158" i="80" s="1"/>
  <c r="Q158" i="80" s="1"/>
  <c r="BJ158" i="80" l="1"/>
  <c r="BK158" i="80" s="1"/>
  <c r="BL158" i="80" s="1"/>
  <c r="BQ158" i="80"/>
  <c r="BO158" i="80"/>
  <c r="BR158" i="80" l="1"/>
  <c r="BS158" i="80" s="1"/>
  <c r="BP158" i="80"/>
  <c r="L158" i="80"/>
  <c r="N159" i="80" s="1"/>
  <c r="K158" i="80"/>
  <c r="M159" i="80" s="1"/>
  <c r="BU159" i="80" l="1"/>
  <c r="BT159" i="80"/>
  <c r="O159" i="80"/>
  <c r="S159" i="80" s="1"/>
  <c r="BY159" i="80" l="1"/>
  <c r="P159" i="80"/>
  <c r="U159" i="80" s="1"/>
  <c r="T159" i="80" l="1"/>
  <c r="V159" i="80" s="1"/>
  <c r="X159" i="80"/>
  <c r="Y159" i="80" l="1"/>
  <c r="AP159" i="80" s="1"/>
  <c r="AQ159" i="80" s="1"/>
  <c r="AC159" i="80"/>
  <c r="BE159" i="80" l="1"/>
  <c r="BV160" i="80"/>
  <c r="R159" i="80"/>
  <c r="AD159" i="80"/>
  <c r="AE159" i="80" s="1"/>
  <c r="AO159" i="80"/>
  <c r="BX159" i="80"/>
  <c r="AR159" i="80"/>
  <c r="AS159" i="80"/>
  <c r="AF159" i="80" l="1"/>
  <c r="AH159" i="80" s="1"/>
  <c r="AI159" i="80" s="1"/>
  <c r="AJ159" i="80" s="1"/>
  <c r="AG159" i="80" l="1"/>
  <c r="AX159" i="80" s="1"/>
  <c r="AT159" i="80" l="1"/>
  <c r="BD159" i="80"/>
  <c r="AK159" i="80"/>
  <c r="AL159" i="80" s="1"/>
  <c r="AM159" i="80" s="1"/>
  <c r="AV159" i="80" l="1"/>
  <c r="BW160" i="80"/>
  <c r="AN159" i="80"/>
  <c r="AW159" i="80"/>
  <c r="AY159" i="80" l="1"/>
  <c r="BA159" i="80" s="1"/>
  <c r="BB159" i="80" s="1"/>
  <c r="BF159" i="80"/>
  <c r="AZ159" i="80" l="1"/>
  <c r="BG159" i="80"/>
  <c r="BH159" i="80" s="1"/>
  <c r="BI159" i="80" l="1"/>
  <c r="BN159" i="80" l="1"/>
  <c r="Q159" i="80" s="1"/>
  <c r="BJ159" i="80"/>
  <c r="BK159" i="80" s="1"/>
  <c r="BL159" i="80" s="1"/>
  <c r="BO159" i="80" l="1"/>
  <c r="BR159" i="80" s="1"/>
  <c r="BS159" i="80" s="1"/>
  <c r="BQ159" i="80"/>
  <c r="L159" i="80"/>
  <c r="N160" i="80" s="1"/>
  <c r="K159" i="80"/>
  <c r="M160" i="80" s="1"/>
  <c r="BP159" i="80" l="1"/>
  <c r="BT160" i="80"/>
  <c r="O160" i="80"/>
  <c r="S160" i="80" s="1"/>
  <c r="BU160" i="80"/>
  <c r="P160" i="80" l="1"/>
  <c r="U160" i="80" s="1"/>
  <c r="BY160" i="80"/>
  <c r="T160" i="80" l="1"/>
  <c r="V160" i="80" s="1"/>
  <c r="X160" i="80"/>
  <c r="Y160" i="80" l="1"/>
  <c r="BX160" i="80" s="1"/>
  <c r="AC160" i="80"/>
  <c r="BE160" i="80" l="1"/>
  <c r="AP160" i="80"/>
  <c r="AQ160" i="80" s="1"/>
  <c r="AS160" i="80" s="1"/>
  <c r="AD160" i="80"/>
  <c r="AE160" i="80" s="1"/>
  <c r="BV161" i="80"/>
  <c r="R160" i="80"/>
  <c r="AO160" i="80"/>
  <c r="AF160" i="80" l="1"/>
  <c r="AH160" i="80" s="1"/>
  <c r="AI160" i="80" s="1"/>
  <c r="AJ160" i="80" s="1"/>
  <c r="AR160" i="80"/>
  <c r="AG160" i="80" l="1"/>
  <c r="AX160" i="80" s="1"/>
  <c r="AT160" i="80" l="1"/>
  <c r="BD160" i="80"/>
  <c r="AK160" i="80"/>
  <c r="AL160" i="80" s="1"/>
  <c r="AM160" i="80" s="1"/>
  <c r="AV160" i="80" l="1"/>
  <c r="AN160" i="80"/>
  <c r="BW161" i="80"/>
  <c r="AW160" i="80"/>
  <c r="AY160" i="80" l="1"/>
  <c r="BA160" i="80" s="1"/>
  <c r="BB160" i="80" s="1"/>
  <c r="BF160" i="80"/>
  <c r="AZ160" i="80" l="1"/>
  <c r="BG160" i="80"/>
  <c r="BH160" i="80" s="1"/>
  <c r="BI160" i="80" l="1"/>
  <c r="BN160" i="80" l="1"/>
  <c r="Q160" i="80" s="1"/>
  <c r="BJ160" i="80"/>
  <c r="BK160" i="80" s="1"/>
  <c r="BL160" i="80" s="1"/>
  <c r="BO160" i="80" l="1"/>
  <c r="BR160" i="80" s="1"/>
  <c r="BS160" i="80" s="1"/>
  <c r="BQ160" i="80"/>
  <c r="K160" i="80"/>
  <c r="M161" i="80" s="1"/>
  <c r="L160" i="80"/>
  <c r="N161" i="80" s="1"/>
  <c r="BP160" i="80" l="1"/>
  <c r="BU161" i="80"/>
  <c r="BT161" i="80"/>
  <c r="O161" i="80"/>
  <c r="S161" i="80" s="1"/>
  <c r="BY161" i="80" l="1"/>
  <c r="P161" i="80"/>
  <c r="U161" i="80" s="1"/>
  <c r="T161" i="80" l="1"/>
  <c r="V161" i="80" s="1"/>
  <c r="X161" i="80"/>
  <c r="Y161" i="80" l="1"/>
  <c r="AP161" i="80" s="1"/>
  <c r="AQ161" i="80" s="1"/>
  <c r="AC161" i="80"/>
  <c r="BE161" i="80" l="1"/>
  <c r="AD161" i="80"/>
  <c r="AE161" i="80" s="1"/>
  <c r="BX161" i="80"/>
  <c r="BV162" i="80"/>
  <c r="R161" i="80"/>
  <c r="AO161" i="80"/>
  <c r="AR161" i="80"/>
  <c r="AS161" i="80"/>
  <c r="AF161" i="80" l="1"/>
  <c r="AH161" i="80" s="1"/>
  <c r="AI161" i="80" s="1"/>
  <c r="AJ161" i="80" s="1"/>
  <c r="AG161" i="80" l="1"/>
  <c r="AK161" i="80" s="1"/>
  <c r="AL161" i="80" s="1"/>
  <c r="AT161" i="80" l="1"/>
  <c r="BD161" i="80"/>
  <c r="AX161" i="80"/>
  <c r="AM161" i="80"/>
  <c r="BW162" i="80"/>
  <c r="AN161" i="80"/>
  <c r="AV161" i="80" l="1"/>
  <c r="AW161" i="80"/>
  <c r="AY161" i="80" l="1"/>
  <c r="BA161" i="80" s="1"/>
  <c r="BB161" i="80" s="1"/>
  <c r="BF161" i="80"/>
  <c r="AZ161" i="80" l="1"/>
  <c r="BG161" i="80"/>
  <c r="BH161" i="80" s="1"/>
  <c r="BI161" i="80" l="1"/>
  <c r="BJ161" i="80" s="1"/>
  <c r="BK161" i="80" s="1"/>
  <c r="BL161" i="80" s="1"/>
  <c r="BN161" i="80" l="1"/>
  <c r="Q161" i="80" s="1"/>
  <c r="BO161" i="80" l="1"/>
  <c r="BR161" i="80" s="1"/>
  <c r="BS161" i="80" s="1"/>
  <c r="BQ161" i="80"/>
  <c r="L161" i="80"/>
  <c r="N162" i="80" s="1"/>
  <c r="K161" i="80"/>
  <c r="M162" i="80" s="1"/>
  <c r="BP161" i="80" l="1"/>
  <c r="BT162" i="80"/>
  <c r="O162" i="80"/>
  <c r="S162" i="80" s="1"/>
  <c r="BU162" i="80"/>
  <c r="P162" i="80" l="1"/>
  <c r="U162" i="80" s="1"/>
  <c r="BY162" i="80"/>
  <c r="T162" i="80" l="1"/>
  <c r="V162" i="80" s="1"/>
  <c r="X162" i="80"/>
  <c r="Y162" i="80" l="1"/>
  <c r="BX162" i="80" s="1"/>
  <c r="AC162" i="80"/>
  <c r="R162" i="80" l="1"/>
  <c r="AD162" i="80"/>
  <c r="AE162" i="80" s="1"/>
  <c r="AP162" i="80"/>
  <c r="AQ162" i="80" s="1"/>
  <c r="AR162" i="80" s="1"/>
  <c r="AO162" i="80"/>
  <c r="BV163" i="80"/>
  <c r="BE162" i="80"/>
  <c r="AF162" i="80" l="1"/>
  <c r="AH162" i="80" s="1"/>
  <c r="AI162" i="80" s="1"/>
  <c r="AJ162" i="80" s="1"/>
  <c r="AS162" i="80"/>
  <c r="AG162" i="80" l="1"/>
  <c r="AX162" i="80" s="1"/>
  <c r="AT162" i="80" l="1"/>
  <c r="AK162" i="80"/>
  <c r="AL162" i="80" s="1"/>
  <c r="AM162" i="80" s="1"/>
  <c r="BD162" i="80"/>
  <c r="BW163" i="80" l="1"/>
  <c r="AN162" i="80"/>
  <c r="AV162" i="80"/>
  <c r="AW162" i="80"/>
  <c r="AY162" i="80" l="1"/>
  <c r="BA162" i="80" s="1"/>
  <c r="BB162" i="80" s="1"/>
  <c r="BF162" i="80"/>
  <c r="AZ162" i="80" l="1"/>
  <c r="BG162" i="80"/>
  <c r="BH162" i="80" s="1"/>
  <c r="BI162" i="80" l="1"/>
  <c r="BJ162" i="80" l="1"/>
  <c r="BK162" i="80" s="1"/>
  <c r="BL162" i="80" s="1"/>
  <c r="BN162" i="80"/>
  <c r="Q162" i="80" s="1"/>
  <c r="BO162" i="80" l="1"/>
  <c r="BR162" i="80" s="1"/>
  <c r="BS162" i="80" s="1"/>
  <c r="BQ162" i="80"/>
  <c r="K162" i="80"/>
  <c r="M163" i="80" s="1"/>
  <c r="L162" i="80"/>
  <c r="N163" i="80" s="1"/>
  <c r="BP162" i="80" l="1"/>
  <c r="BU163" i="80"/>
  <c r="BT163" i="80"/>
  <c r="O163" i="80"/>
  <c r="S163" i="80" s="1"/>
  <c r="BY163" i="80" l="1"/>
  <c r="P163" i="80"/>
  <c r="U163" i="80" s="1"/>
  <c r="T163" i="80" l="1"/>
  <c r="V163" i="80" s="1"/>
  <c r="X163" i="80"/>
  <c r="Y163" i="80" l="1"/>
  <c r="AP163" i="80" s="1"/>
  <c r="AQ163" i="80" s="1"/>
  <c r="AC163" i="80"/>
  <c r="R163" i="80" l="1"/>
  <c r="AD163" i="80"/>
  <c r="AE163" i="80" s="1"/>
  <c r="BX163" i="80"/>
  <c r="AO163" i="80"/>
  <c r="BV164" i="80"/>
  <c r="BE163" i="80"/>
  <c r="AR163" i="80"/>
  <c r="AS163" i="80"/>
  <c r="AF163" i="80" l="1"/>
  <c r="AH163" i="80" s="1"/>
  <c r="AI163" i="80" s="1"/>
  <c r="AJ163" i="80" s="1"/>
  <c r="AG163" i="80" l="1"/>
  <c r="AK163" i="80" s="1"/>
  <c r="AL163" i="80" s="1"/>
  <c r="AT163" i="80" l="1"/>
  <c r="BD163" i="80"/>
  <c r="AX163" i="80"/>
  <c r="AM163" i="80"/>
  <c r="AN163" i="80"/>
  <c r="BW164" i="80"/>
  <c r="AV163" i="80" l="1"/>
  <c r="AW163" i="80"/>
  <c r="AY163" i="80" l="1"/>
  <c r="BA163" i="80" s="1"/>
  <c r="BB163" i="80" s="1"/>
  <c r="BF163" i="80"/>
  <c r="AZ163" i="80" l="1"/>
  <c r="BG163" i="80"/>
  <c r="BH163" i="80" s="1"/>
  <c r="BI163" i="80" l="1"/>
  <c r="BJ163" i="80" l="1"/>
  <c r="BK163" i="80" s="1"/>
  <c r="BL163" i="80" s="1"/>
  <c r="BN163" i="80"/>
  <c r="Q163" i="80" s="1"/>
  <c r="BO163" i="80" l="1"/>
  <c r="BR163" i="80" s="1"/>
  <c r="BS163" i="80" s="1"/>
  <c r="BQ163" i="80"/>
  <c r="L163" i="80"/>
  <c r="N164" i="80" s="1"/>
  <c r="K163" i="80"/>
  <c r="M164" i="80" s="1"/>
  <c r="BP163" i="80" l="1"/>
  <c r="BT164" i="80"/>
  <c r="O164" i="80"/>
  <c r="S164" i="80" s="1"/>
  <c r="BU164" i="80"/>
  <c r="BY164" i="80" l="1"/>
  <c r="P164" i="80"/>
  <c r="U164" i="80" s="1"/>
  <c r="T164" i="80" l="1"/>
  <c r="V164" i="80" s="1"/>
  <c r="X164" i="80"/>
  <c r="Y164" i="80" l="1"/>
  <c r="AC164" i="80"/>
  <c r="BE164" i="80" l="1"/>
  <c r="AO164" i="80"/>
  <c r="BV165" i="80"/>
  <c r="R164" i="80"/>
  <c r="AD164" i="80"/>
  <c r="AE164" i="80" s="1"/>
  <c r="BX164" i="80"/>
  <c r="AP164" i="80"/>
  <c r="AQ164" i="80" s="1"/>
  <c r="AR164" i="80" s="1"/>
  <c r="AF164" i="80" l="1"/>
  <c r="AH164" i="80" s="1"/>
  <c r="AI164" i="80" s="1"/>
  <c r="AJ164" i="80" s="1"/>
  <c r="AS164" i="80"/>
  <c r="AG164" i="80" l="1"/>
  <c r="AK164" i="80" s="1"/>
  <c r="AL164" i="80" s="1"/>
  <c r="BD164" i="80" l="1"/>
  <c r="AT164" i="80"/>
  <c r="AX164" i="80"/>
  <c r="AM164" i="80"/>
  <c r="AN164" i="80"/>
  <c r="BW165" i="80"/>
  <c r="AV164" i="80" l="1"/>
  <c r="AW164" i="80"/>
  <c r="AY164" i="80" l="1"/>
  <c r="BA164" i="80" s="1"/>
  <c r="BB164" i="80" l="1"/>
  <c r="AZ164" i="80"/>
  <c r="BF164" i="80"/>
  <c r="BG164" i="80" l="1"/>
  <c r="BH164" i="80" l="1"/>
  <c r="BI164" i="80" s="1"/>
  <c r="BJ164" i="80" l="1"/>
  <c r="BK164" i="80" s="1"/>
  <c r="BL164" i="80" s="1"/>
  <c r="BN164" i="80"/>
  <c r="Q164" i="80" s="1"/>
  <c r="L164" i="80" s="1"/>
  <c r="N165" i="80" s="1"/>
  <c r="BO164" i="80" l="1"/>
  <c r="BR164" i="80" s="1"/>
  <c r="BS164" i="80" s="1"/>
  <c r="BQ164" i="80"/>
  <c r="K164" i="80"/>
  <c r="M165" i="80" s="1"/>
  <c r="O165" i="80" s="1"/>
  <c r="S165" i="80" s="1"/>
  <c r="BU165" i="80"/>
  <c r="BP164" i="80" l="1"/>
  <c r="BT165" i="80"/>
  <c r="P165" i="80"/>
  <c r="U165" i="80" s="1"/>
  <c r="BY165" i="80"/>
  <c r="T165" i="80" l="1"/>
  <c r="V165" i="80" s="1"/>
  <c r="X165" i="80"/>
  <c r="Y165" i="80" l="1"/>
  <c r="BX165" i="80" s="1"/>
  <c r="AC165" i="80"/>
  <c r="BE165" i="80" l="1"/>
  <c r="AO165" i="80"/>
  <c r="BV166" i="80"/>
  <c r="R165" i="80"/>
  <c r="AD165" i="80"/>
  <c r="AE165" i="80" s="1"/>
  <c r="AP165" i="80"/>
  <c r="AQ165" i="80" s="1"/>
  <c r="AR165" i="80" s="1"/>
  <c r="AF165" i="80" l="1"/>
  <c r="AG165" i="80" s="1"/>
  <c r="AS165" i="80"/>
  <c r="AH165" i="80" l="1"/>
  <c r="AI165" i="80" s="1"/>
  <c r="AJ165" i="80" s="1"/>
  <c r="AK165" i="80"/>
  <c r="AL165" i="80" s="1"/>
  <c r="AX165" i="80"/>
  <c r="BD165" i="80"/>
  <c r="AT165" i="80"/>
  <c r="AM165" i="80" l="1"/>
  <c r="AV165" i="80" s="1"/>
  <c r="BW166" i="80"/>
  <c r="AN165" i="80"/>
  <c r="AW165" i="80"/>
  <c r="AY165" i="80" l="1"/>
  <c r="BA165" i="80" s="1"/>
  <c r="AZ165" i="80" l="1"/>
  <c r="BB165" i="80"/>
  <c r="BF165" i="80"/>
  <c r="BG165" i="80" l="1"/>
  <c r="BH165" i="80" s="1"/>
  <c r="BI165" i="80" l="1"/>
  <c r="BN165" i="80" l="1"/>
  <c r="Q165" i="80" s="1"/>
  <c r="BJ165" i="80"/>
  <c r="BK165" i="80" s="1"/>
  <c r="BL165" i="80" s="1"/>
  <c r="BO165" i="80" l="1"/>
  <c r="BR165" i="80" s="1"/>
  <c r="BS165" i="80" s="1"/>
  <c r="BQ165" i="80"/>
  <c r="L165" i="80"/>
  <c r="N166" i="80" s="1"/>
  <c r="K165" i="80"/>
  <c r="M166" i="80" s="1"/>
  <c r="BP165" i="80" l="1"/>
  <c r="BU166" i="80"/>
  <c r="BT166" i="80"/>
  <c r="O166" i="80"/>
  <c r="S166" i="80" s="1"/>
  <c r="BY166" i="80" l="1"/>
  <c r="P166" i="80"/>
  <c r="U166" i="80" s="1"/>
  <c r="T166" i="80" l="1"/>
  <c r="V166" i="80" s="1"/>
  <c r="X166" i="80"/>
  <c r="Y166" i="80" l="1"/>
  <c r="AP166" i="80" s="1"/>
  <c r="AQ166" i="80" s="1"/>
  <c r="AC166" i="80"/>
  <c r="R166" i="80" l="1"/>
  <c r="AD166" i="80"/>
  <c r="AE166" i="80" s="1"/>
  <c r="AO166" i="80"/>
  <c r="BV167" i="80"/>
  <c r="C53" i="80" s="1"/>
  <c r="BE166" i="80"/>
  <c r="BX166" i="80"/>
  <c r="AR166" i="80"/>
  <c r="AS166" i="80"/>
  <c r="AF166" i="80" l="1"/>
  <c r="AH166" i="80" s="1"/>
  <c r="AI166" i="80" s="1"/>
  <c r="AJ166" i="80" s="1"/>
  <c r="AG166" i="80" l="1"/>
  <c r="AX166" i="80" s="1"/>
  <c r="AK166" i="80" l="1"/>
  <c r="AL166" i="80" s="1"/>
  <c r="BW167" i="80" s="1"/>
  <c r="C54" i="80" s="1"/>
  <c r="AT166" i="80"/>
  <c r="BD166" i="80"/>
  <c r="AN166" i="80" l="1"/>
  <c r="AM166" i="80"/>
  <c r="AV166" i="80" s="1"/>
  <c r="AW166" i="80"/>
  <c r="AY166" i="80" l="1"/>
  <c r="BA166" i="80" s="1"/>
  <c r="BB166" i="80" s="1"/>
  <c r="BF166" i="80"/>
  <c r="AZ166" i="80" l="1"/>
  <c r="BG166" i="80"/>
  <c r="BH166" i="80" s="1"/>
  <c r="BI166" i="80" l="1"/>
  <c r="BN166" i="80" l="1"/>
  <c r="Q166" i="80" s="1"/>
  <c r="BJ166" i="80"/>
  <c r="BK166" i="80" s="1"/>
  <c r="BL166" i="80" s="1"/>
  <c r="BO166" i="80" l="1"/>
  <c r="BR166" i="80" s="1"/>
  <c r="BS166" i="80" s="1"/>
  <c r="BQ166" i="80"/>
  <c r="K166" i="80"/>
  <c r="M167" i="80" s="1"/>
  <c r="L166" i="80"/>
  <c r="N167" i="80" s="1"/>
  <c r="BP166" i="80" l="1"/>
  <c r="BT167" i="80"/>
  <c r="O167" i="80"/>
  <c r="BU167" i="80"/>
  <c r="S167" i="80" l="1"/>
  <c r="C55" i="80"/>
  <c r="BY167" i="80"/>
  <c r="P167" i="80"/>
  <c r="U167" i="80" s="1"/>
  <c r="C56" i="80" l="1"/>
  <c r="C57" i="80"/>
  <c r="T167" i="80"/>
  <c r="V167" i="80" s="1"/>
  <c r="X167" i="80"/>
  <c r="Y167" i="80" l="1"/>
  <c r="AC167" i="80"/>
  <c r="AD167" i="80" l="1"/>
  <c r="AF167" i="80" s="1"/>
  <c r="R167" i="80"/>
  <c r="BE167" i="80"/>
  <c r="BV168" i="80"/>
  <c r="AO167" i="80"/>
  <c r="BX167" i="80"/>
  <c r="AP167" i="80"/>
  <c r="AQ167" i="80" s="1"/>
  <c r="AR167" i="80" s="1"/>
  <c r="AE167" i="80" l="1"/>
  <c r="AS167" i="80"/>
  <c r="AH167" i="80"/>
  <c r="AI167" i="80" s="1"/>
  <c r="AJ167" i="80" s="1"/>
  <c r="AG167" i="80"/>
  <c r="AK167" i="80" l="1"/>
  <c r="AL167" i="80" s="1"/>
  <c r="AX167" i="80"/>
  <c r="BD167" i="80"/>
  <c r="AT167" i="80"/>
  <c r="AM167" i="80" l="1"/>
  <c r="AV167" i="80" s="1"/>
  <c r="BW168" i="80"/>
  <c r="AN167" i="80"/>
  <c r="C59" i="80" s="1"/>
  <c r="AW167" i="80"/>
  <c r="C58" i="80" l="1"/>
  <c r="AY167" i="80"/>
  <c r="BA167" i="80" s="1"/>
  <c r="BB167" i="80" l="1"/>
  <c r="AZ167" i="80"/>
  <c r="BF167" i="80"/>
  <c r="BG167" i="80" l="1"/>
  <c r="BH167" i="80" s="1"/>
  <c r="BI167" i="80" l="1"/>
  <c r="BN167" i="80" l="1"/>
  <c r="Q167" i="80" s="1"/>
  <c r="BJ167" i="80"/>
  <c r="BK167" i="80" s="1"/>
  <c r="BL167" i="80" s="1"/>
  <c r="BQ167" i="80" l="1"/>
  <c r="BO167" i="80"/>
  <c r="BR167" i="80" l="1"/>
  <c r="BS167" i="80" s="1"/>
  <c r="BP167" i="80"/>
  <c r="L167" i="80"/>
  <c r="N168" i="80" s="1"/>
  <c r="BU168" i="80" s="1"/>
  <c r="K167" i="80"/>
  <c r="M168" i="80" s="1"/>
  <c r="O168" i="80" l="1"/>
  <c r="BT168" i="80"/>
  <c r="S168" i="80" l="1"/>
  <c r="BY168" i="80"/>
  <c r="P168" i="80"/>
  <c r="U168" i="80" s="1"/>
  <c r="X168" i="80" l="1"/>
  <c r="T168" i="80"/>
  <c r="V168" i="80" s="1"/>
  <c r="Y168" i="80" l="1"/>
  <c r="AD168" i="80" s="1"/>
  <c r="AP168" i="80" l="1"/>
  <c r="AQ168" i="80" s="1"/>
  <c r="AS168" i="80" s="1"/>
  <c r="BX168" i="80"/>
  <c r="AF168" i="80"/>
  <c r="AE168" i="80"/>
  <c r="AC168" i="80"/>
  <c r="BV169" i="80" l="1"/>
  <c r="AO168" i="80"/>
  <c r="BE168" i="80"/>
  <c r="R168" i="80"/>
  <c r="AR168" i="80"/>
  <c r="AH168" i="80"/>
  <c r="AI168" i="80" s="1"/>
  <c r="AJ168" i="80" s="1"/>
  <c r="AG168" i="80"/>
  <c r="BD168" i="80" l="1"/>
  <c r="AX168" i="80"/>
  <c r="AK168" i="80"/>
  <c r="AL168" i="80" s="1"/>
  <c r="AT168" i="80"/>
  <c r="AM168" i="80" l="1"/>
  <c r="AV168" i="80" s="1"/>
  <c r="BW169" i="80"/>
  <c r="AN168" i="80"/>
  <c r="AW168" i="80"/>
  <c r="AY168" i="80" l="1"/>
  <c r="BA168" i="80" s="1"/>
  <c r="AZ168" i="80" l="1"/>
  <c r="BB168" i="80"/>
  <c r="BF168" i="80"/>
  <c r="BG168" i="80" l="1"/>
  <c r="BH168" i="80" s="1"/>
  <c r="BI168" i="80" l="1"/>
  <c r="BN168" i="80" l="1"/>
  <c r="Q168" i="80" s="1"/>
  <c r="BJ168" i="80"/>
  <c r="BK168" i="80" s="1"/>
  <c r="BL168" i="80" s="1"/>
  <c r="BO168" i="80" l="1"/>
  <c r="BQ168" i="80"/>
  <c r="BR168" i="80" l="1"/>
  <c r="BS168" i="80" s="1"/>
  <c r="BP168" i="80"/>
  <c r="K168" i="80"/>
  <c r="M169" i="80" s="1"/>
  <c r="L168" i="80"/>
  <c r="N169" i="80" s="1"/>
  <c r="BU169" i="80" s="1"/>
  <c r="O169" i="80" l="1"/>
  <c r="BT169" i="80"/>
  <c r="S169" i="80" l="1"/>
  <c r="BY169" i="80"/>
  <c r="P169" i="80"/>
  <c r="U169" i="80" s="1"/>
  <c r="X169" i="80" l="1"/>
  <c r="T169" i="80"/>
  <c r="V169" i="80" s="1"/>
  <c r="Y169" i="80" l="1"/>
  <c r="BX169" i="80" s="1"/>
  <c r="AC169" i="80"/>
  <c r="R169" i="80" l="1"/>
  <c r="BE169" i="80"/>
  <c r="BV170" i="80"/>
  <c r="AO169" i="80"/>
  <c r="AD169" i="80"/>
  <c r="AE169" i="80" s="1"/>
  <c r="AP169" i="80"/>
  <c r="AQ169" i="80" s="1"/>
  <c r="AS169" i="80" s="1"/>
  <c r="AF169" i="80" l="1"/>
  <c r="AG169" i="80" s="1"/>
  <c r="AR169" i="80"/>
  <c r="AH169" i="80" l="1"/>
  <c r="AI169" i="80" s="1"/>
  <c r="AJ169" i="80" s="1"/>
  <c r="BD169" i="80"/>
  <c r="AX169" i="80"/>
  <c r="AK169" i="80"/>
  <c r="AL169" i="80" s="1"/>
  <c r="AT169" i="80"/>
  <c r="BW170" i="80" l="1"/>
  <c r="AN169" i="80"/>
  <c r="AM169" i="80"/>
  <c r="AV169" i="80" s="1"/>
  <c r="AW169" i="80"/>
  <c r="AY169" i="80" l="1"/>
  <c r="BA169" i="80" s="1"/>
  <c r="AZ169" i="80" l="1"/>
  <c r="BB169" i="80"/>
  <c r="BF169" i="80"/>
  <c r="BG169" i="80" l="1"/>
  <c r="BH169" i="80" s="1"/>
  <c r="BI169" i="80" l="1"/>
  <c r="BN169" i="80" l="1"/>
  <c r="Q169" i="80" s="1"/>
  <c r="BJ169" i="80"/>
  <c r="BK169" i="80" s="1"/>
  <c r="BL169" i="80" s="1"/>
  <c r="BO169" i="80" l="1"/>
  <c r="BQ169" i="80"/>
  <c r="BR169" i="80" l="1"/>
  <c r="BS169" i="80" s="1"/>
  <c r="BP169" i="80"/>
  <c r="L169" i="80"/>
  <c r="N170" i="80" s="1"/>
  <c r="BU170" i="80" s="1"/>
  <c r="K169" i="80"/>
  <c r="M170" i="80" s="1"/>
  <c r="BT170" i="80" l="1"/>
  <c r="O170" i="80"/>
  <c r="BY170" i="80" l="1"/>
  <c r="P170" i="80"/>
  <c r="U170" i="80" s="1"/>
  <c r="S170" i="80"/>
  <c r="T170" i="80" l="1"/>
  <c r="V170" i="80" s="1"/>
  <c r="X170" i="80"/>
  <c r="Y170" i="80" l="1"/>
  <c r="AD170" i="80" s="1"/>
  <c r="BX170" i="80" l="1"/>
  <c r="AP170" i="80"/>
  <c r="AQ170" i="80" s="1"/>
  <c r="AS170" i="80" s="1"/>
  <c r="AF170" i="80"/>
  <c r="AE170" i="80"/>
  <c r="AC170" i="80"/>
  <c r="BV171" i="80" l="1"/>
  <c r="AO170" i="80"/>
  <c r="BE170" i="80"/>
  <c r="R170" i="80"/>
  <c r="AR170" i="80"/>
  <c r="AG170" i="80"/>
  <c r="AH170" i="80"/>
  <c r="AI170" i="80" s="1"/>
  <c r="AJ170" i="80" s="1"/>
  <c r="AK170" i="80" l="1"/>
  <c r="AL170" i="80" s="1"/>
  <c r="BD170" i="80"/>
  <c r="AX170" i="80"/>
  <c r="AT170" i="80"/>
  <c r="BW171" i="80" l="1"/>
  <c r="AM170" i="80"/>
  <c r="AV170" i="80" s="1"/>
  <c r="AN170" i="80"/>
  <c r="AW170" i="80"/>
  <c r="AY170" i="80" l="1"/>
  <c r="BA170" i="80" s="1"/>
  <c r="AZ170" i="80" l="1"/>
  <c r="BB170" i="80"/>
  <c r="BF170" i="80"/>
  <c r="BG170" i="80" l="1"/>
  <c r="BH170" i="80" s="1"/>
  <c r="BI170" i="80" l="1"/>
  <c r="BN170" i="80" l="1"/>
  <c r="Q170" i="80" s="1"/>
  <c r="BJ170" i="80"/>
  <c r="BK170" i="80" s="1"/>
  <c r="BL170" i="80" s="1"/>
  <c r="BO170" i="80" l="1"/>
  <c r="BQ170" i="80"/>
  <c r="K170" i="80" l="1"/>
  <c r="M171" i="80" s="1"/>
  <c r="L170" i="80"/>
  <c r="N171" i="80" s="1"/>
  <c r="BR170" i="80"/>
  <c r="BS170" i="80" s="1"/>
  <c r="BP170" i="80"/>
  <c r="BU171" i="80" l="1"/>
  <c r="BT171" i="80"/>
  <c r="O171" i="80"/>
  <c r="BY171" i="80" l="1"/>
  <c r="P171" i="80"/>
  <c r="U171" i="80" s="1"/>
  <c r="S171" i="80"/>
  <c r="T171" i="80" l="1"/>
  <c r="V171" i="80" s="1"/>
  <c r="X171" i="80"/>
  <c r="Y171" i="80" l="1"/>
  <c r="AC171" i="80"/>
  <c r="BX171" i="80" l="1"/>
  <c r="AD171" i="80"/>
  <c r="AF171" i="80" s="1"/>
  <c r="R171" i="80"/>
  <c r="BV172" i="80"/>
  <c r="BE171" i="80"/>
  <c r="AO171" i="80"/>
  <c r="AP171" i="80"/>
  <c r="AQ171" i="80" s="1"/>
  <c r="AS171" i="80" s="1"/>
  <c r="AE171" i="80" l="1"/>
  <c r="AR171" i="80"/>
  <c r="AH171" i="80"/>
  <c r="AI171" i="80" s="1"/>
  <c r="AJ171" i="80" s="1"/>
  <c r="AG171" i="80"/>
  <c r="AK171" i="80" l="1"/>
  <c r="AL171" i="80" s="1"/>
  <c r="AX171" i="80"/>
  <c r="BD171" i="80"/>
  <c r="AT171" i="80"/>
  <c r="AM171" i="80" l="1"/>
  <c r="AV171" i="80" s="1"/>
  <c r="BW172" i="80"/>
  <c r="AN171" i="80"/>
  <c r="AW171" i="80"/>
  <c r="AY171" i="80" l="1"/>
  <c r="BA171" i="80" s="1"/>
  <c r="AZ171" i="80" l="1"/>
  <c r="BB171" i="80"/>
  <c r="BF171" i="80"/>
  <c r="BG171" i="80" l="1"/>
  <c r="BH171" i="80" s="1"/>
  <c r="BI171" i="80" l="1"/>
  <c r="BN171" i="80" l="1"/>
  <c r="Q171" i="80" s="1"/>
  <c r="BJ171" i="80"/>
  <c r="BK171" i="80" s="1"/>
  <c r="BL171" i="80" s="1"/>
  <c r="BO171" i="80" l="1"/>
  <c r="BQ171" i="80"/>
  <c r="L171" i="80" l="1"/>
  <c r="N172" i="80" s="1"/>
  <c r="K171" i="80"/>
  <c r="M172" i="80" s="1"/>
  <c r="BR171" i="80"/>
  <c r="BS171" i="80" s="1"/>
  <c r="BP171" i="80"/>
  <c r="BT172" i="80" l="1"/>
  <c r="O172" i="80"/>
  <c r="BU172" i="80"/>
  <c r="BY172" i="80" l="1"/>
  <c r="P172" i="80"/>
  <c r="U172" i="80" s="1"/>
  <c r="S172" i="80"/>
  <c r="X172" i="80" l="1"/>
  <c r="T172" i="80"/>
  <c r="V172" i="80" s="1"/>
  <c r="Y172" i="80" s="1"/>
  <c r="AD172" i="80" l="1"/>
  <c r="BX172" i="80"/>
  <c r="AP172" i="80"/>
  <c r="AQ172" i="80" s="1"/>
  <c r="AC172" i="80"/>
  <c r="BV173" i="80" l="1"/>
  <c r="AO172" i="80"/>
  <c r="BE172" i="80"/>
  <c r="R172" i="80"/>
  <c r="AR172" i="80"/>
  <c r="AS172" i="80"/>
  <c r="AE172" i="80"/>
  <c r="AF172" i="80"/>
  <c r="AG172" i="80" l="1"/>
  <c r="AH172" i="80"/>
  <c r="AI172" i="80" s="1"/>
  <c r="AJ172" i="80" s="1"/>
  <c r="BD172" i="80" l="1"/>
  <c r="AX172" i="80"/>
  <c r="AK172" i="80"/>
  <c r="AL172" i="80" s="1"/>
  <c r="AT172" i="80"/>
  <c r="BW173" i="80" l="1"/>
  <c r="AN172" i="80"/>
  <c r="AM172" i="80"/>
  <c r="AV172" i="80" s="1"/>
  <c r="AW172" i="80"/>
  <c r="AY172" i="80" l="1"/>
  <c r="BA172" i="80" s="1"/>
  <c r="AZ172" i="80" l="1"/>
  <c r="BB172" i="80"/>
  <c r="BF172" i="80"/>
  <c r="BG172" i="80" l="1"/>
  <c r="BH172" i="80" s="1"/>
  <c r="BI172" i="80" l="1"/>
  <c r="BN172" i="80" l="1"/>
  <c r="Q172" i="80" s="1"/>
  <c r="BJ172" i="80"/>
  <c r="BK172" i="80" s="1"/>
  <c r="BL172" i="80" s="1"/>
  <c r="BQ172" i="80" l="1"/>
  <c r="BO172" i="80"/>
  <c r="L172" i="80"/>
  <c r="N173" i="80" s="1"/>
  <c r="BU173" i="80" s="1"/>
  <c r="BR172" i="80" l="1"/>
  <c r="BS172" i="80" s="1"/>
  <c r="BP172" i="80"/>
  <c r="K172" i="80"/>
  <c r="M173" i="80" s="1"/>
  <c r="O173" i="80" l="1"/>
  <c r="BT173" i="80"/>
  <c r="S173" i="80" l="1"/>
  <c r="P173" i="80"/>
  <c r="U173" i="80" s="1"/>
  <c r="BY173" i="80"/>
  <c r="T173" i="80" l="1"/>
  <c r="V173" i="80" s="1"/>
  <c r="X173" i="80"/>
  <c r="Y173" i="80" l="1"/>
  <c r="BX173" i="80" s="1"/>
  <c r="AC173" i="80"/>
  <c r="BE173" i="80" l="1"/>
  <c r="R173" i="80"/>
  <c r="BV174" i="80"/>
  <c r="AD173" i="80"/>
  <c r="AE173" i="80" s="1"/>
  <c r="AO173" i="80"/>
  <c r="AP173" i="80"/>
  <c r="AQ173" i="80" s="1"/>
  <c r="AR173" i="80" s="1"/>
  <c r="AF173" i="80" l="1"/>
  <c r="AG173" i="80" s="1"/>
  <c r="AS173" i="80"/>
  <c r="AH173" i="80" l="1"/>
  <c r="AI173" i="80" s="1"/>
  <c r="AJ173" i="80" s="1"/>
  <c r="BD173" i="80"/>
  <c r="AX173" i="80"/>
  <c r="AK173" i="80"/>
  <c r="AL173" i="80" s="1"/>
  <c r="AT173" i="80"/>
  <c r="AM173" i="80" l="1"/>
  <c r="AV173" i="80" s="1"/>
  <c r="BW174" i="80"/>
  <c r="AN173" i="80"/>
  <c r="AW173" i="80"/>
  <c r="AY173" i="80" l="1"/>
  <c r="BA173" i="80" s="1"/>
  <c r="AZ173" i="80" l="1"/>
  <c r="BB173" i="80"/>
  <c r="BF173" i="80"/>
  <c r="BG173" i="80" l="1"/>
  <c r="BH173" i="80" s="1"/>
  <c r="BI173" i="80" l="1"/>
  <c r="BN173" i="80" l="1"/>
  <c r="Q173" i="80" s="1"/>
  <c r="BJ173" i="80"/>
  <c r="BK173" i="80" s="1"/>
  <c r="BL173" i="80" s="1"/>
  <c r="BQ173" i="80" l="1"/>
  <c r="BO173" i="80"/>
  <c r="L173" i="80"/>
  <c r="N174" i="80" s="1"/>
  <c r="BU174" i="80" l="1"/>
  <c r="BR173" i="80"/>
  <c r="BS173" i="80" s="1"/>
  <c r="BP173" i="80"/>
  <c r="K173" i="80"/>
  <c r="M174" i="80" s="1"/>
  <c r="BT174" i="80" l="1"/>
  <c r="O174" i="80"/>
  <c r="S174" i="80" l="1"/>
  <c r="BY174" i="80"/>
  <c r="P174" i="80"/>
  <c r="U174" i="80" s="1"/>
  <c r="T174" i="80" l="1"/>
  <c r="V174" i="80" s="1"/>
  <c r="X174" i="80"/>
  <c r="Y174" i="80" l="1"/>
  <c r="AC174" i="80"/>
  <c r="AD174" i="80" l="1"/>
  <c r="AE174" i="80" s="1"/>
  <c r="AP174" i="80"/>
  <c r="AQ174" i="80" s="1"/>
  <c r="AS174" i="80" s="1"/>
  <c r="BX174" i="80"/>
  <c r="R174" i="80"/>
  <c r="BV175" i="80"/>
  <c r="AO174" i="80"/>
  <c r="BE174" i="80"/>
  <c r="AF174" i="80" l="1"/>
  <c r="AG174" i="80" s="1"/>
  <c r="AR174" i="80"/>
  <c r="AH174" i="80" l="1"/>
  <c r="AI174" i="80" s="1"/>
  <c r="AJ174" i="80" s="1"/>
  <c r="AX174" i="80"/>
  <c r="BD174" i="80"/>
  <c r="AK174" i="80"/>
  <c r="AL174" i="80" s="1"/>
  <c r="AT174" i="80"/>
  <c r="AM174" i="80" l="1"/>
  <c r="AV174" i="80" s="1"/>
  <c r="AN174" i="80"/>
  <c r="BW175" i="80"/>
  <c r="AW174" i="80"/>
  <c r="AY174" i="80" l="1"/>
  <c r="BA174" i="80" s="1"/>
  <c r="AZ174" i="80" l="1"/>
  <c r="BB174" i="80"/>
  <c r="BF174" i="80"/>
  <c r="BG174" i="80" l="1"/>
  <c r="BH174" i="80" s="1"/>
  <c r="BI174" i="80" l="1"/>
  <c r="BN174" i="80" l="1"/>
  <c r="Q174" i="80" s="1"/>
  <c r="BJ174" i="80"/>
  <c r="BK174" i="80" s="1"/>
  <c r="BL174" i="80" s="1"/>
  <c r="BQ174" i="80" l="1"/>
  <c r="BO174" i="80"/>
  <c r="L174" i="80" l="1"/>
  <c r="N175" i="80" s="1"/>
  <c r="K174" i="80"/>
  <c r="M175" i="80" s="1"/>
  <c r="BR174" i="80"/>
  <c r="BS174" i="80" s="1"/>
  <c r="BP174" i="80"/>
  <c r="O175" i="80" l="1"/>
  <c r="BT175" i="80"/>
  <c r="BU175" i="80"/>
  <c r="P175" i="80" l="1"/>
  <c r="U175" i="80" s="1"/>
  <c r="BY175" i="80"/>
  <c r="S175" i="80"/>
  <c r="T175" i="80" l="1"/>
  <c r="V175" i="80" s="1"/>
  <c r="X175" i="80"/>
  <c r="Y175" i="80" l="1"/>
  <c r="AP175" i="80" s="1"/>
  <c r="AQ175" i="80" s="1"/>
  <c r="AC175" i="80"/>
  <c r="BX175" i="80" l="1"/>
  <c r="AD175" i="80"/>
  <c r="AF175" i="80" s="1"/>
  <c r="AO175" i="80"/>
  <c r="R175" i="80"/>
  <c r="BE175" i="80"/>
  <c r="BV176" i="80"/>
  <c r="AR175" i="80"/>
  <c r="AS175" i="80"/>
  <c r="AE175" i="80" l="1"/>
  <c r="AH175" i="80"/>
  <c r="AI175" i="80" s="1"/>
  <c r="AJ175" i="80" s="1"/>
  <c r="AG175" i="80"/>
  <c r="AX175" i="80" l="1"/>
  <c r="AK175" i="80"/>
  <c r="AL175" i="80" s="1"/>
  <c r="BD175" i="80"/>
  <c r="AT175" i="80"/>
  <c r="AM175" i="80" l="1"/>
  <c r="AV175" i="80" s="1"/>
  <c r="BW176" i="80"/>
  <c r="AN175" i="80"/>
  <c r="AW175" i="80"/>
  <c r="AY175" i="80" l="1"/>
  <c r="BA175" i="80" s="1"/>
  <c r="AZ175" i="80" l="1"/>
  <c r="BB175" i="80"/>
  <c r="BF175" i="80"/>
  <c r="BG175" i="80" l="1"/>
  <c r="BH175" i="80" s="1"/>
  <c r="BI175" i="80" l="1"/>
  <c r="BJ175" i="80" l="1"/>
  <c r="BK175" i="80" s="1"/>
  <c r="BL175" i="80" s="1"/>
  <c r="BN175" i="80"/>
  <c r="Q175" i="80" s="1"/>
  <c r="BQ175" i="80" l="1"/>
  <c r="BO175" i="80"/>
  <c r="L175" i="80"/>
  <c r="N176" i="80" s="1"/>
  <c r="BU176" i="80" l="1"/>
  <c r="BR175" i="80"/>
  <c r="BS175" i="80" s="1"/>
  <c r="BP175" i="80"/>
  <c r="K175" i="80"/>
  <c r="M176" i="80" s="1"/>
  <c r="BT176" i="80" l="1"/>
  <c r="O176" i="80"/>
  <c r="S176" i="80" l="1"/>
  <c r="P176" i="80"/>
  <c r="U176" i="80" s="1"/>
  <c r="BY176" i="80"/>
  <c r="T176" i="80" l="1"/>
  <c r="V176" i="80" s="1"/>
  <c r="X176" i="80"/>
  <c r="Y176" i="80" l="1"/>
  <c r="AP176" i="80" s="1"/>
  <c r="AQ176" i="80" s="1"/>
  <c r="AC176" i="80"/>
  <c r="BX176" i="80" l="1"/>
  <c r="AD176" i="80"/>
  <c r="AE176" i="80" s="1"/>
  <c r="BE176" i="80"/>
  <c r="R176" i="80"/>
  <c r="BV177" i="80"/>
  <c r="AO176" i="80"/>
  <c r="AR176" i="80"/>
  <c r="AS176" i="80"/>
  <c r="AF176" i="80" l="1"/>
  <c r="AG176" i="80" s="1"/>
  <c r="AH176" i="80" l="1"/>
  <c r="AI176" i="80" s="1"/>
  <c r="AJ176" i="80" s="1"/>
  <c r="BD176" i="80"/>
  <c r="AK176" i="80"/>
  <c r="AL176" i="80" s="1"/>
  <c r="AX176" i="80"/>
  <c r="AT176" i="80"/>
  <c r="AM176" i="80" l="1"/>
  <c r="AV176" i="80" s="1"/>
  <c r="BW177" i="80"/>
  <c r="AN176" i="80"/>
  <c r="AW176" i="80"/>
  <c r="AY176" i="80" l="1"/>
  <c r="BA176" i="80" s="1"/>
  <c r="AZ176" i="80" l="1"/>
  <c r="BB176" i="80"/>
  <c r="BF176" i="80"/>
  <c r="BG176" i="80" l="1"/>
  <c r="BH176" i="80" s="1"/>
  <c r="BI176" i="80" l="1"/>
  <c r="BN176" i="80" l="1"/>
  <c r="Q176" i="80" s="1"/>
  <c r="BJ176" i="80"/>
  <c r="BK176" i="80" s="1"/>
  <c r="BL176" i="80" s="1"/>
  <c r="BQ176" i="80" l="1"/>
  <c r="BO176" i="80"/>
  <c r="BR176" i="80" l="1"/>
  <c r="BS176" i="80" s="1"/>
  <c r="BP176" i="80"/>
  <c r="L176" i="80"/>
  <c r="N177" i="80" s="1"/>
  <c r="K176" i="80"/>
  <c r="M177" i="80" s="1"/>
  <c r="BT177" i="80" l="1"/>
  <c r="O177" i="80"/>
  <c r="BU177" i="80"/>
  <c r="S177" i="80" l="1"/>
  <c r="P177" i="80"/>
  <c r="U177" i="80" s="1"/>
  <c r="BY177" i="80"/>
  <c r="T177" i="80" l="1"/>
  <c r="V177" i="80" s="1"/>
  <c r="X177" i="80"/>
  <c r="Y177" i="80" l="1"/>
  <c r="AP177" i="80" s="1"/>
  <c r="AQ177" i="80" s="1"/>
  <c r="AC177" i="80"/>
  <c r="AD177" i="80" l="1"/>
  <c r="AF177" i="80" s="1"/>
  <c r="BX177" i="80"/>
  <c r="R177" i="80"/>
  <c r="AO177" i="80"/>
  <c r="BE177" i="80"/>
  <c r="BV178" i="80"/>
  <c r="AR177" i="80"/>
  <c r="AS177" i="80"/>
  <c r="AE177" i="80" l="1"/>
  <c r="AG177" i="80"/>
  <c r="AH177" i="80"/>
  <c r="AI177" i="80" s="1"/>
  <c r="AJ177" i="80" s="1"/>
  <c r="AX177" i="80" l="1"/>
  <c r="BD177" i="80"/>
  <c r="AK177" i="80"/>
  <c r="AL177" i="80" s="1"/>
  <c r="AT177" i="80"/>
  <c r="AM177" i="80" l="1"/>
  <c r="AV177" i="80" s="1"/>
  <c r="AN177" i="80"/>
  <c r="BW178" i="80"/>
  <c r="AW177" i="80"/>
  <c r="AY177" i="80" l="1"/>
  <c r="BA177" i="80" s="1"/>
  <c r="AZ177" i="80" l="1"/>
  <c r="BB177" i="80"/>
  <c r="BF177" i="80"/>
  <c r="BG177" i="80" l="1"/>
  <c r="BH177" i="80" s="1"/>
  <c r="BI177" i="80" l="1"/>
  <c r="BN177" i="80" l="1"/>
  <c r="Q177" i="80" s="1"/>
  <c r="BJ177" i="80"/>
  <c r="BK177" i="80" s="1"/>
  <c r="BL177" i="80" s="1"/>
  <c r="BQ177" i="80" l="1"/>
  <c r="BO177" i="80"/>
  <c r="BR177" i="80" l="1"/>
  <c r="BS177" i="80" s="1"/>
  <c r="BP177" i="80"/>
  <c r="K177" i="80"/>
  <c r="M178" i="80" s="1"/>
  <c r="L177" i="80"/>
  <c r="N178" i="80" s="1"/>
  <c r="BU178" i="80" l="1"/>
  <c r="O178" i="80"/>
  <c r="BT178" i="80"/>
  <c r="P178" i="80" l="1"/>
  <c r="U178" i="80" s="1"/>
  <c r="BY178" i="80"/>
  <c r="S178" i="80"/>
  <c r="T178" i="80" l="1"/>
  <c r="V178" i="80" s="1"/>
  <c r="X178" i="80"/>
  <c r="Y178" i="80" l="1"/>
  <c r="BX178" i="80" s="1"/>
  <c r="AC178" i="80"/>
  <c r="AP178" i="80" l="1"/>
  <c r="AQ178" i="80" s="1"/>
  <c r="AS178" i="80" s="1"/>
  <c r="R178" i="80"/>
  <c r="BV179" i="80"/>
  <c r="BE178" i="80"/>
  <c r="AO178" i="80"/>
  <c r="AD178" i="80"/>
  <c r="AE178" i="80" s="1"/>
  <c r="AR178" i="80" l="1"/>
  <c r="AF178" i="80"/>
  <c r="AG178" i="80" s="1"/>
  <c r="AH178" i="80" l="1"/>
  <c r="AI178" i="80" s="1"/>
  <c r="AJ178" i="80" s="1"/>
  <c r="AK178" i="80"/>
  <c r="AL178" i="80" s="1"/>
  <c r="BD178" i="80"/>
  <c r="AX178" i="80"/>
  <c r="AT178" i="80"/>
  <c r="AM178" i="80" l="1"/>
  <c r="AV178" i="80" s="1"/>
  <c r="BW179" i="80"/>
  <c r="AN178" i="80"/>
  <c r="AW178" i="80"/>
  <c r="AY178" i="80" l="1"/>
  <c r="BA178" i="80" s="1"/>
  <c r="AZ178" i="80" l="1"/>
  <c r="BB178" i="80"/>
  <c r="BF178" i="80"/>
  <c r="BG178" i="80" l="1"/>
  <c r="BH178" i="80" s="1"/>
  <c r="BI178" i="80" l="1"/>
  <c r="BN178" i="80" l="1"/>
  <c r="Q178" i="80" s="1"/>
  <c r="BJ178" i="80"/>
  <c r="BK178" i="80" s="1"/>
  <c r="BL178" i="80" s="1"/>
  <c r="BQ178" i="80" l="1"/>
  <c r="BO178" i="80"/>
  <c r="BR178" i="80" l="1"/>
  <c r="BS178" i="80" s="1"/>
  <c r="BP178" i="80"/>
  <c r="K178" i="80"/>
  <c r="M179" i="80" s="1"/>
  <c r="L178" i="80"/>
  <c r="N179" i="80" s="1"/>
  <c r="BT179" i="80" l="1"/>
  <c r="O179" i="80"/>
  <c r="BU179" i="80"/>
  <c r="BY179" i="80" l="1"/>
  <c r="S179" i="80"/>
  <c r="P179" i="80"/>
  <c r="U179" i="80" s="1"/>
  <c r="T179" i="80" l="1"/>
  <c r="V179" i="80" s="1"/>
  <c r="X179" i="80"/>
  <c r="Y179" i="80" l="1"/>
  <c r="AC179" i="80"/>
  <c r="AD179" i="80" l="1"/>
  <c r="AF179" i="80" s="1"/>
  <c r="BX179" i="80"/>
  <c r="AP179" i="80"/>
  <c r="AQ179" i="80" s="1"/>
  <c r="AS179" i="80" s="1"/>
  <c r="R179" i="80"/>
  <c r="BV180" i="80"/>
  <c r="BE179" i="80"/>
  <c r="AO179" i="80"/>
  <c r="AE179" i="80" l="1"/>
  <c r="AR179" i="80"/>
  <c r="AG179" i="80"/>
  <c r="AH179" i="80"/>
  <c r="AI179" i="80" s="1"/>
  <c r="AJ179" i="80" s="1"/>
  <c r="AK179" i="80" l="1"/>
  <c r="AL179" i="80" s="1"/>
  <c r="BD179" i="80"/>
  <c r="AX179" i="80"/>
  <c r="AT179" i="80"/>
  <c r="AM179" i="80" l="1"/>
  <c r="AV179" i="80" s="1"/>
  <c r="AN179" i="80"/>
  <c r="BW180" i="80"/>
  <c r="AW179" i="80"/>
  <c r="AY179" i="80" l="1"/>
  <c r="BA179" i="80" s="1"/>
  <c r="AZ179" i="80" l="1"/>
  <c r="BB179" i="80"/>
  <c r="BF179" i="80"/>
  <c r="BG179" i="80" l="1"/>
  <c r="BH179" i="80" s="1"/>
  <c r="BI179" i="80" l="1"/>
  <c r="BJ179" i="80" l="1"/>
  <c r="BK179" i="80" s="1"/>
  <c r="BL179" i="80" s="1"/>
  <c r="BN179" i="80"/>
  <c r="Q179" i="80" s="1"/>
  <c r="BQ179" i="80" l="1"/>
  <c r="BO179" i="80"/>
  <c r="L179" i="80"/>
  <c r="N180" i="80" s="1"/>
  <c r="BR179" i="80" l="1"/>
  <c r="BS179" i="80" s="1"/>
  <c r="BP179" i="80"/>
  <c r="BU180" i="80"/>
  <c r="K179" i="80"/>
  <c r="M180" i="80" s="1"/>
  <c r="O180" i="80" l="1"/>
  <c r="BT180" i="80"/>
  <c r="S180" i="80" l="1"/>
  <c r="P180" i="80"/>
  <c r="U180" i="80" s="1"/>
  <c r="BY180" i="80"/>
  <c r="T180" i="80" l="1"/>
  <c r="V180" i="80" s="1"/>
  <c r="X180" i="80"/>
  <c r="Y180" i="80" l="1"/>
  <c r="AD180" i="80" s="1"/>
  <c r="AC180" i="80"/>
  <c r="BX180" i="80" l="1"/>
  <c r="AP180" i="80"/>
  <c r="AQ180" i="80" s="1"/>
  <c r="AR180" i="80" s="1"/>
  <c r="AO180" i="80"/>
  <c r="R180" i="80"/>
  <c r="BE180" i="80"/>
  <c r="BV181" i="80"/>
  <c r="AE180" i="80"/>
  <c r="AF180" i="80"/>
  <c r="AS180" i="80" l="1"/>
  <c r="AH180" i="80"/>
  <c r="AI180" i="80" s="1"/>
  <c r="AJ180" i="80" s="1"/>
  <c r="AG180" i="80"/>
  <c r="AX180" i="80" l="1"/>
  <c r="AK180" i="80"/>
  <c r="AL180" i="80" s="1"/>
  <c r="BD180" i="80"/>
  <c r="AT180" i="80"/>
  <c r="AM180" i="80" l="1"/>
  <c r="AV180" i="80" s="1"/>
  <c r="AN180" i="80"/>
  <c r="BW181" i="80"/>
  <c r="AW180" i="80"/>
  <c r="AY180" i="80" l="1"/>
  <c r="BA180" i="80" s="1"/>
  <c r="AZ180" i="80" l="1"/>
  <c r="BB180" i="80"/>
  <c r="BF180" i="80"/>
  <c r="BG180" i="80" l="1"/>
  <c r="BH180" i="80" s="1"/>
  <c r="BI180" i="80" l="1"/>
  <c r="BN180" i="80" l="1"/>
  <c r="Q180" i="80" s="1"/>
  <c r="BJ180" i="80"/>
  <c r="BK180" i="80" s="1"/>
  <c r="BL180" i="80" s="1"/>
  <c r="BQ180" i="80" l="1"/>
  <c r="BO180" i="80"/>
  <c r="BR180" i="80" l="1"/>
  <c r="BS180" i="80" s="1"/>
  <c r="BP180" i="80"/>
  <c r="L180" i="80"/>
  <c r="N181" i="80" s="1"/>
  <c r="K180" i="80"/>
  <c r="M181" i="80" s="1"/>
  <c r="BU181" i="80" l="1"/>
  <c r="O181" i="80"/>
  <c r="BT181" i="80"/>
  <c r="S181" i="80" l="1"/>
  <c r="BY181" i="80"/>
  <c r="P181" i="80"/>
  <c r="U181" i="80" s="1"/>
  <c r="T181" i="80" l="1"/>
  <c r="V181" i="80" s="1"/>
  <c r="X181" i="80"/>
  <c r="Y181" i="80" l="1"/>
  <c r="AC181" i="80"/>
  <c r="R181" i="80" l="1"/>
  <c r="BE181" i="80"/>
  <c r="BV182" i="80"/>
  <c r="AP181" i="80"/>
  <c r="AQ181" i="80" s="1"/>
  <c r="AD181" i="80"/>
  <c r="BX181" i="80"/>
  <c r="AO181" i="80"/>
  <c r="AE181" i="80" l="1"/>
  <c r="AF181" i="80"/>
  <c r="AR181" i="80"/>
  <c r="AS181" i="80"/>
  <c r="AH181" i="80" l="1"/>
  <c r="AI181" i="80" s="1"/>
  <c r="AJ181" i="80" s="1"/>
  <c r="AG181" i="80"/>
  <c r="BD181" i="80" l="1"/>
  <c r="AX181" i="80"/>
  <c r="AK181" i="80"/>
  <c r="AL181" i="80" s="1"/>
  <c r="AT181" i="80"/>
  <c r="AM181" i="80" l="1"/>
  <c r="AV181" i="80" s="1"/>
  <c r="BW182" i="80"/>
  <c r="AN181" i="80"/>
  <c r="AW181" i="80"/>
  <c r="AY181" i="80" l="1"/>
  <c r="BA181" i="80" s="1"/>
  <c r="AZ181" i="80" l="1"/>
  <c r="BB181" i="80"/>
  <c r="BF181" i="80"/>
  <c r="BG181" i="80" l="1"/>
  <c r="BH181" i="80" s="1"/>
  <c r="BI181" i="80" l="1"/>
  <c r="BJ181" i="80" l="1"/>
  <c r="BK181" i="80" s="1"/>
  <c r="BL181" i="80" s="1"/>
  <c r="BN181" i="80"/>
  <c r="Q181" i="80" s="1"/>
  <c r="BQ181" i="80" l="1"/>
  <c r="BO181" i="80"/>
  <c r="L181" i="80"/>
  <c r="N182" i="80" s="1"/>
  <c r="BR181" i="80" l="1"/>
  <c r="BS181" i="80" s="1"/>
  <c r="BP181" i="80"/>
  <c r="BU182" i="80"/>
  <c r="K181" i="80"/>
  <c r="M182" i="80" s="1"/>
  <c r="O182" i="80" l="1"/>
  <c r="BT182" i="80"/>
  <c r="S182" i="80" l="1"/>
  <c r="P182" i="80"/>
  <c r="U182" i="80" s="1"/>
  <c r="BY182" i="80"/>
  <c r="T182" i="80" l="1"/>
  <c r="V182" i="80" s="1"/>
  <c r="X182" i="80"/>
  <c r="Y182" i="80" l="1"/>
  <c r="AD182" i="80" s="1"/>
  <c r="BX182" i="80" l="1"/>
  <c r="AP182" i="80"/>
  <c r="AQ182" i="80" s="1"/>
  <c r="AE182" i="80"/>
  <c r="AF182" i="80"/>
  <c r="AC182" i="80"/>
  <c r="BE182" i="80" l="1"/>
  <c r="BV183" i="80"/>
  <c r="AO182" i="80"/>
  <c r="R182" i="80"/>
  <c r="AR182" i="80"/>
  <c r="AS182" i="80"/>
  <c r="AG182" i="80"/>
  <c r="AH182" i="80"/>
  <c r="AI182" i="80" s="1"/>
  <c r="AJ182" i="80" s="1"/>
  <c r="BD182" i="80" l="1"/>
  <c r="AK182" i="80"/>
  <c r="AL182" i="80" s="1"/>
  <c r="AX182" i="80"/>
  <c r="AT182" i="80"/>
  <c r="AM182" i="80" l="1"/>
  <c r="AV182" i="80" s="1"/>
  <c r="AN182" i="80"/>
  <c r="BW183" i="80"/>
  <c r="AW182" i="80"/>
  <c r="AY182" i="80" l="1"/>
  <c r="BA182" i="80" s="1"/>
  <c r="AZ182" i="80" l="1"/>
  <c r="BB182" i="80"/>
  <c r="BF182" i="80"/>
  <c r="BG182" i="80" l="1"/>
  <c r="BH182" i="80" s="1"/>
  <c r="BI182" i="80" l="1"/>
  <c r="BN182" i="80" l="1"/>
  <c r="Q182" i="80" s="1"/>
  <c r="BJ182" i="80"/>
  <c r="BK182" i="80" s="1"/>
  <c r="BL182" i="80" s="1"/>
  <c r="BQ182" i="80" l="1"/>
  <c r="BO182" i="80"/>
  <c r="L182" i="80" l="1"/>
  <c r="N183" i="80" s="1"/>
  <c r="K182" i="80"/>
  <c r="M183" i="80" s="1"/>
  <c r="BR182" i="80"/>
  <c r="BS182" i="80" s="1"/>
  <c r="BP182" i="80"/>
  <c r="O183" i="80" l="1"/>
  <c r="BT183" i="80"/>
  <c r="BU183" i="80"/>
  <c r="S183" i="80" l="1"/>
  <c r="BY183" i="80"/>
  <c r="P183" i="80"/>
  <c r="U183" i="80" s="1"/>
  <c r="T183" i="80" l="1"/>
  <c r="V183" i="80" s="1"/>
  <c r="X183" i="80"/>
  <c r="Y183" i="80" l="1"/>
  <c r="BX183" i="80" s="1"/>
  <c r="AC183" i="80"/>
  <c r="AP183" i="80" l="1"/>
  <c r="AQ183" i="80" s="1"/>
  <c r="AR183" i="80" s="1"/>
  <c r="AD183" i="80"/>
  <c r="AE183" i="80" s="1"/>
  <c r="BE183" i="80"/>
  <c r="R183" i="80"/>
  <c r="BV184" i="80"/>
  <c r="AO183" i="80"/>
  <c r="AF183" i="80" l="1"/>
  <c r="AH183" i="80" s="1"/>
  <c r="AI183" i="80" s="1"/>
  <c r="AJ183" i="80" s="1"/>
  <c r="AS183" i="80"/>
  <c r="AG183" i="80" l="1"/>
  <c r="AX183" i="80" s="1"/>
  <c r="AT183" i="80" l="1"/>
  <c r="AK183" i="80"/>
  <c r="AL183" i="80" s="1"/>
  <c r="AN183" i="80" s="1"/>
  <c r="BD183" i="80"/>
  <c r="AM183" i="80" l="1"/>
  <c r="AV183" i="80" s="1"/>
  <c r="BW184" i="80"/>
  <c r="AW183" i="80"/>
  <c r="AY183" i="80" l="1"/>
  <c r="BA183" i="80" s="1"/>
  <c r="BB183" i="80" l="1"/>
  <c r="AZ183" i="80"/>
  <c r="BF183" i="80"/>
  <c r="BG183" i="80" l="1"/>
  <c r="BH183" i="80" s="1"/>
  <c r="BI183" i="80" l="1"/>
  <c r="BJ183" i="80" s="1"/>
  <c r="BK183" i="80" s="1"/>
  <c r="BL183" i="80" s="1"/>
  <c r="BN183" i="80" l="1"/>
  <c r="Q183" i="80" s="1"/>
  <c r="L183" i="80" s="1"/>
  <c r="N184" i="80" s="1"/>
  <c r="BO183" i="80" l="1"/>
  <c r="BR183" i="80" s="1"/>
  <c r="BS183" i="80" s="1"/>
  <c r="BQ183" i="80"/>
  <c r="BU184" i="80"/>
  <c r="K183" i="80"/>
  <c r="M184" i="80" s="1"/>
  <c r="BP183" i="80" l="1"/>
  <c r="BT184" i="80"/>
  <c r="O184" i="80"/>
  <c r="P184" i="80" l="1"/>
  <c r="U184" i="80" s="1"/>
  <c r="S184" i="80"/>
  <c r="BY184" i="80"/>
  <c r="T184" i="80" l="1"/>
  <c r="V184" i="80" s="1"/>
  <c r="X184" i="80"/>
  <c r="Y184" i="80" l="1"/>
  <c r="AD184" i="80" s="1"/>
  <c r="AC184" i="80"/>
  <c r="BX184" i="80" l="1"/>
  <c r="AP184" i="80"/>
  <c r="AQ184" i="80" s="1"/>
  <c r="AR184" i="80" s="1"/>
  <c r="R184" i="80"/>
  <c r="BE184" i="80"/>
  <c r="BV185" i="80"/>
  <c r="AO184" i="80"/>
  <c r="AF184" i="80"/>
  <c r="AE184" i="80"/>
  <c r="AS184" i="80" l="1"/>
  <c r="AH184" i="80"/>
  <c r="AI184" i="80" s="1"/>
  <c r="AJ184" i="80" s="1"/>
  <c r="AG184" i="80"/>
  <c r="AX184" i="80" l="1"/>
  <c r="BD184" i="80"/>
  <c r="AK184" i="80"/>
  <c r="AL184" i="80" s="1"/>
  <c r="AT184" i="80"/>
  <c r="AM184" i="80" l="1"/>
  <c r="AV184" i="80" s="1"/>
  <c r="BW185" i="80"/>
  <c r="AN184" i="80"/>
  <c r="AW184" i="80"/>
  <c r="AY184" i="80" l="1"/>
  <c r="BA184" i="80" s="1"/>
  <c r="AZ184" i="80" l="1"/>
  <c r="BB184" i="80"/>
  <c r="BF184" i="80"/>
  <c r="BG184" i="80" l="1"/>
  <c r="BH184" i="80" s="1"/>
  <c r="BI184" i="80" l="1"/>
  <c r="BN184" i="80" l="1"/>
  <c r="Q184" i="80" s="1"/>
  <c r="BJ184" i="80"/>
  <c r="BK184" i="80" s="1"/>
  <c r="BL184" i="80" s="1"/>
  <c r="BQ184" i="80" l="1"/>
  <c r="BO184" i="80"/>
  <c r="L184" i="80" l="1"/>
  <c r="N185" i="80" s="1"/>
  <c r="K184" i="80"/>
  <c r="M185" i="80" s="1"/>
  <c r="BR184" i="80"/>
  <c r="BS184" i="80" s="1"/>
  <c r="BP184" i="80"/>
  <c r="BT185" i="80" l="1"/>
  <c r="O185" i="80"/>
  <c r="BU185" i="80"/>
  <c r="S185" i="80" l="1"/>
  <c r="P185" i="80"/>
  <c r="U185" i="80" s="1"/>
  <c r="BY185" i="80"/>
  <c r="T185" i="80" l="1"/>
  <c r="V185" i="80" s="1"/>
  <c r="X185" i="80"/>
  <c r="Y185" i="80" l="1"/>
  <c r="AC185" i="80"/>
  <c r="AD185" i="80" l="1"/>
  <c r="AE185" i="80" s="1"/>
  <c r="BX185" i="80"/>
  <c r="AP185" i="80"/>
  <c r="AQ185" i="80" s="1"/>
  <c r="AR185" i="80" s="1"/>
  <c r="R185" i="80"/>
  <c r="BE185" i="80"/>
  <c r="AO185" i="80"/>
  <c r="BV186" i="80"/>
  <c r="AF185" i="80" l="1"/>
  <c r="AH185" i="80" s="1"/>
  <c r="AI185" i="80" s="1"/>
  <c r="AJ185" i="80" s="1"/>
  <c r="AS185" i="80"/>
  <c r="AG185" i="80" l="1"/>
  <c r="BD185" i="80" s="1"/>
  <c r="AT185" i="80" l="1"/>
  <c r="AK185" i="80"/>
  <c r="AL185" i="80" s="1"/>
  <c r="AM185" i="80" s="1"/>
  <c r="AX185" i="80"/>
  <c r="AV185" i="80" l="1"/>
  <c r="AN185" i="80"/>
  <c r="BW186" i="80"/>
  <c r="AW185" i="80"/>
  <c r="AY185" i="80" l="1"/>
  <c r="BA185" i="80" s="1"/>
  <c r="BB185" i="80" s="1"/>
  <c r="BF185" i="80"/>
  <c r="AZ185" i="80" l="1"/>
  <c r="BG185" i="80"/>
  <c r="BH185" i="80" s="1"/>
  <c r="BI185" i="80" l="1"/>
  <c r="BN185" i="80" l="1"/>
  <c r="Q185" i="80" s="1"/>
  <c r="BJ185" i="80"/>
  <c r="BK185" i="80" s="1"/>
  <c r="BL185" i="80" s="1"/>
  <c r="BQ185" i="80" l="1"/>
  <c r="BO185" i="80"/>
  <c r="L185" i="80"/>
  <c r="N186" i="80" s="1"/>
  <c r="BU186" i="80" l="1"/>
  <c r="BR185" i="80"/>
  <c r="BS185" i="80" s="1"/>
  <c r="BP185" i="80"/>
  <c r="K185" i="80"/>
  <c r="M186" i="80" s="1"/>
  <c r="BT186" i="80" l="1"/>
  <c r="O186" i="80"/>
  <c r="S186" i="80" l="1"/>
  <c r="P186" i="80"/>
  <c r="U186" i="80" s="1"/>
  <c r="BY186" i="80"/>
  <c r="T186" i="80" l="1"/>
  <c r="V186" i="80" s="1"/>
  <c r="X186" i="80"/>
  <c r="Y186" i="80" l="1"/>
  <c r="AP186" i="80" s="1"/>
  <c r="AQ186" i="80" s="1"/>
  <c r="AC186" i="80"/>
  <c r="AD186" i="80" l="1"/>
  <c r="AF186" i="80" s="1"/>
  <c r="BX186" i="80"/>
  <c r="BE186" i="80"/>
  <c r="R186" i="80"/>
  <c r="BV187" i="80"/>
  <c r="AO186" i="80"/>
  <c r="AR186" i="80"/>
  <c r="AS186" i="80"/>
  <c r="AE186" i="80" l="1"/>
  <c r="AH186" i="80"/>
  <c r="AI186" i="80" s="1"/>
  <c r="AJ186" i="80" s="1"/>
  <c r="AG186" i="80"/>
  <c r="AX186" i="80" l="1"/>
  <c r="AK186" i="80"/>
  <c r="AL186" i="80" s="1"/>
  <c r="BD186" i="80"/>
  <c r="AT186" i="80"/>
  <c r="AM186" i="80" l="1"/>
  <c r="AV186" i="80" s="1"/>
  <c r="BW187" i="80"/>
  <c r="AN186" i="80"/>
  <c r="AW186" i="80"/>
  <c r="AY186" i="80" l="1"/>
  <c r="BA186" i="80" s="1"/>
  <c r="AZ186" i="80" l="1"/>
  <c r="BB186" i="80"/>
  <c r="BF186" i="80"/>
  <c r="BG186" i="80" l="1"/>
  <c r="BH186" i="80" s="1"/>
  <c r="BI186" i="80" l="1"/>
  <c r="BN186" i="80" l="1"/>
  <c r="Q186" i="80" s="1"/>
  <c r="BJ186" i="80"/>
  <c r="BK186" i="80" s="1"/>
  <c r="BL186" i="80" s="1"/>
  <c r="BQ186" i="80" l="1"/>
  <c r="BO186" i="80"/>
  <c r="BR186" i="80" l="1"/>
  <c r="BS186" i="80" s="1"/>
  <c r="BP186" i="80"/>
  <c r="L186" i="80"/>
  <c r="N187" i="80" s="1"/>
  <c r="K186" i="80"/>
  <c r="M187" i="80" s="1"/>
  <c r="BU187" i="80" l="1"/>
  <c r="BT187" i="80"/>
  <c r="O187" i="80"/>
  <c r="P187" i="80" l="1"/>
  <c r="U187" i="80" s="1"/>
  <c r="S187" i="80"/>
  <c r="BY187" i="80"/>
  <c r="T187" i="80" l="1"/>
  <c r="V187" i="80" s="1"/>
  <c r="X187" i="80"/>
  <c r="Y187" i="80" l="1"/>
  <c r="AD187" i="80" s="1"/>
  <c r="AC187" i="80"/>
  <c r="AP187" i="80" l="1"/>
  <c r="AQ187" i="80" s="1"/>
  <c r="AS187" i="80" s="1"/>
  <c r="BX187" i="80"/>
  <c r="R187" i="80"/>
  <c r="BV188" i="80"/>
  <c r="BE187" i="80"/>
  <c r="AO187" i="80"/>
  <c r="AF187" i="80"/>
  <c r="AE187" i="80"/>
  <c r="AR187" i="80" l="1"/>
  <c r="AG187" i="80"/>
  <c r="AH187" i="80"/>
  <c r="AI187" i="80" s="1"/>
  <c r="AJ187" i="80" s="1"/>
  <c r="AX187" i="80" l="1"/>
  <c r="BD187" i="80"/>
  <c r="AK187" i="80"/>
  <c r="AL187" i="80" s="1"/>
  <c r="AT187" i="80"/>
  <c r="AM187" i="80" l="1"/>
  <c r="AV187" i="80" s="1"/>
  <c r="BW188" i="80"/>
  <c r="AN187" i="80"/>
  <c r="AW187" i="80"/>
  <c r="AY187" i="80" l="1"/>
  <c r="BA187" i="80" s="1"/>
  <c r="AZ187" i="80" l="1"/>
  <c r="BB187" i="80"/>
  <c r="BF187" i="80"/>
  <c r="BG187" i="80" l="1"/>
  <c r="BH187" i="80" s="1"/>
  <c r="BI187" i="80" l="1"/>
  <c r="BN187" i="80" l="1"/>
  <c r="Q187" i="80" s="1"/>
  <c r="BJ187" i="80"/>
  <c r="BK187" i="80" s="1"/>
  <c r="BL187" i="80" s="1"/>
  <c r="BQ187" i="80" l="1"/>
  <c r="BO187" i="80"/>
  <c r="BR187" i="80" l="1"/>
  <c r="BS187" i="80" s="1"/>
  <c r="BP187" i="80"/>
  <c r="L187" i="80"/>
  <c r="N188" i="80" s="1"/>
  <c r="K187" i="80"/>
  <c r="M188" i="80" s="1"/>
  <c r="BU188" i="80" l="1"/>
  <c r="BT188" i="80"/>
  <c r="O188" i="80"/>
  <c r="P188" i="80" l="1"/>
  <c r="U188" i="80" s="1"/>
  <c r="S188" i="80"/>
  <c r="BY188" i="80"/>
  <c r="T188" i="80" l="1"/>
  <c r="V188" i="80" s="1"/>
  <c r="X188" i="80"/>
  <c r="Y188" i="80" l="1"/>
  <c r="AP188" i="80" s="1"/>
  <c r="AQ188" i="80" s="1"/>
  <c r="AC188" i="80"/>
  <c r="AD188" i="80" l="1"/>
  <c r="AE188" i="80" s="1"/>
  <c r="BX188" i="80"/>
  <c r="BE188" i="80"/>
  <c r="AO188" i="80"/>
  <c r="R188" i="80"/>
  <c r="BV189" i="80"/>
  <c r="AR188" i="80"/>
  <c r="AS188" i="80"/>
  <c r="AF188" i="80" l="1"/>
  <c r="AH188" i="80" s="1"/>
  <c r="AI188" i="80" s="1"/>
  <c r="AJ188" i="80" s="1"/>
  <c r="AG188" i="80" l="1"/>
  <c r="AX188" i="80" s="1"/>
  <c r="AT188" i="80" l="1"/>
  <c r="BD188" i="80"/>
  <c r="AK188" i="80"/>
  <c r="AL188" i="80" s="1"/>
  <c r="AM188" i="80" s="1"/>
  <c r="AV188" i="80" l="1"/>
  <c r="AN188" i="80"/>
  <c r="BW189" i="80"/>
  <c r="AW188" i="80"/>
  <c r="AY188" i="80" l="1"/>
  <c r="BA188" i="80" s="1"/>
  <c r="BB188" i="80" s="1"/>
  <c r="BF188" i="80"/>
  <c r="AZ188" i="80" l="1"/>
  <c r="BG188" i="80"/>
  <c r="BH188" i="80" s="1"/>
  <c r="BI188" i="80" l="1"/>
  <c r="BN188" i="80" l="1"/>
  <c r="Q188" i="80" s="1"/>
  <c r="BJ188" i="80"/>
  <c r="BK188" i="80" s="1"/>
  <c r="BL188" i="80" s="1"/>
  <c r="BQ188" i="80" l="1"/>
  <c r="BO188" i="80"/>
  <c r="BR188" i="80" l="1"/>
  <c r="BS188" i="80" s="1"/>
  <c r="BP188" i="80"/>
  <c r="L188" i="80"/>
  <c r="N189" i="80" s="1"/>
  <c r="K188" i="80"/>
  <c r="M189" i="80" s="1"/>
  <c r="BU189" i="80" l="1"/>
  <c r="BT189" i="80"/>
  <c r="O189" i="80"/>
  <c r="P189" i="80" l="1"/>
  <c r="U189" i="80" s="1"/>
  <c r="BY189" i="80"/>
  <c r="S189" i="80"/>
  <c r="T189" i="80" l="1"/>
  <c r="V189" i="80" s="1"/>
  <c r="X189" i="80"/>
  <c r="Y189" i="80" l="1"/>
  <c r="BX189" i="80" s="1"/>
  <c r="AC189" i="80"/>
  <c r="BE189" i="80" l="1"/>
  <c r="R189" i="80"/>
  <c r="BV190" i="80"/>
  <c r="AP189" i="80"/>
  <c r="AQ189" i="80" s="1"/>
  <c r="AR189" i="80" s="1"/>
  <c r="AO189" i="80"/>
  <c r="AD189" i="80"/>
  <c r="AF189" i="80" s="1"/>
  <c r="AS189" i="80" l="1"/>
  <c r="AE189" i="80"/>
  <c r="AG189" i="80"/>
  <c r="AH189" i="80"/>
  <c r="AI189" i="80" s="1"/>
  <c r="AJ189" i="80" s="1"/>
  <c r="AX189" i="80" l="1"/>
  <c r="AK189" i="80"/>
  <c r="AL189" i="80" s="1"/>
  <c r="BD189" i="80"/>
  <c r="AT189" i="80"/>
  <c r="AM189" i="80" l="1"/>
  <c r="AV189" i="80" s="1"/>
  <c r="BW190" i="80"/>
  <c r="AN189" i="80"/>
  <c r="AW189" i="80"/>
  <c r="AY189" i="80" l="1"/>
  <c r="BA189" i="80" s="1"/>
  <c r="AZ189" i="80" l="1"/>
  <c r="BB189" i="80"/>
  <c r="BF189" i="80"/>
  <c r="BG189" i="80" l="1"/>
  <c r="BH189" i="80" s="1"/>
  <c r="BI189" i="80" l="1"/>
  <c r="BJ189" i="80" l="1"/>
  <c r="BK189" i="80" s="1"/>
  <c r="BL189" i="80" s="1"/>
  <c r="BN189" i="80"/>
  <c r="Q189" i="80" s="1"/>
  <c r="BQ189" i="80" l="1"/>
  <c r="BO189" i="80"/>
  <c r="L189" i="80" l="1"/>
  <c r="N190" i="80" s="1"/>
  <c r="K189" i="80"/>
  <c r="M190" i="80" s="1"/>
  <c r="BR189" i="80"/>
  <c r="BS189" i="80" s="1"/>
  <c r="BP189" i="80"/>
  <c r="BT190" i="80" l="1"/>
  <c r="O190" i="80"/>
  <c r="BU190" i="80"/>
  <c r="S190" i="80" l="1"/>
  <c r="BY190" i="80"/>
  <c r="P190" i="80"/>
  <c r="U190" i="80" s="1"/>
  <c r="T190" i="80" l="1"/>
  <c r="V190" i="80" s="1"/>
  <c r="X190" i="80"/>
  <c r="Y190" i="80" l="1"/>
  <c r="BX190" i="80" s="1"/>
  <c r="AC190" i="80"/>
  <c r="AP190" i="80" l="1"/>
  <c r="AQ190" i="80" s="1"/>
  <c r="AR190" i="80" s="1"/>
  <c r="AD190" i="80"/>
  <c r="AE190" i="80" s="1"/>
  <c r="AO190" i="80"/>
  <c r="R190" i="80"/>
  <c r="BV191" i="80"/>
  <c r="BE190" i="80"/>
  <c r="AF190" i="80" l="1"/>
  <c r="AG190" i="80" s="1"/>
  <c r="AS190" i="80"/>
  <c r="AH190" i="80" l="1"/>
  <c r="AI190" i="80" s="1"/>
  <c r="AJ190" i="80" s="1"/>
  <c r="BD190" i="80"/>
  <c r="AX190" i="80"/>
  <c r="AK190" i="80"/>
  <c r="AL190" i="80" s="1"/>
  <c r="AT190" i="80"/>
  <c r="AM190" i="80" l="1"/>
  <c r="AV190" i="80" s="1"/>
  <c r="BW191" i="80"/>
  <c r="AN190" i="80"/>
  <c r="AW190" i="80"/>
  <c r="AY190" i="80" l="1"/>
  <c r="BA190" i="80" s="1"/>
  <c r="AZ190" i="80" l="1"/>
  <c r="BB190" i="80"/>
  <c r="BF190" i="80"/>
  <c r="BG190" i="80" l="1"/>
  <c r="BH190" i="80" s="1"/>
  <c r="BI190" i="80" l="1"/>
  <c r="BN190" i="80" l="1"/>
  <c r="Q190" i="80" s="1"/>
  <c r="BJ190" i="80"/>
  <c r="BK190" i="80" s="1"/>
  <c r="BL190" i="80" s="1"/>
  <c r="BQ190" i="80" l="1"/>
  <c r="BO190" i="80"/>
  <c r="BR190" i="80" l="1"/>
  <c r="BS190" i="80" s="1"/>
  <c r="BP190" i="80"/>
  <c r="K190" i="80"/>
  <c r="M191" i="80" s="1"/>
  <c r="L190" i="80"/>
  <c r="N191" i="80" s="1"/>
  <c r="O191" i="80" l="1"/>
  <c r="BT191" i="80"/>
  <c r="BU191" i="80"/>
  <c r="S191" i="80" l="1"/>
  <c r="BY191" i="80"/>
  <c r="P191" i="80"/>
  <c r="U191" i="80" s="1"/>
  <c r="T191" i="80" l="1"/>
  <c r="V191" i="80" s="1"/>
  <c r="X191" i="80"/>
  <c r="Y191" i="80" l="1"/>
  <c r="AP191" i="80" s="1"/>
  <c r="AQ191" i="80" s="1"/>
  <c r="AC191" i="80"/>
  <c r="BX191" i="80" l="1"/>
  <c r="AD191" i="80"/>
  <c r="AF191" i="80" s="1"/>
  <c r="AO191" i="80"/>
  <c r="BE191" i="80"/>
  <c r="R191" i="80"/>
  <c r="BV192" i="80"/>
  <c r="AR191" i="80"/>
  <c r="AS191" i="80"/>
  <c r="AE191" i="80" l="1"/>
  <c r="AG191" i="80"/>
  <c r="AH191" i="80"/>
  <c r="AI191" i="80" s="1"/>
  <c r="AJ191" i="80" s="1"/>
  <c r="BD191" i="80" l="1"/>
  <c r="AX191" i="80"/>
  <c r="AK191" i="80"/>
  <c r="AL191" i="80" s="1"/>
  <c r="AT191" i="80"/>
  <c r="AM191" i="80" l="1"/>
  <c r="AV191" i="80" s="1"/>
  <c r="BW192" i="80"/>
  <c r="AN191" i="80"/>
  <c r="AW191" i="80"/>
  <c r="AY191" i="80" l="1"/>
  <c r="BA191" i="80" s="1"/>
  <c r="AZ191" i="80" l="1"/>
  <c r="BB191" i="80"/>
  <c r="BF191" i="80"/>
  <c r="BG191" i="80" l="1"/>
  <c r="BH191" i="80" s="1"/>
  <c r="BI191" i="80" l="1"/>
  <c r="BN191" i="80" l="1"/>
  <c r="Q191" i="80" s="1"/>
  <c r="BJ191" i="80"/>
  <c r="BK191" i="80" s="1"/>
  <c r="BL191" i="80" s="1"/>
  <c r="BQ191" i="80" l="1"/>
  <c r="BO191" i="80"/>
  <c r="BR191" i="80" l="1"/>
  <c r="BS191" i="80" s="1"/>
  <c r="BP191" i="80"/>
  <c r="K191" i="80"/>
  <c r="M192" i="80" s="1"/>
  <c r="L191" i="80"/>
  <c r="N192" i="80" s="1"/>
  <c r="BU192" i="80" l="1"/>
  <c r="O192" i="80"/>
  <c r="BT192" i="80"/>
  <c r="S192" i="80" l="1"/>
  <c r="BY192" i="80"/>
  <c r="P192" i="80"/>
  <c r="U192" i="80" s="1"/>
  <c r="X192" i="80" l="1"/>
  <c r="T192" i="80"/>
  <c r="V192" i="80" s="1"/>
  <c r="Y192" i="80" s="1"/>
  <c r="BX192" i="80" l="1"/>
  <c r="AP192" i="80"/>
  <c r="AQ192" i="80" s="1"/>
  <c r="AD192" i="80"/>
  <c r="AC192" i="80"/>
  <c r="BE192" i="80" l="1"/>
  <c r="AO192" i="80"/>
  <c r="BV193" i="80"/>
  <c r="R192" i="80"/>
  <c r="AF192" i="80"/>
  <c r="AE192" i="80"/>
  <c r="AS192" i="80"/>
  <c r="AR192" i="80"/>
  <c r="AG192" i="80" l="1"/>
  <c r="AH192" i="80"/>
  <c r="AI192" i="80" s="1"/>
  <c r="AJ192" i="80" s="1"/>
  <c r="AK192" i="80" l="1"/>
  <c r="AL192" i="80" s="1"/>
  <c r="BD192" i="80"/>
  <c r="AX192" i="80"/>
  <c r="AT192" i="80"/>
  <c r="AM192" i="80" l="1"/>
  <c r="AV192" i="80" s="1"/>
  <c r="BW193" i="80"/>
  <c r="AN192" i="80"/>
  <c r="AW192" i="80"/>
  <c r="AY192" i="80" l="1"/>
  <c r="BA192" i="80" s="1"/>
  <c r="AZ192" i="80" l="1"/>
  <c r="BB192" i="80"/>
  <c r="BF192" i="80"/>
  <c r="BG192" i="80" l="1"/>
  <c r="BH192" i="80" s="1"/>
  <c r="BI192" i="80" l="1"/>
  <c r="BJ192" i="80" l="1"/>
  <c r="BK192" i="80" s="1"/>
  <c r="BL192" i="80" s="1"/>
  <c r="BN192" i="80"/>
  <c r="Q192" i="80" s="1"/>
  <c r="BQ192" i="80" l="1"/>
  <c r="BO192" i="80"/>
  <c r="BR192" i="80" l="1"/>
  <c r="BS192" i="80" s="1"/>
  <c r="BP192" i="80"/>
  <c r="L192" i="80"/>
  <c r="N193" i="80" s="1"/>
  <c r="BU193" i="80" s="1"/>
  <c r="K192" i="80"/>
  <c r="M193" i="80" s="1"/>
  <c r="BT193" i="80" l="1"/>
  <c r="O193" i="80"/>
  <c r="P193" i="80" l="1"/>
  <c r="U193" i="80" s="1"/>
  <c r="S193" i="80"/>
  <c r="BY193" i="80"/>
  <c r="T193" i="80" l="1"/>
  <c r="V193" i="80" s="1"/>
  <c r="X193" i="80"/>
  <c r="Y193" i="80" l="1"/>
  <c r="AD193" i="80" s="1"/>
  <c r="AC193" i="80" l="1"/>
  <c r="BX193" i="80"/>
  <c r="AP193" i="80"/>
  <c r="AQ193" i="80" s="1"/>
  <c r="AS193" i="80" s="1"/>
  <c r="BE193" i="80"/>
  <c r="R193" i="80"/>
  <c r="AO193" i="80"/>
  <c r="BV194" i="80"/>
  <c r="AE193" i="80"/>
  <c r="AF193" i="80"/>
  <c r="AR193" i="80" l="1"/>
  <c r="AG193" i="80"/>
  <c r="AH193" i="80"/>
  <c r="AI193" i="80" s="1"/>
  <c r="AJ193" i="80" s="1"/>
  <c r="BD193" i="80" l="1"/>
  <c r="AK193" i="80"/>
  <c r="AL193" i="80" s="1"/>
  <c r="AX193" i="80"/>
  <c r="AT193" i="80"/>
  <c r="AM193" i="80" l="1"/>
  <c r="AV193" i="80" s="1"/>
  <c r="AN193" i="80"/>
  <c r="BW194" i="80"/>
  <c r="AW193" i="80"/>
  <c r="AY193" i="80" l="1"/>
  <c r="BA193" i="80" s="1"/>
  <c r="AZ193" i="80" l="1"/>
  <c r="BB193" i="80"/>
  <c r="BF193" i="80"/>
  <c r="BG193" i="80" l="1"/>
  <c r="BH193" i="80" s="1"/>
  <c r="BI193" i="80" l="1"/>
  <c r="BJ193" i="80" l="1"/>
  <c r="BK193" i="80" s="1"/>
  <c r="BL193" i="80" s="1"/>
  <c r="BN193" i="80"/>
  <c r="Q193" i="80" s="1"/>
  <c r="BQ193" i="80" l="1"/>
  <c r="BO193" i="80"/>
  <c r="BR193" i="80" l="1"/>
  <c r="BS193" i="80" s="1"/>
  <c r="BP193" i="80"/>
  <c r="L193" i="80"/>
  <c r="N194" i="80" s="1"/>
  <c r="BU194" i="80" s="1"/>
  <c r="K193" i="80"/>
  <c r="M194" i="80" s="1"/>
  <c r="O194" i="80" l="1"/>
  <c r="BT194" i="80"/>
  <c r="P194" i="80" l="1"/>
  <c r="U194" i="80" s="1"/>
  <c r="BY194" i="80"/>
  <c r="S194" i="80"/>
  <c r="T194" i="80" l="1"/>
  <c r="V194" i="80" s="1"/>
  <c r="X194" i="80"/>
  <c r="Y194" i="80" l="1"/>
  <c r="BX194" i="80" s="1"/>
  <c r="AC194" i="80"/>
  <c r="AD194" i="80" l="1"/>
  <c r="AF194" i="80" s="1"/>
  <c r="AP194" i="80"/>
  <c r="AQ194" i="80" s="1"/>
  <c r="AR194" i="80" s="1"/>
  <c r="BE194" i="80"/>
  <c r="R194" i="80"/>
  <c r="BV195" i="80"/>
  <c r="AO194" i="80"/>
  <c r="AE194" i="80" l="1"/>
  <c r="AS194" i="80"/>
  <c r="AG194" i="80"/>
  <c r="AH194" i="80"/>
  <c r="AI194" i="80" s="1"/>
  <c r="AJ194" i="80" s="1"/>
  <c r="BD194" i="80" l="1"/>
  <c r="AX194" i="80"/>
  <c r="AK194" i="80"/>
  <c r="AL194" i="80" s="1"/>
  <c r="AT194" i="80"/>
  <c r="AM194" i="80" l="1"/>
  <c r="AV194" i="80" s="1"/>
  <c r="AN194" i="80"/>
  <c r="BW195" i="80"/>
  <c r="AW194" i="80"/>
  <c r="AY194" i="80" l="1"/>
  <c r="BA194" i="80" s="1"/>
  <c r="AZ194" i="80" l="1"/>
  <c r="BB194" i="80"/>
  <c r="BF194" i="80"/>
  <c r="BG194" i="80" l="1"/>
  <c r="BH194" i="80" s="1"/>
  <c r="BI194" i="80" l="1"/>
  <c r="BN194" i="80" l="1"/>
  <c r="Q194" i="80" s="1"/>
  <c r="BJ194" i="80"/>
  <c r="BK194" i="80" s="1"/>
  <c r="BL194" i="80" s="1"/>
  <c r="BQ194" i="80" l="1"/>
  <c r="BO194" i="80"/>
  <c r="BR194" i="80" l="1"/>
  <c r="BS194" i="80" s="1"/>
  <c r="BP194" i="80"/>
  <c r="L194" i="80"/>
  <c r="N195" i="80" s="1"/>
  <c r="K194" i="80"/>
  <c r="M195" i="80" s="1"/>
  <c r="BU195" i="80" l="1"/>
  <c r="O195" i="80"/>
  <c r="BT195" i="80"/>
  <c r="BY195" i="80" l="1"/>
  <c r="S195" i="80"/>
  <c r="P195" i="80"/>
  <c r="U195" i="80" s="1"/>
  <c r="T195" i="80" l="1"/>
  <c r="V195" i="80" s="1"/>
  <c r="X195" i="80"/>
  <c r="Y195" i="80" l="1"/>
  <c r="AD195" i="80" s="1"/>
  <c r="AC195" i="80"/>
  <c r="R195" i="80" l="1"/>
  <c r="BV196" i="80"/>
  <c r="BE195" i="80"/>
  <c r="BX195" i="80"/>
  <c r="AO195" i="80"/>
  <c r="AP195" i="80"/>
  <c r="AQ195" i="80" s="1"/>
  <c r="AR195" i="80" s="1"/>
  <c r="AF195" i="80"/>
  <c r="AE195" i="80"/>
  <c r="AS195" i="80" l="1"/>
  <c r="AH195" i="80"/>
  <c r="AI195" i="80" s="1"/>
  <c r="AJ195" i="80" s="1"/>
  <c r="AG195" i="80"/>
  <c r="AX195" i="80" l="1"/>
  <c r="AK195" i="80"/>
  <c r="AL195" i="80" s="1"/>
  <c r="BD195" i="80"/>
  <c r="AT195" i="80"/>
  <c r="AM195" i="80" l="1"/>
  <c r="AV195" i="80" s="1"/>
  <c r="AN195" i="80"/>
  <c r="BW196" i="80"/>
  <c r="AW195" i="80"/>
  <c r="AY195" i="80" l="1"/>
  <c r="BA195" i="80" s="1"/>
  <c r="AZ195" i="80" l="1"/>
  <c r="BB195" i="80"/>
  <c r="BF195" i="80"/>
  <c r="BG195" i="80" l="1"/>
  <c r="BH195" i="80" s="1"/>
  <c r="BI195" i="80" l="1"/>
  <c r="BJ195" i="80" l="1"/>
  <c r="BK195" i="80" s="1"/>
  <c r="BL195" i="80" s="1"/>
  <c r="BN195" i="80"/>
  <c r="Q195" i="80" s="1"/>
  <c r="BQ195" i="80" l="1"/>
  <c r="BO195" i="80"/>
  <c r="L195" i="80" l="1"/>
  <c r="N196" i="80" s="1"/>
  <c r="K195" i="80"/>
  <c r="M196" i="80" s="1"/>
  <c r="BR195" i="80"/>
  <c r="BS195" i="80" s="1"/>
  <c r="BP195" i="80"/>
  <c r="BT196" i="80" l="1"/>
  <c r="O196" i="80"/>
  <c r="BU196" i="80"/>
  <c r="S196" i="80" l="1"/>
  <c r="P196" i="80"/>
  <c r="U196" i="80" s="1"/>
  <c r="BY196" i="80"/>
  <c r="T196" i="80" l="1"/>
  <c r="V196" i="80" s="1"/>
  <c r="Y196" i="80" s="1"/>
  <c r="X196" i="80"/>
  <c r="BX196" i="80" l="1"/>
  <c r="AP196" i="80"/>
  <c r="AQ196" i="80" s="1"/>
  <c r="AD196" i="80"/>
  <c r="AC196" i="80"/>
  <c r="R196" i="80" l="1"/>
  <c r="AO196" i="80"/>
  <c r="BE196" i="80"/>
  <c r="BV197" i="80"/>
  <c r="AE196" i="80"/>
  <c r="AF196" i="80"/>
  <c r="AR196" i="80"/>
  <c r="AS196" i="80"/>
  <c r="AG196" i="80" l="1"/>
  <c r="AH196" i="80"/>
  <c r="AI196" i="80" s="1"/>
  <c r="AJ196" i="80" s="1"/>
  <c r="BD196" i="80" l="1"/>
  <c r="AK196" i="80"/>
  <c r="AL196" i="80" s="1"/>
  <c r="AX196" i="80"/>
  <c r="AT196" i="80"/>
  <c r="AM196" i="80" l="1"/>
  <c r="AV196" i="80" s="1"/>
  <c r="AN196" i="80"/>
  <c r="BW197" i="80"/>
  <c r="AW196" i="80"/>
  <c r="AY196" i="80" l="1"/>
  <c r="BA196" i="80" s="1"/>
  <c r="AZ196" i="80" l="1"/>
  <c r="BB196" i="80"/>
  <c r="BF196" i="80"/>
  <c r="BG196" i="80" l="1"/>
  <c r="BH196" i="80" s="1"/>
  <c r="BI196" i="80" l="1"/>
  <c r="BN196" i="80" l="1"/>
  <c r="Q196" i="80" s="1"/>
  <c r="BJ196" i="80"/>
  <c r="BK196" i="80" s="1"/>
  <c r="BL196" i="80" s="1"/>
  <c r="BQ196" i="80" l="1"/>
  <c r="BO196" i="80"/>
  <c r="BR196" i="80" l="1"/>
  <c r="BS196" i="80" s="1"/>
  <c r="BP196" i="80"/>
  <c r="K196" i="80"/>
  <c r="M197" i="80" s="1"/>
  <c r="L196" i="80"/>
  <c r="N197" i="80" s="1"/>
  <c r="O197" i="80" l="1"/>
  <c r="BT197" i="80"/>
  <c r="BU197" i="80"/>
  <c r="S197" i="80" l="1"/>
  <c r="P197" i="80"/>
  <c r="U197" i="80" s="1"/>
  <c r="BY197" i="80"/>
  <c r="T197" i="80" l="1"/>
  <c r="V197" i="80" s="1"/>
  <c r="X197" i="80"/>
  <c r="Y197" i="80" l="1"/>
  <c r="AC197" i="80"/>
  <c r="R197" i="80" l="1"/>
  <c r="BE197" i="80"/>
  <c r="BV198" i="80"/>
  <c r="AO197" i="80"/>
  <c r="AP197" i="80"/>
  <c r="AQ197" i="80" s="1"/>
  <c r="AR197" i="80" s="1"/>
  <c r="AD197" i="80"/>
  <c r="AE197" i="80" s="1"/>
  <c r="BX197" i="80"/>
  <c r="AF197" i="80" l="1"/>
  <c r="AG197" i="80" s="1"/>
  <c r="AS197" i="80"/>
  <c r="AH197" i="80" l="1"/>
  <c r="AI197" i="80" s="1"/>
  <c r="AJ197" i="80" s="1"/>
  <c r="BD197" i="80"/>
  <c r="AK197" i="80"/>
  <c r="AL197" i="80" s="1"/>
  <c r="AX197" i="80"/>
  <c r="AT197" i="80"/>
  <c r="AM197" i="80" l="1"/>
  <c r="AV197" i="80" s="1"/>
  <c r="AN197" i="80"/>
  <c r="BW198" i="80"/>
  <c r="AW197" i="80"/>
  <c r="AY197" i="80" l="1"/>
  <c r="BA197" i="80" s="1"/>
  <c r="AZ197" i="80" l="1"/>
  <c r="BB197" i="80"/>
  <c r="BF197" i="80"/>
  <c r="BG197" i="80" l="1"/>
  <c r="BH197" i="80" s="1"/>
  <c r="BI197" i="80" l="1"/>
  <c r="BN197" i="80" l="1"/>
  <c r="Q197" i="80" s="1"/>
  <c r="BJ197" i="80"/>
  <c r="BK197" i="80" s="1"/>
  <c r="BL197" i="80" s="1"/>
  <c r="BQ197" i="80" l="1"/>
  <c r="BO197" i="80"/>
  <c r="BR197" i="80" l="1"/>
  <c r="BS197" i="80" s="1"/>
  <c r="BP197" i="80"/>
  <c r="K197" i="80"/>
  <c r="M198" i="80" s="1"/>
  <c r="L197" i="80"/>
  <c r="N198" i="80" s="1"/>
  <c r="BU198" i="80" l="1"/>
  <c r="BT198" i="80"/>
  <c r="O198" i="80"/>
  <c r="S198" i="80" l="1"/>
  <c r="BY198" i="80"/>
  <c r="P198" i="80"/>
  <c r="U198" i="80" s="1"/>
  <c r="T198" i="80" l="1"/>
  <c r="V198" i="80" s="1"/>
  <c r="X198" i="80"/>
  <c r="Y198" i="80" l="1"/>
  <c r="AD198" i="80" s="1"/>
  <c r="AC198" i="80"/>
  <c r="AP198" i="80" l="1"/>
  <c r="AQ198" i="80" s="1"/>
  <c r="AS198" i="80" s="1"/>
  <c r="BX198" i="80"/>
  <c r="R198" i="80"/>
  <c r="BV199" i="80"/>
  <c r="BE198" i="80"/>
  <c r="AO198" i="80"/>
  <c r="AE198" i="80"/>
  <c r="AF198" i="80"/>
  <c r="AR198" i="80" l="1"/>
  <c r="AG198" i="80"/>
  <c r="AH198" i="80"/>
  <c r="AI198" i="80" s="1"/>
  <c r="AJ198" i="80" s="1"/>
  <c r="BD198" i="80" l="1"/>
  <c r="AX198" i="80"/>
  <c r="AK198" i="80"/>
  <c r="AL198" i="80" s="1"/>
  <c r="AT198" i="80"/>
  <c r="AM198" i="80" l="1"/>
  <c r="AV198" i="80" s="1"/>
  <c r="BW199" i="80"/>
  <c r="AN198" i="80"/>
  <c r="AW198" i="80"/>
  <c r="AY198" i="80" l="1"/>
  <c r="BA198" i="80" s="1"/>
  <c r="AZ198" i="80" l="1"/>
  <c r="BB198" i="80"/>
  <c r="BF198" i="80"/>
  <c r="BG198" i="80" l="1"/>
  <c r="BH198" i="80" s="1"/>
  <c r="BI198" i="80" l="1"/>
  <c r="BN198" i="80" l="1"/>
  <c r="Q198" i="80" s="1"/>
  <c r="BJ198" i="80"/>
  <c r="BK198" i="80" s="1"/>
  <c r="BL198" i="80" s="1"/>
  <c r="BQ198" i="80" l="1"/>
  <c r="BO198" i="80"/>
  <c r="BR198" i="80" l="1"/>
  <c r="BS198" i="80" s="1"/>
  <c r="BP198" i="80"/>
  <c r="L198" i="80"/>
  <c r="N199" i="80" s="1"/>
  <c r="K198" i="80"/>
  <c r="M199" i="80" s="1"/>
  <c r="O199" i="80" l="1"/>
  <c r="BT199" i="80"/>
  <c r="BU199" i="80"/>
  <c r="BY199" i="80" l="1"/>
  <c r="S199" i="80"/>
  <c r="P199" i="80"/>
  <c r="U199" i="80" s="1"/>
  <c r="T199" i="80" l="1"/>
  <c r="V199" i="80" s="1"/>
  <c r="X199" i="80"/>
  <c r="Y199" i="80" l="1"/>
  <c r="BX199" i="80" s="1"/>
  <c r="AD199" i="80" l="1"/>
  <c r="AE199" i="80" s="1"/>
  <c r="AP199" i="80"/>
  <c r="AQ199" i="80" s="1"/>
  <c r="AC199" i="80"/>
  <c r="BE199" i="80" l="1"/>
  <c r="BV200" i="80"/>
  <c r="AR199" i="80"/>
  <c r="AO199" i="80"/>
  <c r="R199" i="80"/>
  <c r="AF199" i="80"/>
  <c r="AH199" i="80" s="1"/>
  <c r="AI199" i="80" s="1"/>
  <c r="AJ199" i="80" s="1"/>
  <c r="AS199" i="80"/>
  <c r="AG199" i="80" l="1"/>
  <c r="BD199" i="80" s="1"/>
  <c r="AT199" i="80" l="1"/>
  <c r="AX199" i="80"/>
  <c r="AK199" i="80"/>
  <c r="AL199" i="80" s="1"/>
  <c r="AM199" i="80" s="1"/>
  <c r="AV199" i="80" s="1"/>
  <c r="AW199" i="80"/>
  <c r="AN199" i="80" l="1"/>
  <c r="BW200" i="80"/>
  <c r="AY199" i="80"/>
  <c r="BA199" i="80" s="1"/>
  <c r="AZ199" i="80" l="1"/>
  <c r="BB199" i="80"/>
  <c r="BF199" i="80"/>
  <c r="BG199" i="80" l="1"/>
  <c r="BH199" i="80" s="1"/>
  <c r="BI199" i="80" l="1"/>
  <c r="BN199" i="80" l="1"/>
  <c r="Q199" i="80" s="1"/>
  <c r="BJ199" i="80"/>
  <c r="BK199" i="80" s="1"/>
  <c r="BL199" i="80" s="1"/>
  <c r="BQ199" i="80" l="1"/>
  <c r="BO199" i="80"/>
  <c r="BR199" i="80" l="1"/>
  <c r="BS199" i="80" s="1"/>
  <c r="BP199" i="80"/>
  <c r="K199" i="80"/>
  <c r="M200" i="80" s="1"/>
  <c r="L199" i="80"/>
  <c r="N200" i="80" s="1"/>
  <c r="BU200" i="80" l="1"/>
  <c r="BT200" i="80"/>
  <c r="O200" i="80"/>
  <c r="P200" i="80" l="1"/>
  <c r="U200" i="80" s="1"/>
  <c r="BY200" i="80"/>
  <c r="S200" i="80"/>
  <c r="T200" i="80" l="1"/>
  <c r="V200" i="80" s="1"/>
  <c r="Y200" i="80" s="1"/>
  <c r="X200" i="80"/>
  <c r="BX200" i="80" l="1"/>
  <c r="AP200" i="80"/>
  <c r="AQ200" i="80" s="1"/>
  <c r="AD200" i="80"/>
  <c r="AC200" i="80"/>
  <c r="R200" i="80" l="1"/>
  <c r="AO200" i="80"/>
  <c r="BV201" i="80"/>
  <c r="BE200" i="80"/>
  <c r="AR200" i="80"/>
  <c r="AS200" i="80"/>
  <c r="AF200" i="80"/>
  <c r="AE200" i="80"/>
  <c r="AG200" i="80" l="1"/>
  <c r="AH200" i="80"/>
  <c r="AI200" i="80" s="1"/>
  <c r="AJ200" i="80" s="1"/>
  <c r="AX200" i="80" l="1"/>
  <c r="BD200" i="80"/>
  <c r="AK200" i="80"/>
  <c r="AL200" i="80" s="1"/>
  <c r="AT200" i="80"/>
  <c r="AM200" i="80" l="1"/>
  <c r="AV200" i="80" s="1"/>
  <c r="BW201" i="80"/>
  <c r="AN200" i="80"/>
  <c r="AW200" i="80"/>
  <c r="AY200" i="80" l="1"/>
  <c r="BA200" i="80" s="1"/>
  <c r="AZ200" i="80" l="1"/>
  <c r="BB200" i="80"/>
  <c r="BF200" i="80"/>
  <c r="BG200" i="80" l="1"/>
  <c r="BH200" i="80" s="1"/>
  <c r="BI200" i="80" l="1"/>
  <c r="BN200" i="80" l="1"/>
  <c r="Q200" i="80" s="1"/>
  <c r="BJ200" i="80"/>
  <c r="BK200" i="80" s="1"/>
  <c r="BL200" i="80" s="1"/>
  <c r="BQ200" i="80" l="1"/>
  <c r="BO200" i="80"/>
  <c r="BR200" i="80" l="1"/>
  <c r="BS200" i="80" s="1"/>
  <c r="BP200" i="80"/>
  <c r="K200" i="80"/>
  <c r="M201" i="80" s="1"/>
  <c r="L200" i="80"/>
  <c r="N201" i="80" s="1"/>
  <c r="BT201" i="80" l="1"/>
  <c r="O201" i="80"/>
  <c r="BU201" i="80"/>
  <c r="S201" i="80" l="1"/>
  <c r="P201" i="80"/>
  <c r="U201" i="80" s="1"/>
  <c r="BY201" i="80"/>
  <c r="T201" i="80" l="1"/>
  <c r="V201" i="80" s="1"/>
  <c r="X201" i="80"/>
  <c r="Y201" i="80" l="1"/>
  <c r="AP201" i="80" s="1"/>
  <c r="AQ201" i="80" s="1"/>
  <c r="AC201" i="80"/>
  <c r="BX201" i="80" l="1"/>
  <c r="R201" i="80"/>
  <c r="BE201" i="80"/>
  <c r="AO201" i="80"/>
  <c r="BV202" i="80"/>
  <c r="AD201" i="80"/>
  <c r="AE201" i="80" s="1"/>
  <c r="AR201" i="80"/>
  <c r="AS201" i="80"/>
  <c r="AF201" i="80" l="1"/>
  <c r="AH201" i="80" s="1"/>
  <c r="AI201" i="80" s="1"/>
  <c r="AJ201" i="80" s="1"/>
  <c r="AG201" i="80" l="1"/>
  <c r="AX201" i="80" s="1"/>
  <c r="AT201" i="80" l="1"/>
  <c r="AK201" i="80"/>
  <c r="AL201" i="80" s="1"/>
  <c r="AM201" i="80" s="1"/>
  <c r="BD201" i="80"/>
  <c r="AV201" i="80" l="1"/>
  <c r="AN201" i="80"/>
  <c r="BW202" i="80"/>
  <c r="AW201" i="80"/>
  <c r="AY201" i="80" l="1"/>
  <c r="BA201" i="80" s="1"/>
  <c r="BB201" i="80" s="1"/>
  <c r="BF201" i="80"/>
  <c r="AZ201" i="80" l="1"/>
  <c r="BG201" i="80"/>
  <c r="BH201" i="80" s="1"/>
  <c r="BI201" i="80" l="1"/>
  <c r="BN201" i="80" l="1"/>
  <c r="Q201" i="80" s="1"/>
  <c r="BJ201" i="80"/>
  <c r="BK201" i="80" s="1"/>
  <c r="BL201" i="80" s="1"/>
  <c r="BQ201" i="80" l="1"/>
  <c r="BO201" i="80"/>
  <c r="BR201" i="80" l="1"/>
  <c r="BS201" i="80" s="1"/>
  <c r="BP201" i="80"/>
  <c r="K201" i="80"/>
  <c r="M202" i="80" s="1"/>
  <c r="L201" i="80"/>
  <c r="N202" i="80" s="1"/>
  <c r="BU202" i="80" l="1"/>
  <c r="BT202" i="80"/>
  <c r="O202" i="80"/>
  <c r="S202" i="80" l="1"/>
  <c r="BY202" i="80"/>
  <c r="P202" i="80"/>
  <c r="U202" i="80" s="1"/>
  <c r="T202" i="80" l="1"/>
  <c r="V202" i="80" s="1"/>
  <c r="X202" i="80"/>
  <c r="Y202" i="80" l="1"/>
  <c r="AP202" i="80" s="1"/>
  <c r="AQ202" i="80" s="1"/>
  <c r="AC202" i="80"/>
  <c r="AD202" i="80" l="1"/>
  <c r="AE202" i="80" s="1"/>
  <c r="BE202" i="80"/>
  <c r="BV203" i="80"/>
  <c r="R202" i="80"/>
  <c r="BX202" i="80"/>
  <c r="AO202" i="80"/>
  <c r="AR202" i="80"/>
  <c r="AS202" i="80"/>
  <c r="AF202" i="80" l="1"/>
  <c r="AG202" i="80" s="1"/>
  <c r="AH202" i="80" l="1"/>
  <c r="AI202" i="80" s="1"/>
  <c r="AJ202" i="80" s="1"/>
  <c r="AK202" i="80"/>
  <c r="AL202" i="80" s="1"/>
  <c r="BD202" i="80"/>
  <c r="AX202" i="80"/>
  <c r="AT202" i="80"/>
  <c r="AM202" i="80" l="1"/>
  <c r="AV202" i="80" s="1"/>
  <c r="AN202" i="80"/>
  <c r="BW203" i="80"/>
  <c r="AW202" i="80"/>
  <c r="AY202" i="80" l="1"/>
  <c r="BA202" i="80" s="1"/>
  <c r="AZ202" i="80" l="1"/>
  <c r="BB202" i="80"/>
  <c r="BF202" i="80"/>
  <c r="BG202" i="80" l="1"/>
  <c r="BH202" i="80" s="1"/>
  <c r="BI202" i="80" l="1"/>
  <c r="BN202" i="80" l="1"/>
  <c r="Q202" i="80" s="1"/>
  <c r="BJ202" i="80"/>
  <c r="BK202" i="80" s="1"/>
  <c r="BL202" i="80" s="1"/>
  <c r="BQ202" i="80" l="1"/>
  <c r="BO202" i="80"/>
  <c r="BR202" i="80" l="1"/>
  <c r="BS202" i="80" s="1"/>
  <c r="BP202" i="80"/>
  <c r="L202" i="80"/>
  <c r="N203" i="80" s="1"/>
  <c r="BU203" i="80" s="1"/>
  <c r="K202" i="80"/>
  <c r="M203" i="80" s="1"/>
  <c r="BT203" i="80" l="1"/>
  <c r="O203" i="80"/>
  <c r="P203" i="80" l="1"/>
  <c r="U203" i="80" s="1"/>
  <c r="BY203" i="80"/>
  <c r="S203" i="80"/>
  <c r="T203" i="80" l="1"/>
  <c r="V203" i="80" s="1"/>
  <c r="X203" i="80"/>
  <c r="Y203" i="80" l="1"/>
  <c r="AP203" i="80" s="1"/>
  <c r="AQ203" i="80" s="1"/>
  <c r="AC203" i="80"/>
  <c r="AD203" i="80" l="1"/>
  <c r="AE203" i="80" s="1"/>
  <c r="BE203" i="80"/>
  <c r="BV204" i="80"/>
  <c r="AO203" i="80"/>
  <c r="R203" i="80"/>
  <c r="BX203" i="80"/>
  <c r="AR203" i="80"/>
  <c r="AS203" i="80"/>
  <c r="AF203" i="80" l="1"/>
  <c r="AG203" i="80" s="1"/>
  <c r="AH203" i="80" l="1"/>
  <c r="AI203" i="80" s="1"/>
  <c r="AJ203" i="80" s="1"/>
  <c r="AX203" i="80"/>
  <c r="AK203" i="80"/>
  <c r="AL203" i="80" s="1"/>
  <c r="BD203" i="80"/>
  <c r="AT203" i="80"/>
  <c r="AM203" i="80" l="1"/>
  <c r="AV203" i="80" s="1"/>
  <c r="AN203" i="80"/>
  <c r="BW204" i="80"/>
  <c r="AW203" i="80"/>
  <c r="AY203" i="80" l="1"/>
  <c r="BA203" i="80" s="1"/>
  <c r="AZ203" i="80" l="1"/>
  <c r="BB203" i="80"/>
  <c r="BF203" i="80"/>
  <c r="BG203" i="80" l="1"/>
  <c r="BH203" i="80" s="1"/>
  <c r="BI203" i="80" l="1"/>
  <c r="BN203" i="80" l="1"/>
  <c r="Q203" i="80" s="1"/>
  <c r="BJ203" i="80"/>
  <c r="BK203" i="80" s="1"/>
  <c r="BL203" i="80" s="1"/>
  <c r="BQ203" i="80" l="1"/>
  <c r="BO203" i="80"/>
  <c r="BR203" i="80" l="1"/>
  <c r="BS203" i="80" s="1"/>
  <c r="BP203" i="80"/>
  <c r="L203" i="80"/>
  <c r="N204" i="80" s="1"/>
  <c r="BU204" i="80" s="1"/>
  <c r="K203" i="80"/>
  <c r="M204" i="80" s="1"/>
  <c r="BT204" i="80" l="1"/>
  <c r="O204" i="80"/>
  <c r="P204" i="80" l="1"/>
  <c r="U204" i="80" s="1"/>
  <c r="BY204" i="80"/>
  <c r="S204" i="80"/>
  <c r="T204" i="80" l="1"/>
  <c r="V204" i="80" s="1"/>
  <c r="X204" i="80"/>
  <c r="Y204" i="80" l="1"/>
  <c r="AD204" i="80" s="1"/>
  <c r="AC204" i="80"/>
  <c r="R204" i="80" l="1"/>
  <c r="BE204" i="80"/>
  <c r="BV205" i="80"/>
  <c r="AO204" i="80"/>
  <c r="BX204" i="80"/>
  <c r="AP204" i="80"/>
  <c r="AQ204" i="80" s="1"/>
  <c r="AS204" i="80" s="1"/>
  <c r="AE204" i="80"/>
  <c r="AF204" i="80"/>
  <c r="AR204" i="80" l="1"/>
  <c r="AG204" i="80"/>
  <c r="AH204" i="80"/>
  <c r="AI204" i="80" s="1"/>
  <c r="AJ204" i="80" s="1"/>
  <c r="BD204" i="80" l="1"/>
  <c r="AK204" i="80"/>
  <c r="AL204" i="80" s="1"/>
  <c r="AX204" i="80"/>
  <c r="AT204" i="80"/>
  <c r="AM204" i="80" l="1"/>
  <c r="AV204" i="80" s="1"/>
  <c r="BW205" i="80"/>
  <c r="AN204" i="80"/>
  <c r="AW204" i="80"/>
  <c r="AY204" i="80" l="1"/>
  <c r="BA204" i="80" s="1"/>
  <c r="AZ204" i="80" l="1"/>
  <c r="BB204" i="80"/>
  <c r="BF204" i="80"/>
  <c r="BG204" i="80" l="1"/>
  <c r="BH204" i="80" s="1"/>
  <c r="BI204" i="80" l="1"/>
  <c r="BN204" i="80" l="1"/>
  <c r="Q204" i="80" s="1"/>
  <c r="BJ204" i="80"/>
  <c r="BK204" i="80" s="1"/>
  <c r="BL204" i="80" s="1"/>
  <c r="BQ204" i="80" l="1"/>
  <c r="BO204" i="80"/>
  <c r="BR204" i="80" l="1"/>
  <c r="BS204" i="80" s="1"/>
  <c r="BP204" i="80"/>
  <c r="L204" i="80"/>
  <c r="N205" i="80" s="1"/>
  <c r="K204" i="80"/>
  <c r="M205" i="80" s="1"/>
  <c r="BT205" i="80" l="1"/>
  <c r="O205" i="80"/>
  <c r="BU205" i="80"/>
  <c r="S205" i="80" l="1"/>
  <c r="BY205" i="80"/>
  <c r="P205" i="80"/>
  <c r="U205" i="80" s="1"/>
  <c r="T205" i="80" l="1"/>
  <c r="V205" i="80" s="1"/>
  <c r="Y205" i="80" s="1"/>
  <c r="X205" i="80"/>
  <c r="AP205" i="80" l="1"/>
  <c r="AQ205" i="80" s="1"/>
  <c r="AD205" i="80"/>
  <c r="BX205" i="80"/>
  <c r="AC205" i="80"/>
  <c r="R205" i="80" l="1"/>
  <c r="AO205" i="80"/>
  <c r="BV206" i="80"/>
  <c r="BE205" i="80"/>
  <c r="AF205" i="80"/>
  <c r="AE205" i="80"/>
  <c r="AR205" i="80"/>
  <c r="AS205" i="80"/>
  <c r="AH205" i="80" l="1"/>
  <c r="AI205" i="80" s="1"/>
  <c r="AJ205" i="80" s="1"/>
  <c r="AG205" i="80"/>
  <c r="BD205" i="80" l="1"/>
  <c r="AK205" i="80"/>
  <c r="AL205" i="80" s="1"/>
  <c r="AX205" i="80"/>
  <c r="AT205" i="80"/>
  <c r="AM205" i="80" l="1"/>
  <c r="AV205" i="80" s="1"/>
  <c r="AN205" i="80"/>
  <c r="BW206" i="80"/>
  <c r="AW205" i="80"/>
  <c r="AY205" i="80" l="1"/>
  <c r="BA205" i="80" s="1"/>
  <c r="AZ205" i="80" l="1"/>
  <c r="BB205" i="80"/>
  <c r="BF205" i="80"/>
  <c r="BG205" i="80" l="1"/>
  <c r="BH205" i="80" s="1"/>
  <c r="BI205" i="80" l="1"/>
  <c r="BN205" i="80" l="1"/>
  <c r="Q205" i="80" s="1"/>
  <c r="BJ205" i="80"/>
  <c r="BK205" i="80" s="1"/>
  <c r="BL205" i="80" s="1"/>
  <c r="BQ205" i="80" l="1"/>
  <c r="BO205" i="80"/>
  <c r="BR205" i="80" l="1"/>
  <c r="BS205" i="80" s="1"/>
  <c r="BP205" i="80"/>
  <c r="K205" i="80"/>
  <c r="M206" i="80" s="1"/>
  <c r="L205" i="80"/>
  <c r="N206" i="80" s="1"/>
  <c r="BU206" i="80" l="1"/>
  <c r="BT206" i="80"/>
  <c r="O206" i="80"/>
  <c r="S206" i="80" l="1"/>
  <c r="P206" i="80"/>
  <c r="U206" i="80" s="1"/>
  <c r="BY206" i="80"/>
  <c r="T206" i="80" l="1"/>
  <c r="V206" i="80" s="1"/>
  <c r="Y206" i="80" s="1"/>
  <c r="X206" i="80"/>
  <c r="AD206" i="80" l="1"/>
  <c r="AP206" i="80"/>
  <c r="AQ206" i="80" s="1"/>
  <c r="BX206" i="80"/>
  <c r="AC206" i="80"/>
  <c r="R206" i="80" l="1"/>
  <c r="AO206" i="80"/>
  <c r="BV207" i="80"/>
  <c r="BE206" i="80"/>
  <c r="AR206" i="80"/>
  <c r="AS206" i="80"/>
  <c r="AE206" i="80"/>
  <c r="AF206" i="80"/>
  <c r="AG206" i="80" l="1"/>
  <c r="AH206" i="80"/>
  <c r="AI206" i="80" s="1"/>
  <c r="AJ206" i="80" s="1"/>
  <c r="AX206" i="80" l="1"/>
  <c r="AK206" i="80"/>
  <c r="AL206" i="80" s="1"/>
  <c r="BD206" i="80"/>
  <c r="AT206" i="80"/>
  <c r="AM206" i="80" l="1"/>
  <c r="AV206" i="80" s="1"/>
  <c r="AN206" i="80"/>
  <c r="BW207" i="80"/>
  <c r="AW206" i="80"/>
  <c r="AY206" i="80" l="1"/>
  <c r="BA206" i="80" s="1"/>
  <c r="AZ206" i="80" l="1"/>
  <c r="BB206" i="80"/>
  <c r="BF206" i="80"/>
  <c r="BG206" i="80" l="1"/>
  <c r="BH206" i="80" s="1"/>
  <c r="BI206" i="80" l="1"/>
  <c r="BN206" i="80" l="1"/>
  <c r="Q206" i="80" s="1"/>
  <c r="BJ206" i="80"/>
  <c r="BK206" i="80" s="1"/>
  <c r="BL206" i="80" s="1"/>
  <c r="BQ206" i="80" l="1"/>
  <c r="BO206" i="80"/>
  <c r="BR206" i="80" l="1"/>
  <c r="BS206" i="80" s="1"/>
  <c r="BP206" i="80"/>
  <c r="L206" i="80"/>
  <c r="N207" i="80" s="1"/>
  <c r="BU207" i="80" s="1"/>
  <c r="K206" i="80"/>
  <c r="M207" i="80" s="1"/>
  <c r="BT207" i="80" l="1"/>
  <c r="O207" i="80"/>
  <c r="S207" i="80" l="1"/>
  <c r="P207" i="80"/>
  <c r="U207" i="80" s="1"/>
  <c r="BY207" i="80"/>
  <c r="T207" i="80" l="1"/>
  <c r="V207" i="80" s="1"/>
  <c r="X207" i="80"/>
  <c r="Y207" i="80" l="1"/>
  <c r="BX207" i="80" s="1"/>
  <c r="AC207" i="80"/>
  <c r="BE207" i="80" l="1"/>
  <c r="BV208" i="80"/>
  <c r="R207" i="80"/>
  <c r="AD207" i="80"/>
  <c r="AF207" i="80" s="1"/>
  <c r="AO207" i="80"/>
  <c r="AP207" i="80"/>
  <c r="AQ207" i="80" s="1"/>
  <c r="AR207" i="80" s="1"/>
  <c r="AS207" i="80" l="1"/>
  <c r="AE207" i="80"/>
  <c r="AG207" i="80"/>
  <c r="AH207" i="80"/>
  <c r="AI207" i="80" s="1"/>
  <c r="AJ207" i="80" s="1"/>
  <c r="BD207" i="80" l="1"/>
  <c r="AX207" i="80"/>
  <c r="AK207" i="80"/>
  <c r="AL207" i="80" s="1"/>
  <c r="AT207" i="80"/>
  <c r="AM207" i="80" l="1"/>
  <c r="AV207" i="80" s="1"/>
  <c r="BW208" i="80"/>
  <c r="AN207" i="80"/>
  <c r="AW207" i="80"/>
  <c r="AY207" i="80" l="1"/>
  <c r="BA207" i="80" s="1"/>
  <c r="AZ207" i="80" l="1"/>
  <c r="BB207" i="80"/>
  <c r="BF207" i="80"/>
  <c r="BG207" i="80" l="1"/>
  <c r="BH207" i="80" s="1"/>
  <c r="BI207" i="80" l="1"/>
  <c r="BN207" i="80" l="1"/>
  <c r="Q207" i="80" s="1"/>
  <c r="BJ207" i="80"/>
  <c r="BK207" i="80" s="1"/>
  <c r="BL207" i="80" s="1"/>
  <c r="BQ207" i="80" l="1"/>
  <c r="BO207" i="80"/>
  <c r="BR207" i="80" l="1"/>
  <c r="BS207" i="80" s="1"/>
  <c r="BP207" i="80"/>
  <c r="L207" i="80"/>
  <c r="N208" i="80" s="1"/>
  <c r="BU208" i="80" s="1"/>
  <c r="K207" i="80"/>
  <c r="M208" i="80" s="1"/>
  <c r="BT208" i="80" l="1"/>
  <c r="O208" i="80"/>
  <c r="P208" i="80" l="1"/>
  <c r="U208" i="80" s="1"/>
  <c r="S208" i="80"/>
  <c r="BY208" i="80"/>
  <c r="T208" i="80" l="1"/>
  <c r="V208" i="80" s="1"/>
  <c r="Y208" i="80" s="1"/>
  <c r="X208" i="80"/>
  <c r="AD208" i="80" l="1"/>
  <c r="AP208" i="80"/>
  <c r="AQ208" i="80" s="1"/>
  <c r="BX208" i="80"/>
  <c r="AC208" i="80"/>
  <c r="BE208" i="80" l="1"/>
  <c r="AO208" i="80"/>
  <c r="BV209" i="80"/>
  <c r="R208" i="80"/>
  <c r="AR208" i="80"/>
  <c r="AS208" i="80"/>
  <c r="AE208" i="80"/>
  <c r="AF208" i="80"/>
  <c r="AH208" i="80" l="1"/>
  <c r="AI208" i="80" s="1"/>
  <c r="AJ208" i="80" s="1"/>
  <c r="AG208" i="80"/>
  <c r="BD208" i="80" l="1"/>
  <c r="AK208" i="80"/>
  <c r="AL208" i="80" s="1"/>
  <c r="AX208" i="80"/>
  <c r="AT208" i="80"/>
  <c r="AM208" i="80" l="1"/>
  <c r="AV208" i="80" s="1"/>
  <c r="AN208" i="80"/>
  <c r="BW209" i="80"/>
  <c r="AW208" i="80"/>
  <c r="AY208" i="80" l="1"/>
  <c r="BA208" i="80" s="1"/>
  <c r="AZ208" i="80" l="1"/>
  <c r="BB208" i="80"/>
  <c r="BF208" i="80"/>
  <c r="BG208" i="80" l="1"/>
  <c r="BH208" i="80" s="1"/>
  <c r="BI208" i="80" l="1"/>
  <c r="BN208" i="80" l="1"/>
  <c r="Q208" i="80" s="1"/>
  <c r="BJ208" i="80"/>
  <c r="BK208" i="80" s="1"/>
  <c r="BL208" i="80" s="1"/>
  <c r="BQ208" i="80" l="1"/>
  <c r="BO208" i="80"/>
  <c r="BR208" i="80" l="1"/>
  <c r="BS208" i="80" s="1"/>
  <c r="BP208" i="80"/>
  <c r="L208" i="80"/>
  <c r="N209" i="80" s="1"/>
  <c r="K208" i="80"/>
  <c r="M209" i="80" s="1"/>
  <c r="BU209" i="80" l="1"/>
  <c r="O209" i="80"/>
  <c r="BT209" i="80"/>
  <c r="P209" i="80" l="1"/>
  <c r="U209" i="80" s="1"/>
  <c r="BY209" i="80"/>
  <c r="S209" i="80"/>
  <c r="T209" i="80" l="1"/>
  <c r="V209" i="80" s="1"/>
  <c r="X209" i="80"/>
  <c r="Y209" i="80" l="1"/>
  <c r="AD209" i="80" s="1"/>
  <c r="AC209" i="80"/>
  <c r="BX209" i="80" l="1"/>
  <c r="AP209" i="80"/>
  <c r="AQ209" i="80" s="1"/>
  <c r="AR209" i="80" s="1"/>
  <c r="R209" i="80"/>
  <c r="BV210" i="80"/>
  <c r="BE209" i="80"/>
  <c r="AO209" i="80"/>
  <c r="AE209" i="80"/>
  <c r="AF209" i="80"/>
  <c r="AS209" i="80" l="1"/>
  <c r="AH209" i="80"/>
  <c r="AI209" i="80" s="1"/>
  <c r="AJ209" i="80" s="1"/>
  <c r="AG209" i="80"/>
  <c r="AK209" i="80" l="1"/>
  <c r="AL209" i="80" s="1"/>
  <c r="BD209" i="80"/>
  <c r="AX209" i="80"/>
  <c r="AT209" i="80"/>
  <c r="AM209" i="80" l="1"/>
  <c r="AV209" i="80" s="1"/>
  <c r="BW210" i="80"/>
  <c r="AN209" i="80"/>
  <c r="AW209" i="80"/>
  <c r="AY209" i="80" l="1"/>
  <c r="BA209" i="80" s="1"/>
  <c r="AZ209" i="80" l="1"/>
  <c r="BB209" i="80"/>
  <c r="BF209" i="80"/>
  <c r="BG209" i="80" l="1"/>
  <c r="BH209" i="80" s="1"/>
  <c r="BI209" i="80" l="1"/>
  <c r="BN209" i="80" l="1"/>
  <c r="Q209" i="80" s="1"/>
  <c r="BJ209" i="80"/>
  <c r="BK209" i="80" s="1"/>
  <c r="BL209" i="80" s="1"/>
  <c r="BQ209" i="80" l="1"/>
  <c r="BO209" i="80"/>
  <c r="L209" i="80" l="1"/>
  <c r="N210" i="80" s="1"/>
  <c r="K209" i="80"/>
  <c r="M210" i="80" s="1"/>
  <c r="BR209" i="80"/>
  <c r="BS209" i="80" s="1"/>
  <c r="BP209" i="80"/>
  <c r="O210" i="80" l="1"/>
  <c r="BT210" i="80"/>
  <c r="BU210" i="80"/>
  <c r="P210" i="80" l="1"/>
  <c r="U210" i="80" s="1"/>
  <c r="S210" i="80"/>
  <c r="BY210" i="80"/>
  <c r="T210" i="80" l="1"/>
  <c r="V210" i="80" s="1"/>
  <c r="Y210" i="80" s="1"/>
  <c r="X210" i="80"/>
  <c r="BX210" i="80" l="1"/>
  <c r="AP210" i="80"/>
  <c r="AQ210" i="80" s="1"/>
  <c r="AD210" i="80"/>
  <c r="AC210" i="80"/>
  <c r="R210" i="80" l="1"/>
  <c r="AO210" i="80"/>
  <c r="BV211" i="80"/>
  <c r="BE210" i="80"/>
  <c r="AR210" i="80"/>
  <c r="AS210" i="80"/>
  <c r="AF210" i="80"/>
  <c r="AE210" i="80"/>
  <c r="AG210" i="80" l="1"/>
  <c r="AH210" i="80"/>
  <c r="AI210" i="80" s="1"/>
  <c r="AJ210" i="80" s="1"/>
  <c r="AK210" i="80" l="1"/>
  <c r="AL210" i="80" s="1"/>
  <c r="BD210" i="80"/>
  <c r="AX210" i="80"/>
  <c r="AT210" i="80"/>
  <c r="AM210" i="80" l="1"/>
  <c r="AV210" i="80" s="1"/>
  <c r="BW211" i="80"/>
  <c r="AN210" i="80"/>
  <c r="AW210" i="80"/>
  <c r="AY210" i="80" l="1"/>
  <c r="BA210" i="80" s="1"/>
  <c r="AZ210" i="80" l="1"/>
  <c r="BB210" i="80"/>
  <c r="BF210" i="80"/>
  <c r="BG210" i="80" l="1"/>
  <c r="BH210" i="80" s="1"/>
  <c r="BI210" i="80" l="1"/>
  <c r="BJ210" i="80" l="1"/>
  <c r="BK210" i="80" s="1"/>
  <c r="BL210" i="80" s="1"/>
  <c r="BN210" i="80"/>
  <c r="Q210" i="80" s="1"/>
  <c r="BQ210" i="80" l="1"/>
  <c r="BO210" i="80"/>
  <c r="BR210" i="80" l="1"/>
  <c r="BS210" i="80" s="1"/>
  <c r="BP210" i="80"/>
  <c r="K210" i="80"/>
  <c r="M211" i="80" s="1"/>
  <c r="L210" i="80"/>
  <c r="N211" i="80" s="1"/>
  <c r="BU211" i="80" l="1"/>
  <c r="BT211" i="80"/>
  <c r="O211" i="80"/>
  <c r="S211" i="80" l="1"/>
  <c r="P211" i="80"/>
  <c r="U211" i="80" s="1"/>
  <c r="BY211" i="80"/>
  <c r="T211" i="80" l="1"/>
  <c r="V211" i="80" s="1"/>
  <c r="Y211" i="80" s="1"/>
  <c r="X211" i="80"/>
  <c r="AD211" i="80" l="1"/>
  <c r="BX211" i="80"/>
  <c r="AP211" i="80"/>
  <c r="AQ211" i="80" s="1"/>
  <c r="AC211" i="80"/>
  <c r="BE211" i="80" l="1"/>
  <c r="AO211" i="80"/>
  <c r="R211" i="80"/>
  <c r="BV212" i="80"/>
  <c r="AR211" i="80"/>
  <c r="AS211" i="80"/>
  <c r="AF211" i="80"/>
  <c r="AE211" i="80"/>
  <c r="AH211" i="80" l="1"/>
  <c r="AI211" i="80" s="1"/>
  <c r="AJ211" i="80" s="1"/>
  <c r="AG211" i="80"/>
  <c r="BD211" i="80" l="1"/>
  <c r="AK211" i="80"/>
  <c r="AL211" i="80" s="1"/>
  <c r="AX211" i="80"/>
  <c r="AT211" i="80"/>
  <c r="AM211" i="80" l="1"/>
  <c r="AV211" i="80" s="1"/>
  <c r="BW212" i="80"/>
  <c r="AN211" i="80"/>
  <c r="AW211" i="80"/>
  <c r="AY211" i="80" l="1"/>
  <c r="BA211" i="80" s="1"/>
  <c r="AZ211" i="80" l="1"/>
  <c r="BB211" i="80"/>
  <c r="BF211" i="80"/>
  <c r="BG211" i="80" l="1"/>
  <c r="BH211" i="80" s="1"/>
  <c r="BI211" i="80" l="1"/>
  <c r="BN211" i="80" l="1"/>
  <c r="Q211" i="80" s="1"/>
  <c r="BJ211" i="80"/>
  <c r="BK211" i="80" s="1"/>
  <c r="BL211" i="80" s="1"/>
  <c r="BQ211" i="80" l="1"/>
  <c r="BO211" i="80"/>
  <c r="L211" i="80" l="1"/>
  <c r="N212" i="80" s="1"/>
  <c r="K211" i="80"/>
  <c r="M212" i="80" s="1"/>
  <c r="BR211" i="80"/>
  <c r="BS211" i="80" s="1"/>
  <c r="BP211" i="80"/>
  <c r="BT212" i="80" l="1"/>
  <c r="O212" i="80"/>
  <c r="BU212" i="80"/>
  <c r="BY212" i="80" l="1"/>
  <c r="S212" i="80"/>
  <c r="P212" i="80"/>
  <c r="U212" i="80" s="1"/>
  <c r="T212" i="80" l="1"/>
  <c r="V212" i="80" s="1"/>
  <c r="Y212" i="80" s="1"/>
  <c r="X212" i="80"/>
  <c r="BX212" i="80" l="1"/>
  <c r="AD212" i="80"/>
  <c r="AP212" i="80"/>
  <c r="AQ212" i="80" s="1"/>
  <c r="AC212" i="80"/>
  <c r="BE212" i="80" l="1"/>
  <c r="AO212" i="80"/>
  <c r="BV213" i="80"/>
  <c r="R212" i="80"/>
  <c r="AR212" i="80"/>
  <c r="AS212" i="80"/>
  <c r="AE212" i="80"/>
  <c r="AF212" i="80"/>
  <c r="AG212" i="80" l="1"/>
  <c r="AH212" i="80"/>
  <c r="AI212" i="80" s="1"/>
  <c r="AJ212" i="80" s="1"/>
  <c r="AX212" i="80" l="1"/>
  <c r="AK212" i="80"/>
  <c r="AL212" i="80" s="1"/>
  <c r="BD212" i="80"/>
  <c r="AT212" i="80"/>
  <c r="AM212" i="80" l="1"/>
  <c r="AV212" i="80" s="1"/>
  <c r="AN212" i="80"/>
  <c r="BW213" i="80"/>
  <c r="AW212" i="80"/>
  <c r="AY212" i="80" l="1"/>
  <c r="BA212" i="80" s="1"/>
  <c r="AZ212" i="80" l="1"/>
  <c r="BB212" i="80"/>
  <c r="BF212" i="80"/>
  <c r="BG212" i="80" l="1"/>
  <c r="BH212" i="80" s="1"/>
  <c r="BI212" i="80" l="1"/>
  <c r="BN212" i="80" l="1"/>
  <c r="Q212" i="80" s="1"/>
  <c r="BJ212" i="80"/>
  <c r="BK212" i="80" s="1"/>
  <c r="BL212" i="80" s="1"/>
  <c r="BQ212" i="80" l="1"/>
  <c r="BO212" i="80"/>
  <c r="BR212" i="80" l="1"/>
  <c r="BS212" i="80" s="1"/>
  <c r="BP212" i="80"/>
  <c r="K212" i="80"/>
  <c r="M213" i="80" s="1"/>
  <c r="L212" i="80"/>
  <c r="N213" i="80" s="1"/>
  <c r="BU213" i="80" s="1"/>
  <c r="BT213" i="80" l="1"/>
  <c r="O213" i="80"/>
  <c r="S213" i="80" l="1"/>
  <c r="P213" i="80"/>
  <c r="U213" i="80" s="1"/>
  <c r="BY213" i="80"/>
  <c r="T213" i="80" l="1"/>
  <c r="V213" i="80" s="1"/>
  <c r="X213" i="80"/>
  <c r="Y213" i="80" l="1"/>
  <c r="AD213" i="80" s="1"/>
  <c r="AC213" i="80"/>
  <c r="AP213" i="80" l="1"/>
  <c r="AQ213" i="80" s="1"/>
  <c r="AS213" i="80" s="1"/>
  <c r="BX213" i="80"/>
  <c r="BE213" i="80"/>
  <c r="BV214" i="80"/>
  <c r="AO213" i="80"/>
  <c r="R213" i="80"/>
  <c r="AF213" i="80"/>
  <c r="AE213" i="80"/>
  <c r="AR213" i="80" l="1"/>
  <c r="AH213" i="80"/>
  <c r="AI213" i="80" s="1"/>
  <c r="AJ213" i="80" s="1"/>
  <c r="AG213" i="80"/>
  <c r="BD213" i="80" l="1"/>
  <c r="AK213" i="80"/>
  <c r="AL213" i="80" s="1"/>
  <c r="AX213" i="80"/>
  <c r="AT213" i="80"/>
  <c r="AM213" i="80" l="1"/>
  <c r="AV213" i="80" s="1"/>
  <c r="AN213" i="80"/>
  <c r="BW214" i="80"/>
  <c r="AW213" i="80"/>
  <c r="AY213" i="80" l="1"/>
  <c r="BA213" i="80" s="1"/>
  <c r="AZ213" i="80" l="1"/>
  <c r="BB213" i="80"/>
  <c r="BF213" i="80"/>
  <c r="BG213" i="80" l="1"/>
  <c r="BH213" i="80" s="1"/>
  <c r="BI213" i="80" l="1"/>
  <c r="BN213" i="80" l="1"/>
  <c r="Q213" i="80" s="1"/>
  <c r="BJ213" i="80"/>
  <c r="BK213" i="80" s="1"/>
  <c r="BL213" i="80" s="1"/>
  <c r="BQ213" i="80" l="1"/>
  <c r="BO213" i="80"/>
  <c r="BR213" i="80" l="1"/>
  <c r="BS213" i="80" s="1"/>
  <c r="BP213" i="80"/>
  <c r="L213" i="80"/>
  <c r="N214" i="80" s="1"/>
  <c r="K213" i="80"/>
  <c r="M214" i="80" s="1"/>
  <c r="O214" i="80" l="1"/>
  <c r="BT214" i="80"/>
  <c r="BU214" i="80"/>
  <c r="S214" i="80" l="1"/>
  <c r="P214" i="80"/>
  <c r="U214" i="80" s="1"/>
  <c r="BY214" i="80"/>
  <c r="T214" i="80" l="1"/>
  <c r="V214" i="80" s="1"/>
  <c r="X214" i="80"/>
  <c r="Y214" i="80" l="1"/>
  <c r="AD214" i="80" s="1"/>
  <c r="AC214" i="80"/>
  <c r="BX214" i="80" l="1"/>
  <c r="AP214" i="80"/>
  <c r="AQ214" i="80" s="1"/>
  <c r="AS214" i="80" s="1"/>
  <c r="BE214" i="80"/>
  <c r="BV215" i="80"/>
  <c r="R214" i="80"/>
  <c r="AO214" i="80"/>
  <c r="AF214" i="80"/>
  <c r="AE214" i="80"/>
  <c r="AR214" i="80" l="1"/>
  <c r="AG214" i="80"/>
  <c r="AH214" i="80"/>
  <c r="AI214" i="80" s="1"/>
  <c r="AJ214" i="80" s="1"/>
  <c r="AK214" i="80" l="1"/>
  <c r="AL214" i="80" s="1"/>
  <c r="BD214" i="80"/>
  <c r="AX214" i="80"/>
  <c r="AT214" i="80"/>
  <c r="AM214" i="80" l="1"/>
  <c r="AV214" i="80" s="1"/>
  <c r="BW215" i="80"/>
  <c r="AN214" i="80"/>
  <c r="AW214" i="80"/>
  <c r="AY214" i="80" l="1"/>
  <c r="BA214" i="80" s="1"/>
  <c r="AZ214" i="80" l="1"/>
  <c r="BB214" i="80"/>
  <c r="BF214" i="80"/>
  <c r="BG214" i="80" l="1"/>
  <c r="BH214" i="80" s="1"/>
  <c r="BI214" i="80" l="1"/>
  <c r="BN214" i="80" l="1"/>
  <c r="Q214" i="80" s="1"/>
  <c r="BJ214" i="80"/>
  <c r="BK214" i="80" s="1"/>
  <c r="BL214" i="80" s="1"/>
  <c r="BQ214" i="80" l="1"/>
  <c r="BO214" i="80"/>
  <c r="K214" i="80" l="1"/>
  <c r="M215" i="80" s="1"/>
  <c r="L214" i="80"/>
  <c r="N215" i="80" s="1"/>
  <c r="BR214" i="80"/>
  <c r="BS214" i="80" s="1"/>
  <c r="BP214" i="80"/>
  <c r="BU215" i="80" l="1"/>
  <c r="BT215" i="80"/>
  <c r="O215" i="80"/>
  <c r="P215" i="80" l="1"/>
  <c r="U215" i="80" s="1"/>
  <c r="S215" i="80"/>
  <c r="BY215" i="80"/>
  <c r="T215" i="80" l="1"/>
  <c r="V215" i="80" s="1"/>
  <c r="Y215" i="80" s="1"/>
  <c r="X215" i="80"/>
  <c r="BX215" i="80" l="1"/>
  <c r="AD215" i="80"/>
  <c r="AP215" i="80"/>
  <c r="AQ215" i="80" s="1"/>
  <c r="AC215" i="80"/>
  <c r="BE215" i="80" l="1"/>
  <c r="AO215" i="80"/>
  <c r="BV216" i="80"/>
  <c r="R215" i="80"/>
  <c r="AR215" i="80"/>
  <c r="AS215" i="80"/>
  <c r="AF215" i="80"/>
  <c r="AE215" i="80"/>
  <c r="AG215" i="80" l="1"/>
  <c r="AH215" i="80"/>
  <c r="AI215" i="80" s="1"/>
  <c r="AJ215" i="80" s="1"/>
  <c r="BD215" i="80" l="1"/>
  <c r="AX215" i="80"/>
  <c r="AK215" i="80"/>
  <c r="AL215" i="80" s="1"/>
  <c r="AT215" i="80"/>
  <c r="AM215" i="80" l="1"/>
  <c r="AV215" i="80" s="1"/>
  <c r="AN215" i="80"/>
  <c r="BW216" i="80"/>
  <c r="AW215" i="80"/>
  <c r="AY215" i="80" l="1"/>
  <c r="BA215" i="80" s="1"/>
  <c r="AZ215" i="80" l="1"/>
  <c r="BB215" i="80"/>
  <c r="BF215" i="80"/>
  <c r="BG215" i="80" l="1"/>
  <c r="BH215" i="80" s="1"/>
  <c r="BI215" i="80" l="1"/>
  <c r="BN215" i="80" l="1"/>
  <c r="Q215" i="80" s="1"/>
  <c r="BJ215" i="80"/>
  <c r="BK215" i="80" s="1"/>
  <c r="BL215" i="80" s="1"/>
  <c r="BQ215" i="80" l="1"/>
  <c r="BO215" i="80"/>
  <c r="L215" i="80" l="1"/>
  <c r="N216" i="80" s="1"/>
  <c r="K215" i="80"/>
  <c r="M216" i="80" s="1"/>
  <c r="BR215" i="80"/>
  <c r="BS215" i="80" s="1"/>
  <c r="BP215" i="80"/>
  <c r="BT216" i="80" l="1"/>
  <c r="O216" i="80"/>
  <c r="BU216" i="80"/>
  <c r="P216" i="80" l="1"/>
  <c r="U216" i="80" s="1"/>
  <c r="BY216" i="80"/>
  <c r="S216" i="80"/>
  <c r="X216" i="80" l="1"/>
  <c r="T216" i="80"/>
  <c r="V216" i="80" s="1"/>
  <c r="Y216" i="80" s="1"/>
  <c r="AD216" i="80" l="1"/>
  <c r="AP216" i="80"/>
  <c r="AQ216" i="80" s="1"/>
  <c r="BX216" i="80"/>
  <c r="AC216" i="80"/>
  <c r="BE216" i="80" l="1"/>
  <c r="AO216" i="80"/>
  <c r="BV217" i="80"/>
  <c r="R216" i="80"/>
  <c r="AR216" i="80"/>
  <c r="AS216" i="80"/>
  <c r="AE216" i="80"/>
  <c r="AF216" i="80"/>
  <c r="AG216" i="80" l="1"/>
  <c r="AH216" i="80"/>
  <c r="AI216" i="80" s="1"/>
  <c r="AJ216" i="80" s="1"/>
  <c r="AX216" i="80" l="1"/>
  <c r="BD216" i="80"/>
  <c r="AK216" i="80"/>
  <c r="AL216" i="80" s="1"/>
  <c r="AT216" i="80"/>
  <c r="AM216" i="80" l="1"/>
  <c r="AV216" i="80" s="1"/>
  <c r="AN216" i="80"/>
  <c r="BW217" i="80"/>
  <c r="AW216" i="80"/>
  <c r="AY216" i="80" l="1"/>
  <c r="BA216" i="80" s="1"/>
  <c r="AZ216" i="80" l="1"/>
  <c r="BB216" i="80"/>
  <c r="BF216" i="80"/>
  <c r="BG216" i="80" l="1"/>
  <c r="BH216" i="80" s="1"/>
  <c r="BI216" i="80" l="1"/>
  <c r="BN216" i="80" l="1"/>
  <c r="Q216" i="80" s="1"/>
  <c r="BJ216" i="80"/>
  <c r="BK216" i="80" s="1"/>
  <c r="BL216" i="80" s="1"/>
  <c r="BQ216" i="80" l="1"/>
  <c r="BO216" i="80"/>
  <c r="BR216" i="80" l="1"/>
  <c r="BS216" i="80" s="1"/>
  <c r="BP216" i="80"/>
  <c r="L216" i="80"/>
  <c r="N217" i="80" s="1"/>
  <c r="K216" i="80"/>
  <c r="M217" i="80" s="1"/>
  <c r="BU217" i="80" l="1"/>
  <c r="O217" i="80"/>
  <c r="BT217" i="80"/>
  <c r="S217" i="80" l="1"/>
  <c r="P217" i="80"/>
  <c r="U217" i="80" s="1"/>
  <c r="BY217" i="80"/>
  <c r="T217" i="80" l="1"/>
  <c r="V217" i="80" s="1"/>
  <c r="X217" i="80"/>
  <c r="Y217" i="80" l="1"/>
  <c r="AP217" i="80" s="1"/>
  <c r="AQ217" i="80" s="1"/>
  <c r="AC217" i="80"/>
  <c r="R217" i="80" l="1"/>
  <c r="BE217" i="80"/>
  <c r="BV218" i="80"/>
  <c r="AO217" i="80"/>
  <c r="BX217" i="80"/>
  <c r="AD217" i="80"/>
  <c r="AE217" i="80" s="1"/>
  <c r="AR217" i="80"/>
  <c r="AS217" i="80"/>
  <c r="AF217" i="80" l="1"/>
  <c r="AG217" i="80" s="1"/>
  <c r="AH217" i="80" l="1"/>
  <c r="AI217" i="80" s="1"/>
  <c r="AJ217" i="80" s="1"/>
  <c r="AX217" i="80"/>
  <c r="BD217" i="80"/>
  <c r="AK217" i="80"/>
  <c r="AL217" i="80" s="1"/>
  <c r="AT217" i="80"/>
  <c r="AM217" i="80" l="1"/>
  <c r="AV217" i="80" s="1"/>
  <c r="BW218" i="80"/>
  <c r="AN217" i="80"/>
  <c r="AW217" i="80"/>
  <c r="AY217" i="80" l="1"/>
  <c r="BA217" i="80" s="1"/>
  <c r="AZ217" i="80" l="1"/>
  <c r="BB217" i="80"/>
  <c r="BF217" i="80"/>
  <c r="BG217" i="80" l="1"/>
  <c r="BH217" i="80" s="1"/>
  <c r="BI217" i="80" l="1"/>
  <c r="BJ217" i="80" l="1"/>
  <c r="BK217" i="80" s="1"/>
  <c r="BL217" i="80" s="1"/>
  <c r="BN217" i="80"/>
  <c r="Q217" i="80" s="1"/>
  <c r="BQ217" i="80" l="1"/>
  <c r="BO217" i="80"/>
  <c r="L217" i="80" l="1"/>
  <c r="N218" i="80" s="1"/>
  <c r="K217" i="80"/>
  <c r="M218" i="80" s="1"/>
  <c r="BR217" i="80"/>
  <c r="BS217" i="80" s="1"/>
  <c r="BP217" i="80"/>
  <c r="O218" i="80" l="1"/>
  <c r="BT218" i="80"/>
  <c r="BU218" i="80"/>
  <c r="S218" i="80" l="1"/>
  <c r="P218" i="80"/>
  <c r="U218" i="80" s="1"/>
  <c r="BY218" i="80"/>
  <c r="X218" i="80" l="1"/>
  <c r="T218" i="80"/>
  <c r="V218" i="80" s="1"/>
  <c r="Y218" i="80" s="1"/>
  <c r="AP218" i="80" l="1"/>
  <c r="AQ218" i="80" s="1"/>
  <c r="BX218" i="80"/>
  <c r="AD218" i="80"/>
  <c r="AC218" i="80"/>
  <c r="BE218" i="80" l="1"/>
  <c r="AO218" i="80"/>
  <c r="BV219" i="80"/>
  <c r="R218" i="80"/>
  <c r="AR218" i="80"/>
  <c r="AS218" i="80"/>
  <c r="AF218" i="80"/>
  <c r="AE218" i="80"/>
  <c r="AH218" i="80" l="1"/>
  <c r="AI218" i="80" s="1"/>
  <c r="AJ218" i="80" s="1"/>
  <c r="AG218" i="80"/>
  <c r="AX218" i="80" l="1"/>
  <c r="AK218" i="80"/>
  <c r="AL218" i="80" s="1"/>
  <c r="BD218" i="80"/>
  <c r="AT218" i="80"/>
  <c r="AM218" i="80" l="1"/>
  <c r="AV218" i="80" s="1"/>
  <c r="BW219" i="80"/>
  <c r="AN218" i="80"/>
  <c r="AW218" i="80"/>
  <c r="AY218" i="80" l="1"/>
  <c r="BA218" i="80" s="1"/>
  <c r="AZ218" i="80" l="1"/>
  <c r="BB218" i="80"/>
  <c r="BF218" i="80"/>
  <c r="BG218" i="80" l="1"/>
  <c r="BH218" i="80" s="1"/>
  <c r="BI218" i="80" l="1"/>
  <c r="BN218" i="80" l="1"/>
  <c r="Q218" i="80" s="1"/>
  <c r="BJ218" i="80"/>
  <c r="BK218" i="80" s="1"/>
  <c r="BL218" i="80" s="1"/>
  <c r="BQ218" i="80" l="1"/>
  <c r="BO218" i="80"/>
  <c r="BR218" i="80" l="1"/>
  <c r="BS218" i="80" s="1"/>
  <c r="BP218" i="80"/>
  <c r="K218" i="80"/>
  <c r="M219" i="80" s="1"/>
  <c r="L218" i="80"/>
  <c r="N219" i="80" s="1"/>
  <c r="BU219" i="80" l="1"/>
  <c r="O219" i="80"/>
  <c r="BT219" i="80"/>
  <c r="S219" i="80" l="1"/>
  <c r="BY219" i="80"/>
  <c r="P219" i="80"/>
  <c r="U219" i="80" s="1"/>
  <c r="T219" i="80" l="1"/>
  <c r="V219" i="80" s="1"/>
  <c r="Y219" i="80" s="1"/>
  <c r="X219" i="80"/>
  <c r="AP219" i="80" l="1"/>
  <c r="AQ219" i="80" s="1"/>
  <c r="AD219" i="80"/>
  <c r="BX219" i="80"/>
  <c r="AC219" i="80"/>
  <c r="BE219" i="80" l="1"/>
  <c r="AO219" i="80"/>
  <c r="BV220" i="80"/>
  <c r="R219" i="80"/>
  <c r="AE219" i="80"/>
  <c r="AF219" i="80"/>
  <c r="AR219" i="80"/>
  <c r="AS219" i="80"/>
  <c r="AG219" i="80" l="1"/>
  <c r="AH219" i="80"/>
  <c r="AI219" i="80" s="1"/>
  <c r="AJ219" i="80" s="1"/>
  <c r="BD219" i="80" l="1"/>
  <c r="AX219" i="80"/>
  <c r="AK219" i="80"/>
  <c r="AL219" i="80" s="1"/>
  <c r="AT219" i="80"/>
  <c r="AM219" i="80" l="1"/>
  <c r="AV219" i="80" s="1"/>
  <c r="AN219" i="80"/>
  <c r="BW220" i="80"/>
  <c r="AW219" i="80"/>
  <c r="AY219" i="80" l="1"/>
  <c r="BA219" i="80" s="1"/>
  <c r="AZ219" i="80" l="1"/>
  <c r="BB219" i="80"/>
  <c r="BF219" i="80"/>
  <c r="BG219" i="80" l="1"/>
  <c r="BH219" i="80" s="1"/>
  <c r="BI219" i="80" l="1"/>
  <c r="BN219" i="80" l="1"/>
  <c r="Q219" i="80" s="1"/>
  <c r="BJ219" i="80"/>
  <c r="BK219" i="80" s="1"/>
  <c r="BL219" i="80" s="1"/>
  <c r="BQ219" i="80" l="1"/>
  <c r="BO219" i="80"/>
  <c r="L219" i="80" l="1"/>
  <c r="N220" i="80" s="1"/>
  <c r="K219" i="80"/>
  <c r="M220" i="80" s="1"/>
  <c r="BR219" i="80"/>
  <c r="BS219" i="80" s="1"/>
  <c r="BP219" i="80"/>
  <c r="O220" i="80" l="1"/>
  <c r="BT220" i="80"/>
  <c r="BU220" i="80"/>
  <c r="S220" i="80" l="1"/>
  <c r="BY220" i="80"/>
  <c r="P220" i="80"/>
  <c r="U220" i="80" s="1"/>
  <c r="X220" i="80" l="1"/>
  <c r="T220" i="80"/>
  <c r="V220" i="80" s="1"/>
  <c r="Y220" i="80" s="1"/>
  <c r="AD220" i="80" l="1"/>
  <c r="AP220" i="80"/>
  <c r="AQ220" i="80" s="1"/>
  <c r="BX220" i="80"/>
  <c r="AC220" i="80"/>
  <c r="BE220" i="80" l="1"/>
  <c r="AO220" i="80"/>
  <c r="BV221" i="80"/>
  <c r="R220" i="80"/>
  <c r="AF220" i="80"/>
  <c r="AE220" i="80"/>
  <c r="AR220" i="80"/>
  <c r="AS220" i="80"/>
  <c r="AG220" i="80" l="1"/>
  <c r="AH220" i="80"/>
  <c r="AI220" i="80" s="1"/>
  <c r="AJ220" i="80" s="1"/>
  <c r="AX220" i="80" l="1"/>
  <c r="AK220" i="80"/>
  <c r="AL220" i="80" s="1"/>
  <c r="BD220" i="80"/>
  <c r="AT220" i="80"/>
  <c r="AM220" i="80" l="1"/>
  <c r="AV220" i="80" s="1"/>
  <c r="BW221" i="80"/>
  <c r="AN220" i="80"/>
  <c r="AW220" i="80"/>
  <c r="AY220" i="80" l="1"/>
  <c r="BA220" i="80" s="1"/>
  <c r="AZ220" i="80" l="1"/>
  <c r="BB220" i="80"/>
  <c r="BF220" i="80"/>
  <c r="BG220" i="80" l="1"/>
  <c r="BH220" i="80" s="1"/>
  <c r="BI220" i="80" l="1"/>
  <c r="BN220" i="80" l="1"/>
  <c r="Q220" i="80" s="1"/>
  <c r="BJ220" i="80"/>
  <c r="BK220" i="80" s="1"/>
  <c r="BL220" i="80" s="1"/>
  <c r="BQ220" i="80" l="1"/>
  <c r="BO220" i="80"/>
  <c r="BR220" i="80" l="1"/>
  <c r="BS220" i="80" s="1"/>
  <c r="BP220" i="80"/>
  <c r="K220" i="80"/>
  <c r="M221" i="80" s="1"/>
  <c r="L220" i="80"/>
  <c r="N221" i="80" s="1"/>
  <c r="BU221" i="80" l="1"/>
  <c r="BT221" i="80"/>
  <c r="O221" i="80"/>
  <c r="BY221" i="80" l="1"/>
  <c r="S221" i="80"/>
  <c r="P221" i="80"/>
  <c r="U221" i="80" s="1"/>
  <c r="T221" i="80" l="1"/>
  <c r="V221" i="80" s="1"/>
  <c r="Y221" i="80" s="1"/>
  <c r="X221" i="80"/>
  <c r="AD221" i="80" l="1"/>
  <c r="BX221" i="80"/>
  <c r="AP221" i="80"/>
  <c r="AQ221" i="80" s="1"/>
  <c r="AC221" i="80"/>
  <c r="R221" i="80" l="1"/>
  <c r="AO221" i="80"/>
  <c r="BV222" i="80"/>
  <c r="BE221" i="80"/>
  <c r="AR221" i="80"/>
  <c r="AS221" i="80"/>
  <c r="AF221" i="80"/>
  <c r="AE221" i="80"/>
  <c r="AG221" i="80" l="1"/>
  <c r="AH221" i="80"/>
  <c r="AI221" i="80" s="1"/>
  <c r="AJ221" i="80" s="1"/>
  <c r="BD221" i="80" l="1"/>
  <c r="AX221" i="80"/>
  <c r="AK221" i="80"/>
  <c r="AL221" i="80" s="1"/>
  <c r="AT221" i="80"/>
  <c r="AM221" i="80" l="1"/>
  <c r="AV221" i="80" s="1"/>
  <c r="BW222" i="80"/>
  <c r="AN221" i="80"/>
  <c r="AW221" i="80"/>
  <c r="AY221" i="80" l="1"/>
  <c r="BA221" i="80" s="1"/>
  <c r="AZ221" i="80" l="1"/>
  <c r="BB221" i="80"/>
  <c r="BF221" i="80"/>
  <c r="BG221" i="80" l="1"/>
  <c r="BH221" i="80" s="1"/>
  <c r="BI221" i="80" l="1"/>
  <c r="BN221" i="80" l="1"/>
  <c r="Q221" i="80" s="1"/>
  <c r="BJ221" i="80"/>
  <c r="BK221" i="80" s="1"/>
  <c r="BL221" i="80" s="1"/>
  <c r="BQ221" i="80" l="1"/>
  <c r="BO221" i="80"/>
  <c r="K221" i="80" l="1"/>
  <c r="M222" i="80" s="1"/>
  <c r="L221" i="80"/>
  <c r="N222" i="80" s="1"/>
  <c r="BR221" i="80"/>
  <c r="BS221" i="80" s="1"/>
  <c r="BP221" i="80"/>
  <c r="BU222" i="80" l="1"/>
  <c r="O222" i="80"/>
  <c r="BT222" i="80"/>
  <c r="P222" i="80" l="1"/>
  <c r="U222" i="80" s="1"/>
  <c r="BY222" i="80"/>
  <c r="S222" i="80"/>
  <c r="T222" i="80" l="1"/>
  <c r="V222" i="80" s="1"/>
  <c r="X222" i="80"/>
  <c r="Y222" i="80" l="1"/>
  <c r="BX222" i="80" s="1"/>
  <c r="AD222" i="80" l="1"/>
  <c r="AE222" i="80" s="1"/>
  <c r="AP222" i="80"/>
  <c r="AQ222" i="80" s="1"/>
  <c r="AC222" i="80"/>
  <c r="AO222" i="80" l="1"/>
  <c r="BV223" i="80"/>
  <c r="R222" i="80"/>
  <c r="BE222" i="80"/>
  <c r="AR222" i="80"/>
  <c r="AS222" i="80"/>
  <c r="AF222" i="80"/>
  <c r="AH222" i="80" s="1"/>
  <c r="AI222" i="80" s="1"/>
  <c r="AJ222" i="80" s="1"/>
  <c r="AG222" i="80" l="1"/>
  <c r="BD222" i="80" s="1"/>
  <c r="AT222" i="80" l="1"/>
  <c r="AX222" i="80"/>
  <c r="AK222" i="80"/>
  <c r="AL222" i="80" s="1"/>
  <c r="AM222" i="80" s="1"/>
  <c r="AV222" i="80" l="1"/>
  <c r="AN222" i="80"/>
  <c r="BW223" i="80"/>
  <c r="AW222" i="80"/>
  <c r="AY222" i="80" l="1"/>
  <c r="BA222" i="80" s="1"/>
  <c r="BB222" i="80" s="1"/>
  <c r="BF222" i="80"/>
  <c r="AZ222" i="80" l="1"/>
  <c r="BG222" i="80"/>
  <c r="BH222" i="80" s="1"/>
  <c r="BI222" i="80" l="1"/>
  <c r="BN222" i="80" l="1"/>
  <c r="Q222" i="80" s="1"/>
  <c r="BJ222" i="80"/>
  <c r="BK222" i="80" s="1"/>
  <c r="BL222" i="80" s="1"/>
  <c r="BQ222" i="80" l="1"/>
  <c r="BO222" i="80"/>
  <c r="BR222" i="80" l="1"/>
  <c r="BS222" i="80" s="1"/>
  <c r="BP222" i="80"/>
  <c r="L222" i="80"/>
  <c r="N223" i="80" s="1"/>
  <c r="BU223" i="80" s="1"/>
  <c r="K222" i="80"/>
  <c r="M223" i="80" s="1"/>
  <c r="BT223" i="80" l="1"/>
  <c r="O223" i="80"/>
  <c r="BY223" i="80" l="1"/>
  <c r="P223" i="80"/>
  <c r="U223" i="80" s="1"/>
  <c r="S223" i="80"/>
  <c r="T223" i="80" l="1"/>
  <c r="V223" i="80" s="1"/>
  <c r="Y223" i="80" s="1"/>
  <c r="X223" i="80"/>
  <c r="AD223" i="80" l="1"/>
  <c r="BX223" i="80"/>
  <c r="AP223" i="80"/>
  <c r="AQ223" i="80" s="1"/>
  <c r="AC223" i="80"/>
  <c r="BE223" i="80" l="1"/>
  <c r="AO223" i="80"/>
  <c r="BV224" i="80"/>
  <c r="R223" i="80"/>
  <c r="AR223" i="80"/>
  <c r="AS223" i="80"/>
  <c r="AF223" i="80"/>
  <c r="AE223" i="80"/>
  <c r="AH223" i="80" l="1"/>
  <c r="AI223" i="80" s="1"/>
  <c r="AJ223" i="80" s="1"/>
  <c r="AG223" i="80"/>
  <c r="AK223" i="80" l="1"/>
  <c r="AL223" i="80" s="1"/>
  <c r="BD223" i="80"/>
  <c r="AX223" i="80"/>
  <c r="AT223" i="80"/>
  <c r="AM223" i="80" l="1"/>
  <c r="AV223" i="80" s="1"/>
  <c r="BW224" i="80"/>
  <c r="AN223" i="80"/>
  <c r="AW223" i="80"/>
  <c r="AY223" i="80" l="1"/>
  <c r="BA223" i="80" s="1"/>
  <c r="AZ223" i="80" l="1"/>
  <c r="BB223" i="80"/>
  <c r="BF223" i="80"/>
  <c r="BG223" i="80" l="1"/>
  <c r="BH223" i="80" s="1"/>
  <c r="BI223" i="80" l="1"/>
  <c r="BN223" i="80" l="1"/>
  <c r="Q223" i="80" s="1"/>
  <c r="BJ223" i="80"/>
  <c r="BK223" i="80" s="1"/>
  <c r="BL223" i="80" s="1"/>
  <c r="BQ223" i="80" l="1"/>
  <c r="BO223" i="80"/>
  <c r="BR223" i="80" l="1"/>
  <c r="BS223" i="80" s="1"/>
  <c r="BP223" i="80"/>
  <c r="L223" i="80"/>
  <c r="N224" i="80" s="1"/>
  <c r="K223" i="80"/>
  <c r="M224" i="80" s="1"/>
  <c r="O224" i="80" l="1"/>
  <c r="BT224" i="80"/>
  <c r="BU224" i="80"/>
  <c r="S224" i="80" l="1"/>
  <c r="P224" i="80"/>
  <c r="U224" i="80" s="1"/>
  <c r="BY224" i="80"/>
  <c r="T224" i="80" l="1"/>
  <c r="V224" i="80" s="1"/>
  <c r="Y224" i="80" s="1"/>
  <c r="X224" i="80"/>
  <c r="AP224" i="80" l="1"/>
  <c r="AQ224" i="80" s="1"/>
  <c r="BX224" i="80"/>
  <c r="AD224" i="80"/>
  <c r="AC224" i="80"/>
  <c r="BE224" i="80" l="1"/>
  <c r="AO224" i="80"/>
  <c r="BV225" i="80"/>
  <c r="R224" i="80"/>
  <c r="AR224" i="80"/>
  <c r="AS224" i="80"/>
  <c r="AF224" i="80"/>
  <c r="AE224" i="80"/>
  <c r="AH224" i="80" l="1"/>
  <c r="AI224" i="80" s="1"/>
  <c r="AJ224" i="80" s="1"/>
  <c r="AG224" i="80"/>
  <c r="AK224" i="80" l="1"/>
  <c r="AL224" i="80" s="1"/>
  <c r="AX224" i="80"/>
  <c r="BD224" i="80"/>
  <c r="AT224" i="80"/>
  <c r="AM224" i="80" l="1"/>
  <c r="AV224" i="80" s="1"/>
  <c r="BW225" i="80"/>
  <c r="AN224" i="80"/>
  <c r="AW224" i="80"/>
  <c r="AY224" i="80" l="1"/>
  <c r="BA224" i="80" s="1"/>
  <c r="AZ224" i="80" l="1"/>
  <c r="BB224" i="80"/>
  <c r="BF224" i="80"/>
  <c r="BG224" i="80" l="1"/>
  <c r="BH224" i="80" s="1"/>
  <c r="BI224" i="80" l="1"/>
  <c r="BN224" i="80" l="1"/>
  <c r="Q224" i="80" s="1"/>
  <c r="BJ224" i="80"/>
  <c r="BK224" i="80" s="1"/>
  <c r="BL224" i="80" s="1"/>
  <c r="BQ224" i="80" l="1"/>
  <c r="BO224" i="80"/>
  <c r="BR224" i="80" l="1"/>
  <c r="BS224" i="80" s="1"/>
  <c r="BP224" i="80"/>
  <c r="K224" i="80"/>
  <c r="M225" i="80" s="1"/>
  <c r="L224" i="80"/>
  <c r="N225" i="80" s="1"/>
  <c r="O225" i="80" l="1"/>
  <c r="BT225" i="80"/>
  <c r="BU225" i="80"/>
  <c r="S225" i="80" l="1"/>
  <c r="P225" i="80"/>
  <c r="U225" i="80" s="1"/>
  <c r="BY225" i="80"/>
  <c r="T225" i="80" l="1"/>
  <c r="V225" i="80" s="1"/>
  <c r="Y225" i="80" s="1"/>
  <c r="X225" i="80"/>
  <c r="BX225" i="80" l="1"/>
  <c r="AD225" i="80"/>
  <c r="AP225" i="80"/>
  <c r="AQ225" i="80" s="1"/>
  <c r="AC225" i="80"/>
  <c r="BE225" i="80" l="1"/>
  <c r="AO225" i="80"/>
  <c r="BV226" i="80"/>
  <c r="R225" i="80"/>
  <c r="AR225" i="80"/>
  <c r="AS225" i="80"/>
  <c r="AE225" i="80"/>
  <c r="AF225" i="80"/>
  <c r="AG225" i="80" l="1"/>
  <c r="AH225" i="80"/>
  <c r="AI225" i="80" s="1"/>
  <c r="AJ225" i="80" s="1"/>
  <c r="BD225" i="80" l="1"/>
  <c r="AK225" i="80"/>
  <c r="AL225" i="80" s="1"/>
  <c r="AX225" i="80"/>
  <c r="AT225" i="80"/>
  <c r="AM225" i="80" l="1"/>
  <c r="AV225" i="80" s="1"/>
  <c r="AN225" i="80"/>
  <c r="BW226" i="80"/>
  <c r="AW225" i="80"/>
  <c r="AY225" i="80" l="1"/>
  <c r="BA225" i="80" s="1"/>
  <c r="AZ225" i="80" l="1"/>
  <c r="BB225" i="80"/>
  <c r="BF225" i="80"/>
  <c r="BG225" i="80" l="1"/>
  <c r="BH225" i="80" s="1"/>
  <c r="BI225" i="80" l="1"/>
  <c r="BN225" i="80" l="1"/>
  <c r="Q225" i="80" s="1"/>
  <c r="BJ225" i="80"/>
  <c r="BK225" i="80" s="1"/>
  <c r="BL225" i="80" s="1"/>
  <c r="BQ225" i="80" l="1"/>
  <c r="BO225" i="80"/>
  <c r="K225" i="80" l="1"/>
  <c r="M226" i="80" s="1"/>
  <c r="L225" i="80"/>
  <c r="N226" i="80" s="1"/>
  <c r="BR225" i="80"/>
  <c r="BS225" i="80" s="1"/>
  <c r="BP225" i="80"/>
  <c r="BU226" i="80" l="1"/>
  <c r="BT226" i="80"/>
  <c r="O226" i="80"/>
  <c r="BY226" i="80" l="1"/>
  <c r="P226" i="80"/>
  <c r="U226" i="80" s="1"/>
  <c r="S226" i="80"/>
  <c r="T226" i="80" l="1"/>
  <c r="V226" i="80" s="1"/>
  <c r="Y226" i="80" s="1"/>
  <c r="X226" i="80"/>
  <c r="AP226" i="80" l="1"/>
  <c r="AQ226" i="80" s="1"/>
  <c r="AD226" i="80"/>
  <c r="BX226" i="80"/>
  <c r="AC226" i="80"/>
  <c r="BE226" i="80" l="1"/>
  <c r="AO226" i="80"/>
  <c r="BV227" i="80"/>
  <c r="C60" i="80" s="1"/>
  <c r="R226" i="80"/>
  <c r="AR226" i="80"/>
  <c r="AS226" i="80"/>
  <c r="AF226" i="80"/>
  <c r="AE226" i="80"/>
  <c r="AH226" i="80" l="1"/>
  <c r="AI226" i="80" s="1"/>
  <c r="AJ226" i="80" s="1"/>
  <c r="AG226" i="80"/>
  <c r="BD226" i="80" l="1"/>
  <c r="AK226" i="80"/>
  <c r="AL226" i="80" s="1"/>
  <c r="AX226" i="80"/>
  <c r="AT226" i="80"/>
  <c r="AM226" i="80" l="1"/>
  <c r="AV226" i="80" s="1"/>
  <c r="BW227" i="80"/>
  <c r="C61" i="80" s="1"/>
  <c r="AN226" i="80"/>
  <c r="AW226" i="80"/>
  <c r="AY226" i="80" l="1"/>
  <c r="BA226" i="80" s="1"/>
  <c r="AZ226" i="80" l="1"/>
  <c r="BB226" i="80"/>
  <c r="BF226" i="80"/>
  <c r="BG226" i="80" l="1"/>
  <c r="BH226" i="80" s="1"/>
  <c r="BI226" i="80" l="1"/>
  <c r="BN226" i="80" l="1"/>
  <c r="Q226" i="80" s="1"/>
  <c r="BJ226" i="80"/>
  <c r="BK226" i="80" s="1"/>
  <c r="BL226" i="80" s="1"/>
  <c r="BQ226" i="80" l="1"/>
  <c r="BO226" i="80"/>
  <c r="BR226" i="80" l="1"/>
  <c r="BS226" i="80" s="1"/>
  <c r="BP226" i="80"/>
  <c r="L226" i="80"/>
  <c r="N227" i="80" s="1"/>
  <c r="K226" i="80"/>
  <c r="M227" i="80" s="1"/>
  <c r="BU227" i="80" l="1"/>
  <c r="BT227" i="80"/>
  <c r="O227" i="80"/>
  <c r="C62" i="80" s="1"/>
  <c r="C63" i="80" s="1"/>
  <c r="C64" i="80" l="1"/>
  <c r="S227" i="80"/>
  <c r="BY227" i="80"/>
  <c r="P227" i="80"/>
  <c r="U227" i="80" s="1"/>
  <c r="T227" i="80" l="1"/>
  <c r="V227" i="80" s="1"/>
  <c r="Y227" i="80" s="1"/>
  <c r="X227" i="80"/>
  <c r="AP227" i="80" l="1"/>
  <c r="AQ227" i="80" s="1"/>
  <c r="BX227" i="80"/>
  <c r="AD227" i="80"/>
  <c r="AC227" i="80"/>
  <c r="R227" i="80" l="1"/>
  <c r="AO227" i="80"/>
  <c r="BV228" i="80"/>
  <c r="BE227" i="80"/>
  <c r="AE227" i="80"/>
  <c r="AF227" i="80"/>
  <c r="AR227" i="80"/>
  <c r="AS227" i="80"/>
  <c r="AH227" i="80" l="1"/>
  <c r="AI227" i="80" s="1"/>
  <c r="AJ227" i="80" s="1"/>
  <c r="AG227" i="80"/>
  <c r="AX227" i="80" l="1"/>
  <c r="AK227" i="80"/>
  <c r="AL227" i="80" s="1"/>
  <c r="BD227" i="80"/>
  <c r="AT227" i="80"/>
  <c r="AM227" i="80" l="1"/>
  <c r="AV227" i="80" s="1"/>
  <c r="AN227" i="80"/>
  <c r="C66" i="80" s="1"/>
  <c r="C65" i="80" s="1"/>
  <c r="BW228" i="80"/>
  <c r="AW227" i="80"/>
  <c r="AY227" i="80" l="1"/>
  <c r="BA227" i="80" s="1"/>
  <c r="AZ227" i="80" l="1"/>
  <c r="BB227" i="80"/>
  <c r="BF227" i="80"/>
  <c r="BG227" i="80" l="1"/>
  <c r="BH227" i="80" s="1"/>
  <c r="BI227" i="80" l="1"/>
  <c r="BJ227" i="80" l="1"/>
  <c r="BK227" i="80" s="1"/>
  <c r="BL227" i="80" s="1"/>
  <c r="BN227" i="80"/>
  <c r="Q227" i="80" s="1"/>
  <c r="BQ227" i="80" l="1"/>
  <c r="BO227" i="80"/>
  <c r="L227" i="80" l="1"/>
  <c r="N228" i="80" s="1"/>
  <c r="K227" i="80"/>
  <c r="M228" i="80" s="1"/>
  <c r="BR227" i="80"/>
  <c r="BS227" i="80" s="1"/>
  <c r="BP227" i="80"/>
  <c r="BT228" i="80" l="1"/>
  <c r="O228" i="80"/>
  <c r="BU228" i="80"/>
  <c r="P228" i="80" l="1"/>
  <c r="U228" i="80" s="1"/>
  <c r="S228" i="80"/>
  <c r="BY228" i="80"/>
  <c r="T228" i="80" l="1"/>
  <c r="V228" i="80" s="1"/>
  <c r="Y228" i="80" s="1"/>
  <c r="X228" i="80"/>
  <c r="AD228" i="80" l="1"/>
  <c r="BX228" i="80"/>
  <c r="AP228" i="80"/>
  <c r="AQ228" i="80" s="1"/>
  <c r="AC228" i="80"/>
  <c r="R228" i="80" l="1"/>
  <c r="AO228" i="80"/>
  <c r="BV229" i="80"/>
  <c r="BE228" i="80"/>
  <c r="AR228" i="80"/>
  <c r="AS228" i="80"/>
  <c r="AE228" i="80"/>
  <c r="AF228" i="80"/>
  <c r="AH228" i="80" l="1"/>
  <c r="AI228" i="80" s="1"/>
  <c r="AJ228" i="80" s="1"/>
  <c r="AG228" i="80"/>
  <c r="AX228" i="80" l="1"/>
  <c r="BD228" i="80"/>
  <c r="AK228" i="80"/>
  <c r="AL228" i="80" s="1"/>
  <c r="AT228" i="80"/>
  <c r="AM228" i="80" l="1"/>
  <c r="AV228" i="80" s="1"/>
  <c r="BW229" i="80"/>
  <c r="AN228" i="80"/>
  <c r="AW228" i="80"/>
  <c r="AY228" i="80" l="1"/>
  <c r="BA228" i="80" s="1"/>
  <c r="AZ228" i="80" l="1"/>
  <c r="BB228" i="80"/>
  <c r="BF228" i="80"/>
  <c r="BG228" i="80" l="1"/>
  <c r="BH228" i="80" s="1"/>
  <c r="BI228" i="80" l="1"/>
  <c r="BN228" i="80" l="1"/>
  <c r="Q228" i="80" s="1"/>
  <c r="BJ228" i="80"/>
  <c r="BK228" i="80" s="1"/>
  <c r="BL228" i="80" s="1"/>
  <c r="BQ228" i="80" l="1"/>
  <c r="BO228" i="80"/>
  <c r="BR228" i="80" l="1"/>
  <c r="BS228" i="80" s="1"/>
  <c r="BP228" i="80"/>
  <c r="L228" i="80"/>
  <c r="N229" i="80" s="1"/>
  <c r="K228" i="80"/>
  <c r="M229" i="80" s="1"/>
  <c r="BT229" i="80" l="1"/>
  <c r="O229" i="80"/>
  <c r="BU229" i="80"/>
  <c r="P229" i="80" l="1"/>
  <c r="U229" i="80" s="1"/>
  <c r="BY229" i="80"/>
  <c r="S229" i="80"/>
  <c r="T229" i="80" l="1"/>
  <c r="V229" i="80" s="1"/>
  <c r="X229" i="80"/>
  <c r="Y229" i="80" l="1"/>
  <c r="AD229" i="80" s="1"/>
  <c r="AC229" i="80"/>
  <c r="R229" i="80" l="1"/>
  <c r="BE229" i="80"/>
  <c r="BV230" i="80"/>
  <c r="BX229" i="80"/>
  <c r="AP229" i="80"/>
  <c r="AQ229" i="80" s="1"/>
  <c r="AS229" i="80" s="1"/>
  <c r="AO229" i="80"/>
  <c r="AF229" i="80"/>
  <c r="AE229" i="80"/>
  <c r="AR229" i="80" l="1"/>
  <c r="AH229" i="80"/>
  <c r="AI229" i="80" s="1"/>
  <c r="AJ229" i="80" s="1"/>
  <c r="AG229" i="80"/>
  <c r="AX229" i="80" l="1"/>
  <c r="BD229" i="80"/>
  <c r="AK229" i="80"/>
  <c r="AL229" i="80" s="1"/>
  <c r="AT229" i="80"/>
  <c r="AM229" i="80" l="1"/>
  <c r="AV229" i="80" s="1"/>
  <c r="AN229" i="80"/>
  <c r="BW230" i="80"/>
  <c r="AW229" i="80"/>
  <c r="AY229" i="80" l="1"/>
  <c r="BA229" i="80" s="1"/>
  <c r="AZ229" i="80" l="1"/>
  <c r="BB229" i="80"/>
  <c r="BF229" i="80"/>
  <c r="BG229" i="80" l="1"/>
  <c r="BH229" i="80" s="1"/>
  <c r="BI229" i="80" l="1"/>
  <c r="BN229" i="80" l="1"/>
  <c r="Q229" i="80" s="1"/>
  <c r="BJ229" i="80"/>
  <c r="BK229" i="80" s="1"/>
  <c r="BL229" i="80" s="1"/>
  <c r="BQ229" i="80" l="1"/>
  <c r="BO229" i="80"/>
  <c r="K229" i="80" l="1"/>
  <c r="M230" i="80" s="1"/>
  <c r="L229" i="80"/>
  <c r="N230" i="80" s="1"/>
  <c r="BR229" i="80"/>
  <c r="BS229" i="80" s="1"/>
  <c r="BP229" i="80"/>
  <c r="BU230" i="80" l="1"/>
  <c r="BT230" i="80"/>
  <c r="O230" i="80"/>
  <c r="P230" i="80" l="1"/>
  <c r="U230" i="80" s="1"/>
  <c r="S230" i="80"/>
  <c r="BY230" i="80"/>
  <c r="T230" i="80" l="1"/>
  <c r="V230" i="80" s="1"/>
  <c r="X230" i="80"/>
  <c r="Y230" i="80" l="1"/>
  <c r="AD230" i="80" s="1"/>
  <c r="BX230" i="80" l="1"/>
  <c r="AP230" i="80"/>
  <c r="AQ230" i="80" s="1"/>
  <c r="AS230" i="80" s="1"/>
  <c r="AE230" i="80"/>
  <c r="AF230" i="80"/>
  <c r="AC230" i="80"/>
  <c r="BE230" i="80" l="1"/>
  <c r="R230" i="80"/>
  <c r="AO230" i="80"/>
  <c r="BV231" i="80"/>
  <c r="AR230" i="80"/>
  <c r="AH230" i="80"/>
  <c r="AI230" i="80" s="1"/>
  <c r="AJ230" i="80" s="1"/>
  <c r="AG230" i="80"/>
  <c r="AK230" i="80" l="1"/>
  <c r="AL230" i="80" s="1"/>
  <c r="BD230" i="80"/>
  <c r="AX230" i="80"/>
  <c r="AT230" i="80"/>
  <c r="AM230" i="80" l="1"/>
  <c r="AV230" i="80" s="1"/>
  <c r="AN230" i="80"/>
  <c r="BW231" i="80"/>
  <c r="AW230" i="80"/>
  <c r="AY230" i="80" l="1"/>
  <c r="BA230" i="80" s="1"/>
  <c r="AZ230" i="80" l="1"/>
  <c r="BB230" i="80"/>
  <c r="BF230" i="80"/>
  <c r="BG230" i="80" l="1"/>
  <c r="BH230" i="80" s="1"/>
  <c r="BI230" i="80" l="1"/>
  <c r="BN230" i="80" l="1"/>
  <c r="Q230" i="80" s="1"/>
  <c r="BJ230" i="80"/>
  <c r="BK230" i="80" s="1"/>
  <c r="BL230" i="80" s="1"/>
  <c r="BQ230" i="80" l="1"/>
  <c r="BO230" i="80"/>
  <c r="BR230" i="80" l="1"/>
  <c r="BS230" i="80" s="1"/>
  <c r="BP230" i="80"/>
  <c r="L230" i="80"/>
  <c r="N231" i="80" s="1"/>
  <c r="K230" i="80"/>
  <c r="M231" i="80" s="1"/>
  <c r="BU231" i="80" l="1"/>
  <c r="BT231" i="80"/>
  <c r="O231" i="80"/>
  <c r="S231" i="80" l="1"/>
  <c r="BY231" i="80"/>
  <c r="P231" i="80"/>
  <c r="U231" i="80" s="1"/>
  <c r="T231" i="80" l="1"/>
  <c r="V231" i="80" s="1"/>
  <c r="Y231" i="80" s="1"/>
  <c r="X231" i="80"/>
  <c r="AD231" i="80" l="1"/>
  <c r="BX231" i="80"/>
  <c r="AP231" i="80"/>
  <c r="AQ231" i="80" s="1"/>
  <c r="AC231" i="80"/>
  <c r="BE231" i="80" l="1"/>
  <c r="BV232" i="80"/>
  <c r="AO231" i="80"/>
  <c r="R231" i="80"/>
  <c r="AR231" i="80"/>
  <c r="AS231" i="80"/>
  <c r="AF231" i="80"/>
  <c r="AE231" i="80"/>
  <c r="AH231" i="80" l="1"/>
  <c r="AI231" i="80" s="1"/>
  <c r="AJ231" i="80" s="1"/>
  <c r="AG231" i="80"/>
  <c r="AK231" i="80" l="1"/>
  <c r="AL231" i="80" s="1"/>
  <c r="AX231" i="80"/>
  <c r="BD231" i="80"/>
  <c r="AT231" i="80"/>
  <c r="AM231" i="80" l="1"/>
  <c r="AV231" i="80" s="1"/>
  <c r="AN231" i="80"/>
  <c r="BW232" i="80"/>
  <c r="AW231" i="80"/>
  <c r="AY231" i="80" l="1"/>
  <c r="BA231" i="80" s="1"/>
  <c r="AZ231" i="80" l="1"/>
  <c r="BB231" i="80"/>
  <c r="BF231" i="80"/>
  <c r="BG231" i="80" l="1"/>
  <c r="BH231" i="80" s="1"/>
  <c r="BI231" i="80" l="1"/>
  <c r="BN231" i="80" l="1"/>
  <c r="Q231" i="80" s="1"/>
  <c r="BJ231" i="80"/>
  <c r="BK231" i="80" s="1"/>
  <c r="BL231" i="80" s="1"/>
  <c r="BQ231" i="80" l="1"/>
  <c r="BO231" i="80"/>
  <c r="BR231" i="80" l="1"/>
  <c r="BS231" i="80" s="1"/>
  <c r="BP231" i="80"/>
  <c r="L231" i="80"/>
  <c r="N232" i="80" s="1"/>
  <c r="K231" i="80"/>
  <c r="M232" i="80" s="1"/>
  <c r="BT232" i="80" l="1"/>
  <c r="O232" i="80"/>
  <c r="BU232" i="80"/>
  <c r="S232" i="80" l="1"/>
  <c r="P232" i="80"/>
  <c r="U232" i="80" s="1"/>
  <c r="BY232" i="80"/>
  <c r="T232" i="80" l="1"/>
  <c r="V232" i="80" s="1"/>
  <c r="Y232" i="80" s="1"/>
  <c r="X232" i="80"/>
  <c r="BX232" i="80" l="1"/>
  <c r="AD232" i="80"/>
  <c r="AP232" i="80"/>
  <c r="AQ232" i="80" s="1"/>
  <c r="AC232" i="80"/>
  <c r="BE232" i="80" l="1"/>
  <c r="AO232" i="80"/>
  <c r="BV233" i="80"/>
  <c r="R232" i="80"/>
  <c r="AE232" i="80"/>
  <c r="AF232" i="80"/>
  <c r="AR232" i="80"/>
  <c r="AS232" i="80"/>
  <c r="AG232" i="80" l="1"/>
  <c r="AH232" i="80"/>
  <c r="AI232" i="80" s="1"/>
  <c r="AJ232" i="80" s="1"/>
  <c r="AK232" i="80" l="1"/>
  <c r="AL232" i="80" s="1"/>
  <c r="AX232" i="80"/>
  <c r="BD232" i="80"/>
  <c r="AT232" i="80"/>
  <c r="AM232" i="80" l="1"/>
  <c r="AV232" i="80" s="1"/>
  <c r="AN232" i="80"/>
  <c r="BW233" i="80"/>
  <c r="AW232" i="80"/>
  <c r="AY232" i="80" l="1"/>
  <c r="BA232" i="80" s="1"/>
  <c r="AZ232" i="80" l="1"/>
  <c r="BB232" i="80"/>
  <c r="BF232" i="80"/>
  <c r="BG232" i="80" l="1"/>
  <c r="BH232" i="80" s="1"/>
  <c r="BI232" i="80" l="1"/>
  <c r="BN232" i="80" l="1"/>
  <c r="Q232" i="80" s="1"/>
  <c r="BJ232" i="80"/>
  <c r="BK232" i="80" s="1"/>
  <c r="BL232" i="80" s="1"/>
  <c r="BQ232" i="80" l="1"/>
  <c r="BO232" i="80"/>
  <c r="BR232" i="80" l="1"/>
  <c r="BS232" i="80" s="1"/>
  <c r="BP232" i="80"/>
  <c r="K232" i="80"/>
  <c r="M233" i="80" s="1"/>
  <c r="L232" i="80"/>
  <c r="N233" i="80" s="1"/>
  <c r="BT233" i="80" l="1"/>
  <c r="O233" i="80"/>
  <c r="BU233" i="80"/>
  <c r="S233" i="80" l="1"/>
  <c r="BY233" i="80"/>
  <c r="P233" i="80"/>
  <c r="U233" i="80" s="1"/>
  <c r="T233" i="80" l="1"/>
  <c r="V233" i="80" s="1"/>
  <c r="Y233" i="80" s="1"/>
  <c r="X233" i="80"/>
  <c r="AP233" i="80" l="1"/>
  <c r="AQ233" i="80" s="1"/>
  <c r="BX233" i="80"/>
  <c r="AD233" i="80"/>
  <c r="AC233" i="80"/>
  <c r="R233" i="80" l="1"/>
  <c r="AO233" i="80"/>
  <c r="BV234" i="80"/>
  <c r="BE233" i="80"/>
  <c r="AE233" i="80"/>
  <c r="AF233" i="80"/>
  <c r="AR233" i="80"/>
  <c r="AS233" i="80"/>
  <c r="AH233" i="80" l="1"/>
  <c r="AI233" i="80" s="1"/>
  <c r="AJ233" i="80" s="1"/>
  <c r="AG233" i="80"/>
  <c r="BD233" i="80" l="1"/>
  <c r="AK233" i="80"/>
  <c r="AL233" i="80" s="1"/>
  <c r="AX233" i="80"/>
  <c r="AT233" i="80"/>
  <c r="AM233" i="80" l="1"/>
  <c r="AV233" i="80" s="1"/>
  <c r="AN233" i="80"/>
  <c r="BW234" i="80"/>
  <c r="AW233" i="80"/>
  <c r="AY233" i="80" l="1"/>
  <c r="BA233" i="80" s="1"/>
  <c r="AZ233" i="80" l="1"/>
  <c r="BB233" i="80"/>
  <c r="BF233" i="80"/>
  <c r="BG233" i="80" l="1"/>
  <c r="BH233" i="80" s="1"/>
  <c r="BI233" i="80" l="1"/>
  <c r="BJ233" i="80" l="1"/>
  <c r="BK233" i="80" s="1"/>
  <c r="BL233" i="80" s="1"/>
  <c r="BN233" i="80"/>
  <c r="Q233" i="80" s="1"/>
  <c r="BQ233" i="80" l="1"/>
  <c r="BO233" i="80"/>
  <c r="BR233" i="80" l="1"/>
  <c r="BS233" i="80" s="1"/>
  <c r="BP233" i="80"/>
  <c r="K233" i="80"/>
  <c r="M234" i="80" s="1"/>
  <c r="L233" i="80"/>
  <c r="N234" i="80" s="1"/>
  <c r="BT234" i="80" l="1"/>
  <c r="O234" i="80"/>
  <c r="BU234" i="80"/>
  <c r="P234" i="80" l="1"/>
  <c r="U234" i="80" s="1"/>
  <c r="S234" i="80"/>
  <c r="BY234" i="80"/>
  <c r="T234" i="80" l="1"/>
  <c r="V234" i="80" s="1"/>
  <c r="Y234" i="80" s="1"/>
  <c r="X234" i="80"/>
  <c r="AD234" i="80" l="1"/>
  <c r="BX234" i="80"/>
  <c r="AP234" i="80"/>
  <c r="AQ234" i="80" s="1"/>
  <c r="AC234" i="80"/>
  <c r="BE234" i="80" l="1"/>
  <c r="AO234" i="80"/>
  <c r="BV235" i="80"/>
  <c r="R234" i="80"/>
  <c r="AR234" i="80"/>
  <c r="AS234" i="80"/>
  <c r="AE234" i="80"/>
  <c r="AF234" i="80"/>
  <c r="AH234" i="80" l="1"/>
  <c r="AI234" i="80" s="1"/>
  <c r="AJ234" i="80" s="1"/>
  <c r="AG234" i="80"/>
  <c r="AK234" i="80" l="1"/>
  <c r="AL234" i="80" s="1"/>
  <c r="BD234" i="80"/>
  <c r="AX234" i="80"/>
  <c r="AT234" i="80"/>
  <c r="AM234" i="80" l="1"/>
  <c r="AV234" i="80" s="1"/>
  <c r="AN234" i="80"/>
  <c r="BW235" i="80"/>
  <c r="AW234" i="80"/>
  <c r="AY234" i="80" l="1"/>
  <c r="BA234" i="80" s="1"/>
  <c r="AZ234" i="80" l="1"/>
  <c r="BB234" i="80"/>
  <c r="BF234" i="80"/>
  <c r="BG234" i="80" l="1"/>
  <c r="BH234" i="80" s="1"/>
  <c r="BI234" i="80" l="1"/>
  <c r="BJ234" i="80" l="1"/>
  <c r="BK234" i="80" s="1"/>
  <c r="BL234" i="80" s="1"/>
  <c r="BN234" i="80"/>
  <c r="Q234" i="80" s="1"/>
  <c r="BQ234" i="80" l="1"/>
  <c r="BO234" i="80"/>
  <c r="BR234" i="80" l="1"/>
  <c r="BS234" i="80" s="1"/>
  <c r="BP234" i="80"/>
  <c r="L234" i="80"/>
  <c r="N235" i="80" s="1"/>
  <c r="K234" i="80"/>
  <c r="M235" i="80" s="1"/>
  <c r="BU235" i="80" l="1"/>
  <c r="BT235" i="80"/>
  <c r="O235" i="80"/>
  <c r="S235" i="80" l="1"/>
  <c r="P235" i="80"/>
  <c r="U235" i="80" s="1"/>
  <c r="BY235" i="80"/>
  <c r="T235" i="80" l="1"/>
  <c r="V235" i="80" s="1"/>
  <c r="Y235" i="80" s="1"/>
  <c r="X235" i="80"/>
  <c r="AD235" i="80" l="1"/>
  <c r="AP235" i="80"/>
  <c r="AQ235" i="80" s="1"/>
  <c r="BX235" i="80"/>
  <c r="AC235" i="80"/>
  <c r="R235" i="80" l="1"/>
  <c r="AO235" i="80"/>
  <c r="BV236" i="80"/>
  <c r="BE235" i="80"/>
  <c r="AR235" i="80"/>
  <c r="AS235" i="80"/>
  <c r="AE235" i="80"/>
  <c r="AF235" i="80"/>
  <c r="AG235" i="80" l="1"/>
  <c r="AH235" i="80"/>
  <c r="AI235" i="80" s="1"/>
  <c r="AJ235" i="80" s="1"/>
  <c r="BD235" i="80" l="1"/>
  <c r="AX235" i="80"/>
  <c r="AK235" i="80"/>
  <c r="AL235" i="80" s="1"/>
  <c r="AT235" i="80"/>
  <c r="AM235" i="80" l="1"/>
  <c r="AV235" i="80" s="1"/>
  <c r="AN235" i="80"/>
  <c r="BW236" i="80"/>
  <c r="AW235" i="80"/>
  <c r="AY235" i="80" l="1"/>
  <c r="BA235" i="80" s="1"/>
  <c r="AZ235" i="80" l="1"/>
  <c r="BB235" i="80"/>
  <c r="BF235" i="80"/>
  <c r="BG235" i="80" l="1"/>
  <c r="BH235" i="80" s="1"/>
  <c r="BI235" i="80" l="1"/>
  <c r="BJ235" i="80" l="1"/>
  <c r="BK235" i="80" s="1"/>
  <c r="BL235" i="80" s="1"/>
  <c r="BN235" i="80"/>
  <c r="Q235" i="80" s="1"/>
  <c r="BQ235" i="80" l="1"/>
  <c r="BO235" i="80"/>
  <c r="BR235" i="80" l="1"/>
  <c r="BS235" i="80" s="1"/>
  <c r="BP235" i="80"/>
  <c r="L235" i="80"/>
  <c r="N236" i="80" s="1"/>
  <c r="K235" i="80"/>
  <c r="M236" i="80" s="1"/>
  <c r="BU236" i="80" l="1"/>
  <c r="O236" i="80"/>
  <c r="BT236" i="80"/>
  <c r="S236" i="80" l="1"/>
  <c r="BY236" i="80"/>
  <c r="P236" i="80"/>
  <c r="U236" i="80" s="1"/>
  <c r="T236" i="80" l="1"/>
  <c r="V236" i="80" s="1"/>
  <c r="X236" i="80"/>
  <c r="Y236" i="80" l="1"/>
  <c r="AP236" i="80" s="1"/>
  <c r="AQ236" i="80" s="1"/>
  <c r="AC236" i="80"/>
  <c r="AD236" i="80" l="1"/>
  <c r="AE236" i="80" s="1"/>
  <c r="BX236" i="80"/>
  <c r="R236" i="80"/>
  <c r="BV237" i="80"/>
  <c r="BE236" i="80"/>
  <c r="AO236" i="80"/>
  <c r="AR236" i="80"/>
  <c r="AS236" i="80"/>
  <c r="AF236" i="80" l="1"/>
  <c r="AG236" i="80" s="1"/>
  <c r="AH236" i="80" l="1"/>
  <c r="AI236" i="80" s="1"/>
  <c r="AJ236" i="80" s="1"/>
  <c r="AK236" i="80"/>
  <c r="AL236" i="80" s="1"/>
  <c r="BD236" i="80"/>
  <c r="AX236" i="80"/>
  <c r="AT236" i="80"/>
  <c r="AM236" i="80" l="1"/>
  <c r="AV236" i="80" s="1"/>
  <c r="BW237" i="80"/>
  <c r="AN236" i="80"/>
  <c r="AW236" i="80"/>
  <c r="AY236" i="80" l="1"/>
  <c r="BA236" i="80" s="1"/>
  <c r="AZ236" i="80" l="1"/>
  <c r="BB236" i="80"/>
  <c r="BF236" i="80"/>
  <c r="BG236" i="80" l="1"/>
  <c r="BH236" i="80" s="1"/>
  <c r="BI236" i="80" l="1"/>
  <c r="BJ236" i="80" l="1"/>
  <c r="BK236" i="80" s="1"/>
  <c r="BL236" i="80" s="1"/>
  <c r="BN236" i="80"/>
  <c r="Q236" i="80" s="1"/>
  <c r="BQ236" i="80" l="1"/>
  <c r="BO236" i="80"/>
  <c r="BR236" i="80" l="1"/>
  <c r="BS236" i="80" s="1"/>
  <c r="BP236" i="80"/>
  <c r="L236" i="80"/>
  <c r="N237" i="80" s="1"/>
  <c r="BU237" i="80" s="1"/>
  <c r="K236" i="80"/>
  <c r="M237" i="80" s="1"/>
  <c r="BT237" i="80" l="1"/>
  <c r="O237" i="80"/>
  <c r="BY237" i="80" l="1"/>
  <c r="P237" i="80"/>
  <c r="U237" i="80" s="1"/>
  <c r="S237" i="80"/>
  <c r="T237" i="80" l="1"/>
  <c r="V237" i="80" s="1"/>
  <c r="Y237" i="80" s="1"/>
  <c r="X237" i="80"/>
  <c r="AP237" i="80" l="1"/>
  <c r="AQ237" i="80" s="1"/>
  <c r="BX237" i="80"/>
  <c r="AD237" i="80"/>
  <c r="AC237" i="80"/>
  <c r="R237" i="80" l="1"/>
  <c r="AO237" i="80"/>
  <c r="BV238" i="80"/>
  <c r="BE237" i="80"/>
  <c r="AF237" i="80"/>
  <c r="AE237" i="80"/>
  <c r="AR237" i="80"/>
  <c r="AS237" i="80"/>
  <c r="AG237" i="80" l="1"/>
  <c r="AH237" i="80"/>
  <c r="AI237" i="80" s="1"/>
  <c r="AJ237" i="80" s="1"/>
  <c r="AX237" i="80" l="1"/>
  <c r="AK237" i="80"/>
  <c r="AL237" i="80" s="1"/>
  <c r="BD237" i="80"/>
  <c r="AT237" i="80"/>
  <c r="AM237" i="80" l="1"/>
  <c r="AV237" i="80" s="1"/>
  <c r="BW238" i="80"/>
  <c r="AN237" i="80"/>
  <c r="AW237" i="80"/>
  <c r="AY237" i="80" l="1"/>
  <c r="BA237" i="80" s="1"/>
  <c r="AZ237" i="80" l="1"/>
  <c r="BB237" i="80"/>
  <c r="BF237" i="80"/>
  <c r="BG237" i="80" l="1"/>
  <c r="BH237" i="80" s="1"/>
  <c r="BI237" i="80" l="1"/>
  <c r="BN237" i="80" l="1"/>
  <c r="Q237" i="80" s="1"/>
  <c r="BJ237" i="80"/>
  <c r="BK237" i="80" s="1"/>
  <c r="BL237" i="80" s="1"/>
  <c r="BQ237" i="80" l="1"/>
  <c r="BO237" i="80"/>
  <c r="BR237" i="80" l="1"/>
  <c r="BS237" i="80" s="1"/>
  <c r="BP237" i="80"/>
  <c r="L237" i="80"/>
  <c r="N238" i="80" s="1"/>
  <c r="BU238" i="80" s="1"/>
  <c r="K237" i="80"/>
  <c r="M238" i="80" s="1"/>
  <c r="BT238" i="80" l="1"/>
  <c r="O238" i="80"/>
  <c r="P238" i="80" l="1"/>
  <c r="U238" i="80" s="1"/>
  <c r="S238" i="80"/>
  <c r="BY238" i="80"/>
  <c r="T238" i="80" l="1"/>
  <c r="V238" i="80" s="1"/>
  <c r="Y238" i="80" s="1"/>
  <c r="X238" i="80"/>
  <c r="AP238" i="80" l="1"/>
  <c r="AQ238" i="80" s="1"/>
  <c r="AD238" i="80"/>
  <c r="BX238" i="80"/>
  <c r="AC238" i="80"/>
  <c r="BE238" i="80" l="1"/>
  <c r="AO238" i="80"/>
  <c r="BV239" i="80"/>
  <c r="R238" i="80"/>
  <c r="AR238" i="80"/>
  <c r="AS238" i="80"/>
  <c r="AF238" i="80"/>
  <c r="AE238" i="80"/>
  <c r="AH238" i="80" l="1"/>
  <c r="AI238" i="80" s="1"/>
  <c r="AJ238" i="80" s="1"/>
  <c r="AG238" i="80"/>
  <c r="AK238" i="80" l="1"/>
  <c r="AL238" i="80" s="1"/>
  <c r="BD238" i="80"/>
  <c r="AX238" i="80"/>
  <c r="AT238" i="80"/>
  <c r="AM238" i="80" l="1"/>
  <c r="AV238" i="80" s="1"/>
  <c r="AN238" i="80"/>
  <c r="BW239" i="80"/>
  <c r="AW238" i="80"/>
  <c r="AY238" i="80" l="1"/>
  <c r="BA238" i="80" s="1"/>
  <c r="AZ238" i="80" l="1"/>
  <c r="BB238" i="80"/>
  <c r="BF238" i="80"/>
  <c r="BG238" i="80" l="1"/>
  <c r="BH238" i="80" s="1"/>
  <c r="BI238" i="80" l="1"/>
  <c r="BN238" i="80" l="1"/>
  <c r="Q238" i="80" s="1"/>
  <c r="BJ238" i="80"/>
  <c r="BK238" i="80" s="1"/>
  <c r="BL238" i="80" s="1"/>
  <c r="BQ238" i="80" l="1"/>
  <c r="BO238" i="80"/>
  <c r="BR238" i="80" l="1"/>
  <c r="BS238" i="80" s="1"/>
  <c r="BP238" i="80"/>
  <c r="L238" i="80"/>
  <c r="N239" i="80" s="1"/>
  <c r="K238" i="80"/>
  <c r="M239" i="80" s="1"/>
  <c r="O239" i="80" l="1"/>
  <c r="BT239" i="80"/>
  <c r="BU239" i="80"/>
  <c r="P239" i="80" l="1"/>
  <c r="U239" i="80" s="1"/>
  <c r="BY239" i="80"/>
  <c r="S239" i="80"/>
  <c r="T239" i="80" l="1"/>
  <c r="V239" i="80" s="1"/>
  <c r="X239" i="80"/>
  <c r="Y239" i="80" l="1"/>
  <c r="AP239" i="80" s="1"/>
  <c r="AQ239" i="80" s="1"/>
  <c r="AC239" i="80"/>
  <c r="AD239" i="80" l="1"/>
  <c r="AF239" i="80" s="1"/>
  <c r="BX239" i="80"/>
  <c r="R239" i="80"/>
  <c r="BE239" i="80"/>
  <c r="BV240" i="80"/>
  <c r="AO239" i="80"/>
  <c r="AR239" i="80"/>
  <c r="AS239" i="80"/>
  <c r="AE239" i="80" l="1"/>
  <c r="AG239" i="80"/>
  <c r="AH239" i="80"/>
  <c r="AI239" i="80" s="1"/>
  <c r="AJ239" i="80" s="1"/>
  <c r="AK239" i="80" l="1"/>
  <c r="AL239" i="80" s="1"/>
  <c r="AX239" i="80"/>
  <c r="BD239" i="80"/>
  <c r="AT239" i="80"/>
  <c r="AM239" i="80" l="1"/>
  <c r="AV239" i="80" s="1"/>
  <c r="BW240" i="80"/>
  <c r="AN239" i="80"/>
  <c r="AW239" i="80"/>
  <c r="AY239" i="80" l="1"/>
  <c r="BA239" i="80" s="1"/>
  <c r="AZ239" i="80" l="1"/>
  <c r="BB239" i="80"/>
  <c r="BF239" i="80"/>
  <c r="BG239" i="80" l="1"/>
  <c r="BH239" i="80" s="1"/>
  <c r="BI239" i="80" l="1"/>
  <c r="BJ239" i="80" l="1"/>
  <c r="BK239" i="80" s="1"/>
  <c r="BL239" i="80" s="1"/>
  <c r="BN239" i="80"/>
  <c r="Q239" i="80" s="1"/>
  <c r="BQ239" i="80" l="1"/>
  <c r="BO239" i="80"/>
  <c r="BR239" i="80" l="1"/>
  <c r="BS239" i="80" s="1"/>
  <c r="BP239" i="80"/>
  <c r="K239" i="80"/>
  <c r="M240" i="80" s="1"/>
  <c r="L239" i="80"/>
  <c r="N240" i="80" s="1"/>
  <c r="BT240" i="80" l="1"/>
  <c r="O240" i="80"/>
  <c r="BU240" i="80"/>
  <c r="S240" i="80" l="1"/>
  <c r="P240" i="80"/>
  <c r="U240" i="80" s="1"/>
  <c r="BY240" i="80"/>
  <c r="X240" i="80" l="1"/>
  <c r="T240" i="80"/>
  <c r="V240" i="80" s="1"/>
  <c r="Y240" i="80" s="1"/>
  <c r="BX240" i="80" l="1"/>
  <c r="AP240" i="80"/>
  <c r="AQ240" i="80" s="1"/>
  <c r="AD240" i="80"/>
  <c r="AC240" i="80"/>
  <c r="R240" i="80" l="1"/>
  <c r="AO240" i="80"/>
  <c r="BE240" i="80"/>
  <c r="BV241" i="80"/>
  <c r="AE240" i="80"/>
  <c r="AF240" i="80"/>
  <c r="AS240" i="80"/>
  <c r="AR240" i="80"/>
  <c r="AH240" i="80" l="1"/>
  <c r="AI240" i="80" s="1"/>
  <c r="AJ240" i="80" s="1"/>
  <c r="AG240" i="80"/>
  <c r="BD240" i="80" l="1"/>
  <c r="AX240" i="80"/>
  <c r="AK240" i="80"/>
  <c r="AL240" i="80" s="1"/>
  <c r="AT240" i="80"/>
  <c r="AM240" i="80" l="1"/>
  <c r="AV240" i="80" s="1"/>
  <c r="AN240" i="80"/>
  <c r="BW241" i="80"/>
  <c r="AW240" i="80"/>
  <c r="AY240" i="80" l="1"/>
  <c r="BA240" i="80" s="1"/>
  <c r="AZ240" i="80" l="1"/>
  <c r="BB240" i="80"/>
  <c r="BF240" i="80"/>
  <c r="BG240" i="80" l="1"/>
  <c r="BH240" i="80" s="1"/>
  <c r="BI240" i="80" l="1"/>
  <c r="BJ240" i="80" l="1"/>
  <c r="BK240" i="80" s="1"/>
  <c r="BL240" i="80" s="1"/>
  <c r="BN240" i="80"/>
  <c r="Q240" i="80" s="1"/>
  <c r="BQ240" i="80" l="1"/>
  <c r="BO240" i="80"/>
  <c r="BR240" i="80" l="1"/>
  <c r="BS240" i="80" s="1"/>
  <c r="BP240" i="80"/>
  <c r="K240" i="80"/>
  <c r="M241" i="80" s="1"/>
  <c r="L240" i="80"/>
  <c r="N241" i="80" s="1"/>
  <c r="BU241" i="80" l="1"/>
  <c r="BT241" i="80"/>
  <c r="O241" i="80"/>
  <c r="S241" i="80" l="1"/>
  <c r="P241" i="80"/>
  <c r="U241" i="80" s="1"/>
  <c r="BY241" i="80"/>
  <c r="T241" i="80" l="1"/>
  <c r="V241" i="80" s="1"/>
  <c r="Y241" i="80" s="1"/>
  <c r="X241" i="80"/>
  <c r="BX241" i="80" l="1"/>
  <c r="AP241" i="80"/>
  <c r="AQ241" i="80" s="1"/>
  <c r="AD241" i="80"/>
  <c r="AC241" i="80"/>
  <c r="BE241" i="80" l="1"/>
  <c r="AO241" i="80"/>
  <c r="BV242" i="80"/>
  <c r="R241" i="80"/>
  <c r="AR241" i="80"/>
  <c r="AS241" i="80"/>
  <c r="AE241" i="80"/>
  <c r="AF241" i="80"/>
  <c r="AH241" i="80" l="1"/>
  <c r="AI241" i="80" s="1"/>
  <c r="AJ241" i="80" s="1"/>
  <c r="AG241" i="80"/>
  <c r="AX241" i="80" l="1"/>
  <c r="BD241" i="80"/>
  <c r="AK241" i="80"/>
  <c r="AL241" i="80" s="1"/>
  <c r="AT241" i="80"/>
  <c r="AM241" i="80" l="1"/>
  <c r="AV241" i="80" s="1"/>
  <c r="AN241" i="80"/>
  <c r="BW242" i="80"/>
  <c r="AW241" i="80"/>
  <c r="AY241" i="80" l="1"/>
  <c r="BA241" i="80" s="1"/>
  <c r="AZ241" i="80" l="1"/>
  <c r="BB241" i="80"/>
  <c r="BF241" i="80"/>
  <c r="BG241" i="80" l="1"/>
  <c r="BH241" i="80" s="1"/>
  <c r="BI241" i="80" l="1"/>
  <c r="BN241" i="80" l="1"/>
  <c r="Q241" i="80" s="1"/>
  <c r="BJ241" i="80"/>
  <c r="BK241" i="80" s="1"/>
  <c r="BL241" i="80" s="1"/>
  <c r="BQ241" i="80" l="1"/>
  <c r="BO241" i="80"/>
  <c r="BR241" i="80" l="1"/>
  <c r="BS241" i="80" s="1"/>
  <c r="BP241" i="80"/>
  <c r="L241" i="80"/>
  <c r="N242" i="80" s="1"/>
  <c r="K241" i="80"/>
  <c r="M242" i="80" s="1"/>
  <c r="BU242" i="80" l="1"/>
  <c r="BT242" i="80"/>
  <c r="O242" i="80"/>
  <c r="P242" i="80" l="1"/>
  <c r="U242" i="80" s="1"/>
  <c r="BY242" i="80"/>
  <c r="S242" i="80"/>
  <c r="X242" i="80" l="1"/>
  <c r="T242" i="80"/>
  <c r="V242" i="80" s="1"/>
  <c r="Y242" i="80" s="1"/>
  <c r="AD242" i="80" l="1"/>
  <c r="AP242" i="80"/>
  <c r="AQ242" i="80" s="1"/>
  <c r="BX242" i="80"/>
  <c r="AC242" i="80"/>
  <c r="R242" i="80" l="1"/>
  <c r="AO242" i="80"/>
  <c r="BE242" i="80"/>
  <c r="BV243" i="80"/>
  <c r="AR242" i="80"/>
  <c r="AS242" i="80"/>
  <c r="AE242" i="80"/>
  <c r="AF242" i="80"/>
  <c r="AH242" i="80" l="1"/>
  <c r="AI242" i="80" s="1"/>
  <c r="AJ242" i="80" s="1"/>
  <c r="AG242" i="80"/>
  <c r="BD242" i="80" l="1"/>
  <c r="AX242" i="80"/>
  <c r="AK242" i="80"/>
  <c r="AL242" i="80" s="1"/>
  <c r="AT242" i="80"/>
  <c r="AM242" i="80" l="1"/>
  <c r="AV242" i="80" s="1"/>
  <c r="BW243" i="80"/>
  <c r="AN242" i="80"/>
  <c r="AW242" i="80"/>
  <c r="AY242" i="80" l="1"/>
  <c r="BA242" i="80" s="1"/>
  <c r="AZ242" i="80" l="1"/>
  <c r="BB242" i="80"/>
  <c r="BF242" i="80"/>
  <c r="BG242" i="80" l="1"/>
  <c r="BH242" i="80" s="1"/>
  <c r="BI242" i="80" l="1"/>
  <c r="BN242" i="80" l="1"/>
  <c r="Q242" i="80" s="1"/>
  <c r="BJ242" i="80"/>
  <c r="BK242" i="80" s="1"/>
  <c r="BL242" i="80" s="1"/>
  <c r="BQ242" i="80" l="1"/>
  <c r="BO242" i="80"/>
  <c r="BR242" i="80" l="1"/>
  <c r="BS242" i="80" s="1"/>
  <c r="BP242" i="80"/>
  <c r="L242" i="80"/>
  <c r="N243" i="80" s="1"/>
  <c r="K242" i="80"/>
  <c r="M243" i="80" s="1"/>
  <c r="BU243" i="80" l="1"/>
  <c r="O243" i="80"/>
  <c r="BT243" i="80"/>
  <c r="S243" i="80" l="1"/>
  <c r="BY243" i="80"/>
  <c r="P243" i="80"/>
  <c r="U243" i="80" s="1"/>
  <c r="T243" i="80" l="1"/>
  <c r="V243" i="80" s="1"/>
  <c r="Y243" i="80" s="1"/>
  <c r="X243" i="80"/>
  <c r="BX243" i="80" l="1"/>
  <c r="AD243" i="80"/>
  <c r="AP243" i="80"/>
  <c r="AQ243" i="80" s="1"/>
  <c r="AC243" i="80"/>
  <c r="BE243" i="80" l="1"/>
  <c r="AO243" i="80"/>
  <c r="BV244" i="80"/>
  <c r="R243" i="80"/>
  <c r="AR243" i="80"/>
  <c r="AS243" i="80"/>
  <c r="AE243" i="80"/>
  <c r="AF243" i="80"/>
  <c r="AH243" i="80" l="1"/>
  <c r="AI243" i="80" s="1"/>
  <c r="AJ243" i="80" s="1"/>
  <c r="AG243" i="80"/>
  <c r="BD243" i="80" l="1"/>
  <c r="AK243" i="80"/>
  <c r="AL243" i="80" s="1"/>
  <c r="AX243" i="80"/>
  <c r="AT243" i="80"/>
  <c r="AM243" i="80" l="1"/>
  <c r="AV243" i="80" s="1"/>
  <c r="AN243" i="80"/>
  <c r="BW244" i="80"/>
  <c r="AW243" i="80"/>
  <c r="AY243" i="80" l="1"/>
  <c r="BA243" i="80" s="1"/>
  <c r="AZ243" i="80" l="1"/>
  <c r="BB243" i="80"/>
  <c r="BF243" i="80"/>
  <c r="BG243" i="80" l="1"/>
  <c r="BH243" i="80" s="1"/>
  <c r="BI243" i="80" l="1"/>
  <c r="BN243" i="80" l="1"/>
  <c r="Q243" i="80" s="1"/>
  <c r="BJ243" i="80"/>
  <c r="BK243" i="80" s="1"/>
  <c r="BL243" i="80" s="1"/>
  <c r="BQ243" i="80" l="1"/>
  <c r="BO243" i="80"/>
  <c r="BR243" i="80" l="1"/>
  <c r="BS243" i="80" s="1"/>
  <c r="BP243" i="80"/>
  <c r="L243" i="80"/>
  <c r="N244" i="80" s="1"/>
  <c r="K243" i="80"/>
  <c r="M244" i="80" s="1"/>
  <c r="BT244" i="80" l="1"/>
  <c r="O244" i="80"/>
  <c r="BU244" i="80"/>
  <c r="S244" i="80" l="1"/>
  <c r="P244" i="80"/>
  <c r="U244" i="80" s="1"/>
  <c r="BY244" i="80"/>
  <c r="T244" i="80" l="1"/>
  <c r="V244" i="80" s="1"/>
  <c r="Y244" i="80" s="1"/>
  <c r="X244" i="80"/>
  <c r="BX244" i="80" l="1"/>
  <c r="AP244" i="80"/>
  <c r="AQ244" i="80" s="1"/>
  <c r="AD244" i="80"/>
  <c r="AC244" i="80"/>
  <c r="BE244" i="80" l="1"/>
  <c r="AO244" i="80"/>
  <c r="R244" i="80"/>
  <c r="BV245" i="80"/>
  <c r="AR244" i="80"/>
  <c r="AS244" i="80"/>
  <c r="AF244" i="80"/>
  <c r="AE244" i="80"/>
  <c r="AH244" i="80" l="1"/>
  <c r="AI244" i="80" s="1"/>
  <c r="AJ244" i="80" s="1"/>
  <c r="AG244" i="80"/>
  <c r="BD244" i="80" l="1"/>
  <c r="AK244" i="80"/>
  <c r="AL244" i="80" s="1"/>
  <c r="AX244" i="80"/>
  <c r="AT244" i="80"/>
  <c r="AM244" i="80" l="1"/>
  <c r="AV244" i="80" s="1"/>
  <c r="BW245" i="80"/>
  <c r="AN244" i="80"/>
  <c r="AW244" i="80"/>
  <c r="AY244" i="80" l="1"/>
  <c r="BA244" i="80" s="1"/>
  <c r="AZ244" i="80" l="1"/>
  <c r="BB244" i="80"/>
  <c r="BF244" i="80"/>
  <c r="BG244" i="80" l="1"/>
  <c r="BH244" i="80" s="1"/>
  <c r="BI244" i="80" l="1"/>
  <c r="BN244" i="80" l="1"/>
  <c r="Q244" i="80" s="1"/>
  <c r="BJ244" i="80"/>
  <c r="BK244" i="80" s="1"/>
  <c r="BL244" i="80" s="1"/>
  <c r="BQ244" i="80" l="1"/>
  <c r="BO244" i="80"/>
  <c r="BR244" i="80" l="1"/>
  <c r="BS244" i="80" s="1"/>
  <c r="BP244" i="80"/>
  <c r="K244" i="80"/>
  <c r="M245" i="80" s="1"/>
  <c r="L244" i="80"/>
  <c r="N245" i="80" s="1"/>
  <c r="BU245" i="80" l="1"/>
  <c r="BT245" i="80"/>
  <c r="O245" i="80"/>
  <c r="S245" i="80" l="1"/>
  <c r="P245" i="80"/>
  <c r="U245" i="80" s="1"/>
  <c r="BY245" i="80"/>
  <c r="T245" i="80" l="1"/>
  <c r="V245" i="80" s="1"/>
  <c r="Y245" i="80" s="1"/>
  <c r="X245" i="80"/>
  <c r="AP245" i="80" l="1"/>
  <c r="AQ245" i="80" s="1"/>
  <c r="BX245" i="80"/>
  <c r="AD245" i="80"/>
  <c r="AC245" i="80"/>
  <c r="R245" i="80" l="1"/>
  <c r="AO245" i="80"/>
  <c r="BE245" i="80"/>
  <c r="BV246" i="80"/>
  <c r="AE245" i="80"/>
  <c r="AF245" i="80"/>
  <c r="AR245" i="80"/>
  <c r="AS245" i="80"/>
  <c r="AH245" i="80" l="1"/>
  <c r="AI245" i="80" s="1"/>
  <c r="AJ245" i="80" s="1"/>
  <c r="AG245" i="80"/>
  <c r="AK245" i="80" l="1"/>
  <c r="AL245" i="80" s="1"/>
  <c r="BD245" i="80"/>
  <c r="AX245" i="80"/>
  <c r="AT245" i="80"/>
  <c r="AM245" i="80" l="1"/>
  <c r="AV245" i="80" s="1"/>
  <c r="BW246" i="80"/>
  <c r="AN245" i="80"/>
  <c r="AW245" i="80"/>
  <c r="AY245" i="80" l="1"/>
  <c r="BA245" i="80" s="1"/>
  <c r="AZ245" i="80" l="1"/>
  <c r="BB245" i="80"/>
  <c r="BF245" i="80"/>
  <c r="BG245" i="80" l="1"/>
  <c r="BH245" i="80" s="1"/>
  <c r="BI245" i="80" l="1"/>
  <c r="BJ245" i="80" l="1"/>
  <c r="BK245" i="80" s="1"/>
  <c r="BL245" i="80" s="1"/>
  <c r="BN245" i="80"/>
  <c r="Q245" i="80" s="1"/>
  <c r="BQ245" i="80" l="1"/>
  <c r="BO245" i="80"/>
  <c r="K245" i="80" l="1"/>
  <c r="M246" i="80" s="1"/>
  <c r="L245" i="80"/>
  <c r="N246" i="80" s="1"/>
  <c r="BR245" i="80"/>
  <c r="BS245" i="80" s="1"/>
  <c r="BP245" i="80"/>
  <c r="BU246" i="80" l="1"/>
  <c r="BT246" i="80"/>
  <c r="O246" i="80"/>
  <c r="S246" i="80" l="1"/>
  <c r="BY246" i="80"/>
  <c r="P246" i="80"/>
  <c r="U246" i="80" s="1"/>
  <c r="T246" i="80" l="1"/>
  <c r="V246" i="80" s="1"/>
  <c r="Y246" i="80" s="1"/>
  <c r="X246" i="80"/>
  <c r="BX246" i="80" l="1"/>
  <c r="AD246" i="80"/>
  <c r="AP246" i="80"/>
  <c r="AQ246" i="80" s="1"/>
  <c r="AC246" i="80"/>
  <c r="R246" i="80" l="1"/>
  <c r="AO246" i="80"/>
  <c r="BV247" i="80"/>
  <c r="BE246" i="80"/>
  <c r="AR246" i="80"/>
  <c r="AS246" i="80"/>
  <c r="AE246" i="80"/>
  <c r="AF246" i="80"/>
  <c r="AG246" i="80" l="1"/>
  <c r="AH246" i="80"/>
  <c r="AI246" i="80" s="1"/>
  <c r="AJ246" i="80" s="1"/>
  <c r="BD246" i="80" l="1"/>
  <c r="AK246" i="80"/>
  <c r="AL246" i="80" s="1"/>
  <c r="AX246" i="80"/>
  <c r="AT246" i="80"/>
  <c r="AM246" i="80" l="1"/>
  <c r="AV246" i="80" s="1"/>
  <c r="AN246" i="80"/>
  <c r="BW247" i="80"/>
  <c r="AW246" i="80"/>
  <c r="AY246" i="80" l="1"/>
  <c r="BA246" i="80" s="1"/>
  <c r="AZ246" i="80" l="1"/>
  <c r="BB246" i="80"/>
  <c r="BF246" i="80"/>
  <c r="BG246" i="80" l="1"/>
  <c r="BH246" i="80" s="1"/>
  <c r="BI246" i="80" l="1"/>
  <c r="BN246" i="80" l="1"/>
  <c r="Q246" i="80" s="1"/>
  <c r="BJ246" i="80"/>
  <c r="BK246" i="80" s="1"/>
  <c r="BL246" i="80" s="1"/>
  <c r="BQ246" i="80" l="1"/>
  <c r="BO246" i="80"/>
  <c r="BR246" i="80" l="1"/>
  <c r="BS246" i="80" s="1"/>
  <c r="BP246" i="80"/>
  <c r="L246" i="80"/>
  <c r="N247" i="80" s="1"/>
  <c r="K246" i="80"/>
  <c r="M247" i="80" s="1"/>
  <c r="BT247" i="80" l="1"/>
  <c r="O247" i="80"/>
  <c r="BU247" i="80"/>
  <c r="S247" i="80" l="1"/>
  <c r="P247" i="80"/>
  <c r="U247" i="80" s="1"/>
  <c r="BY247" i="80"/>
  <c r="T247" i="80" l="1"/>
  <c r="V247" i="80" s="1"/>
  <c r="Y247" i="80" s="1"/>
  <c r="X247" i="80"/>
  <c r="AD247" i="80" l="1"/>
  <c r="BX247" i="80"/>
  <c r="AP247" i="80"/>
  <c r="AQ247" i="80" s="1"/>
  <c r="AC247" i="80"/>
  <c r="BE247" i="80" l="1"/>
  <c r="AO247" i="80"/>
  <c r="R247" i="80"/>
  <c r="BV248" i="80"/>
  <c r="AR247" i="80"/>
  <c r="AS247" i="80"/>
  <c r="AE247" i="80"/>
  <c r="AF247" i="80"/>
  <c r="AG247" i="80" l="1"/>
  <c r="AH247" i="80"/>
  <c r="AI247" i="80" s="1"/>
  <c r="AJ247" i="80" s="1"/>
  <c r="AK247" i="80" l="1"/>
  <c r="AL247" i="80" s="1"/>
  <c r="BD247" i="80"/>
  <c r="AX247" i="80"/>
  <c r="AT247" i="80"/>
  <c r="AM247" i="80" l="1"/>
  <c r="AV247" i="80" s="1"/>
  <c r="BW248" i="80"/>
  <c r="AN247" i="80"/>
  <c r="AW247" i="80"/>
  <c r="AY247" i="80" l="1"/>
  <c r="BA247" i="80" s="1"/>
  <c r="AZ247" i="80" l="1"/>
  <c r="BB247" i="80"/>
  <c r="BF247" i="80"/>
  <c r="BG247" i="80" l="1"/>
  <c r="BH247" i="80" s="1"/>
  <c r="BI247" i="80" l="1"/>
  <c r="BJ247" i="80" l="1"/>
  <c r="BK247" i="80" s="1"/>
  <c r="BL247" i="80" s="1"/>
  <c r="BN247" i="80"/>
  <c r="Q247" i="80" s="1"/>
  <c r="BQ247" i="80" l="1"/>
  <c r="BO247" i="80"/>
  <c r="BR247" i="80" l="1"/>
  <c r="BS247" i="80" s="1"/>
  <c r="BP247" i="80"/>
  <c r="K247" i="80"/>
  <c r="M248" i="80" s="1"/>
  <c r="L247" i="80"/>
  <c r="N248" i="80" s="1"/>
  <c r="O248" i="80" l="1"/>
  <c r="BT248" i="80"/>
  <c r="BU248" i="80"/>
  <c r="S248" i="80" l="1"/>
  <c r="BY248" i="80"/>
  <c r="P248" i="80"/>
  <c r="U248" i="80" s="1"/>
  <c r="T248" i="80" l="1"/>
  <c r="V248" i="80" s="1"/>
  <c r="Y248" i="80" s="1"/>
  <c r="X248" i="80"/>
  <c r="AP248" i="80" l="1"/>
  <c r="AQ248" i="80" s="1"/>
  <c r="BX248" i="80"/>
  <c r="AD248" i="80"/>
  <c r="AC248" i="80"/>
  <c r="BE248" i="80" l="1"/>
  <c r="AO248" i="80"/>
  <c r="BV249" i="80"/>
  <c r="R248" i="80"/>
  <c r="AR248" i="80"/>
  <c r="AS248" i="80"/>
  <c r="AE248" i="80"/>
  <c r="AF248" i="80"/>
  <c r="AH248" i="80" l="1"/>
  <c r="AI248" i="80" s="1"/>
  <c r="AJ248" i="80" s="1"/>
  <c r="AG248" i="80"/>
  <c r="AX248" i="80" l="1"/>
  <c r="AK248" i="80"/>
  <c r="AL248" i="80" s="1"/>
  <c r="BD248" i="80"/>
  <c r="AT248" i="80"/>
  <c r="AM248" i="80" l="1"/>
  <c r="AV248" i="80" s="1"/>
  <c r="BW249" i="80"/>
  <c r="AN248" i="80"/>
  <c r="AW248" i="80"/>
  <c r="AY248" i="80" l="1"/>
  <c r="BA248" i="80" s="1"/>
  <c r="AZ248" i="80" l="1"/>
  <c r="BB248" i="80"/>
  <c r="BF248" i="80"/>
  <c r="BG248" i="80" l="1"/>
  <c r="BH248" i="80" s="1"/>
  <c r="BI248" i="80" l="1"/>
  <c r="BJ248" i="80" l="1"/>
  <c r="BK248" i="80" s="1"/>
  <c r="BL248" i="80" s="1"/>
  <c r="BN248" i="80"/>
  <c r="Q248" i="80" s="1"/>
  <c r="BQ248" i="80" l="1"/>
  <c r="BO248" i="80"/>
  <c r="BR248" i="80" l="1"/>
  <c r="BS248" i="80" s="1"/>
  <c r="BP248" i="80"/>
  <c r="L248" i="80"/>
  <c r="N249" i="80" s="1"/>
  <c r="K248" i="80"/>
  <c r="M249" i="80" s="1"/>
  <c r="BU249" i="80" l="1"/>
  <c r="BT249" i="80"/>
  <c r="O249" i="80"/>
  <c r="S249" i="80" l="1"/>
  <c r="P249" i="80"/>
  <c r="U249" i="80" s="1"/>
  <c r="BY249" i="80"/>
  <c r="T249" i="80" l="1"/>
  <c r="V249" i="80" s="1"/>
  <c r="Y249" i="80" s="1"/>
  <c r="X249" i="80"/>
  <c r="AP249" i="80" l="1"/>
  <c r="AQ249" i="80" s="1"/>
  <c r="BX249" i="80"/>
  <c r="AD249" i="80"/>
  <c r="AC249" i="80"/>
  <c r="BV250" i="80" l="1"/>
  <c r="AO249" i="80"/>
  <c r="BE249" i="80"/>
  <c r="R249" i="80"/>
  <c r="AR249" i="80"/>
  <c r="AS249" i="80"/>
  <c r="AF249" i="80"/>
  <c r="AE249" i="80"/>
  <c r="AH249" i="80" l="1"/>
  <c r="AI249" i="80" s="1"/>
  <c r="AJ249" i="80" s="1"/>
  <c r="AG249" i="80"/>
  <c r="AX249" i="80" l="1"/>
  <c r="BD249" i="80"/>
  <c r="AK249" i="80"/>
  <c r="AL249" i="80" s="1"/>
  <c r="AT249" i="80"/>
  <c r="AM249" i="80" l="1"/>
  <c r="AV249" i="80" s="1"/>
  <c r="BW250" i="80"/>
  <c r="AN249" i="80"/>
  <c r="AW249" i="80"/>
  <c r="AY249" i="80" l="1"/>
  <c r="BA249" i="80" s="1"/>
  <c r="AZ249" i="80" l="1"/>
  <c r="BB249" i="80"/>
  <c r="BF249" i="80"/>
  <c r="BG249" i="80" l="1"/>
  <c r="BH249" i="80" s="1"/>
  <c r="BI249" i="80" l="1"/>
  <c r="BJ249" i="80" l="1"/>
  <c r="BK249" i="80" s="1"/>
  <c r="BL249" i="80" s="1"/>
  <c r="BN249" i="80"/>
  <c r="Q249" i="80" s="1"/>
  <c r="BQ249" i="80" l="1"/>
  <c r="BO249" i="80"/>
  <c r="L249" i="80" l="1"/>
  <c r="N250" i="80" s="1"/>
  <c r="K249" i="80"/>
  <c r="M250" i="80" s="1"/>
  <c r="BR249" i="80"/>
  <c r="BS249" i="80" s="1"/>
  <c r="BP249" i="80"/>
  <c r="BT250" i="80" l="1"/>
  <c r="O250" i="80"/>
  <c r="BU250" i="80"/>
  <c r="S250" i="80" l="1"/>
  <c r="BY250" i="80"/>
  <c r="P250" i="80"/>
  <c r="U250" i="80" s="1"/>
  <c r="T250" i="80" l="1"/>
  <c r="V250" i="80" s="1"/>
  <c r="Y250" i="80" s="1"/>
  <c r="X250" i="80"/>
  <c r="BX250" i="80" l="1"/>
  <c r="AP250" i="80"/>
  <c r="AQ250" i="80" s="1"/>
  <c r="AD250" i="80"/>
  <c r="AC250" i="80"/>
  <c r="BE250" i="80" l="1"/>
  <c r="AO250" i="80"/>
  <c r="BV251" i="80"/>
  <c r="R250" i="80"/>
  <c r="AE250" i="80"/>
  <c r="AF250" i="80"/>
  <c r="AR250" i="80"/>
  <c r="AS250" i="80"/>
  <c r="AG250" i="80" l="1"/>
  <c r="AH250" i="80"/>
  <c r="AI250" i="80" s="1"/>
  <c r="AJ250" i="80" s="1"/>
  <c r="AX250" i="80" l="1"/>
  <c r="BD250" i="80"/>
  <c r="AK250" i="80"/>
  <c r="AL250" i="80" s="1"/>
  <c r="AT250" i="80"/>
  <c r="AM250" i="80" l="1"/>
  <c r="AV250" i="80" s="1"/>
  <c r="AN250" i="80"/>
  <c r="BW251" i="80"/>
  <c r="AW250" i="80"/>
  <c r="AY250" i="80" l="1"/>
  <c r="BA250" i="80" s="1"/>
  <c r="AZ250" i="80" l="1"/>
  <c r="BB250" i="80"/>
  <c r="BF250" i="80"/>
  <c r="BG250" i="80" l="1"/>
  <c r="BH250" i="80" s="1"/>
  <c r="BI250" i="80" l="1"/>
  <c r="BN250" i="80" l="1"/>
  <c r="Q250" i="80" s="1"/>
  <c r="BJ250" i="80"/>
  <c r="BK250" i="80" s="1"/>
  <c r="BL250" i="80" s="1"/>
  <c r="BQ250" i="80" l="1"/>
  <c r="BO250" i="80"/>
  <c r="BR250" i="80" l="1"/>
  <c r="BS250" i="80" s="1"/>
  <c r="BP250" i="80"/>
  <c r="K250" i="80"/>
  <c r="M251" i="80" s="1"/>
  <c r="L250" i="80"/>
  <c r="N251" i="80" s="1"/>
  <c r="BT251" i="80" l="1"/>
  <c r="O251" i="80"/>
  <c r="BU251" i="80"/>
  <c r="S251" i="80" l="1"/>
  <c r="BY251" i="80"/>
  <c r="P251" i="80"/>
  <c r="U251" i="80" s="1"/>
  <c r="T251" i="80" l="1"/>
  <c r="V251" i="80" s="1"/>
  <c r="Y251" i="80" s="1"/>
  <c r="X251" i="80"/>
  <c r="AP251" i="80" l="1"/>
  <c r="AQ251" i="80" s="1"/>
  <c r="AD251" i="80"/>
  <c r="BX251" i="80"/>
  <c r="AC251" i="80"/>
  <c r="R251" i="80" l="1"/>
  <c r="AO251" i="80"/>
  <c r="BV252" i="80"/>
  <c r="BE251" i="80"/>
  <c r="AE251" i="80"/>
  <c r="AF251" i="80"/>
  <c r="AR251" i="80"/>
  <c r="AS251" i="80"/>
  <c r="AG251" i="80" l="1"/>
  <c r="AH251" i="80"/>
  <c r="AI251" i="80" s="1"/>
  <c r="AJ251" i="80" s="1"/>
  <c r="AX251" i="80" l="1"/>
  <c r="BD251" i="80"/>
  <c r="AK251" i="80"/>
  <c r="AL251" i="80" s="1"/>
  <c r="AT251" i="80"/>
  <c r="AM251" i="80" l="1"/>
  <c r="AV251" i="80" s="1"/>
  <c r="AN251" i="80"/>
  <c r="BW252" i="80"/>
  <c r="AW251" i="80"/>
  <c r="AY251" i="80" l="1"/>
  <c r="BA251" i="80" s="1"/>
  <c r="AZ251" i="80" l="1"/>
  <c r="BB251" i="80"/>
  <c r="BF251" i="80"/>
  <c r="BG251" i="80" l="1"/>
  <c r="BH251" i="80" s="1"/>
  <c r="BI251" i="80" l="1"/>
  <c r="BN251" i="80" l="1"/>
  <c r="Q251" i="80" s="1"/>
  <c r="BJ251" i="80"/>
  <c r="BK251" i="80" s="1"/>
  <c r="BL251" i="80" s="1"/>
  <c r="BQ251" i="80" l="1"/>
  <c r="BO251" i="80"/>
  <c r="BR251" i="80" l="1"/>
  <c r="BS251" i="80" s="1"/>
  <c r="BP251" i="80"/>
  <c r="K251" i="80"/>
  <c r="M252" i="80" s="1"/>
  <c r="L251" i="80"/>
  <c r="N252" i="80" s="1"/>
  <c r="O252" i="80" l="1"/>
  <c r="BT252" i="80"/>
  <c r="BU252" i="80"/>
  <c r="S252" i="80" l="1"/>
  <c r="P252" i="80"/>
  <c r="U252" i="80" s="1"/>
  <c r="BY252" i="80"/>
  <c r="X252" i="80" l="1"/>
  <c r="T252" i="80"/>
  <c r="V252" i="80" s="1"/>
  <c r="Y252" i="80" s="1"/>
  <c r="BX252" i="80" l="1"/>
  <c r="AP252" i="80"/>
  <c r="AQ252" i="80" s="1"/>
  <c r="AD252" i="80"/>
  <c r="AC252" i="80"/>
  <c r="BE252" i="80" l="1"/>
  <c r="AO252" i="80"/>
  <c r="BV253" i="80"/>
  <c r="R252" i="80"/>
  <c r="AF252" i="80"/>
  <c r="AE252" i="80"/>
  <c r="AR252" i="80"/>
  <c r="AS252" i="80"/>
  <c r="AG252" i="80" l="1"/>
  <c r="AH252" i="80"/>
  <c r="AI252" i="80" s="1"/>
  <c r="AJ252" i="80" s="1"/>
  <c r="BD252" i="80" l="1"/>
  <c r="AK252" i="80"/>
  <c r="AL252" i="80" s="1"/>
  <c r="AX252" i="80"/>
  <c r="AT252" i="80"/>
  <c r="AM252" i="80" l="1"/>
  <c r="AV252" i="80" s="1"/>
  <c r="AN252" i="80"/>
  <c r="BW253" i="80"/>
  <c r="AW252" i="80"/>
  <c r="AY252" i="80" l="1"/>
  <c r="BA252" i="80" s="1"/>
  <c r="AZ252" i="80" l="1"/>
  <c r="BB252" i="80"/>
  <c r="BF252" i="80"/>
  <c r="BG252" i="80" l="1"/>
  <c r="BH252" i="80" s="1"/>
  <c r="BI252" i="80" l="1"/>
  <c r="BN252" i="80" l="1"/>
  <c r="Q252" i="80" s="1"/>
  <c r="BJ252" i="80"/>
  <c r="BK252" i="80" s="1"/>
  <c r="BL252" i="80" s="1"/>
  <c r="BQ252" i="80" l="1"/>
  <c r="BO252" i="80"/>
  <c r="K252" i="80" l="1"/>
  <c r="M253" i="80" s="1"/>
  <c r="L252" i="80"/>
  <c r="N253" i="80" s="1"/>
  <c r="BU253" i="80" s="1"/>
  <c r="BR252" i="80"/>
  <c r="BS252" i="80" s="1"/>
  <c r="BP252" i="80"/>
  <c r="BT253" i="80" l="1"/>
  <c r="O253" i="80"/>
  <c r="BY253" i="80" l="1"/>
  <c r="S253" i="80"/>
  <c r="P253" i="80"/>
  <c r="U253" i="80" s="1"/>
  <c r="T253" i="80" l="1"/>
  <c r="V253" i="80" s="1"/>
  <c r="Y253" i="80" s="1"/>
  <c r="X253" i="80"/>
  <c r="AD253" i="80" l="1"/>
  <c r="AP253" i="80"/>
  <c r="AQ253" i="80" s="1"/>
  <c r="BX253" i="80"/>
  <c r="AC253" i="80"/>
  <c r="BE253" i="80" l="1"/>
  <c r="AO253" i="80"/>
  <c r="BV254" i="80"/>
  <c r="R253" i="80"/>
  <c r="AR253" i="80"/>
  <c r="AS253" i="80"/>
  <c r="AF253" i="80"/>
  <c r="AE253" i="80"/>
  <c r="AH253" i="80" l="1"/>
  <c r="AI253" i="80" s="1"/>
  <c r="AJ253" i="80" s="1"/>
  <c r="AG253" i="80"/>
  <c r="AX253" i="80" l="1"/>
  <c r="AK253" i="80"/>
  <c r="AL253" i="80" s="1"/>
  <c r="BD253" i="80"/>
  <c r="AT253" i="80"/>
  <c r="AM253" i="80" l="1"/>
  <c r="AV253" i="80" s="1"/>
  <c r="BW254" i="80"/>
  <c r="AN253" i="80"/>
  <c r="AW253" i="80"/>
  <c r="AY253" i="80" l="1"/>
  <c r="BA253" i="80" s="1"/>
  <c r="AZ253" i="80" l="1"/>
  <c r="BB253" i="80"/>
  <c r="BF253" i="80"/>
  <c r="BG253" i="80" l="1"/>
  <c r="BH253" i="80" s="1"/>
  <c r="BI253" i="80" l="1"/>
  <c r="BN253" i="80" l="1"/>
  <c r="Q253" i="80" s="1"/>
  <c r="BJ253" i="80"/>
  <c r="BK253" i="80" s="1"/>
  <c r="BL253" i="80" s="1"/>
  <c r="BQ253" i="80" l="1"/>
  <c r="BO253" i="80"/>
  <c r="BR253" i="80" l="1"/>
  <c r="BS253" i="80" s="1"/>
  <c r="BP253" i="80"/>
  <c r="L253" i="80"/>
  <c r="N254" i="80" s="1"/>
  <c r="K253" i="80"/>
  <c r="M254" i="80" s="1"/>
  <c r="BU254" i="80" l="1"/>
  <c r="O254" i="80"/>
  <c r="BT254" i="80"/>
  <c r="BY254" i="80" l="1"/>
  <c r="S254" i="80"/>
  <c r="P254" i="80"/>
  <c r="U254" i="80" s="1"/>
  <c r="T254" i="80" l="1"/>
  <c r="V254" i="80" s="1"/>
  <c r="Y254" i="80" s="1"/>
  <c r="X254" i="80"/>
  <c r="AP254" i="80" l="1"/>
  <c r="AQ254" i="80" s="1"/>
  <c r="AD254" i="80"/>
  <c r="BX254" i="80"/>
  <c r="AC254" i="80"/>
  <c r="R254" i="80" l="1"/>
  <c r="AO254" i="80"/>
  <c r="BV255" i="80"/>
  <c r="BE254" i="80"/>
  <c r="AF254" i="80"/>
  <c r="AE254" i="80"/>
  <c r="AR254" i="80"/>
  <c r="AS254" i="80"/>
  <c r="AH254" i="80" l="1"/>
  <c r="AI254" i="80" s="1"/>
  <c r="AJ254" i="80" s="1"/>
  <c r="AG254" i="80"/>
  <c r="BD254" i="80" l="1"/>
  <c r="AK254" i="80"/>
  <c r="AL254" i="80" s="1"/>
  <c r="AX254" i="80"/>
  <c r="AT254" i="80"/>
  <c r="AM254" i="80" l="1"/>
  <c r="AV254" i="80" s="1"/>
  <c r="AN254" i="80"/>
  <c r="BW255" i="80"/>
  <c r="AW254" i="80"/>
  <c r="AY254" i="80" l="1"/>
  <c r="BA254" i="80" s="1"/>
  <c r="AZ254" i="80" l="1"/>
  <c r="BB254" i="80"/>
  <c r="BF254" i="80"/>
  <c r="BG254" i="80" l="1"/>
  <c r="BH254" i="80" s="1"/>
  <c r="BI254" i="80" l="1"/>
  <c r="BN254" i="80" l="1"/>
  <c r="Q254" i="80" s="1"/>
  <c r="BJ254" i="80"/>
  <c r="BK254" i="80" s="1"/>
  <c r="BL254" i="80" s="1"/>
  <c r="BQ254" i="80" l="1"/>
  <c r="BO254" i="80"/>
  <c r="BR254" i="80" l="1"/>
  <c r="BS254" i="80" s="1"/>
  <c r="BP254" i="80"/>
  <c r="L254" i="80"/>
  <c r="N255" i="80" s="1"/>
  <c r="K254" i="80"/>
  <c r="M255" i="80" s="1"/>
  <c r="BU255" i="80" l="1"/>
  <c r="BT255" i="80"/>
  <c r="O255" i="80"/>
  <c r="S255" i="80" l="1"/>
  <c r="P255" i="80"/>
  <c r="U255" i="80" s="1"/>
  <c r="BY255" i="80"/>
  <c r="T255" i="80" l="1"/>
  <c r="V255" i="80" s="1"/>
  <c r="Y255" i="80" s="1"/>
  <c r="X255" i="80"/>
  <c r="AD255" i="80" l="1"/>
  <c r="AP255" i="80"/>
  <c r="AQ255" i="80" s="1"/>
  <c r="BX255" i="80"/>
  <c r="AC255" i="80"/>
  <c r="BE255" i="80" l="1"/>
  <c r="AO255" i="80"/>
  <c r="R255" i="80"/>
  <c r="BV256" i="80"/>
  <c r="AE255" i="80"/>
  <c r="AF255" i="80"/>
  <c r="AR255" i="80"/>
  <c r="AS255" i="80"/>
  <c r="AH255" i="80" l="1"/>
  <c r="AI255" i="80" s="1"/>
  <c r="AJ255" i="80" s="1"/>
  <c r="AG255" i="80"/>
  <c r="AX255" i="80" l="1"/>
  <c r="AK255" i="80"/>
  <c r="AL255" i="80" s="1"/>
  <c r="BD255" i="80"/>
  <c r="AT255" i="80"/>
  <c r="AM255" i="80" l="1"/>
  <c r="AV255" i="80" s="1"/>
  <c r="BW256" i="80"/>
  <c r="AN255" i="80"/>
  <c r="AW255" i="80"/>
  <c r="AY255" i="80" l="1"/>
  <c r="BA255" i="80" s="1"/>
  <c r="AZ255" i="80" l="1"/>
  <c r="BB255" i="80"/>
  <c r="BF255" i="80"/>
  <c r="BG255" i="80" l="1"/>
  <c r="BH255" i="80" s="1"/>
  <c r="BI255" i="80" l="1"/>
  <c r="BN255" i="80" l="1"/>
  <c r="Q255" i="80" s="1"/>
  <c r="BJ255" i="80"/>
  <c r="BK255" i="80" s="1"/>
  <c r="BL255" i="80" s="1"/>
  <c r="BQ255" i="80" l="1"/>
  <c r="BO255" i="80"/>
  <c r="BR255" i="80" l="1"/>
  <c r="BS255" i="80" s="1"/>
  <c r="BP255" i="80"/>
  <c r="L255" i="80"/>
  <c r="N256" i="80" s="1"/>
  <c r="K255" i="80"/>
  <c r="M256" i="80" s="1"/>
  <c r="BU256" i="80" l="1"/>
  <c r="O256" i="80"/>
  <c r="BT256" i="80"/>
  <c r="BY256" i="80" l="1"/>
  <c r="S256" i="80"/>
  <c r="P256" i="80"/>
  <c r="U256" i="80" s="1"/>
  <c r="X256" i="80" l="1"/>
  <c r="T256" i="80"/>
  <c r="V256" i="80" s="1"/>
  <c r="Y256" i="80" s="1"/>
  <c r="BX256" i="80" l="1"/>
  <c r="AD256" i="80"/>
  <c r="AP256" i="80"/>
  <c r="AQ256" i="80" s="1"/>
  <c r="AC256" i="80"/>
  <c r="BE256" i="80" l="1"/>
  <c r="AO256" i="80"/>
  <c r="BV257" i="80"/>
  <c r="R256" i="80"/>
  <c r="AR256" i="80"/>
  <c r="AS256" i="80"/>
  <c r="AF256" i="80"/>
  <c r="AE256" i="80"/>
  <c r="AG256" i="80" l="1"/>
  <c r="AH256" i="80"/>
  <c r="AI256" i="80" s="1"/>
  <c r="AJ256" i="80" s="1"/>
  <c r="AK256" i="80" l="1"/>
  <c r="AL256" i="80" s="1"/>
  <c r="BD256" i="80"/>
  <c r="AX256" i="80"/>
  <c r="AT256" i="80"/>
  <c r="AM256" i="80" l="1"/>
  <c r="AV256" i="80" s="1"/>
  <c r="AN256" i="80"/>
  <c r="BW257" i="80"/>
  <c r="AW256" i="80"/>
  <c r="AY256" i="80" l="1"/>
  <c r="BA256" i="80" s="1"/>
  <c r="AZ256" i="80" l="1"/>
  <c r="BB256" i="80"/>
  <c r="BF256" i="80"/>
  <c r="BG256" i="80" l="1"/>
  <c r="BH256" i="80" s="1"/>
  <c r="BI256" i="80" l="1"/>
  <c r="BN256" i="80" l="1"/>
  <c r="Q256" i="80" s="1"/>
  <c r="BJ256" i="80"/>
  <c r="BK256" i="80" s="1"/>
  <c r="BL256" i="80" s="1"/>
  <c r="BQ256" i="80" l="1"/>
  <c r="BO256" i="80"/>
  <c r="BR256" i="80" l="1"/>
  <c r="BS256" i="80" s="1"/>
  <c r="BP256" i="80"/>
  <c r="L256" i="80"/>
  <c r="N257" i="80" s="1"/>
  <c r="K256" i="80"/>
  <c r="M257" i="80" s="1"/>
  <c r="BU257" i="80" l="1"/>
  <c r="BT257" i="80"/>
  <c r="O257" i="80"/>
  <c r="P257" i="80" l="1"/>
  <c r="U257" i="80" s="1"/>
  <c r="BY257" i="80"/>
  <c r="S257" i="80"/>
  <c r="T257" i="80" l="1"/>
  <c r="V257" i="80" s="1"/>
  <c r="Y257" i="80" s="1"/>
  <c r="X257" i="80"/>
  <c r="BX257" i="80" l="1"/>
  <c r="AP257" i="80"/>
  <c r="AQ257" i="80" s="1"/>
  <c r="AD257" i="80"/>
  <c r="AC257" i="80"/>
  <c r="BE257" i="80" l="1"/>
  <c r="AO257" i="80"/>
  <c r="BV258" i="80"/>
  <c r="R257" i="80"/>
  <c r="AR257" i="80"/>
  <c r="AS257" i="80"/>
  <c r="AE257" i="80"/>
  <c r="AF257" i="80"/>
  <c r="AH257" i="80" l="1"/>
  <c r="AI257" i="80" s="1"/>
  <c r="AJ257" i="80" s="1"/>
  <c r="AG257" i="80"/>
  <c r="BD257" i="80" l="1"/>
  <c r="AK257" i="80"/>
  <c r="AL257" i="80" s="1"/>
  <c r="AX257" i="80"/>
  <c r="AT257" i="80"/>
  <c r="AM257" i="80" l="1"/>
  <c r="AV257" i="80" s="1"/>
  <c r="BW258" i="80"/>
  <c r="AN257" i="80"/>
  <c r="AW257" i="80"/>
  <c r="AY257" i="80" l="1"/>
  <c r="BA257" i="80" s="1"/>
  <c r="AZ257" i="80" l="1"/>
  <c r="BB257" i="80"/>
  <c r="BF257" i="80"/>
  <c r="BG257" i="80" l="1"/>
  <c r="BH257" i="80" s="1"/>
  <c r="BI257" i="80" l="1"/>
  <c r="BN257" i="80" l="1"/>
  <c r="Q257" i="80" s="1"/>
  <c r="BJ257" i="80"/>
  <c r="BK257" i="80" s="1"/>
  <c r="BL257" i="80" s="1"/>
  <c r="BQ257" i="80" l="1"/>
  <c r="BO257" i="80"/>
  <c r="BR257" i="80" l="1"/>
  <c r="BS257" i="80" s="1"/>
  <c r="BP257" i="80"/>
  <c r="L257" i="80"/>
  <c r="N258" i="80" s="1"/>
  <c r="BU258" i="80" s="1"/>
  <c r="K257" i="80"/>
  <c r="M258" i="80" s="1"/>
  <c r="O258" i="80" l="1"/>
  <c r="BT258" i="80"/>
  <c r="BY258" i="80" l="1"/>
  <c r="S258" i="80"/>
  <c r="P258" i="80"/>
  <c r="U258" i="80" s="1"/>
  <c r="T258" i="80" l="1"/>
  <c r="V258" i="80" s="1"/>
  <c r="Y258" i="80" s="1"/>
  <c r="X258" i="80"/>
  <c r="AP258" i="80" l="1"/>
  <c r="AQ258" i="80" s="1"/>
  <c r="BX258" i="80"/>
  <c r="AD258" i="80"/>
  <c r="AC258" i="80"/>
  <c r="R258" i="80" l="1"/>
  <c r="AO258" i="80"/>
  <c r="BV259" i="80"/>
  <c r="BE258" i="80"/>
  <c r="AE258" i="80"/>
  <c r="AF258" i="80"/>
  <c r="AR258" i="80"/>
  <c r="AS258" i="80"/>
  <c r="AH258" i="80" l="1"/>
  <c r="AI258" i="80" s="1"/>
  <c r="AJ258" i="80" s="1"/>
  <c r="AG258" i="80"/>
  <c r="AX258" i="80" l="1"/>
  <c r="AK258" i="80"/>
  <c r="AL258" i="80" s="1"/>
  <c r="BD258" i="80"/>
  <c r="AT258" i="80"/>
  <c r="AM258" i="80" l="1"/>
  <c r="AV258" i="80" s="1"/>
  <c r="AN258" i="80"/>
  <c r="BW259" i="80"/>
  <c r="AW258" i="80"/>
  <c r="AY258" i="80" l="1"/>
  <c r="BA258" i="80" s="1"/>
  <c r="AZ258" i="80" l="1"/>
  <c r="BB258" i="80"/>
  <c r="BF258" i="80"/>
  <c r="BG258" i="80" l="1"/>
  <c r="BH258" i="80" s="1"/>
  <c r="BI258" i="80" l="1"/>
  <c r="BN258" i="80" l="1"/>
  <c r="Q258" i="80" s="1"/>
  <c r="BJ258" i="80"/>
  <c r="BK258" i="80" s="1"/>
  <c r="BL258" i="80" s="1"/>
  <c r="BQ258" i="80" l="1"/>
  <c r="BO258" i="80"/>
  <c r="BR258" i="80" l="1"/>
  <c r="BS258" i="80" s="1"/>
  <c r="BP258" i="80"/>
  <c r="L258" i="80"/>
  <c r="N259" i="80" s="1"/>
  <c r="K258" i="80"/>
  <c r="M259" i="80" s="1"/>
  <c r="BU259" i="80" l="1"/>
  <c r="BT259" i="80"/>
  <c r="O259" i="80"/>
  <c r="P259" i="80" l="1"/>
  <c r="U259" i="80" s="1"/>
  <c r="S259" i="80"/>
  <c r="BY259" i="80"/>
  <c r="T259" i="80" l="1"/>
  <c r="V259" i="80" s="1"/>
  <c r="Y259" i="80" s="1"/>
  <c r="X259" i="80"/>
  <c r="AD259" i="80" l="1"/>
  <c r="AP259" i="80"/>
  <c r="AQ259" i="80" s="1"/>
  <c r="BX259" i="80"/>
  <c r="AC259" i="80"/>
  <c r="BE259" i="80" l="1"/>
  <c r="AO259" i="80"/>
  <c r="BV260" i="80"/>
  <c r="R259" i="80"/>
  <c r="AF259" i="80"/>
  <c r="AE259" i="80"/>
  <c r="AR259" i="80"/>
  <c r="AS259" i="80"/>
  <c r="AH259" i="80" l="1"/>
  <c r="AI259" i="80" s="1"/>
  <c r="AJ259" i="80" s="1"/>
  <c r="AG259" i="80"/>
  <c r="AK259" i="80" l="1"/>
  <c r="AL259" i="80" s="1"/>
  <c r="AX259" i="80"/>
  <c r="BD259" i="80"/>
  <c r="AT259" i="80"/>
  <c r="AM259" i="80" l="1"/>
  <c r="AV259" i="80" s="1"/>
  <c r="BW260" i="80"/>
  <c r="AN259" i="80"/>
  <c r="AW259" i="80"/>
  <c r="AY259" i="80" l="1"/>
  <c r="BA259" i="80" s="1"/>
  <c r="AZ259" i="80" l="1"/>
  <c r="BB259" i="80"/>
  <c r="BF259" i="80"/>
  <c r="BG259" i="80" l="1"/>
  <c r="BH259" i="80" s="1"/>
  <c r="BI259" i="80" l="1"/>
  <c r="BN259" i="80" l="1"/>
  <c r="Q259" i="80" s="1"/>
  <c r="BJ259" i="80"/>
  <c r="BK259" i="80" s="1"/>
  <c r="BL259" i="80" s="1"/>
  <c r="BQ259" i="80" l="1"/>
  <c r="BO259" i="80"/>
  <c r="L259" i="80" l="1"/>
  <c r="N260" i="80" s="1"/>
  <c r="K259" i="80"/>
  <c r="M260" i="80" s="1"/>
  <c r="BR259" i="80"/>
  <c r="BS259" i="80" s="1"/>
  <c r="BP259" i="80"/>
  <c r="BT260" i="80" l="1"/>
  <c r="O260" i="80"/>
  <c r="BU260" i="80"/>
  <c r="P260" i="80" l="1"/>
  <c r="U260" i="80" s="1"/>
  <c r="S260" i="80"/>
  <c r="BY260" i="80"/>
  <c r="T260" i="80" l="1"/>
  <c r="V260" i="80" s="1"/>
  <c r="Y260" i="80" s="1"/>
  <c r="X260" i="80"/>
  <c r="BX260" i="80" l="1"/>
  <c r="AP260" i="80"/>
  <c r="AQ260" i="80" s="1"/>
  <c r="AD260" i="80"/>
  <c r="AC260" i="80"/>
  <c r="BE260" i="80" l="1"/>
  <c r="AO260" i="80"/>
  <c r="BV261" i="80"/>
  <c r="R260" i="80"/>
  <c r="AE260" i="80"/>
  <c r="AF260" i="80"/>
  <c r="AR260" i="80"/>
  <c r="AS260" i="80"/>
  <c r="AG260" i="80" l="1"/>
  <c r="AH260" i="80"/>
  <c r="AI260" i="80" s="1"/>
  <c r="AJ260" i="80" s="1"/>
  <c r="AX260" i="80" l="1"/>
  <c r="BD260" i="80"/>
  <c r="AK260" i="80"/>
  <c r="AL260" i="80" s="1"/>
  <c r="AT260" i="80"/>
  <c r="AM260" i="80" l="1"/>
  <c r="AV260" i="80" s="1"/>
  <c r="BW261" i="80"/>
  <c r="AN260" i="80"/>
  <c r="AW260" i="80"/>
  <c r="AY260" i="80" l="1"/>
  <c r="BA260" i="80" s="1"/>
  <c r="AZ260" i="80" l="1"/>
  <c r="BB260" i="80"/>
  <c r="BF260" i="80"/>
  <c r="BG260" i="80" l="1"/>
  <c r="BH260" i="80" s="1"/>
  <c r="BI260" i="80" l="1"/>
  <c r="BN260" i="80" l="1"/>
  <c r="Q260" i="80" s="1"/>
  <c r="BJ260" i="80"/>
  <c r="BK260" i="80" s="1"/>
  <c r="BL260" i="80" s="1"/>
  <c r="BQ260" i="80" l="1"/>
  <c r="BO260" i="80"/>
  <c r="K260" i="80" l="1"/>
  <c r="M261" i="80" s="1"/>
  <c r="L260" i="80"/>
  <c r="N261" i="80" s="1"/>
  <c r="BR260" i="80"/>
  <c r="BS260" i="80" s="1"/>
  <c r="BP260" i="80"/>
  <c r="BU261" i="80" l="1"/>
  <c r="O261" i="80"/>
  <c r="BT261" i="80"/>
  <c r="P261" i="80" l="1"/>
  <c r="U261" i="80" s="1"/>
  <c r="S261" i="80"/>
  <c r="BY261" i="80"/>
  <c r="T261" i="80" l="1"/>
  <c r="V261" i="80" s="1"/>
  <c r="Y261" i="80" s="1"/>
  <c r="X261" i="80"/>
  <c r="AD261" i="80" l="1"/>
  <c r="BX261" i="80"/>
  <c r="AP261" i="80"/>
  <c r="AQ261" i="80" s="1"/>
  <c r="AC261" i="80"/>
  <c r="R261" i="80" l="1"/>
  <c r="AO261" i="80"/>
  <c r="BE261" i="80"/>
  <c r="BV262" i="80"/>
  <c r="AR261" i="80"/>
  <c r="AS261" i="80"/>
  <c r="AF261" i="80"/>
  <c r="AE261" i="80"/>
  <c r="AG261" i="80" l="1"/>
  <c r="AH261" i="80"/>
  <c r="AI261" i="80" s="1"/>
  <c r="AJ261" i="80" s="1"/>
  <c r="BD261" i="80" l="1"/>
  <c r="AX261" i="80"/>
  <c r="AK261" i="80"/>
  <c r="AL261" i="80" s="1"/>
  <c r="AT261" i="80"/>
  <c r="AM261" i="80" l="1"/>
  <c r="AV261" i="80" s="1"/>
  <c r="BW262" i="80"/>
  <c r="AN261" i="80"/>
  <c r="AW261" i="80"/>
  <c r="AY261" i="80" l="1"/>
  <c r="BA261" i="80" s="1"/>
  <c r="AZ261" i="80" l="1"/>
  <c r="BB261" i="80"/>
  <c r="BF261" i="80"/>
  <c r="BG261" i="80" l="1"/>
  <c r="BH261" i="80" s="1"/>
  <c r="BI261" i="80" l="1"/>
  <c r="BN261" i="80" l="1"/>
  <c r="Q261" i="80" s="1"/>
  <c r="BJ261" i="80"/>
  <c r="BK261" i="80" s="1"/>
  <c r="BL261" i="80" s="1"/>
  <c r="BQ261" i="80" l="1"/>
  <c r="BO261" i="80"/>
  <c r="L261" i="80" l="1"/>
  <c r="N262" i="80" s="1"/>
  <c r="K261" i="80"/>
  <c r="M262" i="80" s="1"/>
  <c r="BR261" i="80"/>
  <c r="BS261" i="80" s="1"/>
  <c r="BP261" i="80"/>
  <c r="BT262" i="80" l="1"/>
  <c r="O262" i="80"/>
  <c r="BU262" i="80"/>
  <c r="S262" i="80" l="1"/>
  <c r="P262" i="80"/>
  <c r="U262" i="80" s="1"/>
  <c r="BY262" i="80"/>
  <c r="X262" i="80" l="1"/>
  <c r="T262" i="80"/>
  <c r="V262" i="80" s="1"/>
  <c r="Y262" i="80" s="1"/>
  <c r="BX262" i="80" l="1"/>
  <c r="AD262" i="80"/>
  <c r="AP262" i="80"/>
  <c r="AQ262" i="80" s="1"/>
  <c r="AC262" i="80"/>
  <c r="BE262" i="80" l="1"/>
  <c r="AO262" i="80"/>
  <c r="R262" i="80"/>
  <c r="BV263" i="80"/>
  <c r="AR262" i="80"/>
  <c r="AS262" i="80"/>
  <c r="AE262" i="80"/>
  <c r="AF262" i="80"/>
  <c r="AG262" i="80" l="1"/>
  <c r="AH262" i="80"/>
  <c r="AI262" i="80" s="1"/>
  <c r="AJ262" i="80" s="1"/>
  <c r="BD262" i="80" l="1"/>
  <c r="AX262" i="80"/>
  <c r="AK262" i="80"/>
  <c r="AL262" i="80" s="1"/>
  <c r="AT262" i="80"/>
  <c r="AM262" i="80" l="1"/>
  <c r="AV262" i="80" s="1"/>
  <c r="AN262" i="80"/>
  <c r="BW263" i="80"/>
  <c r="AW262" i="80"/>
  <c r="AY262" i="80" l="1"/>
  <c r="BA262" i="80" s="1"/>
  <c r="AZ262" i="80" l="1"/>
  <c r="BB262" i="80"/>
  <c r="BF262" i="80"/>
  <c r="BG262" i="80" l="1"/>
  <c r="BH262" i="80" s="1"/>
  <c r="BI262" i="80" l="1"/>
  <c r="BJ262" i="80" l="1"/>
  <c r="BK262" i="80" s="1"/>
  <c r="BL262" i="80" s="1"/>
  <c r="BN262" i="80"/>
  <c r="Q262" i="80" s="1"/>
  <c r="BQ262" i="80" l="1"/>
  <c r="BO262" i="80"/>
  <c r="BR262" i="80" l="1"/>
  <c r="BS262" i="80" s="1"/>
  <c r="BP262" i="80"/>
  <c r="K262" i="80"/>
  <c r="M263" i="80" s="1"/>
  <c r="L262" i="80"/>
  <c r="N263" i="80" s="1"/>
  <c r="BU263" i="80" l="1"/>
  <c r="BT263" i="80"/>
  <c r="O263" i="80"/>
  <c r="P263" i="80" l="1"/>
  <c r="U263" i="80" s="1"/>
  <c r="S263" i="80"/>
  <c r="BY263" i="80"/>
  <c r="T263" i="80" l="1"/>
  <c r="V263" i="80" s="1"/>
  <c r="Y263" i="80" s="1"/>
  <c r="X263" i="80"/>
  <c r="AP263" i="80" l="1"/>
  <c r="AQ263" i="80" s="1"/>
  <c r="AD263" i="80"/>
  <c r="BX263" i="80"/>
  <c r="AC263" i="80"/>
  <c r="R263" i="80" l="1"/>
  <c r="AO263" i="80"/>
  <c r="BE263" i="80"/>
  <c r="BV264" i="80"/>
  <c r="AE263" i="80"/>
  <c r="AF263" i="80"/>
  <c r="AR263" i="80"/>
  <c r="AS263" i="80"/>
  <c r="AG263" i="80" l="1"/>
  <c r="AH263" i="80"/>
  <c r="AI263" i="80" s="1"/>
  <c r="AJ263" i="80" s="1"/>
  <c r="AK263" i="80" l="1"/>
  <c r="AL263" i="80" s="1"/>
  <c r="AX263" i="80"/>
  <c r="BD263" i="80"/>
  <c r="AT263" i="80"/>
  <c r="AM263" i="80" l="1"/>
  <c r="AV263" i="80" s="1"/>
  <c r="BW264" i="80"/>
  <c r="AN263" i="80"/>
  <c r="AW263" i="80"/>
  <c r="AY263" i="80" l="1"/>
  <c r="BA263" i="80" s="1"/>
  <c r="AZ263" i="80" l="1"/>
  <c r="BB263" i="80"/>
  <c r="BF263" i="80"/>
  <c r="BG263" i="80" l="1"/>
  <c r="BH263" i="80" s="1"/>
  <c r="BI263" i="80" l="1"/>
  <c r="BN263" i="80" l="1"/>
  <c r="Q263" i="80" s="1"/>
  <c r="BJ263" i="80"/>
  <c r="BK263" i="80" s="1"/>
  <c r="BL263" i="80" s="1"/>
  <c r="BQ263" i="80" l="1"/>
  <c r="BO263" i="80"/>
  <c r="BR263" i="80" l="1"/>
  <c r="BS263" i="80" s="1"/>
  <c r="BP263" i="80"/>
  <c r="L263" i="80"/>
  <c r="N264" i="80" s="1"/>
  <c r="K263" i="80"/>
  <c r="M264" i="80" s="1"/>
  <c r="BU264" i="80" l="1"/>
  <c r="BT264" i="80"/>
  <c r="O264" i="80"/>
  <c r="S264" i="80" l="1"/>
  <c r="P264" i="80"/>
  <c r="U264" i="80" s="1"/>
  <c r="BY264" i="80"/>
  <c r="T264" i="80" l="1"/>
  <c r="V264" i="80" s="1"/>
  <c r="Y264" i="80" s="1"/>
  <c r="X264" i="80"/>
  <c r="AD264" i="80" l="1"/>
  <c r="BX264" i="80"/>
  <c r="AP264" i="80"/>
  <c r="AQ264" i="80" s="1"/>
  <c r="AC264" i="80"/>
  <c r="BE264" i="80" l="1"/>
  <c r="AO264" i="80"/>
  <c r="BV265" i="80"/>
  <c r="R264" i="80"/>
  <c r="AF264" i="80"/>
  <c r="AE264" i="80"/>
  <c r="AR264" i="80"/>
  <c r="AS264" i="80"/>
  <c r="AH264" i="80" l="1"/>
  <c r="AI264" i="80" s="1"/>
  <c r="AJ264" i="80" s="1"/>
  <c r="AG264" i="80"/>
  <c r="BD264" i="80" l="1"/>
  <c r="AK264" i="80"/>
  <c r="AL264" i="80" s="1"/>
  <c r="AX264" i="80"/>
  <c r="AT264" i="80"/>
  <c r="AM264" i="80" l="1"/>
  <c r="AV264" i="80" s="1"/>
  <c r="AN264" i="80"/>
  <c r="BW265" i="80"/>
  <c r="AW264" i="80"/>
  <c r="AY264" i="80" l="1"/>
  <c r="BA264" i="80" s="1"/>
  <c r="AZ264" i="80" l="1"/>
  <c r="BB264" i="80"/>
  <c r="BF264" i="80"/>
  <c r="BG264" i="80" l="1"/>
  <c r="BH264" i="80" s="1"/>
  <c r="BI264" i="80" l="1"/>
  <c r="BN264" i="80" l="1"/>
  <c r="Q264" i="80" s="1"/>
  <c r="BJ264" i="80"/>
  <c r="BK264" i="80" s="1"/>
  <c r="BL264" i="80" s="1"/>
  <c r="BQ264" i="80" l="1"/>
  <c r="BO264" i="80"/>
  <c r="BR264" i="80" l="1"/>
  <c r="BS264" i="80" s="1"/>
  <c r="BP264" i="80"/>
  <c r="K264" i="80"/>
  <c r="M265" i="80" s="1"/>
  <c r="L264" i="80"/>
  <c r="N265" i="80" s="1"/>
  <c r="O265" i="80" l="1"/>
  <c r="BU265" i="80"/>
  <c r="BT265" i="80"/>
  <c r="BY265" i="80" l="1"/>
  <c r="S265" i="80"/>
  <c r="P265" i="80"/>
  <c r="U265" i="80" s="1"/>
  <c r="T265" i="80" l="1"/>
  <c r="V265" i="80" s="1"/>
  <c r="Y265" i="80" s="1"/>
  <c r="X265" i="80"/>
  <c r="BX265" i="80" l="1"/>
  <c r="AD265" i="80"/>
  <c r="AP265" i="80"/>
  <c r="AQ265" i="80" s="1"/>
  <c r="AC265" i="80"/>
  <c r="R265" i="80" l="1"/>
  <c r="AO265" i="80"/>
  <c r="BV266" i="80"/>
  <c r="BE265" i="80"/>
  <c r="AR265" i="80"/>
  <c r="AS265" i="80"/>
  <c r="AE265" i="80"/>
  <c r="AF265" i="80"/>
  <c r="AG265" i="80" l="1"/>
  <c r="AH265" i="80"/>
  <c r="AI265" i="80" s="1"/>
  <c r="AJ265" i="80" s="1"/>
  <c r="AX265" i="80" l="1"/>
  <c r="BD265" i="80"/>
  <c r="AK265" i="80"/>
  <c r="AL265" i="80" s="1"/>
  <c r="AT265" i="80"/>
  <c r="AM265" i="80" l="1"/>
  <c r="AV265" i="80" s="1"/>
  <c r="BW266" i="80"/>
  <c r="AN265" i="80"/>
  <c r="AW265" i="80"/>
  <c r="AY265" i="80" l="1"/>
  <c r="BA265" i="80" s="1"/>
  <c r="AZ265" i="80" l="1"/>
  <c r="BB265" i="80"/>
  <c r="BF265" i="80"/>
  <c r="BG265" i="80" l="1"/>
  <c r="BH265" i="80" s="1"/>
  <c r="BI265" i="80" l="1"/>
  <c r="BN265" i="80" l="1"/>
  <c r="Q265" i="80" s="1"/>
  <c r="BJ265" i="80"/>
  <c r="BK265" i="80" s="1"/>
  <c r="BL265" i="80" s="1"/>
  <c r="BQ265" i="80" l="1"/>
  <c r="BO265" i="80"/>
  <c r="BR265" i="80" l="1"/>
  <c r="BS265" i="80" s="1"/>
  <c r="BP265" i="80"/>
  <c r="L265" i="80"/>
  <c r="N266" i="80" s="1"/>
  <c r="K265" i="80"/>
  <c r="M266" i="80" s="1"/>
  <c r="BT266" i="80" l="1"/>
  <c r="O266" i="80"/>
  <c r="BU266" i="80"/>
  <c r="P266" i="80" l="1"/>
  <c r="U266" i="80" s="1"/>
  <c r="S266" i="80"/>
  <c r="BY266" i="80"/>
  <c r="T266" i="80" l="1"/>
  <c r="V266" i="80" s="1"/>
  <c r="Y266" i="80" s="1"/>
  <c r="X266" i="80"/>
  <c r="AD266" i="80" l="1"/>
  <c r="AP266" i="80"/>
  <c r="AQ266" i="80" s="1"/>
  <c r="BX266" i="80"/>
  <c r="AC266" i="80"/>
  <c r="BE266" i="80" l="1"/>
  <c r="AO266" i="80"/>
  <c r="BV267" i="80"/>
  <c r="R266" i="80"/>
  <c r="AE266" i="80"/>
  <c r="AF266" i="80"/>
  <c r="AR266" i="80"/>
  <c r="AS266" i="80"/>
  <c r="AH266" i="80" l="1"/>
  <c r="AI266" i="80" s="1"/>
  <c r="AJ266" i="80" s="1"/>
  <c r="AG266" i="80"/>
  <c r="AK266" i="80" l="1"/>
  <c r="AL266" i="80" s="1"/>
  <c r="BD266" i="80"/>
  <c r="AX266" i="80"/>
  <c r="AT266" i="80"/>
  <c r="AM266" i="80" l="1"/>
  <c r="AV266" i="80" s="1"/>
  <c r="BW267" i="80"/>
  <c r="AN266" i="80"/>
  <c r="AW266" i="80"/>
  <c r="AY266" i="80" l="1"/>
  <c r="BA266" i="80" s="1"/>
  <c r="AZ266" i="80" l="1"/>
  <c r="BB266" i="80"/>
  <c r="BF266" i="80"/>
  <c r="BG266" i="80" l="1"/>
  <c r="BH266" i="80" s="1"/>
  <c r="BI266" i="80" l="1"/>
  <c r="BN266" i="80" l="1"/>
  <c r="Q266" i="80" s="1"/>
  <c r="BJ266" i="80"/>
  <c r="BK266" i="80" s="1"/>
  <c r="BL266" i="80" s="1"/>
  <c r="BQ266" i="80" l="1"/>
  <c r="BO266" i="80"/>
  <c r="BR266" i="80" l="1"/>
  <c r="BS266" i="80" s="1"/>
  <c r="BP266" i="80"/>
  <c r="K266" i="80"/>
  <c r="M267" i="80" s="1"/>
  <c r="L266" i="80"/>
  <c r="N267" i="80" s="1"/>
  <c r="BU267" i="80" l="1"/>
  <c r="BT267" i="80"/>
  <c r="O267" i="80"/>
  <c r="S267" i="80" l="1"/>
  <c r="P267" i="80"/>
  <c r="U267" i="80" s="1"/>
  <c r="BY267" i="80"/>
  <c r="T267" i="80" l="1"/>
  <c r="V267" i="80" s="1"/>
  <c r="Y267" i="80" s="1"/>
  <c r="X267" i="80"/>
  <c r="AD267" i="80" l="1"/>
  <c r="BX267" i="80"/>
  <c r="AP267" i="80"/>
  <c r="AQ267" i="80" s="1"/>
  <c r="AC267" i="80"/>
  <c r="R267" i="80" l="1"/>
  <c r="AO267" i="80"/>
  <c r="BV268" i="80"/>
  <c r="BE267" i="80"/>
  <c r="AR267" i="80"/>
  <c r="AS267" i="80"/>
  <c r="AF267" i="80"/>
  <c r="AE267" i="80"/>
  <c r="AG267" i="80" l="1"/>
  <c r="AH267" i="80"/>
  <c r="AI267" i="80" s="1"/>
  <c r="AJ267" i="80" s="1"/>
  <c r="BD267" i="80" l="1"/>
  <c r="AX267" i="80"/>
  <c r="AK267" i="80"/>
  <c r="AL267" i="80" s="1"/>
  <c r="AT267" i="80"/>
  <c r="AM267" i="80" l="1"/>
  <c r="AV267" i="80" s="1"/>
  <c r="AN267" i="80"/>
  <c r="BW268" i="80"/>
  <c r="AW267" i="80"/>
  <c r="AY267" i="80" l="1"/>
  <c r="BA267" i="80" s="1"/>
  <c r="AZ267" i="80" l="1"/>
  <c r="BB267" i="80"/>
  <c r="BF267" i="80"/>
  <c r="BG267" i="80" l="1"/>
  <c r="BH267" i="80" s="1"/>
  <c r="BI267" i="80" l="1"/>
  <c r="BN267" i="80" l="1"/>
  <c r="Q267" i="80" s="1"/>
  <c r="BJ267" i="80"/>
  <c r="BK267" i="80" s="1"/>
  <c r="BL267" i="80" s="1"/>
  <c r="BQ267" i="80" l="1"/>
  <c r="BO267" i="80"/>
  <c r="L267" i="80" l="1"/>
  <c r="N268" i="80" s="1"/>
  <c r="K267" i="80"/>
  <c r="M268" i="80" s="1"/>
  <c r="BR267" i="80"/>
  <c r="BS267" i="80" s="1"/>
  <c r="BP267" i="80"/>
  <c r="BT268" i="80" l="1"/>
  <c r="O268" i="80"/>
  <c r="BU268" i="80"/>
  <c r="S268" i="80" l="1"/>
  <c r="BY268" i="80"/>
  <c r="P268" i="80"/>
  <c r="U268" i="80" s="1"/>
  <c r="T268" i="80" l="1"/>
  <c r="V268" i="80" s="1"/>
  <c r="Y268" i="80" s="1"/>
  <c r="X268" i="80"/>
  <c r="AP268" i="80" l="1"/>
  <c r="AQ268" i="80" s="1"/>
  <c r="BX268" i="80"/>
  <c r="AD268" i="80"/>
  <c r="AC268" i="80"/>
  <c r="BE268" i="80" l="1"/>
  <c r="AO268" i="80"/>
  <c r="R268" i="80"/>
  <c r="BV269" i="80"/>
  <c r="AF268" i="80"/>
  <c r="AE268" i="80"/>
  <c r="AR268" i="80"/>
  <c r="AS268" i="80"/>
  <c r="AH268" i="80" l="1"/>
  <c r="AI268" i="80" s="1"/>
  <c r="AJ268" i="80" s="1"/>
  <c r="AG268" i="80"/>
  <c r="AX268" i="80" l="1"/>
  <c r="BD268" i="80"/>
  <c r="AK268" i="80"/>
  <c r="AL268" i="80" s="1"/>
  <c r="AT268" i="80"/>
  <c r="AM268" i="80" l="1"/>
  <c r="AV268" i="80" s="1"/>
  <c r="AN268" i="80"/>
  <c r="BW269" i="80"/>
  <c r="AW268" i="80"/>
  <c r="AY268" i="80" l="1"/>
  <c r="BA268" i="80" s="1"/>
  <c r="AZ268" i="80" l="1"/>
  <c r="BB268" i="80"/>
  <c r="BF268" i="80"/>
  <c r="BG268" i="80" l="1"/>
  <c r="BH268" i="80" s="1"/>
  <c r="BI268" i="80" l="1"/>
  <c r="BN268" i="80" l="1"/>
  <c r="Q268" i="80" s="1"/>
  <c r="BJ268" i="80"/>
  <c r="BK268" i="80" s="1"/>
  <c r="BL268" i="80" s="1"/>
  <c r="BQ268" i="80" l="1"/>
  <c r="BO268" i="80"/>
  <c r="BR268" i="80" l="1"/>
  <c r="BS268" i="80" s="1"/>
  <c r="BP268" i="80"/>
  <c r="K268" i="80"/>
  <c r="M269" i="80" s="1"/>
  <c r="L268" i="80"/>
  <c r="N269" i="80" s="1"/>
  <c r="BU269" i="80" s="1"/>
  <c r="BT269" i="80" l="1"/>
  <c r="O269" i="80"/>
  <c r="P269" i="80" l="1"/>
  <c r="U269" i="80" s="1"/>
  <c r="S269" i="80"/>
  <c r="BY269" i="80"/>
  <c r="T269" i="80" l="1"/>
  <c r="V269" i="80" s="1"/>
  <c r="Y269" i="80" s="1"/>
  <c r="X269" i="80"/>
  <c r="AP269" i="80" l="1"/>
  <c r="AQ269" i="80" s="1"/>
  <c r="BX269" i="80"/>
  <c r="AD269" i="80"/>
  <c r="AC269" i="80"/>
  <c r="BE269" i="80" l="1"/>
  <c r="AO269" i="80"/>
  <c r="BV270" i="80"/>
  <c r="R269" i="80"/>
  <c r="AR269" i="80"/>
  <c r="AS269" i="80"/>
  <c r="AE269" i="80"/>
  <c r="AF269" i="80"/>
  <c r="AH269" i="80" l="1"/>
  <c r="AI269" i="80" s="1"/>
  <c r="AJ269" i="80" s="1"/>
  <c r="AG269" i="80"/>
  <c r="AX269" i="80" l="1"/>
  <c r="BD269" i="80"/>
  <c r="AK269" i="80"/>
  <c r="AL269" i="80" s="1"/>
  <c r="AT269" i="80"/>
  <c r="AM269" i="80" l="1"/>
  <c r="AV269" i="80" s="1"/>
  <c r="AN269" i="80"/>
  <c r="BW270" i="80"/>
  <c r="AW269" i="80"/>
  <c r="AY269" i="80" l="1"/>
  <c r="BA269" i="80" s="1"/>
  <c r="AZ269" i="80" l="1"/>
  <c r="BB269" i="80"/>
  <c r="BF269" i="80"/>
  <c r="BG269" i="80" l="1"/>
  <c r="BH269" i="80" s="1"/>
  <c r="BI269" i="80" l="1"/>
  <c r="BJ269" i="80" l="1"/>
  <c r="BK269" i="80" s="1"/>
  <c r="BL269" i="80" s="1"/>
  <c r="BN269" i="80"/>
  <c r="Q269" i="80" s="1"/>
  <c r="BQ269" i="80" l="1"/>
  <c r="BO269" i="80"/>
  <c r="BR269" i="80" l="1"/>
  <c r="BS269" i="80" s="1"/>
  <c r="BP269" i="80"/>
  <c r="L269" i="80"/>
  <c r="N270" i="80" s="1"/>
  <c r="K269" i="80"/>
  <c r="M270" i="80" s="1"/>
  <c r="BU270" i="80" l="1"/>
  <c r="BT270" i="80"/>
  <c r="O270" i="80"/>
  <c r="BY270" i="80" l="1"/>
  <c r="S270" i="80"/>
  <c r="P270" i="80"/>
  <c r="U270" i="80" s="1"/>
  <c r="T270" i="80" l="1"/>
  <c r="V270" i="80" s="1"/>
  <c r="Y270" i="80" s="1"/>
  <c r="X270" i="80"/>
  <c r="AD270" i="80" l="1"/>
  <c r="AP270" i="80"/>
  <c r="AQ270" i="80" s="1"/>
  <c r="BX270" i="80"/>
  <c r="AC270" i="80"/>
  <c r="BE270" i="80" l="1"/>
  <c r="AO270" i="80"/>
  <c r="BV271" i="80"/>
  <c r="R270" i="80"/>
  <c r="AR270" i="80"/>
  <c r="AS270" i="80"/>
  <c r="AF270" i="80"/>
  <c r="AE270" i="80"/>
  <c r="AG270" i="80" l="1"/>
  <c r="AH270" i="80"/>
  <c r="AI270" i="80" s="1"/>
  <c r="AJ270" i="80" s="1"/>
  <c r="AX270" i="80" l="1"/>
  <c r="AK270" i="80"/>
  <c r="AL270" i="80" s="1"/>
  <c r="BD270" i="80"/>
  <c r="AT270" i="80"/>
  <c r="AM270" i="80" l="1"/>
  <c r="AV270" i="80" s="1"/>
  <c r="BW271" i="80"/>
  <c r="AN270" i="80"/>
  <c r="AW270" i="80"/>
  <c r="AY270" i="80" l="1"/>
  <c r="BA270" i="80" s="1"/>
  <c r="AZ270" i="80" l="1"/>
  <c r="BB270" i="80"/>
  <c r="BF270" i="80"/>
  <c r="BG270" i="80" l="1"/>
  <c r="BH270" i="80" s="1"/>
  <c r="BI270" i="80" l="1"/>
  <c r="BN270" i="80" l="1"/>
  <c r="Q270" i="80" s="1"/>
  <c r="BJ270" i="80"/>
  <c r="BK270" i="80" s="1"/>
  <c r="BL270" i="80" s="1"/>
  <c r="BQ270" i="80" l="1"/>
  <c r="BO270" i="80"/>
  <c r="K270" i="80" l="1"/>
  <c r="M271" i="80" s="1"/>
  <c r="L270" i="80"/>
  <c r="N271" i="80" s="1"/>
  <c r="BU271" i="80" s="1"/>
  <c r="BR270" i="80"/>
  <c r="BS270" i="80" s="1"/>
  <c r="BP270" i="80"/>
  <c r="BT271" i="80" l="1"/>
  <c r="O271" i="80"/>
  <c r="P271" i="80" l="1"/>
  <c r="U271" i="80" s="1"/>
  <c r="S271" i="80"/>
  <c r="BY271" i="80"/>
  <c r="T271" i="80" l="1"/>
  <c r="V271" i="80" s="1"/>
  <c r="Y271" i="80" s="1"/>
  <c r="X271" i="80"/>
  <c r="AD271" i="80" l="1"/>
  <c r="AP271" i="80"/>
  <c r="AQ271" i="80" s="1"/>
  <c r="BX271" i="80"/>
  <c r="AC271" i="80"/>
  <c r="BE271" i="80" l="1"/>
  <c r="AO271" i="80"/>
  <c r="BV272" i="80"/>
  <c r="R271" i="80"/>
  <c r="AE271" i="80"/>
  <c r="AF271" i="80"/>
  <c r="AR271" i="80"/>
  <c r="AS271" i="80"/>
  <c r="AH271" i="80" l="1"/>
  <c r="AI271" i="80" s="1"/>
  <c r="AJ271" i="80" s="1"/>
  <c r="AG271" i="80"/>
  <c r="BD271" i="80" l="1"/>
  <c r="AX271" i="80"/>
  <c r="AK271" i="80"/>
  <c r="AL271" i="80" s="1"/>
  <c r="AT271" i="80"/>
  <c r="AM271" i="80" l="1"/>
  <c r="AV271" i="80" s="1"/>
  <c r="AN271" i="80"/>
  <c r="BW272" i="80"/>
  <c r="AW271" i="80"/>
  <c r="AY271" i="80" l="1"/>
  <c r="BA271" i="80" s="1"/>
  <c r="AZ271" i="80" l="1"/>
  <c r="BB271" i="80"/>
  <c r="BF271" i="80"/>
  <c r="BG271" i="80" l="1"/>
  <c r="BH271" i="80" s="1"/>
  <c r="BI271" i="80" l="1"/>
  <c r="BJ271" i="80" l="1"/>
  <c r="BK271" i="80" s="1"/>
  <c r="BL271" i="80" s="1"/>
  <c r="BN271" i="80"/>
  <c r="Q271" i="80" s="1"/>
  <c r="BQ271" i="80" l="1"/>
  <c r="BO271" i="80"/>
  <c r="BR271" i="80" l="1"/>
  <c r="BS271" i="80" s="1"/>
  <c r="BP271" i="80"/>
  <c r="L271" i="80"/>
  <c r="N272" i="80" s="1"/>
  <c r="BU272" i="80" s="1"/>
  <c r="K271" i="80"/>
  <c r="M272" i="80" s="1"/>
  <c r="BT272" i="80" l="1"/>
  <c r="O272" i="80"/>
  <c r="BY272" i="80" l="1"/>
  <c r="P272" i="80"/>
  <c r="U272" i="80" s="1"/>
  <c r="S272" i="80"/>
  <c r="T272" i="80" l="1"/>
  <c r="V272" i="80" s="1"/>
  <c r="Y272" i="80" s="1"/>
  <c r="X272" i="80"/>
  <c r="AD272" i="80" l="1"/>
  <c r="BX272" i="80"/>
  <c r="AP272" i="80"/>
  <c r="AQ272" i="80" s="1"/>
  <c r="AC272" i="80"/>
  <c r="BE272" i="80" l="1"/>
  <c r="AO272" i="80"/>
  <c r="BV273" i="80"/>
  <c r="R272" i="80"/>
  <c r="AR272" i="80"/>
  <c r="AS272" i="80"/>
  <c r="AF272" i="80"/>
  <c r="AE272" i="80"/>
  <c r="AG272" i="80" l="1"/>
  <c r="AH272" i="80"/>
  <c r="AI272" i="80" s="1"/>
  <c r="AJ272" i="80" s="1"/>
  <c r="BD272" i="80" l="1"/>
  <c r="AX272" i="80"/>
  <c r="AK272" i="80"/>
  <c r="AL272" i="80" s="1"/>
  <c r="AT272" i="80"/>
  <c r="AM272" i="80" l="1"/>
  <c r="AV272" i="80" s="1"/>
  <c r="AN272" i="80"/>
  <c r="BW273" i="80"/>
  <c r="AW272" i="80"/>
  <c r="AY272" i="80" l="1"/>
  <c r="BA272" i="80" s="1"/>
  <c r="AZ272" i="80" l="1"/>
  <c r="BB272" i="80"/>
  <c r="BF272" i="80"/>
  <c r="BG272" i="80" l="1"/>
  <c r="BH272" i="80" s="1"/>
  <c r="BI272" i="80" l="1"/>
  <c r="BN272" i="80" l="1"/>
  <c r="Q272" i="80" s="1"/>
  <c r="BJ272" i="80"/>
  <c r="BK272" i="80" s="1"/>
  <c r="BL272" i="80" s="1"/>
  <c r="BQ272" i="80" l="1"/>
  <c r="BO272" i="80"/>
  <c r="BR272" i="80" l="1"/>
  <c r="BS272" i="80" s="1"/>
  <c r="BP272" i="80"/>
  <c r="L272" i="80"/>
  <c r="N273" i="80" s="1"/>
  <c r="K272" i="80"/>
  <c r="M273" i="80" s="1"/>
  <c r="BT273" i="80" l="1"/>
  <c r="O273" i="80"/>
  <c r="BU273" i="80"/>
  <c r="S273" i="80" l="1"/>
  <c r="P273" i="80"/>
  <c r="U273" i="80" s="1"/>
  <c r="BY273" i="80"/>
  <c r="T273" i="80" l="1"/>
  <c r="V273" i="80" s="1"/>
  <c r="Y273" i="80" s="1"/>
  <c r="X273" i="80"/>
  <c r="BX273" i="80" l="1"/>
  <c r="AP273" i="80"/>
  <c r="AQ273" i="80" s="1"/>
  <c r="AD273" i="80"/>
  <c r="AC273" i="80"/>
  <c r="BE273" i="80" l="1"/>
  <c r="AO273" i="80"/>
  <c r="BV274" i="80"/>
  <c r="R273" i="80"/>
  <c r="AE273" i="80"/>
  <c r="AF273" i="80"/>
  <c r="AR273" i="80"/>
  <c r="AS273" i="80"/>
  <c r="AH273" i="80" l="1"/>
  <c r="AI273" i="80" s="1"/>
  <c r="AJ273" i="80" s="1"/>
  <c r="AG273" i="80"/>
  <c r="AX273" i="80" l="1"/>
  <c r="AK273" i="80"/>
  <c r="AL273" i="80" s="1"/>
  <c r="BD273" i="80"/>
  <c r="AT273" i="80"/>
  <c r="AM273" i="80" l="1"/>
  <c r="AV273" i="80" s="1"/>
  <c r="BW274" i="80"/>
  <c r="AN273" i="80"/>
  <c r="AW273" i="80"/>
  <c r="AY273" i="80" l="1"/>
  <c r="BA273" i="80" s="1"/>
  <c r="AZ273" i="80" l="1"/>
  <c r="BB273" i="80"/>
  <c r="BF273" i="80"/>
  <c r="BG273" i="80" l="1"/>
  <c r="BH273" i="80" s="1"/>
  <c r="BI273" i="80" l="1"/>
  <c r="BJ273" i="80" l="1"/>
  <c r="BK273" i="80" s="1"/>
  <c r="BL273" i="80" s="1"/>
  <c r="BN273" i="80"/>
  <c r="Q273" i="80" s="1"/>
  <c r="BQ273" i="80" l="1"/>
  <c r="BO273" i="80"/>
  <c r="BR273" i="80" l="1"/>
  <c r="BS273" i="80" s="1"/>
  <c r="BP273" i="80"/>
  <c r="L273" i="80"/>
  <c r="N274" i="80" s="1"/>
  <c r="K273" i="80"/>
  <c r="M274" i="80" s="1"/>
  <c r="BU274" i="80" l="1"/>
  <c r="BT274" i="80"/>
  <c r="O274" i="80"/>
  <c r="S274" i="80" l="1"/>
  <c r="BY274" i="80"/>
  <c r="P274" i="80"/>
  <c r="U274" i="80" s="1"/>
  <c r="T274" i="80" l="1"/>
  <c r="V274" i="80" s="1"/>
  <c r="Y274" i="80" s="1"/>
  <c r="X274" i="80"/>
  <c r="BX274" i="80" l="1"/>
  <c r="AD274" i="80"/>
  <c r="AP274" i="80"/>
  <c r="AQ274" i="80" s="1"/>
  <c r="AC274" i="80"/>
  <c r="R274" i="80" l="1"/>
  <c r="AO274" i="80"/>
  <c r="BV275" i="80"/>
  <c r="BE274" i="80"/>
  <c r="AE274" i="80"/>
  <c r="AF274" i="80"/>
  <c r="AR274" i="80"/>
  <c r="AS274" i="80"/>
  <c r="AG274" i="80" l="1"/>
  <c r="AH274" i="80"/>
  <c r="AI274" i="80" s="1"/>
  <c r="AJ274" i="80" s="1"/>
  <c r="BD274" i="80" l="1"/>
  <c r="AX274" i="80"/>
  <c r="AK274" i="80"/>
  <c r="AL274" i="80" s="1"/>
  <c r="AT274" i="80"/>
  <c r="AM274" i="80" l="1"/>
  <c r="AV274" i="80" s="1"/>
  <c r="BW275" i="80"/>
  <c r="AN274" i="80"/>
  <c r="AW274" i="80"/>
  <c r="AY274" i="80" l="1"/>
  <c r="BA274" i="80" s="1"/>
  <c r="AZ274" i="80" l="1"/>
  <c r="BB274" i="80"/>
  <c r="BF274" i="80"/>
  <c r="BG274" i="80" l="1"/>
  <c r="BH274" i="80" s="1"/>
  <c r="BI274" i="80" l="1"/>
  <c r="BN274" i="80" l="1"/>
  <c r="Q274" i="80" s="1"/>
  <c r="BJ274" i="80"/>
  <c r="BK274" i="80" s="1"/>
  <c r="BL274" i="80" s="1"/>
  <c r="BQ274" i="80" l="1"/>
  <c r="BO274" i="80"/>
  <c r="BR274" i="80" l="1"/>
  <c r="BS274" i="80" s="1"/>
  <c r="BP274" i="80"/>
  <c r="K274" i="80"/>
  <c r="M275" i="80" s="1"/>
  <c r="L274" i="80"/>
  <c r="N275" i="80" s="1"/>
  <c r="BU275" i="80" s="1"/>
  <c r="BT275" i="80" l="1"/>
  <c r="O275" i="80"/>
  <c r="P275" i="80" l="1"/>
  <c r="U275" i="80" s="1"/>
  <c r="BY275" i="80"/>
  <c r="S275" i="80"/>
  <c r="T275" i="80" l="1"/>
  <c r="V275" i="80" s="1"/>
  <c r="Y275" i="80" s="1"/>
  <c r="X275" i="80"/>
  <c r="AP275" i="80" l="1"/>
  <c r="AQ275" i="80" s="1"/>
  <c r="AD275" i="80"/>
  <c r="BX275" i="80"/>
  <c r="AC275" i="80"/>
  <c r="BE275" i="80" l="1"/>
  <c r="AO275" i="80"/>
  <c r="BV276" i="80"/>
  <c r="R275" i="80"/>
  <c r="AE275" i="80"/>
  <c r="AF275" i="80"/>
  <c r="AR275" i="80"/>
  <c r="AS275" i="80"/>
  <c r="AH275" i="80" l="1"/>
  <c r="AI275" i="80" s="1"/>
  <c r="AJ275" i="80" s="1"/>
  <c r="AG275" i="80"/>
  <c r="BD275" i="80" l="1"/>
  <c r="AK275" i="80"/>
  <c r="AL275" i="80" s="1"/>
  <c r="AX275" i="80"/>
  <c r="AT275" i="80"/>
  <c r="AM275" i="80" l="1"/>
  <c r="AV275" i="80" s="1"/>
  <c r="BW276" i="80"/>
  <c r="AN275" i="80"/>
  <c r="AW275" i="80"/>
  <c r="AY275" i="80" l="1"/>
  <c r="BA275" i="80" s="1"/>
  <c r="AZ275" i="80" l="1"/>
  <c r="BB275" i="80"/>
  <c r="BF275" i="80"/>
  <c r="BG275" i="80" l="1"/>
  <c r="BH275" i="80" s="1"/>
  <c r="BI275" i="80" l="1"/>
  <c r="BJ275" i="80" l="1"/>
  <c r="BK275" i="80" s="1"/>
  <c r="BL275" i="80" s="1"/>
  <c r="BN275" i="80"/>
  <c r="Q275" i="80" s="1"/>
  <c r="BQ275" i="80" l="1"/>
  <c r="BO275" i="80"/>
  <c r="BR275" i="80" l="1"/>
  <c r="BS275" i="80" s="1"/>
  <c r="BP275" i="80"/>
  <c r="L275" i="80"/>
  <c r="N276" i="80" s="1"/>
  <c r="BU276" i="80" s="1"/>
  <c r="K275" i="80"/>
  <c r="M276" i="80" s="1"/>
  <c r="BT276" i="80" l="1"/>
  <c r="O276" i="80"/>
  <c r="S276" i="80" l="1"/>
  <c r="P276" i="80"/>
  <c r="U276" i="80" s="1"/>
  <c r="BY276" i="80"/>
  <c r="T276" i="80" l="1"/>
  <c r="V276" i="80" s="1"/>
  <c r="Y276" i="80" s="1"/>
  <c r="X276" i="80"/>
  <c r="BX276" i="80" l="1"/>
  <c r="AD276" i="80"/>
  <c r="AP276" i="80"/>
  <c r="AQ276" i="80" s="1"/>
  <c r="AC276" i="80"/>
  <c r="R276" i="80" l="1"/>
  <c r="AO276" i="80"/>
  <c r="BE276" i="80"/>
  <c r="BV277" i="80"/>
  <c r="AF276" i="80"/>
  <c r="AE276" i="80"/>
  <c r="AR276" i="80"/>
  <c r="AS276" i="80"/>
  <c r="AG276" i="80" l="1"/>
  <c r="AH276" i="80"/>
  <c r="AI276" i="80" s="1"/>
  <c r="AJ276" i="80" s="1"/>
  <c r="AX276" i="80" l="1"/>
  <c r="BD276" i="80"/>
  <c r="AK276" i="80"/>
  <c r="AL276" i="80" s="1"/>
  <c r="AT276" i="80"/>
  <c r="AM276" i="80" l="1"/>
  <c r="AV276" i="80" s="1"/>
  <c r="AN276" i="80"/>
  <c r="BW277" i="80"/>
  <c r="AW276" i="80"/>
  <c r="AY276" i="80" l="1"/>
  <c r="BA276" i="80" s="1"/>
  <c r="AZ276" i="80" l="1"/>
  <c r="BB276" i="80"/>
  <c r="BF276" i="80"/>
  <c r="BG276" i="80" l="1"/>
  <c r="BH276" i="80" s="1"/>
  <c r="BI276" i="80" l="1"/>
  <c r="BN276" i="80" l="1"/>
  <c r="Q276" i="80" s="1"/>
  <c r="BJ276" i="80"/>
  <c r="BK276" i="80" s="1"/>
  <c r="BL276" i="80" s="1"/>
  <c r="BQ276" i="80" l="1"/>
  <c r="BO276" i="80"/>
  <c r="BR276" i="80" l="1"/>
  <c r="BS276" i="80" s="1"/>
  <c r="BP276" i="80"/>
  <c r="L276" i="80"/>
  <c r="N277" i="80" s="1"/>
  <c r="K276" i="80"/>
  <c r="M277" i="80" s="1"/>
  <c r="BU277" i="80" l="1"/>
  <c r="BT277" i="80"/>
  <c r="O277" i="80"/>
  <c r="S277" i="80" l="1"/>
  <c r="BY277" i="80"/>
  <c r="P277" i="80"/>
  <c r="U277" i="80" s="1"/>
  <c r="T277" i="80" l="1"/>
  <c r="V277" i="80" s="1"/>
  <c r="Y277" i="80" s="1"/>
  <c r="X277" i="80"/>
  <c r="AP277" i="80" l="1"/>
  <c r="AQ277" i="80" s="1"/>
  <c r="BX277" i="80"/>
  <c r="AD277" i="80"/>
  <c r="AC277" i="80"/>
  <c r="R277" i="80" l="1"/>
  <c r="AO277" i="80"/>
  <c r="BE277" i="80"/>
  <c r="BV278" i="80"/>
  <c r="AE277" i="80"/>
  <c r="AF277" i="80"/>
  <c r="AR277" i="80"/>
  <c r="AS277" i="80"/>
  <c r="AG277" i="80" l="1"/>
  <c r="AH277" i="80"/>
  <c r="AI277" i="80" s="1"/>
  <c r="AJ277" i="80" s="1"/>
  <c r="AX277" i="80" l="1"/>
  <c r="BD277" i="80"/>
  <c r="AK277" i="80"/>
  <c r="AL277" i="80" s="1"/>
  <c r="AT277" i="80"/>
  <c r="AM277" i="80" l="1"/>
  <c r="AV277" i="80" s="1"/>
  <c r="AN277" i="80"/>
  <c r="BW278" i="80"/>
  <c r="AW277" i="80"/>
  <c r="AY277" i="80" l="1"/>
  <c r="BA277" i="80" s="1"/>
  <c r="AZ277" i="80" l="1"/>
  <c r="BB277" i="80"/>
  <c r="BF277" i="80"/>
  <c r="BG277" i="80" l="1"/>
  <c r="BH277" i="80" s="1"/>
  <c r="BI277" i="80" l="1"/>
  <c r="BN277" i="80" l="1"/>
  <c r="Q277" i="80" s="1"/>
  <c r="BJ277" i="80"/>
  <c r="BK277" i="80" s="1"/>
  <c r="BL277" i="80" s="1"/>
  <c r="BQ277" i="80" l="1"/>
  <c r="BO277" i="80"/>
  <c r="L277" i="80" l="1"/>
  <c r="N278" i="80" s="1"/>
  <c r="K277" i="80"/>
  <c r="M278" i="80" s="1"/>
  <c r="BR277" i="80"/>
  <c r="BS277" i="80" s="1"/>
  <c r="BP277" i="80"/>
  <c r="BT278" i="80" l="1"/>
  <c r="O278" i="80"/>
  <c r="BU278" i="80"/>
  <c r="P278" i="80" l="1"/>
  <c r="U278" i="80" s="1"/>
  <c r="S278" i="80"/>
  <c r="BY278" i="80"/>
  <c r="T278" i="80" l="1"/>
  <c r="V278" i="80" s="1"/>
  <c r="Y278" i="80" s="1"/>
  <c r="X278" i="80"/>
  <c r="AP278" i="80" l="1"/>
  <c r="AQ278" i="80" s="1"/>
  <c r="AD278" i="80"/>
  <c r="BX278" i="80"/>
  <c r="AC278" i="80"/>
  <c r="BE278" i="80" l="1"/>
  <c r="AO278" i="80"/>
  <c r="R278" i="80"/>
  <c r="BV279" i="80"/>
  <c r="AR278" i="80"/>
  <c r="AS278" i="80"/>
  <c r="AF278" i="80"/>
  <c r="AE278" i="80"/>
  <c r="AG278" i="80" l="1"/>
  <c r="AH278" i="80"/>
  <c r="AI278" i="80" s="1"/>
  <c r="AJ278" i="80" s="1"/>
  <c r="AK278" i="80" l="1"/>
  <c r="AL278" i="80" s="1"/>
  <c r="BD278" i="80"/>
  <c r="AX278" i="80"/>
  <c r="AT278" i="80"/>
  <c r="AM278" i="80" l="1"/>
  <c r="AV278" i="80" s="1"/>
  <c r="AN278" i="80"/>
  <c r="BW279" i="80"/>
  <c r="AW278" i="80"/>
  <c r="AY278" i="80" l="1"/>
  <c r="BA278" i="80" s="1"/>
  <c r="AZ278" i="80" l="1"/>
  <c r="BB278" i="80"/>
  <c r="BF278" i="80"/>
  <c r="BG278" i="80" l="1"/>
  <c r="BH278" i="80" s="1"/>
  <c r="BI278" i="80" l="1"/>
  <c r="BN278" i="80" l="1"/>
  <c r="Q278" i="80" s="1"/>
  <c r="BJ278" i="80"/>
  <c r="BK278" i="80" s="1"/>
  <c r="BL278" i="80" s="1"/>
  <c r="BQ278" i="80" l="1"/>
  <c r="BO278" i="80"/>
  <c r="BR278" i="80" l="1"/>
  <c r="BS278" i="80" s="1"/>
  <c r="BP278" i="80"/>
  <c r="L278" i="80"/>
  <c r="N279" i="80" s="1"/>
  <c r="K278" i="80"/>
  <c r="M279" i="80" s="1"/>
  <c r="O279" i="80" l="1"/>
  <c r="BT279" i="80"/>
  <c r="BU279" i="80"/>
  <c r="BY279" i="80" l="1"/>
  <c r="S279" i="80"/>
  <c r="P279" i="80"/>
  <c r="U279" i="80" s="1"/>
  <c r="T279" i="80" l="1"/>
  <c r="V279" i="80" s="1"/>
  <c r="Y279" i="80" s="1"/>
  <c r="X279" i="80"/>
  <c r="AP279" i="80" l="1"/>
  <c r="AQ279" i="80" s="1"/>
  <c r="AD279" i="80"/>
  <c r="BX279" i="80"/>
  <c r="AC279" i="80"/>
  <c r="R279" i="80" l="1"/>
  <c r="AO279" i="80"/>
  <c r="BV280" i="80"/>
  <c r="BE279" i="80"/>
  <c r="AF279" i="80"/>
  <c r="AE279" i="80"/>
  <c r="AR279" i="80"/>
  <c r="AS279" i="80"/>
  <c r="AG279" i="80" l="1"/>
  <c r="AH279" i="80"/>
  <c r="AI279" i="80" s="1"/>
  <c r="AJ279" i="80" s="1"/>
  <c r="AK279" i="80" l="1"/>
  <c r="AL279" i="80" s="1"/>
  <c r="BD279" i="80"/>
  <c r="AX279" i="80"/>
  <c r="AT279" i="80"/>
  <c r="AM279" i="80" l="1"/>
  <c r="AV279" i="80" s="1"/>
  <c r="BW280" i="80"/>
  <c r="AN279" i="80"/>
  <c r="AW279" i="80"/>
  <c r="AY279" i="80" l="1"/>
  <c r="BA279" i="80" s="1"/>
  <c r="AZ279" i="80" l="1"/>
  <c r="BB279" i="80"/>
  <c r="BF279" i="80"/>
  <c r="BG279" i="80" l="1"/>
  <c r="BH279" i="80" s="1"/>
  <c r="BI279" i="80" l="1"/>
  <c r="BJ279" i="80" l="1"/>
  <c r="BK279" i="80" s="1"/>
  <c r="BL279" i="80" s="1"/>
  <c r="BN279" i="80"/>
  <c r="Q279" i="80" s="1"/>
  <c r="BQ279" i="80" l="1"/>
  <c r="BO279" i="80"/>
  <c r="K279" i="80" l="1"/>
  <c r="M280" i="80" s="1"/>
  <c r="L279" i="80"/>
  <c r="N280" i="80" s="1"/>
  <c r="BR279" i="80"/>
  <c r="BS279" i="80" s="1"/>
  <c r="BP279" i="80"/>
  <c r="BU280" i="80" l="1"/>
  <c r="BT280" i="80"/>
  <c r="O280" i="80"/>
  <c r="S280" i="80" l="1"/>
  <c r="BY280" i="80"/>
  <c r="P280" i="80"/>
  <c r="U280" i="80" s="1"/>
  <c r="T280" i="80" l="1"/>
  <c r="V280" i="80" s="1"/>
  <c r="Y280" i="80" s="1"/>
  <c r="X280" i="80"/>
  <c r="AD280" i="80" l="1"/>
  <c r="AP280" i="80"/>
  <c r="AQ280" i="80" s="1"/>
  <c r="BX280" i="80"/>
  <c r="AC280" i="80"/>
  <c r="R280" i="80" l="1"/>
  <c r="BV281" i="80"/>
  <c r="AO280" i="80"/>
  <c r="BE280" i="80"/>
  <c r="AR280" i="80"/>
  <c r="AS280" i="80"/>
  <c r="AE280" i="80"/>
  <c r="AF280" i="80"/>
  <c r="AH280" i="80" l="1"/>
  <c r="AI280" i="80" s="1"/>
  <c r="AJ280" i="80" s="1"/>
  <c r="AG280" i="80"/>
  <c r="AX280" i="80" l="1"/>
  <c r="AK280" i="80"/>
  <c r="AL280" i="80" s="1"/>
  <c r="BD280" i="80"/>
  <c r="AT280" i="80"/>
  <c r="AM280" i="80" l="1"/>
  <c r="AV280" i="80" s="1"/>
  <c r="AN280" i="80"/>
  <c r="BW281" i="80"/>
  <c r="AW280" i="80"/>
  <c r="AY280" i="80" l="1"/>
  <c r="BA280" i="80" s="1"/>
  <c r="AZ280" i="80" l="1"/>
  <c r="BB280" i="80"/>
  <c r="BF280" i="80"/>
  <c r="BG280" i="80" l="1"/>
  <c r="BH280" i="80" s="1"/>
  <c r="BI280" i="80" l="1"/>
  <c r="BN280" i="80" l="1"/>
  <c r="Q280" i="80" s="1"/>
  <c r="BJ280" i="80"/>
  <c r="BK280" i="80" s="1"/>
  <c r="BL280" i="80" s="1"/>
  <c r="BQ280" i="80" l="1"/>
  <c r="BO280" i="80"/>
  <c r="BR280" i="80" l="1"/>
  <c r="BS280" i="80" s="1"/>
  <c r="BP280" i="80"/>
  <c r="L280" i="80"/>
  <c r="N281" i="80" s="1"/>
  <c r="K280" i="80"/>
  <c r="M281" i="80" s="1"/>
  <c r="BU281" i="80" l="1"/>
  <c r="O281" i="80"/>
  <c r="BT281" i="80"/>
  <c r="S281" i="80" l="1"/>
  <c r="BY281" i="80"/>
  <c r="P281" i="80"/>
  <c r="U281" i="80" s="1"/>
  <c r="T281" i="80" l="1"/>
  <c r="V281" i="80" s="1"/>
  <c r="Y281" i="80" s="1"/>
  <c r="X281" i="80"/>
  <c r="AP281" i="80" l="1"/>
  <c r="AQ281" i="80" s="1"/>
  <c r="BX281" i="80"/>
  <c r="AD281" i="80"/>
  <c r="AC281" i="80"/>
  <c r="BE281" i="80" l="1"/>
  <c r="AO281" i="80"/>
  <c r="BV282" i="80"/>
  <c r="R281" i="80"/>
  <c r="AR281" i="80"/>
  <c r="AS281" i="80"/>
  <c r="AF281" i="80"/>
  <c r="AE281" i="80"/>
  <c r="AH281" i="80" l="1"/>
  <c r="AI281" i="80" s="1"/>
  <c r="AJ281" i="80" s="1"/>
  <c r="AG281" i="80"/>
  <c r="AK281" i="80" l="1"/>
  <c r="AL281" i="80" s="1"/>
  <c r="BD281" i="80"/>
  <c r="AX281" i="80"/>
  <c r="AT281" i="80"/>
  <c r="AM281" i="80" l="1"/>
  <c r="AV281" i="80" s="1"/>
  <c r="AN281" i="80"/>
  <c r="BW282" i="80"/>
  <c r="AW281" i="80"/>
  <c r="AY281" i="80" l="1"/>
  <c r="BA281" i="80" s="1"/>
  <c r="AZ281" i="80" l="1"/>
  <c r="BB281" i="80"/>
  <c r="BF281" i="80"/>
  <c r="BG281" i="80" l="1"/>
  <c r="BH281" i="80" s="1"/>
  <c r="BI281" i="80" l="1"/>
  <c r="BJ281" i="80" l="1"/>
  <c r="BK281" i="80" s="1"/>
  <c r="BL281" i="80" s="1"/>
  <c r="BN281" i="80"/>
  <c r="Q281" i="80" s="1"/>
  <c r="BQ281" i="80" l="1"/>
  <c r="BO281" i="80"/>
  <c r="L281" i="80" l="1"/>
  <c r="N282" i="80" s="1"/>
  <c r="K281" i="80"/>
  <c r="M282" i="80" s="1"/>
  <c r="BR281" i="80"/>
  <c r="BS281" i="80" s="1"/>
  <c r="BP281" i="80"/>
  <c r="O282" i="80" l="1"/>
  <c r="BT282" i="80"/>
  <c r="BU282" i="80"/>
  <c r="S282" i="80" l="1"/>
  <c r="P282" i="80"/>
  <c r="U282" i="80" s="1"/>
  <c r="BY282" i="80"/>
  <c r="X282" i="80" l="1"/>
  <c r="T282" i="80"/>
  <c r="V282" i="80" s="1"/>
  <c r="Y282" i="80" s="1"/>
  <c r="AP282" i="80" l="1"/>
  <c r="AQ282" i="80" s="1"/>
  <c r="BX282" i="80"/>
  <c r="AD282" i="80"/>
  <c r="AC282" i="80"/>
  <c r="BE282" i="80" l="1"/>
  <c r="AO282" i="80"/>
  <c r="BV283" i="80"/>
  <c r="R282" i="80"/>
  <c r="AR282" i="80"/>
  <c r="AS282" i="80"/>
  <c r="AE282" i="80"/>
  <c r="AF282" i="80"/>
  <c r="AH282" i="80" l="1"/>
  <c r="AI282" i="80" s="1"/>
  <c r="AJ282" i="80" s="1"/>
  <c r="AG282" i="80"/>
  <c r="BD282" i="80" l="1"/>
  <c r="AK282" i="80"/>
  <c r="AL282" i="80" s="1"/>
  <c r="AX282" i="80"/>
  <c r="AT282" i="80"/>
  <c r="AM282" i="80" l="1"/>
  <c r="AV282" i="80" s="1"/>
  <c r="AN282" i="80"/>
  <c r="BW283" i="80"/>
  <c r="AW282" i="80"/>
  <c r="AY282" i="80" l="1"/>
  <c r="BA282" i="80" s="1"/>
  <c r="AZ282" i="80" l="1"/>
  <c r="BB282" i="80"/>
  <c r="BF282" i="80"/>
  <c r="BG282" i="80" l="1"/>
  <c r="BH282" i="80" s="1"/>
  <c r="BI282" i="80" l="1"/>
  <c r="BN282" i="80" l="1"/>
  <c r="Q282" i="80" s="1"/>
  <c r="BJ282" i="80"/>
  <c r="BK282" i="80" s="1"/>
  <c r="BL282" i="80" s="1"/>
  <c r="BQ282" i="80" l="1"/>
  <c r="BO282" i="80"/>
  <c r="BR282" i="80" l="1"/>
  <c r="BS282" i="80" s="1"/>
  <c r="BP282" i="80"/>
  <c r="K282" i="80"/>
  <c r="M283" i="80" s="1"/>
  <c r="L282" i="80"/>
  <c r="N283" i="80" s="1"/>
  <c r="BU283" i="80" l="1"/>
  <c r="O283" i="80"/>
  <c r="BT283" i="80"/>
  <c r="S283" i="80" l="1"/>
  <c r="P283" i="80"/>
  <c r="U283" i="80" s="1"/>
  <c r="BY283" i="80"/>
  <c r="T283" i="80" l="1"/>
  <c r="V283" i="80" s="1"/>
  <c r="Y283" i="80" s="1"/>
  <c r="X283" i="80"/>
  <c r="BX283" i="80" l="1"/>
  <c r="AD283" i="80"/>
  <c r="AP283" i="80"/>
  <c r="AQ283" i="80" s="1"/>
  <c r="AC283" i="80"/>
  <c r="R283" i="80" l="1"/>
  <c r="AO283" i="80"/>
  <c r="BE283" i="80"/>
  <c r="BV284" i="80"/>
  <c r="AS283" i="80"/>
  <c r="AR283" i="80"/>
  <c r="AF283" i="80"/>
  <c r="AE283" i="80"/>
  <c r="AG283" i="80" l="1"/>
  <c r="AH283" i="80"/>
  <c r="AI283" i="80" s="1"/>
  <c r="AJ283" i="80" s="1"/>
  <c r="AK283" i="80" l="1"/>
  <c r="AL283" i="80" s="1"/>
  <c r="BD283" i="80"/>
  <c r="AX283" i="80"/>
  <c r="AT283" i="80"/>
  <c r="AM283" i="80" l="1"/>
  <c r="AV283" i="80" s="1"/>
  <c r="AN283" i="80"/>
  <c r="BW284" i="80"/>
  <c r="AW283" i="80"/>
  <c r="AY283" i="80" l="1"/>
  <c r="BA283" i="80" s="1"/>
  <c r="AZ283" i="80" l="1"/>
  <c r="BB283" i="80"/>
  <c r="BF283" i="80"/>
  <c r="BG283" i="80" l="1"/>
  <c r="BH283" i="80" s="1"/>
  <c r="BI283" i="80" l="1"/>
  <c r="BN283" i="80" l="1"/>
  <c r="Q283" i="80" s="1"/>
  <c r="BJ283" i="80"/>
  <c r="BK283" i="80" s="1"/>
  <c r="BL283" i="80" s="1"/>
  <c r="BQ283" i="80" l="1"/>
  <c r="BO283" i="80"/>
  <c r="L283" i="80" l="1"/>
  <c r="N284" i="80" s="1"/>
  <c r="K283" i="80"/>
  <c r="M284" i="80" s="1"/>
  <c r="BR283" i="80"/>
  <c r="BS283" i="80" s="1"/>
  <c r="BP283" i="80"/>
  <c r="BT284" i="80" l="1"/>
  <c r="O284" i="80"/>
  <c r="BU284" i="80"/>
  <c r="BY284" i="80" l="1"/>
  <c r="S284" i="80"/>
  <c r="P284" i="80"/>
  <c r="U284" i="80" s="1"/>
  <c r="T284" i="80" l="1"/>
  <c r="V284" i="80" s="1"/>
  <c r="Y284" i="80" s="1"/>
  <c r="X284" i="80"/>
  <c r="BX284" i="80" l="1"/>
  <c r="AP284" i="80"/>
  <c r="AQ284" i="80" s="1"/>
  <c r="AD284" i="80"/>
  <c r="AC284" i="80"/>
  <c r="BE284" i="80" l="1"/>
  <c r="AO284" i="80"/>
  <c r="R284" i="80"/>
  <c r="BV285" i="80"/>
  <c r="AR284" i="80"/>
  <c r="AS284" i="80"/>
  <c r="AE284" i="80"/>
  <c r="AF284" i="80"/>
  <c r="AG284" i="80" l="1"/>
  <c r="AH284" i="80"/>
  <c r="AI284" i="80" s="1"/>
  <c r="AJ284" i="80" s="1"/>
  <c r="AK284" i="80" l="1"/>
  <c r="AL284" i="80" s="1"/>
  <c r="AX284" i="80"/>
  <c r="BD284" i="80"/>
  <c r="AT284" i="80"/>
  <c r="AM284" i="80" l="1"/>
  <c r="AV284" i="80" s="1"/>
  <c r="AN284" i="80"/>
  <c r="BW285" i="80"/>
  <c r="AW284" i="80"/>
  <c r="AY284" i="80" l="1"/>
  <c r="BA284" i="80" s="1"/>
  <c r="AZ284" i="80" l="1"/>
  <c r="BB284" i="80"/>
  <c r="BF284" i="80"/>
  <c r="BG284" i="80" l="1"/>
  <c r="BH284" i="80" s="1"/>
  <c r="BI284" i="80" l="1"/>
  <c r="BN284" i="80" l="1"/>
  <c r="Q284" i="80" s="1"/>
  <c r="BJ284" i="80"/>
  <c r="BK284" i="80" s="1"/>
  <c r="BL284" i="80" s="1"/>
  <c r="BQ284" i="80" l="1"/>
  <c r="BO284" i="80"/>
  <c r="BR284" i="80" l="1"/>
  <c r="BS284" i="80" s="1"/>
  <c r="BP284" i="80"/>
  <c r="K284" i="80"/>
  <c r="M285" i="80" s="1"/>
  <c r="L284" i="80"/>
  <c r="N285" i="80" s="1"/>
  <c r="BU285" i="80" l="1"/>
  <c r="O285" i="80"/>
  <c r="BT285" i="80"/>
  <c r="S285" i="80" l="1"/>
  <c r="P285" i="80"/>
  <c r="U285" i="80" s="1"/>
  <c r="BY285" i="80"/>
  <c r="T285" i="80" l="1"/>
  <c r="V285" i="80" s="1"/>
  <c r="Y285" i="80" s="1"/>
  <c r="X285" i="80"/>
  <c r="AD285" i="80" l="1"/>
  <c r="BX285" i="80"/>
  <c r="AP285" i="80"/>
  <c r="AQ285" i="80" s="1"/>
  <c r="AC285" i="80"/>
  <c r="BE285" i="80" l="1"/>
  <c r="AO285" i="80"/>
  <c r="BV286" i="80"/>
  <c r="R285" i="80"/>
  <c r="AF285" i="80"/>
  <c r="AE285" i="80"/>
  <c r="AR285" i="80"/>
  <c r="AS285" i="80"/>
  <c r="AH285" i="80" l="1"/>
  <c r="AI285" i="80" s="1"/>
  <c r="AJ285" i="80" s="1"/>
  <c r="AG285" i="80"/>
  <c r="AK285" i="80" l="1"/>
  <c r="AL285" i="80" s="1"/>
  <c r="BD285" i="80"/>
  <c r="AX285" i="80"/>
  <c r="AT285" i="80"/>
  <c r="AM285" i="80" l="1"/>
  <c r="AV285" i="80" s="1"/>
  <c r="BW286" i="80"/>
  <c r="AN285" i="80"/>
  <c r="AW285" i="80"/>
  <c r="AY285" i="80" l="1"/>
  <c r="BA285" i="80" s="1"/>
  <c r="AZ285" i="80" l="1"/>
  <c r="BB285" i="80"/>
  <c r="BF285" i="80"/>
  <c r="BG285" i="80" l="1"/>
  <c r="BH285" i="80" s="1"/>
  <c r="BI285" i="80" l="1"/>
  <c r="BN285" i="80" l="1"/>
  <c r="Q285" i="80" s="1"/>
  <c r="BJ285" i="80"/>
  <c r="BK285" i="80" s="1"/>
  <c r="BL285" i="80" s="1"/>
  <c r="BQ285" i="80" l="1"/>
  <c r="BO285" i="80"/>
  <c r="BR285" i="80" l="1"/>
  <c r="BS285" i="80" s="1"/>
  <c r="BP285" i="80"/>
  <c r="L285" i="80"/>
  <c r="N286" i="80" s="1"/>
  <c r="K285" i="80"/>
  <c r="M286" i="80" s="1"/>
  <c r="BU286" i="80" l="1"/>
  <c r="O286" i="80"/>
  <c r="BT286" i="80"/>
  <c r="P286" i="80" l="1"/>
  <c r="U286" i="80" s="1"/>
  <c r="BY286" i="80"/>
  <c r="S286" i="80"/>
  <c r="X286" i="80" l="1"/>
  <c r="T286" i="80"/>
  <c r="V286" i="80" s="1"/>
  <c r="Y286" i="80" s="1"/>
  <c r="AD286" i="80" l="1"/>
  <c r="BX286" i="80"/>
  <c r="AP286" i="80"/>
  <c r="AQ286" i="80" s="1"/>
  <c r="AC286" i="80"/>
  <c r="R286" i="80" l="1"/>
  <c r="AO286" i="80"/>
  <c r="BV287" i="80"/>
  <c r="BE286" i="80"/>
  <c r="AF286" i="80"/>
  <c r="AE286" i="80"/>
  <c r="AR286" i="80"/>
  <c r="AS286" i="80"/>
  <c r="AH286" i="80" l="1"/>
  <c r="AI286" i="80" s="1"/>
  <c r="AJ286" i="80" s="1"/>
  <c r="AG286" i="80"/>
  <c r="BD286" i="80" l="1"/>
  <c r="AX286" i="80"/>
  <c r="AK286" i="80"/>
  <c r="AL286" i="80" s="1"/>
  <c r="AT286" i="80"/>
  <c r="AM286" i="80" l="1"/>
  <c r="AV286" i="80" s="1"/>
  <c r="BW287" i="80"/>
  <c r="AN286" i="80"/>
  <c r="AW286" i="80"/>
  <c r="AY286" i="80" l="1"/>
  <c r="BA286" i="80" s="1"/>
  <c r="AZ286" i="80" l="1"/>
  <c r="BB286" i="80"/>
  <c r="BF286" i="80"/>
  <c r="BG286" i="80" l="1"/>
  <c r="BH286" i="80" s="1"/>
  <c r="BI286" i="80" l="1"/>
  <c r="BN286" i="80" l="1"/>
  <c r="Q286" i="80" s="1"/>
  <c r="BJ286" i="80"/>
  <c r="BK286" i="80" s="1"/>
  <c r="BL286" i="80" s="1"/>
  <c r="BQ286" i="80" l="1"/>
  <c r="BO286" i="80"/>
  <c r="BR286" i="80" l="1"/>
  <c r="BS286" i="80" s="1"/>
  <c r="BP286" i="80"/>
  <c r="L286" i="80"/>
  <c r="N287" i="80" s="1"/>
  <c r="K286" i="80"/>
  <c r="M287" i="80" s="1"/>
  <c r="BU287" i="80" l="1"/>
  <c r="O287" i="80"/>
  <c r="BT287" i="80"/>
  <c r="S287" i="80" l="1"/>
  <c r="P287" i="80"/>
  <c r="U287" i="80" s="1"/>
  <c r="BY287" i="80"/>
  <c r="T287" i="80" l="1"/>
  <c r="V287" i="80" s="1"/>
  <c r="Y287" i="80" s="1"/>
  <c r="X287" i="80"/>
  <c r="BX287" i="80" l="1"/>
  <c r="AP287" i="80"/>
  <c r="AQ287" i="80" s="1"/>
  <c r="AD287" i="80"/>
  <c r="AC287" i="80"/>
  <c r="BE287" i="80" l="1"/>
  <c r="AO287" i="80"/>
  <c r="BV288" i="80"/>
  <c r="R287" i="80"/>
  <c r="AE287" i="80"/>
  <c r="AF287" i="80"/>
  <c r="AR287" i="80"/>
  <c r="AS287" i="80"/>
  <c r="AG287" i="80" l="1"/>
  <c r="AH287" i="80"/>
  <c r="AI287" i="80" s="1"/>
  <c r="AJ287" i="80" s="1"/>
  <c r="AX287" i="80" l="1"/>
  <c r="BD287" i="80"/>
  <c r="AK287" i="80"/>
  <c r="AL287" i="80" s="1"/>
  <c r="AT287" i="80"/>
  <c r="AM287" i="80" l="1"/>
  <c r="AV287" i="80" s="1"/>
  <c r="BW288" i="80"/>
  <c r="AN287" i="80"/>
  <c r="AW287" i="80"/>
  <c r="AY287" i="80" l="1"/>
  <c r="BA287" i="80" s="1"/>
  <c r="AZ287" i="80" l="1"/>
  <c r="BB287" i="80"/>
  <c r="BF287" i="80"/>
  <c r="BG287" i="80" l="1"/>
  <c r="BH287" i="80" s="1"/>
  <c r="BI287" i="80" l="1"/>
  <c r="BN287" i="80" l="1"/>
  <c r="Q287" i="80" s="1"/>
  <c r="BJ287" i="80"/>
  <c r="BK287" i="80" s="1"/>
  <c r="BL287" i="80" s="1"/>
  <c r="BQ287" i="80" l="1"/>
  <c r="BO287" i="80"/>
  <c r="L287" i="80" l="1"/>
  <c r="N288" i="80" s="1"/>
  <c r="K287" i="80"/>
  <c r="M288" i="80" s="1"/>
  <c r="BR287" i="80"/>
  <c r="BS287" i="80" s="1"/>
  <c r="BP287" i="80"/>
  <c r="BT288" i="80" l="1"/>
  <c r="O288" i="80"/>
  <c r="BU288" i="80"/>
  <c r="BY288" i="80" l="1"/>
  <c r="P288" i="80"/>
  <c r="U288" i="80" s="1"/>
  <c r="S288" i="80"/>
  <c r="T288" i="80" l="1"/>
  <c r="V288" i="80" s="1"/>
  <c r="Y288" i="80" s="1"/>
  <c r="X288" i="80"/>
  <c r="AP288" i="80" l="1"/>
  <c r="AQ288" i="80" s="1"/>
  <c r="BX288" i="80"/>
  <c r="AD288" i="80"/>
  <c r="AC288" i="80"/>
  <c r="BE288" i="80" l="1"/>
  <c r="AO288" i="80"/>
  <c r="BV289" i="80"/>
  <c r="R288" i="80"/>
  <c r="AE288" i="80"/>
  <c r="AF288" i="80"/>
  <c r="AR288" i="80"/>
  <c r="AS288" i="80"/>
  <c r="AH288" i="80" l="1"/>
  <c r="AI288" i="80" s="1"/>
  <c r="AJ288" i="80" s="1"/>
  <c r="AG288" i="80"/>
  <c r="AX288" i="80" l="1"/>
  <c r="AK288" i="80"/>
  <c r="AL288" i="80" s="1"/>
  <c r="BD288" i="80"/>
  <c r="AT288" i="80"/>
  <c r="AM288" i="80" l="1"/>
  <c r="AV288" i="80" s="1"/>
  <c r="AN288" i="80"/>
  <c r="BW289" i="80"/>
  <c r="AW288" i="80"/>
  <c r="AY288" i="80" l="1"/>
  <c r="BA288" i="80" s="1"/>
  <c r="AZ288" i="80" l="1"/>
  <c r="BB288" i="80"/>
  <c r="BF288" i="80"/>
  <c r="BG288" i="80" l="1"/>
  <c r="BH288" i="80" s="1"/>
  <c r="BI288" i="80" l="1"/>
  <c r="BN288" i="80" l="1"/>
  <c r="Q288" i="80" s="1"/>
  <c r="BJ288" i="80"/>
  <c r="BK288" i="80" s="1"/>
  <c r="BL288" i="80" s="1"/>
  <c r="BQ288" i="80" l="1"/>
  <c r="BO288" i="80"/>
  <c r="BR288" i="80" l="1"/>
  <c r="BS288" i="80" s="1"/>
  <c r="BP288" i="80"/>
  <c r="K288" i="80"/>
  <c r="M289" i="80" s="1"/>
  <c r="L288" i="80"/>
  <c r="N289" i="80" s="1"/>
  <c r="BU289" i="80" l="1"/>
  <c r="BT289" i="80"/>
  <c r="O289" i="80"/>
  <c r="BY289" i="80" l="1"/>
  <c r="S289" i="80"/>
  <c r="P289" i="80"/>
  <c r="U289" i="80" s="1"/>
  <c r="T289" i="80" l="1"/>
  <c r="V289" i="80" s="1"/>
  <c r="Y289" i="80" s="1"/>
  <c r="X289" i="80"/>
  <c r="BX289" i="80" l="1"/>
  <c r="AP289" i="80"/>
  <c r="AQ289" i="80" s="1"/>
  <c r="AD289" i="80"/>
  <c r="AC289" i="80"/>
  <c r="BE289" i="80" l="1"/>
  <c r="AO289" i="80"/>
  <c r="BV290" i="80"/>
  <c r="R289" i="80"/>
  <c r="AR289" i="80"/>
  <c r="AS289" i="80"/>
  <c r="AF289" i="80"/>
  <c r="AE289" i="80"/>
  <c r="AH289" i="80" l="1"/>
  <c r="AI289" i="80" s="1"/>
  <c r="AJ289" i="80" s="1"/>
  <c r="AG289" i="80"/>
  <c r="AX289" i="80" l="1"/>
  <c r="BD289" i="80"/>
  <c r="AK289" i="80"/>
  <c r="AL289" i="80" s="1"/>
  <c r="AT289" i="80"/>
  <c r="AM289" i="80" l="1"/>
  <c r="AV289" i="80" s="1"/>
  <c r="BW290" i="80"/>
  <c r="AN289" i="80"/>
  <c r="AW289" i="80"/>
  <c r="AY289" i="80" l="1"/>
  <c r="BA289" i="80" s="1"/>
  <c r="AZ289" i="80" l="1"/>
  <c r="BB289" i="80"/>
  <c r="BF289" i="80"/>
  <c r="BG289" i="80" l="1"/>
  <c r="BH289" i="80" s="1"/>
  <c r="BI289" i="80" l="1"/>
  <c r="BJ289" i="80" l="1"/>
  <c r="BK289" i="80" s="1"/>
  <c r="BL289" i="80" s="1"/>
  <c r="BN289" i="80"/>
  <c r="Q289" i="80" s="1"/>
  <c r="BQ289" i="80" l="1"/>
  <c r="BO289" i="80"/>
  <c r="BR289" i="80" l="1"/>
  <c r="BS289" i="80" s="1"/>
  <c r="BP289" i="80"/>
  <c r="L289" i="80"/>
  <c r="N290" i="80" s="1"/>
  <c r="K289" i="80"/>
  <c r="M290" i="80" s="1"/>
  <c r="BU290" i="80" l="1"/>
  <c r="BT290" i="80"/>
  <c r="O290" i="80"/>
  <c r="BY290" i="80" l="1"/>
  <c r="P290" i="80"/>
  <c r="U290" i="80" s="1"/>
  <c r="S290" i="80"/>
  <c r="T290" i="80" l="1"/>
  <c r="V290" i="80" s="1"/>
  <c r="Y290" i="80" s="1"/>
  <c r="X290" i="80"/>
  <c r="AP290" i="80" l="1"/>
  <c r="AQ290" i="80" s="1"/>
  <c r="AD290" i="80"/>
  <c r="BX290" i="80"/>
  <c r="AC290" i="80"/>
  <c r="R290" i="80" l="1"/>
  <c r="AO290" i="80"/>
  <c r="BV291" i="80"/>
  <c r="BE290" i="80"/>
  <c r="AE290" i="80"/>
  <c r="AF290" i="80"/>
  <c r="AR290" i="80"/>
  <c r="AS290" i="80"/>
  <c r="AG290" i="80" l="1"/>
  <c r="AH290" i="80"/>
  <c r="AI290" i="80" s="1"/>
  <c r="AJ290" i="80" s="1"/>
  <c r="BD290" i="80" l="1"/>
  <c r="AX290" i="80"/>
  <c r="AK290" i="80"/>
  <c r="AL290" i="80" s="1"/>
  <c r="AT290" i="80"/>
  <c r="AM290" i="80" l="1"/>
  <c r="AV290" i="80" s="1"/>
  <c r="AN290" i="80"/>
  <c r="BW291" i="80"/>
  <c r="AW290" i="80"/>
  <c r="AY290" i="80" l="1"/>
  <c r="BA290" i="80" s="1"/>
  <c r="AZ290" i="80" l="1"/>
  <c r="BB290" i="80"/>
  <c r="BF290" i="80"/>
  <c r="BG290" i="80" l="1"/>
  <c r="BH290" i="80" s="1"/>
  <c r="BI290" i="80" l="1"/>
  <c r="BN290" i="80" l="1"/>
  <c r="Q290" i="80" s="1"/>
  <c r="BJ290" i="80"/>
  <c r="BK290" i="80" s="1"/>
  <c r="BL290" i="80" s="1"/>
  <c r="BQ290" i="80" l="1"/>
  <c r="BO290" i="80"/>
  <c r="BR290" i="80" l="1"/>
  <c r="BS290" i="80" s="1"/>
  <c r="BP290" i="80"/>
  <c r="L290" i="80"/>
  <c r="N291" i="80" s="1"/>
  <c r="K290" i="80"/>
  <c r="M291" i="80" s="1"/>
  <c r="BU291" i="80" l="1"/>
  <c r="O291" i="80"/>
  <c r="BT291" i="80"/>
  <c r="S291" i="80" l="1"/>
  <c r="P291" i="80"/>
  <c r="U291" i="80" s="1"/>
  <c r="BY291" i="80"/>
  <c r="T291" i="80" l="1"/>
  <c r="V291" i="80" s="1"/>
  <c r="Y291" i="80" s="1"/>
  <c r="X291" i="80"/>
  <c r="BX291" i="80" l="1"/>
  <c r="AD291" i="80"/>
  <c r="AP291" i="80"/>
  <c r="AQ291" i="80" s="1"/>
  <c r="AC291" i="80"/>
  <c r="BE291" i="80" l="1"/>
  <c r="AO291" i="80"/>
  <c r="BV292" i="80"/>
  <c r="R291" i="80"/>
  <c r="AF291" i="80"/>
  <c r="AE291" i="80"/>
  <c r="AR291" i="80"/>
  <c r="AS291" i="80"/>
  <c r="AG291" i="80" l="1"/>
  <c r="AH291" i="80"/>
  <c r="AI291" i="80" s="1"/>
  <c r="AJ291" i="80" s="1"/>
  <c r="AK291" i="80" l="1"/>
  <c r="AL291" i="80" s="1"/>
  <c r="BD291" i="80"/>
  <c r="AX291" i="80"/>
  <c r="AT291" i="80"/>
  <c r="AM291" i="80" l="1"/>
  <c r="AV291" i="80" s="1"/>
  <c r="BW292" i="80"/>
  <c r="AN291" i="80"/>
  <c r="AW291" i="80"/>
  <c r="AY291" i="80" l="1"/>
  <c r="BA291" i="80" s="1"/>
  <c r="AZ291" i="80" l="1"/>
  <c r="BB291" i="80"/>
  <c r="BF291" i="80"/>
  <c r="BG291" i="80" l="1"/>
  <c r="BH291" i="80" s="1"/>
  <c r="BI291" i="80" l="1"/>
  <c r="BJ291" i="80" l="1"/>
  <c r="BK291" i="80" s="1"/>
  <c r="BL291" i="80" s="1"/>
  <c r="BN291" i="80"/>
  <c r="Q291" i="80" s="1"/>
  <c r="BQ291" i="80" l="1"/>
  <c r="BO291" i="80"/>
  <c r="L291" i="80" l="1"/>
  <c r="N292" i="80" s="1"/>
  <c r="K291" i="80"/>
  <c r="M292" i="80" s="1"/>
  <c r="BR291" i="80"/>
  <c r="BS291" i="80" s="1"/>
  <c r="BP291" i="80"/>
  <c r="BT292" i="80" l="1"/>
  <c r="O292" i="80"/>
  <c r="BU292" i="80"/>
  <c r="S292" i="80" l="1"/>
  <c r="P292" i="80"/>
  <c r="U292" i="80" s="1"/>
  <c r="BY292" i="80"/>
  <c r="T292" i="80" l="1"/>
  <c r="V292" i="80" s="1"/>
  <c r="Y292" i="80" s="1"/>
  <c r="X292" i="80"/>
  <c r="BX292" i="80" l="1"/>
  <c r="AP292" i="80"/>
  <c r="AQ292" i="80" s="1"/>
  <c r="AD292" i="80"/>
  <c r="AC292" i="80"/>
  <c r="BE292" i="80" l="1"/>
  <c r="AO292" i="80"/>
  <c r="BV293" i="80"/>
  <c r="R292" i="80"/>
  <c r="AF292" i="80"/>
  <c r="AE292" i="80"/>
  <c r="AR292" i="80"/>
  <c r="AS292" i="80"/>
  <c r="AH292" i="80" l="1"/>
  <c r="AI292" i="80" s="1"/>
  <c r="AJ292" i="80" s="1"/>
  <c r="AG292" i="80"/>
  <c r="BD292" i="80" l="1"/>
  <c r="AK292" i="80"/>
  <c r="AL292" i="80" s="1"/>
  <c r="AX292" i="80"/>
  <c r="AT292" i="80"/>
  <c r="AM292" i="80" l="1"/>
  <c r="AV292" i="80" s="1"/>
  <c r="AN292" i="80"/>
  <c r="BW293" i="80"/>
  <c r="AW292" i="80"/>
  <c r="AY292" i="80" l="1"/>
  <c r="BA292" i="80" s="1"/>
  <c r="AZ292" i="80" l="1"/>
  <c r="BB292" i="80"/>
  <c r="BF292" i="80"/>
  <c r="BG292" i="80" l="1"/>
  <c r="BH292" i="80" s="1"/>
  <c r="BI292" i="80" l="1"/>
  <c r="BN292" i="80" l="1"/>
  <c r="Q292" i="80" s="1"/>
  <c r="BJ292" i="80"/>
  <c r="BK292" i="80" s="1"/>
  <c r="BL292" i="80" s="1"/>
  <c r="BQ292" i="80" l="1"/>
  <c r="BO292" i="80"/>
  <c r="BR292" i="80" l="1"/>
  <c r="BS292" i="80" s="1"/>
  <c r="BP292" i="80"/>
  <c r="L292" i="80"/>
  <c r="N293" i="80" s="1"/>
  <c r="K292" i="80"/>
  <c r="M293" i="80" s="1"/>
  <c r="BT293" i="80" l="1"/>
  <c r="O293" i="80"/>
  <c r="BU293" i="80"/>
  <c r="P293" i="80" l="1"/>
  <c r="U293" i="80" s="1"/>
  <c r="BY293" i="80"/>
  <c r="S293" i="80"/>
  <c r="T293" i="80" l="1"/>
  <c r="V293" i="80" s="1"/>
  <c r="Y293" i="80" s="1"/>
  <c r="X293" i="80"/>
  <c r="AP293" i="80" l="1"/>
  <c r="AQ293" i="80" s="1"/>
  <c r="BX293" i="80"/>
  <c r="AD293" i="80"/>
  <c r="AC293" i="80"/>
  <c r="BE293" i="80" l="1"/>
  <c r="AO293" i="80"/>
  <c r="BV294" i="80"/>
  <c r="R293" i="80"/>
  <c r="AE293" i="80"/>
  <c r="AF293" i="80"/>
  <c r="AR293" i="80"/>
  <c r="AS293" i="80"/>
  <c r="AG293" i="80" l="1"/>
  <c r="AH293" i="80"/>
  <c r="AI293" i="80" s="1"/>
  <c r="AJ293" i="80" s="1"/>
  <c r="AX293" i="80" l="1"/>
  <c r="AK293" i="80"/>
  <c r="AL293" i="80" s="1"/>
  <c r="BD293" i="80"/>
  <c r="AT293" i="80"/>
  <c r="AM293" i="80" l="1"/>
  <c r="AV293" i="80" s="1"/>
  <c r="BW294" i="80"/>
  <c r="AN293" i="80"/>
  <c r="AW293" i="80"/>
  <c r="AY293" i="80" l="1"/>
  <c r="BA293" i="80" s="1"/>
  <c r="AZ293" i="80" l="1"/>
  <c r="BB293" i="80"/>
  <c r="BF293" i="80"/>
  <c r="BG293" i="80" l="1"/>
  <c r="BH293" i="80" s="1"/>
  <c r="BI293" i="80" l="1"/>
  <c r="BN293" i="80" l="1"/>
  <c r="Q293" i="80" s="1"/>
  <c r="BJ293" i="80"/>
  <c r="BK293" i="80" s="1"/>
  <c r="BL293" i="80" s="1"/>
  <c r="BQ293" i="80" l="1"/>
  <c r="BO293" i="80"/>
  <c r="BR293" i="80" l="1"/>
  <c r="BS293" i="80" s="1"/>
  <c r="BP293" i="80"/>
  <c r="L293" i="80"/>
  <c r="N294" i="80" s="1"/>
  <c r="K293" i="80"/>
  <c r="M294" i="80" s="1"/>
  <c r="BU294" i="80" l="1"/>
  <c r="BT294" i="80"/>
  <c r="O294" i="80"/>
  <c r="P294" i="80" l="1"/>
  <c r="U294" i="80" s="1"/>
  <c r="S294" i="80"/>
  <c r="BY294" i="80"/>
  <c r="T294" i="80" l="1"/>
  <c r="V294" i="80" s="1"/>
  <c r="Y294" i="80" s="1"/>
  <c r="X294" i="80"/>
  <c r="BX294" i="80" l="1"/>
  <c r="AP294" i="80"/>
  <c r="AQ294" i="80" s="1"/>
  <c r="AD294" i="80"/>
  <c r="AC294" i="80"/>
  <c r="R294" i="80" l="1"/>
  <c r="AO294" i="80"/>
  <c r="BV295" i="80"/>
  <c r="BE294" i="80"/>
  <c r="AR294" i="80"/>
  <c r="AS294" i="80"/>
  <c r="AE294" i="80"/>
  <c r="AF294" i="80"/>
  <c r="AG294" i="80" l="1"/>
  <c r="AH294" i="80"/>
  <c r="AI294" i="80" s="1"/>
  <c r="AJ294" i="80" s="1"/>
  <c r="BD294" i="80" l="1"/>
  <c r="AX294" i="80"/>
  <c r="AK294" i="80"/>
  <c r="AL294" i="80" s="1"/>
  <c r="AT294" i="80"/>
  <c r="AM294" i="80" l="1"/>
  <c r="AV294" i="80" s="1"/>
  <c r="AN294" i="80"/>
  <c r="BW295" i="80"/>
  <c r="AW294" i="80"/>
  <c r="AY294" i="80" l="1"/>
  <c r="BA294" i="80" s="1"/>
  <c r="AZ294" i="80" l="1"/>
  <c r="BB294" i="80"/>
  <c r="BF294" i="80"/>
  <c r="BG294" i="80" l="1"/>
  <c r="BH294" i="80" s="1"/>
  <c r="BI294" i="80" l="1"/>
  <c r="BN294" i="80" l="1"/>
  <c r="Q294" i="80" s="1"/>
  <c r="BJ294" i="80"/>
  <c r="BK294" i="80" s="1"/>
  <c r="BL294" i="80" s="1"/>
  <c r="BQ294" i="80" l="1"/>
  <c r="BO294" i="80"/>
  <c r="BR294" i="80" l="1"/>
  <c r="BS294" i="80" s="1"/>
  <c r="BP294" i="80"/>
  <c r="K294" i="80"/>
  <c r="M295" i="80" s="1"/>
  <c r="L294" i="80"/>
  <c r="N295" i="80" s="1"/>
  <c r="O295" i="80" l="1"/>
  <c r="BT295" i="80"/>
  <c r="BU295" i="80"/>
  <c r="S295" i="80" l="1"/>
  <c r="P295" i="80"/>
  <c r="U295" i="80" s="1"/>
  <c r="BY295" i="80"/>
  <c r="T295" i="80" l="1"/>
  <c r="V295" i="80" s="1"/>
  <c r="Y295" i="80" s="1"/>
  <c r="X295" i="80"/>
  <c r="BX295" i="80" l="1"/>
  <c r="AD295" i="80"/>
  <c r="AP295" i="80"/>
  <c r="AQ295" i="80" s="1"/>
  <c r="AC295" i="80"/>
  <c r="BE295" i="80" l="1"/>
  <c r="AO295" i="80"/>
  <c r="BV296" i="80"/>
  <c r="R295" i="80"/>
  <c r="AR295" i="80"/>
  <c r="AS295" i="80"/>
  <c r="AF295" i="80"/>
  <c r="AE295" i="80"/>
  <c r="AH295" i="80" l="1"/>
  <c r="AI295" i="80" s="1"/>
  <c r="AJ295" i="80" s="1"/>
  <c r="AG295" i="80"/>
  <c r="AK295" i="80" l="1"/>
  <c r="AL295" i="80" s="1"/>
  <c r="AX295" i="80"/>
  <c r="BD295" i="80"/>
  <c r="AT295" i="80"/>
  <c r="AM295" i="80" l="1"/>
  <c r="AV295" i="80" s="1"/>
  <c r="AN295" i="80"/>
  <c r="BW296" i="80"/>
  <c r="AW295" i="80"/>
  <c r="AY295" i="80" l="1"/>
  <c r="BA295" i="80" s="1"/>
  <c r="AZ295" i="80" l="1"/>
  <c r="BB295" i="80"/>
  <c r="BF295" i="80"/>
  <c r="BG295" i="80" l="1"/>
  <c r="BH295" i="80" s="1"/>
  <c r="BI295" i="80" l="1"/>
  <c r="BN295" i="80" l="1"/>
  <c r="Q295" i="80" s="1"/>
  <c r="BJ295" i="80"/>
  <c r="BK295" i="80" s="1"/>
  <c r="BL295" i="80" s="1"/>
  <c r="BQ295" i="80" l="1"/>
  <c r="BO295" i="80"/>
  <c r="BR295" i="80" l="1"/>
  <c r="BS295" i="80" s="1"/>
  <c r="BP295" i="80"/>
  <c r="K295" i="80"/>
  <c r="M296" i="80" s="1"/>
  <c r="L295" i="80"/>
  <c r="N296" i="80" s="1"/>
  <c r="O296" i="80" l="1"/>
  <c r="BT296" i="80"/>
  <c r="BU296" i="80"/>
  <c r="S296" i="80" l="1"/>
  <c r="BY296" i="80"/>
  <c r="P296" i="80"/>
  <c r="U296" i="80" s="1"/>
  <c r="T296" i="80" l="1"/>
  <c r="V296" i="80" s="1"/>
  <c r="Y296" i="80" s="1"/>
  <c r="X296" i="80"/>
  <c r="AP296" i="80" l="1"/>
  <c r="AQ296" i="80" s="1"/>
  <c r="BX296" i="80"/>
  <c r="AD296" i="80"/>
  <c r="AC296" i="80"/>
  <c r="BE296" i="80" l="1"/>
  <c r="AO296" i="80"/>
  <c r="BV297" i="80"/>
  <c r="R296" i="80"/>
  <c r="AR296" i="80"/>
  <c r="AS296" i="80"/>
  <c r="AF296" i="80"/>
  <c r="AE296" i="80"/>
  <c r="AG296" i="80" l="1"/>
  <c r="AH296" i="80"/>
  <c r="AI296" i="80" s="1"/>
  <c r="AJ296" i="80" s="1"/>
  <c r="BD296" i="80" l="1"/>
  <c r="AX296" i="80"/>
  <c r="AK296" i="80"/>
  <c r="AL296" i="80" s="1"/>
  <c r="AT296" i="80"/>
  <c r="AM296" i="80" l="1"/>
  <c r="AV296" i="80" s="1"/>
  <c r="BW297" i="80"/>
  <c r="AN296" i="80"/>
  <c r="AW296" i="80"/>
  <c r="AY296" i="80" l="1"/>
  <c r="BA296" i="80" s="1"/>
  <c r="AZ296" i="80" l="1"/>
  <c r="BB296" i="80"/>
  <c r="BF296" i="80"/>
  <c r="BG296" i="80" l="1"/>
  <c r="BH296" i="80" s="1"/>
  <c r="BI296" i="80" l="1"/>
  <c r="BN296" i="80" l="1"/>
  <c r="Q296" i="80" s="1"/>
  <c r="BJ296" i="80"/>
  <c r="BK296" i="80" s="1"/>
  <c r="BL296" i="80" s="1"/>
  <c r="BQ296" i="80" l="1"/>
  <c r="BO296" i="80"/>
  <c r="BR296" i="80" l="1"/>
  <c r="BS296" i="80" s="1"/>
  <c r="BP296" i="80"/>
  <c r="K296" i="80"/>
  <c r="M297" i="80" s="1"/>
  <c r="L296" i="80"/>
  <c r="N297" i="80" s="1"/>
  <c r="O297" i="80" l="1"/>
  <c r="BT297" i="80"/>
  <c r="BU297" i="80"/>
  <c r="S297" i="80" l="1"/>
  <c r="P297" i="80"/>
  <c r="U297" i="80" s="1"/>
  <c r="BY297" i="80"/>
  <c r="T297" i="80" l="1"/>
  <c r="V297" i="80" s="1"/>
  <c r="Y297" i="80" s="1"/>
  <c r="X297" i="80"/>
  <c r="BX297" i="80" l="1"/>
  <c r="AD297" i="80"/>
  <c r="AP297" i="80"/>
  <c r="AQ297" i="80" s="1"/>
  <c r="AC297" i="80"/>
  <c r="R297" i="80" l="1"/>
  <c r="AO297" i="80"/>
  <c r="BV298" i="80"/>
  <c r="BE297" i="80"/>
  <c r="AS297" i="80"/>
  <c r="AR297" i="80"/>
  <c r="AF297" i="80"/>
  <c r="AE297" i="80"/>
  <c r="AG297" i="80" l="1"/>
  <c r="AH297" i="80"/>
  <c r="AI297" i="80" s="1"/>
  <c r="AJ297" i="80" s="1"/>
  <c r="AK297" i="80" l="1"/>
  <c r="AL297" i="80" s="1"/>
  <c r="BD297" i="80"/>
  <c r="AX297" i="80"/>
  <c r="AT297" i="80"/>
  <c r="AM297" i="80" l="1"/>
  <c r="AV297" i="80" s="1"/>
  <c r="AN297" i="80"/>
  <c r="BW298" i="80"/>
  <c r="AW297" i="80"/>
  <c r="AY297" i="80" l="1"/>
  <c r="BA297" i="80" s="1"/>
  <c r="AZ297" i="80" l="1"/>
  <c r="BB297" i="80"/>
  <c r="BF297" i="80"/>
  <c r="BG297" i="80" l="1"/>
  <c r="BH297" i="80" s="1"/>
  <c r="BI297" i="80" l="1"/>
  <c r="BN297" i="80" l="1"/>
  <c r="Q297" i="80" s="1"/>
  <c r="BJ297" i="80"/>
  <c r="BK297" i="80" s="1"/>
  <c r="BL297" i="80" s="1"/>
  <c r="BQ297" i="80" l="1"/>
  <c r="BO297" i="80"/>
  <c r="K297" i="80" l="1"/>
  <c r="M298" i="80" s="1"/>
  <c r="L297" i="80"/>
  <c r="N298" i="80" s="1"/>
  <c r="BR297" i="80"/>
  <c r="BS297" i="80" s="1"/>
  <c r="BP297" i="80"/>
  <c r="BU298" i="80" l="1"/>
  <c r="BT298" i="80"/>
  <c r="O298" i="80"/>
  <c r="P298" i="80" l="1"/>
  <c r="U298" i="80" s="1"/>
  <c r="S298" i="80"/>
  <c r="BY298" i="80"/>
  <c r="T298" i="80" l="1"/>
  <c r="V298" i="80" s="1"/>
  <c r="Y298" i="80" s="1"/>
  <c r="X298" i="80"/>
  <c r="AD298" i="80" l="1"/>
  <c r="BX298" i="80"/>
  <c r="AP298" i="80"/>
  <c r="AQ298" i="80" s="1"/>
  <c r="AC298" i="80"/>
  <c r="BE298" i="80" l="1"/>
  <c r="AO298" i="80"/>
  <c r="BV299" i="80"/>
  <c r="R298" i="80"/>
  <c r="AE298" i="80"/>
  <c r="AF298" i="80"/>
  <c r="AR298" i="80"/>
  <c r="AS298" i="80"/>
  <c r="AH298" i="80" l="1"/>
  <c r="AI298" i="80" s="1"/>
  <c r="AJ298" i="80" s="1"/>
  <c r="AG298" i="80"/>
  <c r="AX298" i="80" l="1"/>
  <c r="BD298" i="80"/>
  <c r="AK298" i="80"/>
  <c r="AL298" i="80" s="1"/>
  <c r="AT298" i="80"/>
  <c r="AM298" i="80" l="1"/>
  <c r="AV298" i="80" s="1"/>
  <c r="AN298" i="80"/>
  <c r="BW299" i="80"/>
  <c r="AW298" i="80"/>
  <c r="AY298" i="80" l="1"/>
  <c r="BA298" i="80" s="1"/>
  <c r="AZ298" i="80" l="1"/>
  <c r="BB298" i="80"/>
  <c r="BF298" i="80"/>
  <c r="BG298" i="80" l="1"/>
  <c r="BH298" i="80" s="1"/>
  <c r="BI298" i="80" l="1"/>
  <c r="BN298" i="80" l="1"/>
  <c r="Q298" i="80" s="1"/>
  <c r="BJ298" i="80"/>
  <c r="BK298" i="80" s="1"/>
  <c r="BL298" i="80" s="1"/>
  <c r="BQ298" i="80" l="1"/>
  <c r="BO298" i="80"/>
  <c r="BR298" i="80" l="1"/>
  <c r="BS298" i="80" s="1"/>
  <c r="BP298" i="80"/>
  <c r="L298" i="80"/>
  <c r="N299" i="80" s="1"/>
  <c r="BU299" i="80" s="1"/>
  <c r="K298" i="80"/>
  <c r="M299" i="80" s="1"/>
  <c r="BT299" i="80" l="1"/>
  <c r="O299" i="80"/>
  <c r="P299" i="80" l="1"/>
  <c r="U299" i="80" s="1"/>
  <c r="BY299" i="80"/>
  <c r="S299" i="80"/>
  <c r="T299" i="80" l="1"/>
  <c r="V299" i="80" s="1"/>
  <c r="Y299" i="80" s="1"/>
  <c r="X299" i="80"/>
  <c r="AP299" i="80" l="1"/>
  <c r="AQ299" i="80" s="1"/>
  <c r="BX299" i="80"/>
  <c r="AD299" i="80"/>
  <c r="AC299" i="80"/>
  <c r="BE299" i="80" l="1"/>
  <c r="AO299" i="80"/>
  <c r="BV300" i="80"/>
  <c r="R299" i="80"/>
  <c r="AR299" i="80"/>
  <c r="AS299" i="80"/>
  <c r="AF299" i="80"/>
  <c r="AE299" i="80"/>
  <c r="AH299" i="80" l="1"/>
  <c r="AI299" i="80" s="1"/>
  <c r="AJ299" i="80" s="1"/>
  <c r="AG299" i="80"/>
  <c r="AK299" i="80" l="1"/>
  <c r="AL299" i="80" s="1"/>
  <c r="AX299" i="80"/>
  <c r="BD299" i="80"/>
  <c r="AT299" i="80"/>
  <c r="AM299" i="80" l="1"/>
  <c r="AV299" i="80" s="1"/>
  <c r="BW300" i="80"/>
  <c r="AN299" i="80"/>
  <c r="AW299" i="80"/>
  <c r="AY299" i="80" l="1"/>
  <c r="BA299" i="80" s="1"/>
  <c r="AZ299" i="80" l="1"/>
  <c r="BB299" i="80"/>
  <c r="BF299" i="80"/>
  <c r="BG299" i="80" l="1"/>
  <c r="BH299" i="80" s="1"/>
  <c r="BI299" i="80" l="1"/>
  <c r="BN299" i="80" l="1"/>
  <c r="Q299" i="80" s="1"/>
  <c r="BJ299" i="80"/>
  <c r="BK299" i="80" s="1"/>
  <c r="BL299" i="80" s="1"/>
  <c r="BQ299" i="80" l="1"/>
  <c r="BO299" i="80"/>
  <c r="BR299" i="80" l="1"/>
  <c r="BS299" i="80" s="1"/>
  <c r="BP299" i="80"/>
  <c r="L299" i="80"/>
  <c r="N300" i="80" s="1"/>
  <c r="K299" i="80"/>
  <c r="M300" i="80" s="1"/>
  <c r="BU300" i="80" l="1"/>
  <c r="O300" i="80"/>
  <c r="BT300" i="80"/>
  <c r="S300" i="80" l="1"/>
  <c r="P300" i="80"/>
  <c r="U300" i="80" s="1"/>
  <c r="BY300" i="80"/>
  <c r="T300" i="80" l="1"/>
  <c r="V300" i="80" s="1"/>
  <c r="Y300" i="80" s="1"/>
  <c r="X300" i="80"/>
  <c r="AP300" i="80" l="1"/>
  <c r="AQ300" i="80" s="1"/>
  <c r="AD300" i="80"/>
  <c r="BX300" i="80"/>
  <c r="AC300" i="80"/>
  <c r="BE300" i="80" l="1"/>
  <c r="AO300" i="80"/>
  <c r="BV301" i="80"/>
  <c r="R300" i="80"/>
  <c r="AR300" i="80"/>
  <c r="AS300" i="80"/>
  <c r="AF300" i="80"/>
  <c r="AE300" i="80"/>
  <c r="AH300" i="80" l="1"/>
  <c r="AI300" i="80" s="1"/>
  <c r="AJ300" i="80" s="1"/>
  <c r="AG300" i="80"/>
  <c r="AK300" i="80" l="1"/>
  <c r="AL300" i="80" s="1"/>
  <c r="AX300" i="80"/>
  <c r="BD300" i="80"/>
  <c r="AT300" i="80"/>
  <c r="AM300" i="80" l="1"/>
  <c r="AV300" i="80" s="1"/>
  <c r="BW301" i="80"/>
  <c r="AN300" i="80"/>
  <c r="AW300" i="80"/>
  <c r="AY300" i="80" l="1"/>
  <c r="BA300" i="80" s="1"/>
  <c r="AZ300" i="80" l="1"/>
  <c r="BB300" i="80"/>
  <c r="BF300" i="80"/>
  <c r="BG300" i="80" l="1"/>
  <c r="BH300" i="80" s="1"/>
  <c r="BI300" i="80" l="1"/>
  <c r="BN300" i="80" l="1"/>
  <c r="Q300" i="80" s="1"/>
  <c r="BJ300" i="80"/>
  <c r="BK300" i="80" s="1"/>
  <c r="BL300" i="80" s="1"/>
  <c r="BQ300" i="80" l="1"/>
  <c r="BO300" i="80"/>
  <c r="BR300" i="80" l="1"/>
  <c r="BS300" i="80" s="1"/>
  <c r="BP300" i="80"/>
  <c r="L300" i="80"/>
  <c r="N301" i="80" s="1"/>
  <c r="BU301" i="80" s="1"/>
  <c r="K300" i="80"/>
  <c r="M301" i="80" s="1"/>
  <c r="BT301" i="80" l="1"/>
  <c r="O301" i="80"/>
  <c r="P301" i="80" l="1"/>
  <c r="U301" i="80" s="1"/>
  <c r="BY301" i="80"/>
  <c r="S301" i="80"/>
  <c r="T301" i="80" l="1"/>
  <c r="V301" i="80" s="1"/>
  <c r="Y301" i="80" s="1"/>
  <c r="X301" i="80"/>
  <c r="AD301" i="80" l="1"/>
  <c r="BX301" i="80"/>
  <c r="AP301" i="80"/>
  <c r="AQ301" i="80" s="1"/>
  <c r="AC301" i="80"/>
  <c r="BE301" i="80" l="1"/>
  <c r="AO301" i="80"/>
  <c r="BV302" i="80"/>
  <c r="R301" i="80"/>
  <c r="AR301" i="80"/>
  <c r="AS301" i="80"/>
  <c r="AE301" i="80"/>
  <c r="AF301" i="80"/>
  <c r="AH301" i="80" l="1"/>
  <c r="AI301" i="80" s="1"/>
  <c r="AJ301" i="80" s="1"/>
  <c r="AG301" i="80"/>
  <c r="BD301" i="80" l="1"/>
  <c r="AX301" i="80"/>
  <c r="AK301" i="80"/>
  <c r="AL301" i="80" s="1"/>
  <c r="AT301" i="80"/>
  <c r="AM301" i="80" l="1"/>
  <c r="AV301" i="80" s="1"/>
  <c r="BW302" i="80"/>
  <c r="AN301" i="80"/>
  <c r="AW301" i="80"/>
  <c r="AY301" i="80" l="1"/>
  <c r="BA301" i="80" s="1"/>
  <c r="AZ301" i="80" l="1"/>
  <c r="BB301" i="80"/>
  <c r="BF301" i="80"/>
  <c r="BG301" i="80" l="1"/>
  <c r="BH301" i="80" s="1"/>
  <c r="BI301" i="80" l="1"/>
  <c r="BN301" i="80" l="1"/>
  <c r="Q301" i="80" s="1"/>
  <c r="BJ301" i="80"/>
  <c r="BK301" i="80" s="1"/>
  <c r="BL301" i="80" s="1"/>
  <c r="BQ301" i="80" l="1"/>
  <c r="BO301" i="80"/>
  <c r="BR301" i="80" l="1"/>
  <c r="BS301" i="80" s="1"/>
  <c r="BP301" i="80"/>
  <c r="L301" i="80"/>
  <c r="N302" i="80" s="1"/>
  <c r="K301" i="80"/>
  <c r="M302" i="80" s="1"/>
  <c r="BT302" i="80" l="1"/>
  <c r="O302" i="80"/>
  <c r="BU302" i="80"/>
  <c r="BY302" i="80" l="1"/>
  <c r="S302" i="80"/>
  <c r="P302" i="80"/>
  <c r="U302" i="80" s="1"/>
  <c r="T302" i="80" l="1"/>
  <c r="V302" i="80" s="1"/>
  <c r="Y302" i="80" s="1"/>
  <c r="X302" i="80"/>
  <c r="AP302" i="80" l="1"/>
  <c r="AQ302" i="80" s="1"/>
  <c r="AD302" i="80"/>
  <c r="BX302" i="80"/>
  <c r="AC302" i="80"/>
  <c r="R302" i="80" l="1"/>
  <c r="AO302" i="80"/>
  <c r="BV303" i="80"/>
  <c r="BE302" i="80"/>
  <c r="AE302" i="80"/>
  <c r="AF302" i="80"/>
  <c r="AR302" i="80"/>
  <c r="AS302" i="80"/>
  <c r="AH302" i="80" l="1"/>
  <c r="AI302" i="80" s="1"/>
  <c r="AJ302" i="80" s="1"/>
  <c r="AG302" i="80"/>
  <c r="BD302" i="80" l="1"/>
  <c r="AK302" i="80"/>
  <c r="AL302" i="80" s="1"/>
  <c r="AX302" i="80"/>
  <c r="AT302" i="80"/>
  <c r="AM302" i="80" l="1"/>
  <c r="AV302" i="80" s="1"/>
  <c r="AN302" i="80"/>
  <c r="BW303" i="80"/>
  <c r="AW302" i="80"/>
  <c r="AY302" i="80" l="1"/>
  <c r="BA302" i="80" s="1"/>
  <c r="AZ302" i="80" l="1"/>
  <c r="BB302" i="80"/>
  <c r="BF302" i="80"/>
  <c r="BG302" i="80" l="1"/>
  <c r="BH302" i="80" s="1"/>
  <c r="BI302" i="80" l="1"/>
  <c r="BN302" i="80" l="1"/>
  <c r="Q302" i="80" s="1"/>
  <c r="BJ302" i="80"/>
  <c r="BK302" i="80" s="1"/>
  <c r="BL302" i="80" s="1"/>
  <c r="BQ302" i="80" l="1"/>
  <c r="BO302" i="80"/>
  <c r="BR302" i="80" l="1"/>
  <c r="BS302" i="80" s="1"/>
  <c r="BP302" i="80"/>
  <c r="K302" i="80"/>
  <c r="M303" i="80" s="1"/>
  <c r="L302" i="80"/>
  <c r="N303" i="80" s="1"/>
  <c r="BU303" i="80" l="1"/>
  <c r="O303" i="80"/>
  <c r="BT303" i="80"/>
  <c r="S303" i="80" l="1"/>
  <c r="BY303" i="80"/>
  <c r="P303" i="80"/>
  <c r="U303" i="80" s="1"/>
  <c r="T303" i="80" l="1"/>
  <c r="V303" i="80" s="1"/>
  <c r="Y303" i="80" s="1"/>
  <c r="X303" i="80"/>
  <c r="AP303" i="80" l="1"/>
  <c r="AQ303" i="80" s="1"/>
  <c r="AD303" i="80"/>
  <c r="BX303" i="80"/>
  <c r="AC303" i="80"/>
  <c r="BE303" i="80" l="1"/>
  <c r="AO303" i="80"/>
  <c r="BV304" i="80"/>
  <c r="R303" i="80"/>
  <c r="AE303" i="80"/>
  <c r="AF303" i="80"/>
  <c r="AR303" i="80"/>
  <c r="AS303" i="80"/>
  <c r="AH303" i="80" l="1"/>
  <c r="AI303" i="80" s="1"/>
  <c r="AJ303" i="80" s="1"/>
  <c r="AG303" i="80"/>
  <c r="AX303" i="80" l="1"/>
  <c r="BD303" i="80"/>
  <c r="AK303" i="80"/>
  <c r="AL303" i="80" s="1"/>
  <c r="AT303" i="80"/>
  <c r="AM303" i="80" l="1"/>
  <c r="AV303" i="80" s="1"/>
  <c r="BW304" i="80"/>
  <c r="AN303" i="80"/>
  <c r="AW303" i="80"/>
  <c r="AY303" i="80" l="1"/>
  <c r="BA303" i="80" s="1"/>
  <c r="AZ303" i="80" l="1"/>
  <c r="BB303" i="80"/>
  <c r="BF303" i="80"/>
  <c r="BG303" i="80" l="1"/>
  <c r="BH303" i="80" s="1"/>
  <c r="BI303" i="80" l="1"/>
  <c r="BJ303" i="80" l="1"/>
  <c r="BK303" i="80" s="1"/>
  <c r="BL303" i="80" s="1"/>
  <c r="BN303" i="80"/>
  <c r="Q303" i="80" s="1"/>
  <c r="BQ303" i="80" l="1"/>
  <c r="BO303" i="80"/>
  <c r="L303" i="80" l="1"/>
  <c r="N304" i="80" s="1"/>
  <c r="K303" i="80"/>
  <c r="M304" i="80" s="1"/>
  <c r="BR303" i="80"/>
  <c r="BS303" i="80" s="1"/>
  <c r="BP303" i="80"/>
  <c r="BT304" i="80" l="1"/>
  <c r="O304" i="80"/>
  <c r="BU304" i="80"/>
  <c r="P304" i="80" l="1"/>
  <c r="U304" i="80" s="1"/>
  <c r="BY304" i="80"/>
  <c r="S304" i="80"/>
  <c r="T304" i="80" l="1"/>
  <c r="V304" i="80" s="1"/>
  <c r="Y304" i="80" s="1"/>
  <c r="X304" i="80"/>
  <c r="BX304" i="80" l="1"/>
  <c r="AD304" i="80"/>
  <c r="AP304" i="80"/>
  <c r="AQ304" i="80" s="1"/>
  <c r="AC304" i="80"/>
  <c r="BE304" i="80" l="1"/>
  <c r="AO304" i="80"/>
  <c r="BV305" i="80"/>
  <c r="R304" i="80"/>
  <c r="AR304" i="80"/>
  <c r="AS304" i="80"/>
  <c r="AF304" i="80"/>
  <c r="AE304" i="80"/>
  <c r="AG304" i="80" l="1"/>
  <c r="AH304" i="80"/>
  <c r="AI304" i="80" s="1"/>
  <c r="AJ304" i="80" s="1"/>
  <c r="BD304" i="80" l="1"/>
  <c r="AX304" i="80"/>
  <c r="AK304" i="80"/>
  <c r="AL304" i="80" s="1"/>
  <c r="AT304" i="80"/>
  <c r="AM304" i="80" l="1"/>
  <c r="AV304" i="80" s="1"/>
  <c r="AN304" i="80"/>
  <c r="BW305" i="80"/>
  <c r="AW304" i="80"/>
  <c r="AY304" i="80" l="1"/>
  <c r="BA304" i="80" s="1"/>
  <c r="AZ304" i="80" l="1"/>
  <c r="BB304" i="80"/>
  <c r="BF304" i="80"/>
  <c r="BG304" i="80" l="1"/>
  <c r="BH304" i="80" s="1"/>
  <c r="BI304" i="80" l="1"/>
  <c r="BN304" i="80" l="1"/>
  <c r="Q304" i="80" s="1"/>
  <c r="BJ304" i="80"/>
  <c r="BK304" i="80" s="1"/>
  <c r="BL304" i="80" s="1"/>
  <c r="BQ304" i="80" l="1"/>
  <c r="BO304" i="80"/>
  <c r="BR304" i="80" l="1"/>
  <c r="BS304" i="80" s="1"/>
  <c r="BP304" i="80"/>
  <c r="K304" i="80"/>
  <c r="M305" i="80" s="1"/>
  <c r="L304" i="80"/>
  <c r="N305" i="80" s="1"/>
  <c r="BT305" i="80" l="1"/>
  <c r="O305" i="80"/>
  <c r="BU305" i="80"/>
  <c r="BY305" i="80" l="1"/>
  <c r="S305" i="80"/>
  <c r="P305" i="80"/>
  <c r="U305" i="80" s="1"/>
  <c r="T305" i="80" l="1"/>
  <c r="V305" i="80" s="1"/>
  <c r="Y305" i="80" s="1"/>
  <c r="X305" i="80"/>
  <c r="BX305" i="80" l="1"/>
  <c r="AD305" i="80"/>
  <c r="AP305" i="80"/>
  <c r="AQ305" i="80" s="1"/>
  <c r="AC305" i="80"/>
  <c r="R305" i="80" l="1"/>
  <c r="AO305" i="80"/>
  <c r="BV306" i="80"/>
  <c r="BE305" i="80"/>
  <c r="AR305" i="80"/>
  <c r="AS305" i="80"/>
  <c r="AF305" i="80"/>
  <c r="AE305" i="80"/>
  <c r="AH305" i="80" l="1"/>
  <c r="AI305" i="80" s="1"/>
  <c r="AJ305" i="80" s="1"/>
  <c r="AG305" i="80"/>
  <c r="AX305" i="80" l="1"/>
  <c r="BD305" i="80"/>
  <c r="AK305" i="80"/>
  <c r="AL305" i="80" s="1"/>
  <c r="AT305" i="80"/>
  <c r="AM305" i="80" l="1"/>
  <c r="AV305" i="80" s="1"/>
  <c r="AN305" i="80"/>
  <c r="BW306" i="80"/>
  <c r="AW305" i="80"/>
  <c r="AY305" i="80" l="1"/>
  <c r="BA305" i="80" s="1"/>
  <c r="AZ305" i="80" l="1"/>
  <c r="BB305" i="80"/>
  <c r="BF305" i="80"/>
  <c r="BG305" i="80" l="1"/>
  <c r="BH305" i="80" s="1"/>
  <c r="BI305" i="80" l="1"/>
  <c r="BJ305" i="80" l="1"/>
  <c r="BK305" i="80" s="1"/>
  <c r="BL305" i="80" s="1"/>
  <c r="BN305" i="80"/>
  <c r="Q305" i="80" s="1"/>
  <c r="BQ305" i="80" l="1"/>
  <c r="BO305" i="80"/>
  <c r="BR305" i="80" l="1"/>
  <c r="BS305" i="80" s="1"/>
  <c r="BP305" i="80"/>
  <c r="K305" i="80"/>
  <c r="M306" i="80" s="1"/>
  <c r="L305" i="80"/>
  <c r="N306" i="80" s="1"/>
  <c r="BU306" i="80" l="1"/>
  <c r="BT306" i="80"/>
  <c r="O306" i="80"/>
  <c r="S306" i="80" l="1"/>
  <c r="P306" i="80"/>
  <c r="U306" i="80" s="1"/>
  <c r="BY306" i="80"/>
  <c r="T306" i="80" l="1"/>
  <c r="V306" i="80" s="1"/>
  <c r="Y306" i="80" s="1"/>
  <c r="X306" i="80"/>
  <c r="AP306" i="80" l="1"/>
  <c r="AQ306" i="80" s="1"/>
  <c r="AD306" i="80"/>
  <c r="BX306" i="80"/>
  <c r="AC306" i="80"/>
  <c r="BE306" i="80" l="1"/>
  <c r="AO306" i="80"/>
  <c r="BV307" i="80"/>
  <c r="R306" i="80"/>
  <c r="AR306" i="80"/>
  <c r="AS306" i="80"/>
  <c r="AF306" i="80"/>
  <c r="AE306" i="80"/>
  <c r="AH306" i="80" l="1"/>
  <c r="AI306" i="80" s="1"/>
  <c r="AJ306" i="80" s="1"/>
  <c r="AG306" i="80"/>
  <c r="AK306" i="80" l="1"/>
  <c r="AL306" i="80" s="1"/>
  <c r="AX306" i="80"/>
  <c r="BD306" i="80"/>
  <c r="AT306" i="80"/>
  <c r="AM306" i="80" l="1"/>
  <c r="AV306" i="80" s="1"/>
  <c r="AN306" i="80"/>
  <c r="BW307" i="80"/>
  <c r="AW306" i="80"/>
  <c r="AY306" i="80" l="1"/>
  <c r="BA306" i="80" s="1"/>
  <c r="AZ306" i="80" l="1"/>
  <c r="BB306" i="80"/>
  <c r="BF306" i="80"/>
  <c r="BG306" i="80" l="1"/>
  <c r="BH306" i="80" s="1"/>
  <c r="BI306" i="80" l="1"/>
  <c r="BN306" i="80" l="1"/>
  <c r="Q306" i="80" s="1"/>
  <c r="BJ306" i="80"/>
  <c r="BK306" i="80" s="1"/>
  <c r="BL306" i="80" s="1"/>
  <c r="BQ306" i="80" l="1"/>
  <c r="BO306" i="80"/>
  <c r="BR306" i="80" l="1"/>
  <c r="BS306" i="80" s="1"/>
  <c r="BP306" i="80"/>
  <c r="K306" i="80"/>
  <c r="M307" i="80" s="1"/>
  <c r="L306" i="80"/>
  <c r="N307" i="80" s="1"/>
  <c r="BU307" i="80" l="1"/>
  <c r="O307" i="80"/>
  <c r="BT307" i="80"/>
  <c r="P307" i="80" l="1"/>
  <c r="U307" i="80" s="1"/>
  <c r="BY307" i="80"/>
  <c r="S307" i="80"/>
  <c r="T307" i="80" l="1"/>
  <c r="V307" i="80" s="1"/>
  <c r="Y307" i="80" s="1"/>
  <c r="X307" i="80"/>
  <c r="AP307" i="80" l="1"/>
  <c r="AQ307" i="80" s="1"/>
  <c r="AD307" i="80"/>
  <c r="BX307" i="80"/>
  <c r="AC307" i="80"/>
  <c r="R307" i="80" l="1"/>
  <c r="AO307" i="80"/>
  <c r="BV308" i="80"/>
  <c r="BE307" i="80"/>
  <c r="AF307" i="80"/>
  <c r="AE307" i="80"/>
  <c r="AR307" i="80"/>
  <c r="AS307" i="80"/>
  <c r="AG307" i="80" l="1"/>
  <c r="AH307" i="80"/>
  <c r="AI307" i="80" s="1"/>
  <c r="AJ307" i="80" s="1"/>
  <c r="AX307" i="80" l="1"/>
  <c r="BD307" i="80"/>
  <c r="AK307" i="80"/>
  <c r="AL307" i="80" s="1"/>
  <c r="AT307" i="80"/>
  <c r="AM307" i="80" l="1"/>
  <c r="AV307" i="80" s="1"/>
  <c r="BW308" i="80"/>
  <c r="AN307" i="80"/>
  <c r="AW307" i="80"/>
  <c r="AY307" i="80" l="1"/>
  <c r="BA307" i="80" s="1"/>
  <c r="AZ307" i="80" l="1"/>
  <c r="BB307" i="80"/>
  <c r="BF307" i="80"/>
  <c r="BG307" i="80" l="1"/>
  <c r="BH307" i="80" s="1"/>
  <c r="BI307" i="80" l="1"/>
  <c r="BJ307" i="80" l="1"/>
  <c r="BK307" i="80" s="1"/>
  <c r="BL307" i="80" s="1"/>
  <c r="BN307" i="80"/>
  <c r="Q307" i="80" s="1"/>
  <c r="BQ307" i="80" l="1"/>
  <c r="BO307" i="80"/>
  <c r="L307" i="80" l="1"/>
  <c r="N308" i="80" s="1"/>
  <c r="K307" i="80"/>
  <c r="M308" i="80" s="1"/>
  <c r="BR307" i="80"/>
  <c r="BS307" i="80" s="1"/>
  <c r="BP307" i="80"/>
  <c r="BT308" i="80" l="1"/>
  <c r="O308" i="80"/>
  <c r="BU308" i="80"/>
  <c r="S308" i="80" l="1"/>
  <c r="P308" i="80"/>
  <c r="U308" i="80" s="1"/>
  <c r="BY308" i="80"/>
  <c r="T308" i="80" l="1"/>
  <c r="V308" i="80" s="1"/>
  <c r="Y308" i="80" s="1"/>
  <c r="X308" i="80"/>
  <c r="AD308" i="80" l="1"/>
  <c r="BX308" i="80"/>
  <c r="AP308" i="80"/>
  <c r="AQ308" i="80" s="1"/>
  <c r="AC308" i="80"/>
  <c r="BE308" i="80" l="1"/>
  <c r="AO308" i="80"/>
  <c r="R308" i="80"/>
  <c r="BV309" i="80"/>
  <c r="AR308" i="80"/>
  <c r="AS308" i="80"/>
  <c r="AF308" i="80"/>
  <c r="AE308" i="80"/>
  <c r="AH308" i="80" l="1"/>
  <c r="AI308" i="80" s="1"/>
  <c r="AJ308" i="80" s="1"/>
  <c r="AG308" i="80"/>
  <c r="BD308" i="80" l="1"/>
  <c r="AX308" i="80"/>
  <c r="AK308" i="80"/>
  <c r="AL308" i="80" s="1"/>
  <c r="AT308" i="80"/>
  <c r="AM308" i="80" l="1"/>
  <c r="AV308" i="80" s="1"/>
  <c r="AN308" i="80"/>
  <c r="BW309" i="80"/>
  <c r="AW308" i="80"/>
  <c r="AY308" i="80" l="1"/>
  <c r="BA308" i="80" s="1"/>
  <c r="AZ308" i="80" l="1"/>
  <c r="BB308" i="80"/>
  <c r="BF308" i="80"/>
  <c r="BG308" i="80" l="1"/>
  <c r="BH308" i="80" s="1"/>
  <c r="BI308" i="80" l="1"/>
  <c r="BN308" i="80" l="1"/>
  <c r="Q308" i="80" s="1"/>
  <c r="BJ308" i="80"/>
  <c r="BK308" i="80" s="1"/>
  <c r="BL308" i="80" s="1"/>
  <c r="BQ308" i="80" l="1"/>
  <c r="BO308" i="80"/>
  <c r="BR308" i="80" l="1"/>
  <c r="BS308" i="80" s="1"/>
  <c r="BP308" i="80"/>
  <c r="K308" i="80"/>
  <c r="M309" i="80" s="1"/>
  <c r="L308" i="80"/>
  <c r="N309" i="80" s="1"/>
  <c r="BU309" i="80" l="1"/>
  <c r="O309" i="80"/>
  <c r="BT309" i="80"/>
  <c r="S309" i="80" l="1"/>
  <c r="BY309" i="80"/>
  <c r="P309" i="80"/>
  <c r="U309" i="80" s="1"/>
  <c r="T309" i="80" l="1"/>
  <c r="V309" i="80" s="1"/>
  <c r="Y309" i="80" s="1"/>
  <c r="X309" i="80"/>
  <c r="BX309" i="80" l="1"/>
  <c r="AD309" i="80"/>
  <c r="AP309" i="80"/>
  <c r="AQ309" i="80" s="1"/>
  <c r="AC309" i="80"/>
  <c r="BE309" i="80" l="1"/>
  <c r="AO309" i="80"/>
  <c r="R309" i="80"/>
  <c r="BV310" i="80"/>
  <c r="AE309" i="80"/>
  <c r="AF309" i="80"/>
  <c r="AR309" i="80"/>
  <c r="AS309" i="80"/>
  <c r="AH309" i="80" l="1"/>
  <c r="AI309" i="80" s="1"/>
  <c r="AJ309" i="80" s="1"/>
  <c r="AG309" i="80"/>
  <c r="AX309" i="80" l="1"/>
  <c r="BD309" i="80"/>
  <c r="AK309" i="80"/>
  <c r="AL309" i="80" s="1"/>
  <c r="AT309" i="80"/>
  <c r="AM309" i="80" l="1"/>
  <c r="AV309" i="80" s="1"/>
  <c r="AN309" i="80"/>
  <c r="BW310" i="80"/>
  <c r="AW309" i="80"/>
  <c r="AY309" i="80" l="1"/>
  <c r="BA309" i="80" s="1"/>
  <c r="AZ309" i="80" l="1"/>
  <c r="BB309" i="80"/>
  <c r="BF309" i="80"/>
  <c r="BG309" i="80" l="1"/>
  <c r="BH309" i="80" s="1"/>
  <c r="BI309" i="80" l="1"/>
  <c r="BJ309" i="80" l="1"/>
  <c r="BK309" i="80" s="1"/>
  <c r="BL309" i="80" s="1"/>
  <c r="BN309" i="80"/>
  <c r="Q309" i="80" s="1"/>
  <c r="BQ309" i="80" l="1"/>
  <c r="BO309" i="80"/>
  <c r="BR309" i="80" l="1"/>
  <c r="BS309" i="80" s="1"/>
  <c r="BP309" i="80"/>
  <c r="L309" i="80"/>
  <c r="N310" i="80" s="1"/>
  <c r="K309" i="80"/>
  <c r="M310" i="80" s="1"/>
  <c r="BU310" i="80" l="1"/>
  <c r="BT310" i="80"/>
  <c r="O310" i="80"/>
  <c r="S310" i="80" l="1"/>
  <c r="P310" i="80"/>
  <c r="U310" i="80" s="1"/>
  <c r="BY310" i="80"/>
  <c r="T310" i="80" l="1"/>
  <c r="V310" i="80" s="1"/>
  <c r="Y310" i="80" s="1"/>
  <c r="X310" i="80"/>
  <c r="BX310" i="80" l="1"/>
  <c r="AP310" i="80"/>
  <c r="AQ310" i="80" s="1"/>
  <c r="AD310" i="80"/>
  <c r="AC310" i="80"/>
  <c r="BE310" i="80" l="1"/>
  <c r="AO310" i="80"/>
  <c r="BV311" i="80"/>
  <c r="R310" i="80"/>
  <c r="AR310" i="80"/>
  <c r="AS310" i="80"/>
  <c r="AE310" i="80"/>
  <c r="AF310" i="80"/>
  <c r="AH310" i="80" l="1"/>
  <c r="AI310" i="80" s="1"/>
  <c r="AJ310" i="80" s="1"/>
  <c r="AG310" i="80"/>
  <c r="AK310" i="80" l="1"/>
  <c r="AL310" i="80" s="1"/>
  <c r="AX310" i="80"/>
  <c r="BD310" i="80"/>
  <c r="AT310" i="80"/>
  <c r="AM310" i="80" l="1"/>
  <c r="AV310" i="80" s="1"/>
  <c r="BW311" i="80"/>
  <c r="AN310" i="80"/>
  <c r="AW310" i="80"/>
  <c r="AY310" i="80" l="1"/>
  <c r="BA310" i="80" s="1"/>
  <c r="AZ310" i="80" l="1"/>
  <c r="BB310" i="80"/>
  <c r="BF310" i="80"/>
  <c r="BG310" i="80" l="1"/>
  <c r="BH310" i="80" s="1"/>
  <c r="BI310" i="80" l="1"/>
  <c r="BN310" i="80" l="1"/>
  <c r="Q310" i="80" s="1"/>
  <c r="BJ310" i="80"/>
  <c r="BK310" i="80" s="1"/>
  <c r="BL310" i="80" s="1"/>
  <c r="BQ310" i="80" l="1"/>
  <c r="BO310" i="80"/>
  <c r="BR310" i="80" l="1"/>
  <c r="BS310" i="80" s="1"/>
  <c r="BP310" i="80"/>
  <c r="L310" i="80"/>
  <c r="N311" i="80" s="1"/>
  <c r="K310" i="80"/>
  <c r="M311" i="80" s="1"/>
  <c r="BU311" i="80" l="1"/>
  <c r="BT311" i="80"/>
  <c r="O311" i="80"/>
  <c r="S311" i="80" l="1"/>
  <c r="BY311" i="80"/>
  <c r="P311" i="80"/>
  <c r="U311" i="80" s="1"/>
  <c r="T311" i="80" l="1"/>
  <c r="V311" i="80" s="1"/>
  <c r="Y311" i="80" s="1"/>
  <c r="X311" i="80"/>
  <c r="BX311" i="80" l="1"/>
  <c r="AD311" i="80"/>
  <c r="AP311" i="80"/>
  <c r="AQ311" i="80" s="1"/>
  <c r="AC311" i="80"/>
  <c r="R311" i="80" l="1"/>
  <c r="AO311" i="80"/>
  <c r="BV312" i="80"/>
  <c r="BE311" i="80"/>
  <c r="AR311" i="80"/>
  <c r="AS311" i="80"/>
  <c r="AF311" i="80"/>
  <c r="AE311" i="80"/>
  <c r="AG311" i="80" l="1"/>
  <c r="AH311" i="80"/>
  <c r="AI311" i="80" s="1"/>
  <c r="AJ311" i="80" s="1"/>
  <c r="BD311" i="80" l="1"/>
  <c r="AK311" i="80"/>
  <c r="AL311" i="80" s="1"/>
  <c r="AX311" i="80"/>
  <c r="AT311" i="80"/>
  <c r="AM311" i="80" l="1"/>
  <c r="AV311" i="80" s="1"/>
  <c r="AN311" i="80"/>
  <c r="BW312" i="80"/>
  <c r="AW311" i="80"/>
  <c r="AY311" i="80" l="1"/>
  <c r="BA311" i="80" s="1"/>
  <c r="AZ311" i="80" l="1"/>
  <c r="BB311" i="80"/>
  <c r="BF311" i="80"/>
  <c r="BG311" i="80" l="1"/>
  <c r="BH311" i="80" s="1"/>
  <c r="BI311" i="80" l="1"/>
  <c r="BJ311" i="80" l="1"/>
  <c r="BK311" i="80" s="1"/>
  <c r="BL311" i="80" s="1"/>
  <c r="BN311" i="80"/>
  <c r="Q311" i="80" s="1"/>
  <c r="BQ311" i="80" l="1"/>
  <c r="BO311" i="80"/>
  <c r="BR311" i="80" l="1"/>
  <c r="BS311" i="80" s="1"/>
  <c r="BP311" i="80"/>
  <c r="L311" i="80"/>
  <c r="N312" i="80" s="1"/>
  <c r="K311" i="80"/>
  <c r="M312" i="80" s="1"/>
  <c r="BT312" i="80" l="1"/>
  <c r="O312" i="80"/>
  <c r="BU312" i="80"/>
  <c r="P312" i="80" l="1"/>
  <c r="U312" i="80" s="1"/>
  <c r="S312" i="80"/>
  <c r="BY312" i="80"/>
  <c r="T312" i="80" l="1"/>
  <c r="V312" i="80" s="1"/>
  <c r="Y312" i="80" s="1"/>
  <c r="X312" i="80"/>
  <c r="AD312" i="80" l="1"/>
  <c r="AP312" i="80"/>
  <c r="AQ312" i="80" s="1"/>
  <c r="BX312" i="80"/>
  <c r="AC312" i="80"/>
  <c r="R312" i="80" l="1"/>
  <c r="AO312" i="80"/>
  <c r="BV313" i="80"/>
  <c r="BE312" i="80"/>
  <c r="AE312" i="80"/>
  <c r="AF312" i="80"/>
  <c r="AR312" i="80"/>
  <c r="AS312" i="80"/>
  <c r="AH312" i="80" l="1"/>
  <c r="AI312" i="80" s="1"/>
  <c r="AJ312" i="80" s="1"/>
  <c r="AG312" i="80"/>
  <c r="AX312" i="80" l="1"/>
  <c r="BD312" i="80"/>
  <c r="AK312" i="80"/>
  <c r="AL312" i="80" s="1"/>
  <c r="AT312" i="80"/>
  <c r="AM312" i="80" l="1"/>
  <c r="AV312" i="80" s="1"/>
  <c r="BW313" i="80"/>
  <c r="AN312" i="80"/>
  <c r="AW312" i="80"/>
  <c r="AY312" i="80" l="1"/>
  <c r="BA312" i="80" s="1"/>
  <c r="AZ312" i="80" l="1"/>
  <c r="BB312" i="80"/>
  <c r="BF312" i="80"/>
  <c r="BG312" i="80" l="1"/>
  <c r="BH312" i="80" s="1"/>
  <c r="BI312" i="80" l="1"/>
  <c r="BN312" i="80" l="1"/>
  <c r="Q312" i="80" s="1"/>
  <c r="BJ312" i="80"/>
  <c r="BK312" i="80" s="1"/>
  <c r="BL312" i="80" s="1"/>
  <c r="BQ312" i="80" l="1"/>
  <c r="BO312" i="80"/>
  <c r="BR312" i="80" l="1"/>
  <c r="BS312" i="80" s="1"/>
  <c r="BP312" i="80"/>
  <c r="L312" i="80"/>
  <c r="N313" i="80" s="1"/>
  <c r="K312" i="80"/>
  <c r="M313" i="80" s="1"/>
  <c r="O313" i="80" l="1"/>
  <c r="BT313" i="80"/>
  <c r="BU313" i="80"/>
  <c r="S313" i="80" l="1"/>
  <c r="P313" i="80"/>
  <c r="U313" i="80" s="1"/>
  <c r="BY313" i="80"/>
  <c r="T313" i="80" l="1"/>
  <c r="V313" i="80" s="1"/>
  <c r="Y313" i="80" s="1"/>
  <c r="X313" i="80"/>
  <c r="AP313" i="80" l="1"/>
  <c r="AQ313" i="80" s="1"/>
  <c r="BX313" i="80"/>
  <c r="AD313" i="80"/>
  <c r="AC313" i="80"/>
  <c r="BE313" i="80" l="1"/>
  <c r="AO313" i="80"/>
  <c r="BV314" i="80"/>
  <c r="R313" i="80"/>
  <c r="AR313" i="80"/>
  <c r="AS313" i="80"/>
  <c r="AF313" i="80"/>
  <c r="AE313" i="80"/>
  <c r="AH313" i="80" l="1"/>
  <c r="AI313" i="80" s="1"/>
  <c r="AJ313" i="80" s="1"/>
  <c r="AG313" i="80"/>
  <c r="AK313" i="80" l="1"/>
  <c r="AL313" i="80" s="1"/>
  <c r="BD313" i="80"/>
  <c r="AX313" i="80"/>
  <c r="AT313" i="80"/>
  <c r="AM313" i="80" l="1"/>
  <c r="AV313" i="80" s="1"/>
  <c r="AN313" i="80"/>
  <c r="BW314" i="80"/>
  <c r="AW313" i="80"/>
  <c r="AY313" i="80" l="1"/>
  <c r="BA313" i="80" s="1"/>
  <c r="AZ313" i="80" l="1"/>
  <c r="BB313" i="80"/>
  <c r="BF313" i="80"/>
  <c r="BG313" i="80" l="1"/>
  <c r="BH313" i="80" s="1"/>
  <c r="BI313" i="80" l="1"/>
  <c r="BN313" i="80" l="1"/>
  <c r="Q313" i="80" s="1"/>
  <c r="BJ313" i="80"/>
  <c r="BK313" i="80" s="1"/>
  <c r="BL313" i="80" s="1"/>
  <c r="BQ313" i="80" l="1"/>
  <c r="BO313" i="80"/>
  <c r="BR313" i="80" l="1"/>
  <c r="BS313" i="80" s="1"/>
  <c r="BP313" i="80"/>
  <c r="K313" i="80"/>
  <c r="M314" i="80" s="1"/>
  <c r="L313" i="80"/>
  <c r="N314" i="80" s="1"/>
  <c r="BU314" i="80" l="1"/>
  <c r="BT314" i="80"/>
  <c r="O314" i="80"/>
  <c r="P314" i="80" l="1"/>
  <c r="U314" i="80" s="1"/>
  <c r="S314" i="80"/>
  <c r="BY314" i="80"/>
  <c r="T314" i="80" l="1"/>
  <c r="V314" i="80" s="1"/>
  <c r="Y314" i="80" s="1"/>
  <c r="X314" i="80"/>
  <c r="BX314" i="80" l="1"/>
  <c r="AD314" i="80"/>
  <c r="AP314" i="80"/>
  <c r="AQ314" i="80" s="1"/>
  <c r="AC314" i="80"/>
  <c r="R314" i="80" l="1"/>
  <c r="AO314" i="80"/>
  <c r="BE314" i="80"/>
  <c r="BV315" i="80"/>
  <c r="AR314" i="80"/>
  <c r="AS314" i="80"/>
  <c r="AF314" i="80"/>
  <c r="AE314" i="80"/>
  <c r="AH314" i="80" l="1"/>
  <c r="AI314" i="80" s="1"/>
  <c r="AJ314" i="80" s="1"/>
  <c r="AG314" i="80"/>
  <c r="AX314" i="80" l="1"/>
  <c r="AK314" i="80"/>
  <c r="AL314" i="80" s="1"/>
  <c r="BD314" i="80"/>
  <c r="AT314" i="80"/>
  <c r="AM314" i="80" l="1"/>
  <c r="AV314" i="80" s="1"/>
  <c r="AN314" i="80"/>
  <c r="BW315" i="80"/>
  <c r="AW314" i="80"/>
  <c r="AY314" i="80" l="1"/>
  <c r="BA314" i="80" s="1"/>
  <c r="AZ314" i="80" l="1"/>
  <c r="BB314" i="80"/>
  <c r="BF314" i="80"/>
  <c r="BG314" i="80" l="1"/>
  <c r="BH314" i="80" s="1"/>
  <c r="BI314" i="80" l="1"/>
  <c r="BN314" i="80" l="1"/>
  <c r="Q314" i="80" s="1"/>
  <c r="BJ314" i="80"/>
  <c r="BK314" i="80" s="1"/>
  <c r="BL314" i="80" s="1"/>
  <c r="BQ314" i="80" l="1"/>
  <c r="BO314" i="80"/>
  <c r="BR314" i="80" l="1"/>
  <c r="BS314" i="80" s="1"/>
  <c r="BP314" i="80"/>
  <c r="L314" i="80"/>
  <c r="N315" i="80" s="1"/>
  <c r="K314" i="80"/>
  <c r="M315" i="80" s="1"/>
  <c r="BT315" i="80" l="1"/>
  <c r="O315" i="80"/>
  <c r="BU315" i="80"/>
  <c r="S315" i="80" l="1"/>
  <c r="BY315" i="80"/>
  <c r="P315" i="80"/>
  <c r="U315" i="80" s="1"/>
  <c r="T315" i="80" l="1"/>
  <c r="V315" i="80" s="1"/>
  <c r="Y315" i="80" s="1"/>
  <c r="X315" i="80"/>
  <c r="BX315" i="80" l="1"/>
  <c r="AD315" i="80"/>
  <c r="AP315" i="80"/>
  <c r="AQ315" i="80" s="1"/>
  <c r="AC315" i="80"/>
  <c r="BE315" i="80" l="1"/>
  <c r="AO315" i="80"/>
  <c r="BV316" i="80"/>
  <c r="R315" i="80"/>
  <c r="AR315" i="80"/>
  <c r="AS315" i="80"/>
  <c r="AF315" i="80"/>
  <c r="AE315" i="80"/>
  <c r="AH315" i="80" l="1"/>
  <c r="AI315" i="80" s="1"/>
  <c r="AJ315" i="80" s="1"/>
  <c r="AG315" i="80"/>
  <c r="AK315" i="80" l="1"/>
  <c r="AL315" i="80" s="1"/>
  <c r="AX315" i="80"/>
  <c r="BD315" i="80"/>
  <c r="AT315" i="80"/>
  <c r="AM315" i="80" l="1"/>
  <c r="AV315" i="80" s="1"/>
  <c r="AN315" i="80"/>
  <c r="BW316" i="80"/>
  <c r="AW315" i="80"/>
  <c r="AY315" i="80" l="1"/>
  <c r="BA315" i="80" s="1"/>
  <c r="AZ315" i="80" l="1"/>
  <c r="BB315" i="80"/>
  <c r="BF315" i="80"/>
  <c r="BG315" i="80" l="1"/>
  <c r="BH315" i="80" s="1"/>
  <c r="BI315" i="80" l="1"/>
  <c r="BN315" i="80" l="1"/>
  <c r="Q315" i="80" s="1"/>
  <c r="BJ315" i="80"/>
  <c r="BK315" i="80" s="1"/>
  <c r="BL315" i="80" s="1"/>
  <c r="BQ315" i="80" l="1"/>
  <c r="BO315" i="80"/>
  <c r="K315" i="80" l="1"/>
  <c r="M316" i="80" s="1"/>
  <c r="L315" i="80"/>
  <c r="N316" i="80" s="1"/>
  <c r="BR315" i="80"/>
  <c r="BS315" i="80" s="1"/>
  <c r="BP315" i="80"/>
  <c r="BU316" i="80" l="1"/>
  <c r="BT316" i="80"/>
  <c r="O316" i="80"/>
  <c r="S316" i="80" l="1"/>
  <c r="BY316" i="80"/>
  <c r="P316" i="80"/>
  <c r="U316" i="80" s="1"/>
  <c r="X316" i="80" l="1"/>
  <c r="T316" i="80"/>
  <c r="V316" i="80" s="1"/>
  <c r="Y316" i="80" s="1"/>
  <c r="BX316" i="80" l="1"/>
  <c r="AD316" i="80"/>
  <c r="AP316" i="80"/>
  <c r="AQ316" i="80" s="1"/>
  <c r="AC316" i="80"/>
  <c r="R316" i="80" l="1"/>
  <c r="AO316" i="80"/>
  <c r="BV317" i="80"/>
  <c r="BE316" i="80"/>
  <c r="AF316" i="80"/>
  <c r="AE316" i="80"/>
  <c r="AR316" i="80"/>
  <c r="AS316" i="80"/>
  <c r="AG316" i="80" l="1"/>
  <c r="AH316" i="80"/>
  <c r="AI316" i="80" s="1"/>
  <c r="AJ316" i="80" s="1"/>
  <c r="AX316" i="80" l="1"/>
  <c r="AK316" i="80"/>
  <c r="AL316" i="80" s="1"/>
  <c r="BD316" i="80"/>
  <c r="AT316" i="80"/>
  <c r="AM316" i="80" l="1"/>
  <c r="AV316" i="80" s="1"/>
  <c r="AN316" i="80"/>
  <c r="BW317" i="80"/>
  <c r="AW316" i="80"/>
  <c r="AY316" i="80" l="1"/>
  <c r="BA316" i="80" s="1"/>
  <c r="AZ316" i="80" l="1"/>
  <c r="BB316" i="80"/>
  <c r="BF316" i="80"/>
  <c r="BG316" i="80" l="1"/>
  <c r="BH316" i="80" s="1"/>
  <c r="BI316" i="80" l="1"/>
  <c r="BJ316" i="80" l="1"/>
  <c r="BK316" i="80" s="1"/>
  <c r="BL316" i="80" s="1"/>
  <c r="BN316" i="80"/>
  <c r="Q316" i="80" s="1"/>
  <c r="BQ316" i="80" l="1"/>
  <c r="BO316" i="80"/>
  <c r="BR316" i="80" l="1"/>
  <c r="BS316" i="80" s="1"/>
  <c r="BP316" i="80"/>
  <c r="L316" i="80"/>
  <c r="N317" i="80" s="1"/>
  <c r="K316" i="80"/>
  <c r="M317" i="80" s="1"/>
  <c r="BU317" i="80" l="1"/>
  <c r="BT317" i="80"/>
  <c r="O317" i="80"/>
  <c r="BY317" i="80" l="1"/>
  <c r="P317" i="80"/>
  <c r="U317" i="80" s="1"/>
  <c r="S317" i="80"/>
  <c r="T317" i="80" l="1"/>
  <c r="V317" i="80" s="1"/>
  <c r="Y317" i="80" s="1"/>
  <c r="X317" i="80"/>
  <c r="BX317" i="80" l="1"/>
  <c r="AP317" i="80"/>
  <c r="AQ317" i="80" s="1"/>
  <c r="AD317" i="80"/>
  <c r="AC317" i="80"/>
  <c r="R317" i="80" l="1"/>
  <c r="AO317" i="80"/>
  <c r="BV318" i="80"/>
  <c r="BE317" i="80"/>
  <c r="AE317" i="80"/>
  <c r="AF317" i="80"/>
  <c r="AR317" i="80"/>
  <c r="AS317" i="80"/>
  <c r="AH317" i="80" l="1"/>
  <c r="AI317" i="80" s="1"/>
  <c r="AJ317" i="80" s="1"/>
  <c r="AG317" i="80"/>
  <c r="BD317" i="80" l="1"/>
  <c r="AX317" i="80"/>
  <c r="AK317" i="80"/>
  <c r="AL317" i="80" s="1"/>
  <c r="AT317" i="80"/>
  <c r="AM317" i="80" l="1"/>
  <c r="AV317" i="80" s="1"/>
  <c r="BW318" i="80"/>
  <c r="AN317" i="80"/>
  <c r="AW317" i="80"/>
  <c r="AY317" i="80" l="1"/>
  <c r="BA317" i="80" s="1"/>
  <c r="AZ317" i="80" l="1"/>
  <c r="BB317" i="80"/>
  <c r="BF317" i="80"/>
  <c r="BG317" i="80" l="1"/>
  <c r="BH317" i="80" s="1"/>
  <c r="BI317" i="80" l="1"/>
  <c r="BJ317" i="80" l="1"/>
  <c r="BK317" i="80" s="1"/>
  <c r="BL317" i="80" s="1"/>
  <c r="BN317" i="80"/>
  <c r="Q317" i="80" s="1"/>
  <c r="BQ317" i="80" l="1"/>
  <c r="BO317" i="80"/>
  <c r="L317" i="80" l="1"/>
  <c r="N318" i="80" s="1"/>
  <c r="K317" i="80"/>
  <c r="M318" i="80" s="1"/>
  <c r="BR317" i="80"/>
  <c r="BS317" i="80" s="1"/>
  <c r="BP317" i="80"/>
  <c r="BT318" i="80" l="1"/>
  <c r="O318" i="80"/>
  <c r="BU318" i="80"/>
  <c r="S318" i="80" l="1"/>
  <c r="BY318" i="80"/>
  <c r="P318" i="80"/>
  <c r="U318" i="80" s="1"/>
  <c r="T318" i="80" l="1"/>
  <c r="V318" i="80" s="1"/>
  <c r="Y318" i="80" s="1"/>
  <c r="X318" i="80"/>
  <c r="AP318" i="80" l="1"/>
  <c r="AQ318" i="80" s="1"/>
  <c r="BX318" i="80"/>
  <c r="AD318" i="80"/>
  <c r="AC318" i="80"/>
  <c r="R318" i="80" l="1"/>
  <c r="AO318" i="80"/>
  <c r="BV319" i="80"/>
  <c r="BE318" i="80"/>
  <c r="AR318" i="80"/>
  <c r="AS318" i="80"/>
  <c r="AF318" i="80"/>
  <c r="AE318" i="80"/>
  <c r="AG318" i="80" l="1"/>
  <c r="AH318" i="80"/>
  <c r="AI318" i="80" s="1"/>
  <c r="AJ318" i="80" s="1"/>
  <c r="AX318" i="80" l="1"/>
  <c r="AK318" i="80"/>
  <c r="AL318" i="80" s="1"/>
  <c r="BD318" i="80"/>
  <c r="AT318" i="80"/>
  <c r="AM318" i="80" l="1"/>
  <c r="AV318" i="80" s="1"/>
  <c r="AN318" i="80"/>
  <c r="BW319" i="80"/>
  <c r="AW318" i="80"/>
  <c r="AY318" i="80" l="1"/>
  <c r="BA318" i="80" s="1"/>
  <c r="AZ318" i="80" l="1"/>
  <c r="BB318" i="80"/>
  <c r="BF318" i="80"/>
  <c r="BG318" i="80" l="1"/>
  <c r="BH318" i="80" s="1"/>
  <c r="BI318" i="80" l="1"/>
  <c r="BN318" i="80" l="1"/>
  <c r="Q318" i="80" s="1"/>
  <c r="BJ318" i="80"/>
  <c r="BK318" i="80" s="1"/>
  <c r="BL318" i="80" s="1"/>
  <c r="BQ318" i="80" l="1"/>
  <c r="BO318" i="80"/>
  <c r="BR318" i="80" l="1"/>
  <c r="BS318" i="80" s="1"/>
  <c r="BP318" i="80"/>
  <c r="K318" i="80"/>
  <c r="M319" i="80" s="1"/>
  <c r="L318" i="80"/>
  <c r="N319" i="80" s="1"/>
  <c r="BU319" i="80" s="1"/>
  <c r="BT319" i="80" l="1"/>
  <c r="O319" i="80"/>
  <c r="P319" i="80" l="1"/>
  <c r="U319" i="80" s="1"/>
  <c r="BY319" i="80"/>
  <c r="S319" i="80"/>
  <c r="T319" i="80" l="1"/>
  <c r="V319" i="80" s="1"/>
  <c r="Y319" i="80" s="1"/>
  <c r="X319" i="80"/>
  <c r="AP319" i="80" l="1"/>
  <c r="AQ319" i="80" s="1"/>
  <c r="BX319" i="80"/>
  <c r="AD319" i="80"/>
  <c r="AC319" i="80"/>
  <c r="R319" i="80" l="1"/>
  <c r="AO319" i="80"/>
  <c r="BV320" i="80"/>
  <c r="BE319" i="80"/>
  <c r="AR319" i="80"/>
  <c r="AS319" i="80"/>
  <c r="AE319" i="80"/>
  <c r="AF319" i="80"/>
  <c r="AH319" i="80" l="1"/>
  <c r="AI319" i="80" s="1"/>
  <c r="AJ319" i="80" s="1"/>
  <c r="AG319" i="80"/>
  <c r="AK319" i="80" l="1"/>
  <c r="AL319" i="80" s="1"/>
  <c r="BD319" i="80"/>
  <c r="AX319" i="80"/>
  <c r="AT319" i="80"/>
  <c r="AM319" i="80" l="1"/>
  <c r="AV319" i="80" s="1"/>
  <c r="AN319" i="80"/>
  <c r="BW320" i="80"/>
  <c r="AW319" i="80"/>
  <c r="AY319" i="80" l="1"/>
  <c r="BA319" i="80" s="1"/>
  <c r="AZ319" i="80" l="1"/>
  <c r="BB319" i="80"/>
  <c r="BF319" i="80"/>
  <c r="BG319" i="80" l="1"/>
  <c r="BH319" i="80" s="1"/>
  <c r="BI319" i="80" l="1"/>
  <c r="BJ319" i="80" l="1"/>
  <c r="BK319" i="80" s="1"/>
  <c r="BL319" i="80" s="1"/>
  <c r="BN319" i="80"/>
  <c r="Q319" i="80" s="1"/>
  <c r="BQ319" i="80" l="1"/>
  <c r="BO319" i="80"/>
  <c r="BR319" i="80" l="1"/>
  <c r="BS319" i="80" s="1"/>
  <c r="BP319" i="80"/>
  <c r="L319" i="80"/>
  <c r="N320" i="80" s="1"/>
  <c r="BU320" i="80" s="1"/>
  <c r="K319" i="80"/>
  <c r="M320" i="80" s="1"/>
  <c r="BT320" i="80" l="1"/>
  <c r="O320" i="80"/>
  <c r="S320" i="80" l="1"/>
  <c r="BY320" i="80"/>
  <c r="P320" i="80"/>
  <c r="U320" i="80" s="1"/>
  <c r="T320" i="80" l="1"/>
  <c r="V320" i="80" s="1"/>
  <c r="Y320" i="80" s="1"/>
  <c r="X320" i="80"/>
  <c r="BX320" i="80" l="1"/>
  <c r="AD320" i="80"/>
  <c r="AP320" i="80"/>
  <c r="AQ320" i="80" s="1"/>
  <c r="AC320" i="80"/>
  <c r="R320" i="80" l="1"/>
  <c r="AO320" i="80"/>
  <c r="BV321" i="80"/>
  <c r="BE320" i="80"/>
  <c r="AF320" i="80"/>
  <c r="AE320" i="80"/>
  <c r="AR320" i="80"/>
  <c r="AS320" i="80"/>
  <c r="AG320" i="80" l="1"/>
  <c r="AH320" i="80"/>
  <c r="AI320" i="80" s="1"/>
  <c r="AJ320" i="80" s="1"/>
  <c r="BD320" i="80" l="1"/>
  <c r="AK320" i="80"/>
  <c r="AL320" i="80" s="1"/>
  <c r="AX320" i="80"/>
  <c r="AT320" i="80"/>
  <c r="AM320" i="80" l="1"/>
  <c r="AV320" i="80" s="1"/>
  <c r="BW321" i="80"/>
  <c r="AN320" i="80"/>
  <c r="AW320" i="80"/>
  <c r="AY320" i="80" l="1"/>
  <c r="BA320" i="80" s="1"/>
  <c r="AZ320" i="80" l="1"/>
  <c r="BB320" i="80"/>
  <c r="BF320" i="80"/>
  <c r="BG320" i="80" l="1"/>
  <c r="BH320" i="80" s="1"/>
  <c r="BI320" i="80" l="1"/>
  <c r="BN320" i="80" l="1"/>
  <c r="Q320" i="80" s="1"/>
  <c r="BJ320" i="80"/>
  <c r="BK320" i="80" s="1"/>
  <c r="BL320" i="80" s="1"/>
  <c r="BQ320" i="80" l="1"/>
  <c r="BO320" i="80"/>
  <c r="BR320" i="80" l="1"/>
  <c r="BS320" i="80" s="1"/>
  <c r="BP320" i="80"/>
  <c r="L320" i="80"/>
  <c r="N321" i="80" s="1"/>
  <c r="K320" i="80"/>
  <c r="M321" i="80" s="1"/>
  <c r="O321" i="80" l="1"/>
  <c r="BT321" i="80"/>
  <c r="BU321" i="80"/>
  <c r="BY321" i="80" l="1"/>
  <c r="S321" i="80"/>
  <c r="P321" i="80"/>
  <c r="U321" i="80" s="1"/>
  <c r="T321" i="80" l="1"/>
  <c r="V321" i="80" s="1"/>
  <c r="Y321" i="80" s="1"/>
  <c r="X321" i="80"/>
  <c r="BX321" i="80" l="1"/>
  <c r="AP321" i="80"/>
  <c r="AQ321" i="80" s="1"/>
  <c r="AD321" i="80"/>
  <c r="AC321" i="80"/>
  <c r="R321" i="80" l="1"/>
  <c r="AO321" i="80"/>
  <c r="BV322" i="80"/>
  <c r="BE321" i="80"/>
  <c r="AE321" i="80"/>
  <c r="AF321" i="80"/>
  <c r="AR321" i="80"/>
  <c r="AS321" i="80"/>
  <c r="AG321" i="80" l="1"/>
  <c r="AH321" i="80"/>
  <c r="AI321" i="80" s="1"/>
  <c r="AJ321" i="80" s="1"/>
  <c r="BD321" i="80" l="1"/>
  <c r="AX321" i="80"/>
  <c r="AK321" i="80"/>
  <c r="AL321" i="80" s="1"/>
  <c r="AT321" i="80"/>
  <c r="AM321" i="80" l="1"/>
  <c r="AV321" i="80" s="1"/>
  <c r="AN321" i="80"/>
  <c r="BW322" i="80"/>
  <c r="AW321" i="80"/>
  <c r="AY321" i="80" l="1"/>
  <c r="BA321" i="80" s="1"/>
  <c r="AZ321" i="80" l="1"/>
  <c r="BB321" i="80"/>
  <c r="BF321" i="80"/>
  <c r="BG321" i="80" l="1"/>
  <c r="BH321" i="80" s="1"/>
  <c r="BI321" i="80" l="1"/>
  <c r="BN321" i="80" l="1"/>
  <c r="Q321" i="80" s="1"/>
  <c r="BJ321" i="80"/>
  <c r="BK321" i="80" s="1"/>
  <c r="BL321" i="80" s="1"/>
  <c r="BQ321" i="80" l="1"/>
  <c r="BO321" i="80"/>
  <c r="BR321" i="80" l="1"/>
  <c r="BS321" i="80" s="1"/>
  <c r="BP321" i="80"/>
  <c r="K321" i="80"/>
  <c r="M322" i="80" s="1"/>
  <c r="L321" i="80"/>
  <c r="N322" i="80" s="1"/>
  <c r="BT322" i="80" l="1"/>
  <c r="O322" i="80"/>
  <c r="BU322" i="80"/>
  <c r="S322" i="80" l="1"/>
  <c r="BY322" i="80"/>
  <c r="P322" i="80"/>
  <c r="U322" i="80" s="1"/>
  <c r="T322" i="80" l="1"/>
  <c r="V322" i="80" s="1"/>
  <c r="Y322" i="80" s="1"/>
  <c r="X322" i="80"/>
  <c r="AD322" i="80" l="1"/>
  <c r="BX322" i="80"/>
  <c r="AP322" i="80"/>
  <c r="AQ322" i="80" s="1"/>
  <c r="AC322" i="80"/>
  <c r="BE322" i="80" l="1"/>
  <c r="AO322" i="80"/>
  <c r="R322" i="80"/>
  <c r="BV323" i="80"/>
  <c r="AF322" i="80"/>
  <c r="AE322" i="80"/>
  <c r="AR322" i="80"/>
  <c r="AS322" i="80"/>
  <c r="AG322" i="80" l="1"/>
  <c r="AH322" i="80"/>
  <c r="AI322" i="80" s="1"/>
  <c r="AJ322" i="80" s="1"/>
  <c r="AX322" i="80" l="1"/>
  <c r="BD322" i="80"/>
  <c r="AK322" i="80"/>
  <c r="AL322" i="80" s="1"/>
  <c r="AT322" i="80"/>
  <c r="AM322" i="80" l="1"/>
  <c r="AV322" i="80" s="1"/>
  <c r="AN322" i="80"/>
  <c r="BW323" i="80"/>
  <c r="AW322" i="80"/>
  <c r="AY322" i="80" l="1"/>
  <c r="BA322" i="80" s="1"/>
  <c r="AZ322" i="80" l="1"/>
  <c r="BB322" i="80"/>
  <c r="BF322" i="80"/>
  <c r="BG322" i="80" l="1"/>
  <c r="BH322" i="80" s="1"/>
  <c r="BI322" i="80" l="1"/>
  <c r="BN322" i="80" l="1"/>
  <c r="Q322" i="80" s="1"/>
  <c r="BJ322" i="80"/>
  <c r="BK322" i="80" s="1"/>
  <c r="BL322" i="80" s="1"/>
  <c r="BQ322" i="80" l="1"/>
  <c r="BO322" i="80"/>
  <c r="BR322" i="80" l="1"/>
  <c r="BS322" i="80" s="1"/>
  <c r="BP322" i="80"/>
  <c r="L322" i="80"/>
  <c r="N323" i="80" s="1"/>
  <c r="K322" i="80"/>
  <c r="M323" i="80" s="1"/>
  <c r="BT323" i="80" l="1"/>
  <c r="O323" i="80"/>
  <c r="BU323" i="80"/>
  <c r="S323" i="80" l="1"/>
  <c r="BY323" i="80"/>
  <c r="P323" i="80"/>
  <c r="U323" i="80" s="1"/>
  <c r="T323" i="80" l="1"/>
  <c r="V323" i="80" s="1"/>
  <c r="Y323" i="80" s="1"/>
  <c r="X323" i="80"/>
  <c r="AD323" i="80" l="1"/>
  <c r="AP323" i="80"/>
  <c r="AQ323" i="80" s="1"/>
  <c r="BX323" i="80"/>
  <c r="AC323" i="80"/>
  <c r="R323" i="80" l="1"/>
  <c r="AO323" i="80"/>
  <c r="BV324" i="80"/>
  <c r="BE323" i="80"/>
  <c r="AR323" i="80"/>
  <c r="AS323" i="80"/>
  <c r="AE323" i="80"/>
  <c r="AF323" i="80"/>
  <c r="AH323" i="80" l="1"/>
  <c r="AI323" i="80" s="1"/>
  <c r="AJ323" i="80" s="1"/>
  <c r="AG323" i="80"/>
  <c r="AK323" i="80" l="1"/>
  <c r="AL323" i="80" s="1"/>
  <c r="BD323" i="80"/>
  <c r="AX323" i="80"/>
  <c r="AT323" i="80"/>
  <c r="AM323" i="80" l="1"/>
  <c r="AV323" i="80" s="1"/>
  <c r="AN323" i="80"/>
  <c r="BW324" i="80"/>
  <c r="AW323" i="80"/>
  <c r="AY323" i="80" l="1"/>
  <c r="BA323" i="80" s="1"/>
  <c r="AZ323" i="80" l="1"/>
  <c r="BB323" i="80"/>
  <c r="BF323" i="80"/>
  <c r="BG323" i="80" l="1"/>
  <c r="BH323" i="80" s="1"/>
  <c r="BI323" i="80" l="1"/>
  <c r="BN323" i="80" l="1"/>
  <c r="Q323" i="80" s="1"/>
  <c r="BJ323" i="80"/>
  <c r="BK323" i="80" s="1"/>
  <c r="BL323" i="80" s="1"/>
  <c r="BQ323" i="80" l="1"/>
  <c r="BO323" i="80"/>
  <c r="K323" i="80" l="1"/>
  <c r="M324" i="80" s="1"/>
  <c r="L323" i="80"/>
  <c r="N324" i="80" s="1"/>
  <c r="BR323" i="80"/>
  <c r="BS323" i="80" s="1"/>
  <c r="BP323" i="80"/>
  <c r="BU324" i="80" l="1"/>
  <c r="O324" i="80"/>
  <c r="BT324" i="80"/>
  <c r="S324" i="80" l="1"/>
  <c r="BY324" i="80"/>
  <c r="P324" i="80"/>
  <c r="U324" i="80" s="1"/>
  <c r="X324" i="80" l="1"/>
  <c r="T324" i="80"/>
  <c r="V324" i="80" s="1"/>
  <c r="Y324" i="80" s="1"/>
  <c r="AP324" i="80" l="1"/>
  <c r="AQ324" i="80" s="1"/>
  <c r="AD324" i="80"/>
  <c r="BX324" i="80"/>
  <c r="AC324" i="80"/>
  <c r="R324" i="80" l="1"/>
  <c r="AO324" i="80"/>
  <c r="BE324" i="80"/>
  <c r="BV325" i="80"/>
  <c r="AE324" i="80"/>
  <c r="AF324" i="80"/>
  <c r="AR324" i="80"/>
  <c r="AS324" i="80"/>
  <c r="AG324" i="80" l="1"/>
  <c r="AH324" i="80"/>
  <c r="AI324" i="80" s="1"/>
  <c r="AJ324" i="80" s="1"/>
  <c r="AK324" i="80" l="1"/>
  <c r="AL324" i="80" s="1"/>
  <c r="AX324" i="80"/>
  <c r="BD324" i="80"/>
  <c r="AT324" i="80"/>
  <c r="AM324" i="80" l="1"/>
  <c r="AV324" i="80" s="1"/>
  <c r="BW325" i="80"/>
  <c r="AN324" i="80"/>
  <c r="AW324" i="80"/>
  <c r="AY324" i="80" l="1"/>
  <c r="BA324" i="80" s="1"/>
  <c r="AZ324" i="80" l="1"/>
  <c r="BB324" i="80"/>
  <c r="BF324" i="80"/>
  <c r="BG324" i="80" l="1"/>
  <c r="BH324" i="80" s="1"/>
  <c r="BI324" i="80" l="1"/>
  <c r="BN324" i="80" l="1"/>
  <c r="Q324" i="80" s="1"/>
  <c r="BJ324" i="80"/>
  <c r="BK324" i="80" s="1"/>
  <c r="BL324" i="80" s="1"/>
  <c r="BQ324" i="80" l="1"/>
  <c r="BO324" i="80"/>
  <c r="BR324" i="80" l="1"/>
  <c r="BS324" i="80" s="1"/>
  <c r="BP324" i="80"/>
  <c r="L324" i="80"/>
  <c r="N325" i="80" s="1"/>
  <c r="K324" i="80"/>
  <c r="M325" i="80" s="1"/>
  <c r="BU325" i="80" l="1"/>
  <c r="BT325" i="80"/>
  <c r="O325" i="80"/>
  <c r="S325" i="80" l="1"/>
  <c r="P325" i="80"/>
  <c r="U325" i="80" s="1"/>
  <c r="BY325" i="80"/>
  <c r="T325" i="80" l="1"/>
  <c r="V325" i="80" s="1"/>
  <c r="Y325" i="80" s="1"/>
  <c r="X325" i="80"/>
  <c r="AP325" i="80" l="1"/>
  <c r="AQ325" i="80" s="1"/>
  <c r="AD325" i="80"/>
  <c r="BX325" i="80"/>
  <c r="AC325" i="80"/>
  <c r="BE325" i="80" l="1"/>
  <c r="AO325" i="80"/>
  <c r="R325" i="80"/>
  <c r="BV326" i="80"/>
  <c r="AR325" i="80"/>
  <c r="AS325" i="80"/>
  <c r="AE325" i="80"/>
  <c r="AF325" i="80"/>
  <c r="AG325" i="80" l="1"/>
  <c r="AH325" i="80"/>
  <c r="AI325" i="80" s="1"/>
  <c r="AJ325" i="80" s="1"/>
  <c r="BD325" i="80" l="1"/>
  <c r="AX325" i="80"/>
  <c r="AK325" i="80"/>
  <c r="AL325" i="80" s="1"/>
  <c r="AT325" i="80"/>
  <c r="AM325" i="80" l="1"/>
  <c r="AV325" i="80" s="1"/>
  <c r="BW326" i="80"/>
  <c r="AN325" i="80"/>
  <c r="AW325" i="80"/>
  <c r="AY325" i="80" l="1"/>
  <c r="BA325" i="80" s="1"/>
  <c r="AZ325" i="80" l="1"/>
  <c r="BB325" i="80"/>
  <c r="BF325" i="80"/>
  <c r="BG325" i="80" l="1"/>
  <c r="BH325" i="80" s="1"/>
  <c r="BI325" i="80" l="1"/>
  <c r="BJ325" i="80" l="1"/>
  <c r="BK325" i="80" s="1"/>
  <c r="BL325" i="80" s="1"/>
  <c r="BN325" i="80"/>
  <c r="Q325" i="80" s="1"/>
  <c r="BQ325" i="80" l="1"/>
  <c r="BO325" i="80"/>
  <c r="BR325" i="80" l="1"/>
  <c r="BS325" i="80" s="1"/>
  <c r="BP325" i="80"/>
  <c r="K325" i="80"/>
  <c r="M326" i="80" s="1"/>
  <c r="L325" i="80"/>
  <c r="N326" i="80" s="1"/>
  <c r="BT326" i="80" l="1"/>
  <c r="O326" i="80"/>
  <c r="BU326" i="80"/>
  <c r="P326" i="80" l="1"/>
  <c r="U326" i="80" s="1"/>
  <c r="BY326" i="80"/>
  <c r="S326" i="80"/>
  <c r="X326" i="80" l="1"/>
  <c r="T326" i="80"/>
  <c r="V326" i="80" s="1"/>
  <c r="Y326" i="80" s="1"/>
  <c r="AD326" i="80" l="1"/>
  <c r="AP326" i="80"/>
  <c r="AQ326" i="80" s="1"/>
  <c r="BX326" i="80"/>
  <c r="AC326" i="80"/>
  <c r="R326" i="80" l="1"/>
  <c r="AO326" i="80"/>
  <c r="BV327" i="80"/>
  <c r="BE326" i="80"/>
  <c r="AE326" i="80"/>
  <c r="AF326" i="80"/>
  <c r="AR326" i="80"/>
  <c r="AS326" i="80"/>
  <c r="AG326" i="80" l="1"/>
  <c r="AH326" i="80"/>
  <c r="AI326" i="80" s="1"/>
  <c r="AJ326" i="80" s="1"/>
  <c r="AX326" i="80" l="1"/>
  <c r="BD326" i="80"/>
  <c r="AK326" i="80"/>
  <c r="AL326" i="80" s="1"/>
  <c r="AT326" i="80"/>
  <c r="AM326" i="80" l="1"/>
  <c r="AV326" i="80" s="1"/>
  <c r="BW327" i="80"/>
  <c r="AN326" i="80"/>
  <c r="AW326" i="80"/>
  <c r="AY326" i="80" l="1"/>
  <c r="BA326" i="80" s="1"/>
  <c r="AZ326" i="80" l="1"/>
  <c r="BB326" i="80"/>
  <c r="BF326" i="80"/>
  <c r="BG326" i="80" l="1"/>
  <c r="BH326" i="80" s="1"/>
  <c r="BI326" i="80" l="1"/>
  <c r="BN326" i="80" l="1"/>
  <c r="Q326" i="80" s="1"/>
  <c r="BJ326" i="80"/>
  <c r="BK326" i="80" s="1"/>
  <c r="BL326" i="80" s="1"/>
  <c r="BQ326" i="80" l="1"/>
  <c r="BO326" i="80"/>
  <c r="BR326" i="80" l="1"/>
  <c r="BS326" i="80" s="1"/>
  <c r="BP326" i="80"/>
  <c r="K326" i="80"/>
  <c r="M327" i="80" s="1"/>
  <c r="L326" i="80"/>
  <c r="N327" i="80" s="1"/>
  <c r="BT327" i="80" l="1"/>
  <c r="O327" i="80"/>
  <c r="BU327" i="80"/>
  <c r="S327" i="80" l="1"/>
  <c r="BY327" i="80"/>
  <c r="P327" i="80"/>
  <c r="U327" i="80" s="1"/>
  <c r="T327" i="80" l="1"/>
  <c r="V327" i="80" s="1"/>
  <c r="Y327" i="80" s="1"/>
  <c r="X327" i="80"/>
  <c r="BX327" i="80" l="1"/>
  <c r="AP327" i="80"/>
  <c r="AQ327" i="80" s="1"/>
  <c r="AD327" i="80"/>
  <c r="AC327" i="80"/>
  <c r="R327" i="80" l="1"/>
  <c r="AO327" i="80"/>
  <c r="BV328" i="80"/>
  <c r="BE327" i="80"/>
  <c r="AE327" i="80"/>
  <c r="AF327" i="80"/>
  <c r="AR327" i="80"/>
  <c r="AS327" i="80"/>
  <c r="AG327" i="80" l="1"/>
  <c r="AH327" i="80"/>
  <c r="AI327" i="80" s="1"/>
  <c r="AJ327" i="80" s="1"/>
  <c r="AK327" i="80" l="1"/>
  <c r="AL327" i="80" s="1"/>
  <c r="AX327" i="80"/>
  <c r="BD327" i="80"/>
  <c r="AT327" i="80"/>
  <c r="AM327" i="80" l="1"/>
  <c r="AV327" i="80" s="1"/>
  <c r="AN327" i="80"/>
  <c r="BW328" i="80"/>
  <c r="AW327" i="80"/>
  <c r="AY327" i="80" l="1"/>
  <c r="BA327" i="80" s="1"/>
  <c r="AZ327" i="80" l="1"/>
  <c r="BB327" i="80"/>
  <c r="BF327" i="80"/>
  <c r="BG327" i="80" l="1"/>
  <c r="BH327" i="80" s="1"/>
  <c r="BI327" i="80" l="1"/>
  <c r="BJ327" i="80" l="1"/>
  <c r="BK327" i="80" s="1"/>
  <c r="BL327" i="80" s="1"/>
  <c r="BN327" i="80"/>
  <c r="Q327" i="80" s="1"/>
  <c r="BQ327" i="80" l="1"/>
  <c r="BO327" i="80"/>
  <c r="K327" i="80" l="1"/>
  <c r="M328" i="80" s="1"/>
  <c r="L327" i="80"/>
  <c r="N328" i="80" s="1"/>
  <c r="BR327" i="80"/>
  <c r="BS327" i="80" s="1"/>
  <c r="BP327" i="80"/>
  <c r="BU328" i="80" l="1"/>
  <c r="BT328" i="80"/>
  <c r="O328" i="80"/>
  <c r="P328" i="80" l="1"/>
  <c r="U328" i="80" s="1"/>
  <c r="BY328" i="80"/>
  <c r="S328" i="80"/>
  <c r="T328" i="80" l="1"/>
  <c r="V328" i="80" s="1"/>
  <c r="Y328" i="80" s="1"/>
  <c r="X328" i="80"/>
  <c r="AP328" i="80" l="1"/>
  <c r="AQ328" i="80" s="1"/>
  <c r="AD328" i="80"/>
  <c r="BX328" i="80"/>
  <c r="AC328" i="80"/>
  <c r="R328" i="80" l="1"/>
  <c r="AO328" i="80"/>
  <c r="BV329" i="80"/>
  <c r="BE328" i="80"/>
  <c r="AR328" i="80"/>
  <c r="AS328" i="80"/>
  <c r="AE328" i="80"/>
  <c r="AF328" i="80"/>
  <c r="AH328" i="80" l="1"/>
  <c r="AI328" i="80" s="1"/>
  <c r="AJ328" i="80" s="1"/>
  <c r="AG328" i="80"/>
  <c r="BD328" i="80" l="1"/>
  <c r="AX328" i="80"/>
  <c r="AK328" i="80"/>
  <c r="AL328" i="80" s="1"/>
  <c r="AT328" i="80"/>
  <c r="AM328" i="80" l="1"/>
  <c r="AV328" i="80" s="1"/>
  <c r="AN328" i="80"/>
  <c r="BW329" i="80"/>
  <c r="AW328" i="80"/>
  <c r="AY328" i="80" l="1"/>
  <c r="BA328" i="80" s="1"/>
  <c r="AZ328" i="80" l="1"/>
  <c r="BB328" i="80"/>
  <c r="BF328" i="80"/>
  <c r="BG328" i="80" l="1"/>
  <c r="BH328" i="80" s="1"/>
  <c r="BI328" i="80" l="1"/>
  <c r="BN328" i="80" l="1"/>
  <c r="Q328" i="80" s="1"/>
  <c r="BJ328" i="80"/>
  <c r="BK328" i="80" s="1"/>
  <c r="BL328" i="80" s="1"/>
  <c r="BQ328" i="80" l="1"/>
  <c r="BO328" i="80"/>
  <c r="BR328" i="80" l="1"/>
  <c r="BS328" i="80" s="1"/>
  <c r="BP328" i="80"/>
  <c r="L328" i="80"/>
  <c r="N329" i="80" s="1"/>
  <c r="K328" i="80"/>
  <c r="M329" i="80" s="1"/>
  <c r="BT329" i="80" l="1"/>
  <c r="O329" i="80"/>
  <c r="BU329" i="80"/>
  <c r="S329" i="80" l="1"/>
  <c r="P329" i="80"/>
  <c r="U329" i="80" s="1"/>
  <c r="BY329" i="80"/>
  <c r="T329" i="80" l="1"/>
  <c r="V329" i="80" s="1"/>
  <c r="Y329" i="80" s="1"/>
  <c r="X329" i="80"/>
  <c r="AP329" i="80" l="1"/>
  <c r="AQ329" i="80" s="1"/>
  <c r="BX329" i="80"/>
  <c r="AD329" i="80"/>
  <c r="AC329" i="80"/>
  <c r="BE329" i="80" l="1"/>
  <c r="AO329" i="80"/>
  <c r="BV330" i="80"/>
  <c r="R329" i="80"/>
  <c r="AR329" i="80"/>
  <c r="AS329" i="80"/>
  <c r="AE329" i="80"/>
  <c r="AF329" i="80"/>
  <c r="AH329" i="80" l="1"/>
  <c r="AI329" i="80" s="1"/>
  <c r="AJ329" i="80" s="1"/>
  <c r="AG329" i="80"/>
  <c r="AK329" i="80" l="1"/>
  <c r="AL329" i="80" s="1"/>
  <c r="AX329" i="80"/>
  <c r="BD329" i="80"/>
  <c r="AT329" i="80"/>
  <c r="AM329" i="80" l="1"/>
  <c r="AV329" i="80" s="1"/>
  <c r="AN329" i="80"/>
  <c r="BW330" i="80"/>
  <c r="AW329" i="80"/>
  <c r="AY329" i="80" l="1"/>
  <c r="BA329" i="80" s="1"/>
  <c r="AZ329" i="80" l="1"/>
  <c r="BB329" i="80"/>
  <c r="BF329" i="80"/>
  <c r="BG329" i="80" l="1"/>
  <c r="BH329" i="80" s="1"/>
  <c r="BI329" i="80" l="1"/>
  <c r="BN329" i="80" l="1"/>
  <c r="Q329" i="80" s="1"/>
  <c r="BJ329" i="80"/>
  <c r="BK329" i="80" s="1"/>
  <c r="BL329" i="80" s="1"/>
  <c r="BQ329" i="80" l="1"/>
  <c r="BO329" i="80"/>
  <c r="BR329" i="80" l="1"/>
  <c r="BS329" i="80" s="1"/>
  <c r="BP329" i="80"/>
  <c r="K329" i="80"/>
  <c r="M330" i="80" s="1"/>
  <c r="L329" i="80"/>
  <c r="N330" i="80" s="1"/>
  <c r="BT330" i="80" l="1"/>
  <c r="O330" i="80"/>
  <c r="BU330" i="80"/>
  <c r="BY330" i="80" l="1"/>
  <c r="P330" i="80"/>
  <c r="U330" i="80" s="1"/>
  <c r="S330" i="80"/>
  <c r="X330" i="80" l="1"/>
  <c r="T330" i="80"/>
  <c r="V330" i="80" s="1"/>
  <c r="Y330" i="80" s="1"/>
  <c r="AP330" i="80" l="1"/>
  <c r="AQ330" i="80" s="1"/>
  <c r="BX330" i="80"/>
  <c r="AD330" i="80"/>
  <c r="AC330" i="80"/>
  <c r="R330" i="80" l="1"/>
  <c r="AO330" i="80"/>
  <c r="BV331" i="80"/>
  <c r="BE330" i="80"/>
  <c r="AR330" i="80"/>
  <c r="AS330" i="80"/>
  <c r="AF330" i="80"/>
  <c r="AE330" i="80"/>
  <c r="AG330" i="80" l="1"/>
  <c r="AH330" i="80"/>
  <c r="AI330" i="80" s="1"/>
  <c r="AJ330" i="80" s="1"/>
  <c r="AK330" i="80" l="1"/>
  <c r="AL330" i="80" s="1"/>
  <c r="AX330" i="80"/>
  <c r="BD330" i="80"/>
  <c r="AT330" i="80"/>
  <c r="AM330" i="80" l="1"/>
  <c r="AV330" i="80" s="1"/>
  <c r="BW331" i="80"/>
  <c r="AN330" i="80"/>
  <c r="AW330" i="80"/>
  <c r="AY330" i="80" l="1"/>
  <c r="BA330" i="80" s="1"/>
  <c r="AZ330" i="80" l="1"/>
  <c r="BB330" i="80"/>
  <c r="BF330" i="80"/>
  <c r="BG330" i="80" l="1"/>
  <c r="BH330" i="80" s="1"/>
  <c r="BI330" i="80" l="1"/>
  <c r="BN330" i="80" l="1"/>
  <c r="Q330" i="80" s="1"/>
  <c r="BJ330" i="80"/>
  <c r="BK330" i="80" s="1"/>
  <c r="BL330" i="80" s="1"/>
  <c r="BQ330" i="80" l="1"/>
  <c r="BO330" i="80"/>
  <c r="BR330" i="80" l="1"/>
  <c r="BS330" i="80" s="1"/>
  <c r="BP330" i="80"/>
  <c r="K330" i="80"/>
  <c r="M331" i="80" s="1"/>
  <c r="L330" i="80"/>
  <c r="N331" i="80" s="1"/>
  <c r="BU331" i="80" s="1"/>
  <c r="BT331" i="80" l="1"/>
  <c r="O331" i="80"/>
  <c r="S331" i="80" l="1"/>
  <c r="BY331" i="80"/>
  <c r="P331" i="80"/>
  <c r="U331" i="80" s="1"/>
  <c r="T331" i="80" l="1"/>
  <c r="V331" i="80" s="1"/>
  <c r="Y331" i="80" s="1"/>
  <c r="X331" i="80"/>
  <c r="BX331" i="80" l="1"/>
  <c r="AP331" i="80"/>
  <c r="AQ331" i="80" s="1"/>
  <c r="AD331" i="80"/>
  <c r="AC331" i="80"/>
  <c r="R331" i="80" l="1"/>
  <c r="AO331" i="80"/>
  <c r="BV332" i="80"/>
  <c r="BE331" i="80"/>
  <c r="AE331" i="80"/>
  <c r="AF331" i="80"/>
  <c r="AR331" i="80"/>
  <c r="AS331" i="80"/>
  <c r="AH331" i="80" l="1"/>
  <c r="AI331" i="80" s="1"/>
  <c r="AJ331" i="80" s="1"/>
  <c r="AG331" i="80"/>
  <c r="BD331" i="80" l="1"/>
  <c r="AK331" i="80"/>
  <c r="AL331" i="80" s="1"/>
  <c r="AX331" i="80"/>
  <c r="AT331" i="80"/>
  <c r="AM331" i="80" l="1"/>
  <c r="AV331" i="80" s="1"/>
  <c r="AN331" i="80"/>
  <c r="BW332" i="80"/>
  <c r="AW331" i="80"/>
  <c r="AY331" i="80" l="1"/>
  <c r="BA331" i="80" s="1"/>
  <c r="AZ331" i="80" l="1"/>
  <c r="BB331" i="80"/>
  <c r="BF331" i="80"/>
  <c r="BG331" i="80" l="1"/>
  <c r="BH331" i="80" s="1"/>
  <c r="BI331" i="80" l="1"/>
  <c r="BN331" i="80" l="1"/>
  <c r="Q331" i="80" s="1"/>
  <c r="BJ331" i="80"/>
  <c r="BK331" i="80" s="1"/>
  <c r="BL331" i="80" s="1"/>
  <c r="BQ331" i="80" l="1"/>
  <c r="BO331" i="80"/>
  <c r="BR331" i="80" l="1"/>
  <c r="BS331" i="80" s="1"/>
  <c r="BP331" i="80"/>
  <c r="L331" i="80"/>
  <c r="N332" i="80" s="1"/>
  <c r="K331" i="80"/>
  <c r="M332" i="80" s="1"/>
  <c r="BT332" i="80" l="1"/>
  <c r="O332" i="80"/>
  <c r="BU332" i="80"/>
  <c r="BY332" i="80" l="1"/>
  <c r="P332" i="80"/>
  <c r="U332" i="80" s="1"/>
  <c r="S332" i="80"/>
  <c r="T332" i="80" l="1"/>
  <c r="V332" i="80" s="1"/>
  <c r="Y332" i="80" s="1"/>
  <c r="X332" i="80"/>
  <c r="AD332" i="80" l="1"/>
  <c r="AP332" i="80"/>
  <c r="AQ332" i="80" s="1"/>
  <c r="BX332" i="80"/>
  <c r="AC332" i="80"/>
  <c r="BE332" i="80" l="1"/>
  <c r="AO332" i="80"/>
  <c r="BV333" i="80"/>
  <c r="R332" i="80"/>
  <c r="AE332" i="80"/>
  <c r="AF332" i="80"/>
  <c r="AR332" i="80"/>
  <c r="AS332" i="80"/>
  <c r="AH332" i="80" l="1"/>
  <c r="AI332" i="80" s="1"/>
  <c r="AJ332" i="80" s="1"/>
  <c r="AG332" i="80"/>
  <c r="AK332" i="80" l="1"/>
  <c r="AL332" i="80" s="1"/>
  <c r="BD332" i="80"/>
  <c r="AX332" i="80"/>
  <c r="AT332" i="80"/>
  <c r="AM332" i="80" l="1"/>
  <c r="AV332" i="80" s="1"/>
  <c r="AN332" i="80"/>
  <c r="BW333" i="80"/>
  <c r="AW332" i="80"/>
  <c r="AY332" i="80" l="1"/>
  <c r="BA332" i="80" s="1"/>
  <c r="AZ332" i="80" l="1"/>
  <c r="BB332" i="80"/>
  <c r="BF332" i="80"/>
  <c r="BG332" i="80" l="1"/>
  <c r="BH332" i="80" s="1"/>
  <c r="BI332" i="80" l="1"/>
  <c r="BN332" i="80" l="1"/>
  <c r="Q332" i="80" s="1"/>
  <c r="BJ332" i="80"/>
  <c r="BK332" i="80" s="1"/>
  <c r="BL332" i="80" s="1"/>
  <c r="BQ332" i="80" l="1"/>
  <c r="BO332" i="80"/>
  <c r="BR332" i="80" l="1"/>
  <c r="BS332" i="80" s="1"/>
  <c r="BP332" i="80"/>
  <c r="L332" i="80"/>
  <c r="N333" i="80" s="1"/>
  <c r="K332" i="80"/>
  <c r="M333" i="80" s="1"/>
  <c r="BU333" i="80" l="1"/>
  <c r="BT333" i="80"/>
  <c r="O333" i="80"/>
  <c r="S333" i="80" l="1"/>
  <c r="P333" i="80"/>
  <c r="U333" i="80" s="1"/>
  <c r="BY333" i="80"/>
  <c r="T333" i="80" l="1"/>
  <c r="V333" i="80" s="1"/>
  <c r="Y333" i="80" s="1"/>
  <c r="X333" i="80"/>
  <c r="AP333" i="80" l="1"/>
  <c r="AQ333" i="80" s="1"/>
  <c r="BX333" i="80"/>
  <c r="AD333" i="80"/>
  <c r="AC333" i="80"/>
  <c r="R333" i="80" l="1"/>
  <c r="AO333" i="80"/>
  <c r="BV334" i="80"/>
  <c r="BE333" i="80"/>
  <c r="AF333" i="80"/>
  <c r="AE333" i="80"/>
  <c r="AR333" i="80"/>
  <c r="AS333" i="80"/>
  <c r="AH333" i="80" l="1"/>
  <c r="AI333" i="80" s="1"/>
  <c r="AJ333" i="80" s="1"/>
  <c r="AG333" i="80"/>
  <c r="AX333" i="80" l="1"/>
  <c r="BD333" i="80"/>
  <c r="AK333" i="80"/>
  <c r="AL333" i="80" s="1"/>
  <c r="AT333" i="80"/>
  <c r="AM333" i="80" l="1"/>
  <c r="AV333" i="80" s="1"/>
  <c r="AN333" i="80"/>
  <c r="BW334" i="80"/>
  <c r="AW333" i="80"/>
  <c r="AY333" i="80" l="1"/>
  <c r="BA333" i="80" s="1"/>
  <c r="AZ333" i="80" l="1"/>
  <c r="BB333" i="80"/>
  <c r="BF333" i="80"/>
  <c r="BG333" i="80" l="1"/>
  <c r="BH333" i="80" s="1"/>
  <c r="BI333" i="80" l="1"/>
  <c r="BN333" i="80" l="1"/>
  <c r="Q333" i="80" s="1"/>
  <c r="BJ333" i="80"/>
  <c r="BK333" i="80" s="1"/>
  <c r="BL333" i="80" s="1"/>
  <c r="BQ333" i="80" l="1"/>
  <c r="BO333" i="80"/>
  <c r="L333" i="80" l="1"/>
  <c r="N334" i="80" s="1"/>
  <c r="K333" i="80"/>
  <c r="M334" i="80" s="1"/>
  <c r="BR333" i="80"/>
  <c r="BS333" i="80" s="1"/>
  <c r="BP333" i="80"/>
  <c r="BT334" i="80" l="1"/>
  <c r="O334" i="80"/>
  <c r="BU334" i="80"/>
  <c r="S334" i="80" l="1"/>
  <c r="P334" i="80"/>
  <c r="U334" i="80" s="1"/>
  <c r="BY334" i="80"/>
  <c r="T334" i="80" l="1"/>
  <c r="V334" i="80" s="1"/>
  <c r="Y334" i="80" s="1"/>
  <c r="X334" i="80"/>
  <c r="BX334" i="80" l="1"/>
  <c r="AP334" i="80"/>
  <c r="AQ334" i="80" s="1"/>
  <c r="AD334" i="80"/>
  <c r="AC334" i="80"/>
  <c r="R334" i="80" l="1"/>
  <c r="AO334" i="80"/>
  <c r="BV335" i="80"/>
  <c r="BE334" i="80"/>
  <c r="AE334" i="80"/>
  <c r="AF334" i="80"/>
  <c r="AR334" i="80"/>
  <c r="AS334" i="80"/>
  <c r="AH334" i="80" l="1"/>
  <c r="AI334" i="80" s="1"/>
  <c r="AJ334" i="80" s="1"/>
  <c r="AG334" i="80"/>
  <c r="AX334" i="80" l="1"/>
  <c r="AK334" i="80"/>
  <c r="AL334" i="80" s="1"/>
  <c r="BD334" i="80"/>
  <c r="AT334" i="80"/>
  <c r="AM334" i="80" l="1"/>
  <c r="AV334" i="80" s="1"/>
  <c r="AN334" i="80"/>
  <c r="BW335" i="80"/>
  <c r="AW334" i="80"/>
  <c r="AY334" i="80" l="1"/>
  <c r="BA334" i="80" s="1"/>
  <c r="AZ334" i="80" l="1"/>
  <c r="BB334" i="80"/>
  <c r="BF334" i="80"/>
  <c r="BG334" i="80" l="1"/>
  <c r="BH334" i="80" s="1"/>
  <c r="BI334" i="80" l="1"/>
  <c r="BN334" i="80" l="1"/>
  <c r="Q334" i="80" s="1"/>
  <c r="BJ334" i="80"/>
  <c r="BK334" i="80" s="1"/>
  <c r="BL334" i="80" s="1"/>
  <c r="BQ334" i="80" l="1"/>
  <c r="BO334" i="80"/>
  <c r="BR334" i="80" l="1"/>
  <c r="BS334" i="80" s="1"/>
  <c r="BP334" i="80"/>
  <c r="K334" i="80"/>
  <c r="M335" i="80" s="1"/>
  <c r="L334" i="80"/>
  <c r="N335" i="80" s="1"/>
  <c r="BT335" i="80" l="1"/>
  <c r="O335" i="80"/>
  <c r="BU335" i="80"/>
  <c r="S335" i="80" l="1"/>
  <c r="P335" i="80"/>
  <c r="U335" i="80" s="1"/>
  <c r="BY335" i="80"/>
  <c r="T335" i="80" l="1"/>
  <c r="V335" i="80" s="1"/>
  <c r="Y335" i="80" s="1"/>
  <c r="X335" i="80"/>
  <c r="AP335" i="80" l="1"/>
  <c r="AQ335" i="80" s="1"/>
  <c r="BX335" i="80"/>
  <c r="AD335" i="80"/>
  <c r="AC335" i="80"/>
  <c r="BE335" i="80" l="1"/>
  <c r="AO335" i="80"/>
  <c r="BV336" i="80"/>
  <c r="R335" i="80"/>
  <c r="AE335" i="80"/>
  <c r="AF335" i="80"/>
  <c r="AR335" i="80"/>
  <c r="AS335" i="80"/>
  <c r="AG335" i="80" l="1"/>
  <c r="AH335" i="80"/>
  <c r="AI335" i="80" s="1"/>
  <c r="AJ335" i="80" s="1"/>
  <c r="AK335" i="80" l="1"/>
  <c r="AL335" i="80" s="1"/>
  <c r="BD335" i="80"/>
  <c r="AX335" i="80"/>
  <c r="AT335" i="80"/>
  <c r="AM335" i="80" l="1"/>
  <c r="AV335" i="80" s="1"/>
  <c r="BW336" i="80"/>
  <c r="AN335" i="80"/>
  <c r="AW335" i="80"/>
  <c r="AY335" i="80" l="1"/>
  <c r="BA335" i="80" s="1"/>
  <c r="AZ335" i="80" l="1"/>
  <c r="BB335" i="80"/>
  <c r="BF335" i="80"/>
  <c r="BG335" i="80" l="1"/>
  <c r="BH335" i="80" s="1"/>
  <c r="BI335" i="80" l="1"/>
  <c r="BN335" i="80" l="1"/>
  <c r="Q335" i="80" s="1"/>
  <c r="BJ335" i="80"/>
  <c r="BK335" i="80" s="1"/>
  <c r="BL335" i="80" s="1"/>
  <c r="BQ335" i="80" l="1"/>
  <c r="BO335" i="80"/>
  <c r="BR335" i="80" l="1"/>
  <c r="BS335" i="80" s="1"/>
  <c r="BP335" i="80"/>
  <c r="K335" i="80"/>
  <c r="M336" i="80" s="1"/>
  <c r="L335" i="80"/>
  <c r="N336" i="80" s="1"/>
  <c r="BT336" i="80" l="1"/>
  <c r="O336" i="80"/>
  <c r="BU336" i="80"/>
  <c r="S336" i="80" l="1"/>
  <c r="P336" i="80"/>
  <c r="U336" i="80" s="1"/>
  <c r="BY336" i="80"/>
  <c r="X336" i="80" l="1"/>
  <c r="T336" i="80"/>
  <c r="V336" i="80" s="1"/>
  <c r="Y336" i="80" s="1"/>
  <c r="AP336" i="80" l="1"/>
  <c r="AQ336" i="80" s="1"/>
  <c r="AD336" i="80"/>
  <c r="BX336" i="80"/>
  <c r="AC336" i="80"/>
  <c r="R336" i="80" l="1"/>
  <c r="AO336" i="80"/>
  <c r="BV337" i="80"/>
  <c r="BE336" i="80"/>
  <c r="AF336" i="80"/>
  <c r="AE336" i="80"/>
  <c r="AR336" i="80"/>
  <c r="AS336" i="80"/>
  <c r="AG336" i="80" l="1"/>
  <c r="AH336" i="80"/>
  <c r="AI336" i="80" s="1"/>
  <c r="AJ336" i="80" s="1"/>
  <c r="AX336" i="80" l="1"/>
  <c r="BD336" i="80"/>
  <c r="AK336" i="80"/>
  <c r="AL336" i="80" s="1"/>
  <c r="AT336" i="80"/>
  <c r="AM336" i="80" l="1"/>
  <c r="AV336" i="80" s="1"/>
  <c r="BW337" i="80"/>
  <c r="AN336" i="80"/>
  <c r="AW336" i="80"/>
  <c r="AY336" i="80" l="1"/>
  <c r="BA336" i="80" s="1"/>
  <c r="AZ336" i="80" l="1"/>
  <c r="BB336" i="80"/>
  <c r="BF336" i="80"/>
  <c r="BG336" i="80" l="1"/>
  <c r="BH336" i="80" s="1"/>
  <c r="BI336" i="80" l="1"/>
  <c r="BN336" i="80" l="1"/>
  <c r="Q336" i="80" s="1"/>
  <c r="BJ336" i="80"/>
  <c r="BK336" i="80" s="1"/>
  <c r="BL336" i="80" s="1"/>
  <c r="BQ336" i="80" l="1"/>
  <c r="BO336" i="80"/>
  <c r="BR336" i="80" l="1"/>
  <c r="BS336" i="80" s="1"/>
  <c r="BP336" i="80"/>
  <c r="K336" i="80"/>
  <c r="M337" i="80" s="1"/>
  <c r="L336" i="80"/>
  <c r="N337" i="80" s="1"/>
  <c r="BU337" i="80" s="1"/>
  <c r="O337" i="80" l="1"/>
  <c r="BT337" i="80"/>
  <c r="S337" i="80" l="1"/>
  <c r="BY337" i="80"/>
  <c r="P337" i="80"/>
  <c r="U337" i="80" s="1"/>
  <c r="T337" i="80" l="1"/>
  <c r="V337" i="80" s="1"/>
  <c r="Y337" i="80" s="1"/>
  <c r="X337" i="80"/>
  <c r="AP337" i="80" l="1"/>
  <c r="AQ337" i="80" s="1"/>
  <c r="AD337" i="80"/>
  <c r="BX337" i="80"/>
  <c r="AC337" i="80"/>
  <c r="R337" i="80" l="1"/>
  <c r="AO337" i="80"/>
  <c r="BV338" i="80"/>
  <c r="BE337" i="80"/>
  <c r="AR337" i="80"/>
  <c r="AS337" i="80"/>
  <c r="AF337" i="80"/>
  <c r="AE337" i="80"/>
  <c r="AH337" i="80" l="1"/>
  <c r="AI337" i="80" s="1"/>
  <c r="AJ337" i="80" s="1"/>
  <c r="AG337" i="80"/>
  <c r="AX337" i="80" l="1"/>
  <c r="BD337" i="80"/>
  <c r="AK337" i="80"/>
  <c r="AL337" i="80" s="1"/>
  <c r="AT337" i="80"/>
  <c r="AM337" i="80" l="1"/>
  <c r="AV337" i="80" s="1"/>
  <c r="AN337" i="80"/>
  <c r="BW338" i="80"/>
  <c r="AW337" i="80"/>
  <c r="AY337" i="80" l="1"/>
  <c r="BA337" i="80" s="1"/>
  <c r="AZ337" i="80" l="1"/>
  <c r="BB337" i="80"/>
  <c r="BF337" i="80"/>
  <c r="BG337" i="80" l="1"/>
  <c r="BH337" i="80" s="1"/>
  <c r="BI337" i="80" l="1"/>
  <c r="BN337" i="80" l="1"/>
  <c r="Q337" i="80" s="1"/>
  <c r="BJ337" i="80"/>
  <c r="BK337" i="80" s="1"/>
  <c r="BL337" i="80" s="1"/>
  <c r="BQ337" i="80" l="1"/>
  <c r="BO337" i="80"/>
  <c r="BR337" i="80" l="1"/>
  <c r="BS337" i="80" s="1"/>
  <c r="BP337" i="80"/>
  <c r="L337" i="80"/>
  <c r="N338" i="80" s="1"/>
  <c r="K337" i="80"/>
  <c r="M338" i="80" s="1"/>
  <c r="BU338" i="80" l="1"/>
  <c r="O338" i="80"/>
  <c r="BT338" i="80"/>
  <c r="S338" i="80" l="1"/>
  <c r="BY338" i="80"/>
  <c r="P338" i="80"/>
  <c r="U338" i="80" s="1"/>
  <c r="T338" i="80" l="1"/>
  <c r="V338" i="80" s="1"/>
  <c r="Y338" i="80" s="1"/>
  <c r="X338" i="80"/>
  <c r="AP338" i="80" l="1"/>
  <c r="AQ338" i="80" s="1"/>
  <c r="AD338" i="80"/>
  <c r="BX338" i="80"/>
  <c r="AC338" i="80"/>
  <c r="BE338" i="80" l="1"/>
  <c r="AO338" i="80"/>
  <c r="BV339" i="80"/>
  <c r="R338" i="80"/>
  <c r="AF338" i="80"/>
  <c r="AE338" i="80"/>
  <c r="AR338" i="80"/>
  <c r="AS338" i="80"/>
  <c r="AH338" i="80" l="1"/>
  <c r="AI338" i="80" s="1"/>
  <c r="AJ338" i="80" s="1"/>
  <c r="AG338" i="80"/>
  <c r="BD338" i="80" l="1"/>
  <c r="AK338" i="80"/>
  <c r="AL338" i="80" s="1"/>
  <c r="AX338" i="80"/>
  <c r="AT338" i="80"/>
  <c r="AM338" i="80" l="1"/>
  <c r="AV338" i="80" s="1"/>
  <c r="BW339" i="80"/>
  <c r="AN338" i="80"/>
  <c r="AW338" i="80"/>
  <c r="AY338" i="80" l="1"/>
  <c r="BA338" i="80" s="1"/>
  <c r="AZ338" i="80" l="1"/>
  <c r="BB338" i="80"/>
  <c r="BF338" i="80"/>
  <c r="BG338" i="80" l="1"/>
  <c r="BH338" i="80" s="1"/>
  <c r="BI338" i="80" l="1"/>
  <c r="BN338" i="80" l="1"/>
  <c r="Q338" i="80" s="1"/>
  <c r="BJ338" i="80"/>
  <c r="BK338" i="80" s="1"/>
  <c r="BL338" i="80" s="1"/>
  <c r="BQ338" i="80" l="1"/>
  <c r="BO338" i="80"/>
  <c r="L338" i="80" l="1"/>
  <c r="N339" i="80" s="1"/>
  <c r="K338" i="80"/>
  <c r="M339" i="80" s="1"/>
  <c r="BR338" i="80"/>
  <c r="BS338" i="80" s="1"/>
  <c r="BP338" i="80"/>
  <c r="BT339" i="80" l="1"/>
  <c r="O339" i="80"/>
  <c r="BU339" i="80"/>
  <c r="S339" i="80" l="1"/>
  <c r="BY339" i="80"/>
  <c r="P339" i="80"/>
  <c r="U339" i="80" s="1"/>
  <c r="T339" i="80" l="1"/>
  <c r="V339" i="80" s="1"/>
  <c r="Y339" i="80" s="1"/>
  <c r="X339" i="80"/>
  <c r="BX339" i="80" l="1"/>
  <c r="AD339" i="80"/>
  <c r="AP339" i="80"/>
  <c r="AQ339" i="80" s="1"/>
  <c r="AC339" i="80"/>
  <c r="R339" i="80" l="1"/>
  <c r="AO339" i="80"/>
  <c r="BV340" i="80"/>
  <c r="BE339" i="80"/>
  <c r="AE339" i="80"/>
  <c r="AF339" i="80"/>
  <c r="AR339" i="80"/>
  <c r="AS339" i="80"/>
  <c r="AG339" i="80" l="1"/>
  <c r="AH339" i="80"/>
  <c r="AI339" i="80" s="1"/>
  <c r="AJ339" i="80" s="1"/>
  <c r="AK339" i="80" l="1"/>
  <c r="AL339" i="80" s="1"/>
  <c r="AX339" i="80"/>
  <c r="BD339" i="80"/>
  <c r="AT339" i="80"/>
  <c r="AM339" i="80" l="1"/>
  <c r="AV339" i="80" s="1"/>
  <c r="AN339" i="80"/>
  <c r="BW340" i="80"/>
  <c r="AW339" i="80"/>
  <c r="AY339" i="80" l="1"/>
  <c r="BA339" i="80" s="1"/>
  <c r="AZ339" i="80" l="1"/>
  <c r="BB339" i="80"/>
  <c r="BF339" i="80"/>
  <c r="BG339" i="80" l="1"/>
  <c r="BH339" i="80" s="1"/>
  <c r="BI339" i="80" l="1"/>
  <c r="BN339" i="80" l="1"/>
  <c r="Q339" i="80" s="1"/>
  <c r="BJ339" i="80"/>
  <c r="BK339" i="80" s="1"/>
  <c r="BL339" i="80" s="1"/>
  <c r="BQ339" i="80" l="1"/>
  <c r="BO339" i="80"/>
  <c r="K339" i="80" l="1"/>
  <c r="M340" i="80" s="1"/>
  <c r="L339" i="80"/>
  <c r="N340" i="80" s="1"/>
  <c r="BR339" i="80"/>
  <c r="BS339" i="80" s="1"/>
  <c r="BP339" i="80"/>
  <c r="BU340" i="80" l="1"/>
  <c r="BT340" i="80"/>
  <c r="O340" i="80"/>
  <c r="BY340" i="80" l="1"/>
  <c r="P340" i="80"/>
  <c r="U340" i="80" s="1"/>
  <c r="S340" i="80"/>
  <c r="T340" i="80" l="1"/>
  <c r="V340" i="80" s="1"/>
  <c r="Y340" i="80" s="1"/>
  <c r="X340" i="80"/>
  <c r="AD340" i="80" l="1"/>
  <c r="AP340" i="80"/>
  <c r="AQ340" i="80" s="1"/>
  <c r="BX340" i="80"/>
  <c r="AC340" i="80"/>
  <c r="R340" i="80" l="1"/>
  <c r="AO340" i="80"/>
  <c r="BV341" i="80"/>
  <c r="BE340" i="80"/>
  <c r="AE340" i="80"/>
  <c r="AF340" i="80"/>
  <c r="AR340" i="80"/>
  <c r="AS340" i="80"/>
  <c r="AH340" i="80" l="1"/>
  <c r="AI340" i="80" s="1"/>
  <c r="AJ340" i="80" s="1"/>
  <c r="AG340" i="80"/>
  <c r="AK340" i="80" l="1"/>
  <c r="AL340" i="80" s="1"/>
  <c r="BD340" i="80"/>
  <c r="AX340" i="80"/>
  <c r="AT340" i="80"/>
  <c r="AM340" i="80" l="1"/>
  <c r="AV340" i="80" s="1"/>
  <c r="BW341" i="80"/>
  <c r="AN340" i="80"/>
  <c r="AW340" i="80"/>
  <c r="AY340" i="80" l="1"/>
  <c r="BA340" i="80" s="1"/>
  <c r="AZ340" i="80" l="1"/>
  <c r="BB340" i="80"/>
  <c r="BF340" i="80"/>
  <c r="BG340" i="80" l="1"/>
  <c r="BH340" i="80" s="1"/>
  <c r="BI340" i="80" l="1"/>
  <c r="BN340" i="80" l="1"/>
  <c r="Q340" i="80" s="1"/>
  <c r="BJ340" i="80"/>
  <c r="BK340" i="80" s="1"/>
  <c r="BL340" i="80" s="1"/>
  <c r="BQ340" i="80" l="1"/>
  <c r="BO340" i="80"/>
  <c r="BR340" i="80" l="1"/>
  <c r="BS340" i="80" s="1"/>
  <c r="BP340" i="80"/>
  <c r="L340" i="80"/>
  <c r="N341" i="80" s="1"/>
  <c r="K340" i="80"/>
  <c r="M341" i="80" s="1"/>
  <c r="O341" i="80" l="1"/>
  <c r="BT341" i="80"/>
  <c r="BU341" i="80"/>
  <c r="S341" i="80" l="1"/>
  <c r="P341" i="80"/>
  <c r="U341" i="80" s="1"/>
  <c r="BY341" i="80"/>
  <c r="T341" i="80" l="1"/>
  <c r="V341" i="80" s="1"/>
  <c r="Y341" i="80" s="1"/>
  <c r="X341" i="80"/>
  <c r="AP341" i="80" l="1"/>
  <c r="AQ341" i="80" s="1"/>
  <c r="BX341" i="80"/>
  <c r="AD341" i="80"/>
  <c r="AC341" i="80"/>
  <c r="R341" i="80" l="1"/>
  <c r="AO341" i="80"/>
  <c r="BV342" i="80"/>
  <c r="BE341" i="80"/>
  <c r="AR341" i="80"/>
  <c r="AS341" i="80"/>
  <c r="AF341" i="80"/>
  <c r="AE341" i="80"/>
  <c r="AH341" i="80" l="1"/>
  <c r="AI341" i="80" s="1"/>
  <c r="AJ341" i="80" s="1"/>
  <c r="AG341" i="80"/>
  <c r="AK341" i="80" l="1"/>
  <c r="AL341" i="80" s="1"/>
  <c r="BD341" i="80"/>
  <c r="AX341" i="80"/>
  <c r="AT341" i="80"/>
  <c r="AM341" i="80" l="1"/>
  <c r="AV341" i="80" s="1"/>
  <c r="BW342" i="80"/>
  <c r="AN341" i="80"/>
  <c r="AW341" i="80"/>
  <c r="AY341" i="80" l="1"/>
  <c r="BA341" i="80" s="1"/>
  <c r="AZ341" i="80" l="1"/>
  <c r="BB341" i="80"/>
  <c r="BF341" i="80"/>
  <c r="BG341" i="80" l="1"/>
  <c r="BH341" i="80" s="1"/>
  <c r="BI341" i="80" l="1"/>
  <c r="BJ341" i="80" l="1"/>
  <c r="BK341" i="80" s="1"/>
  <c r="BL341" i="80" s="1"/>
  <c r="BN341" i="80"/>
  <c r="Q341" i="80" s="1"/>
  <c r="BQ341" i="80" l="1"/>
  <c r="BO341" i="80"/>
  <c r="BR341" i="80" l="1"/>
  <c r="BS341" i="80" s="1"/>
  <c r="BP341" i="80"/>
  <c r="K341" i="80"/>
  <c r="M342" i="80" s="1"/>
  <c r="L341" i="80"/>
  <c r="N342" i="80" s="1"/>
  <c r="BU342" i="80" s="1"/>
  <c r="BT342" i="80" l="1"/>
  <c r="O342" i="80"/>
  <c r="P342" i="80" l="1"/>
  <c r="U342" i="80" s="1"/>
  <c r="BY342" i="80"/>
  <c r="S342" i="80"/>
  <c r="T342" i="80" l="1"/>
  <c r="V342" i="80" s="1"/>
  <c r="Y342" i="80" s="1"/>
  <c r="X342" i="80"/>
  <c r="AD342" i="80" l="1"/>
  <c r="AP342" i="80"/>
  <c r="AQ342" i="80" s="1"/>
  <c r="BX342" i="80"/>
  <c r="AC342" i="80"/>
  <c r="BE342" i="80" l="1"/>
  <c r="AO342" i="80"/>
  <c r="BV343" i="80"/>
  <c r="R342" i="80"/>
  <c r="AF342" i="80"/>
  <c r="AE342" i="80"/>
  <c r="AR342" i="80"/>
  <c r="AS342" i="80"/>
  <c r="AG342" i="80" l="1"/>
  <c r="AH342" i="80"/>
  <c r="AI342" i="80" s="1"/>
  <c r="AJ342" i="80" s="1"/>
  <c r="BD342" i="80" l="1"/>
  <c r="AX342" i="80"/>
  <c r="AK342" i="80"/>
  <c r="AL342" i="80" s="1"/>
  <c r="AT342" i="80"/>
  <c r="AM342" i="80" l="1"/>
  <c r="AV342" i="80" s="1"/>
  <c r="BW343" i="80"/>
  <c r="AN342" i="80"/>
  <c r="AW342" i="80"/>
  <c r="AY342" i="80" l="1"/>
  <c r="BA342" i="80" s="1"/>
  <c r="AZ342" i="80" l="1"/>
  <c r="BB342" i="80"/>
  <c r="BF342" i="80"/>
  <c r="BG342" i="80" l="1"/>
  <c r="BH342" i="80" s="1"/>
  <c r="BI342" i="80" l="1"/>
  <c r="BJ342" i="80" l="1"/>
  <c r="BK342" i="80" s="1"/>
  <c r="BL342" i="80" s="1"/>
  <c r="BN342" i="80"/>
  <c r="Q342" i="80" s="1"/>
  <c r="BQ342" i="80" l="1"/>
  <c r="BO342" i="80"/>
  <c r="BR342" i="80" l="1"/>
  <c r="BS342" i="80" s="1"/>
  <c r="BP342" i="80"/>
  <c r="L342" i="80"/>
  <c r="N343" i="80" s="1"/>
  <c r="BU343" i="80" s="1"/>
  <c r="K342" i="80"/>
  <c r="M343" i="80" s="1"/>
  <c r="BT343" i="80" l="1"/>
  <c r="O343" i="80"/>
  <c r="S343" i="80" l="1"/>
  <c r="P343" i="80"/>
  <c r="U343" i="80" s="1"/>
  <c r="BY343" i="80"/>
  <c r="T343" i="80" l="1"/>
  <c r="V343" i="80" s="1"/>
  <c r="Y343" i="80" s="1"/>
  <c r="X343" i="80"/>
  <c r="AD343" i="80" l="1"/>
  <c r="AP343" i="80"/>
  <c r="AQ343" i="80" s="1"/>
  <c r="BX343" i="80"/>
  <c r="AC343" i="80"/>
  <c r="R343" i="80" l="1"/>
  <c r="AO343" i="80"/>
  <c r="BV344" i="80"/>
  <c r="BE343" i="80"/>
  <c r="AR343" i="80"/>
  <c r="AS343" i="80"/>
  <c r="AF343" i="80"/>
  <c r="AE343" i="80"/>
  <c r="AH343" i="80" l="1"/>
  <c r="AI343" i="80" s="1"/>
  <c r="AJ343" i="80" s="1"/>
  <c r="AG343" i="80"/>
  <c r="BD343" i="80" l="1"/>
  <c r="AK343" i="80"/>
  <c r="AL343" i="80" s="1"/>
  <c r="AX343" i="80"/>
  <c r="AT343" i="80"/>
  <c r="AM343" i="80" l="1"/>
  <c r="AV343" i="80" s="1"/>
  <c r="AN343" i="80"/>
  <c r="BW344" i="80"/>
  <c r="AW343" i="80"/>
  <c r="AY343" i="80" l="1"/>
  <c r="BA343" i="80" s="1"/>
  <c r="AZ343" i="80" l="1"/>
  <c r="BB343" i="80"/>
  <c r="BF343" i="80"/>
  <c r="BG343" i="80" l="1"/>
  <c r="BH343" i="80" s="1"/>
  <c r="BI343" i="80" l="1"/>
  <c r="BN343" i="80" l="1"/>
  <c r="Q343" i="80" s="1"/>
  <c r="BJ343" i="80"/>
  <c r="BK343" i="80" s="1"/>
  <c r="BL343" i="80" s="1"/>
  <c r="BQ343" i="80" l="1"/>
  <c r="BO343" i="80"/>
  <c r="BR343" i="80" l="1"/>
  <c r="BS343" i="80" s="1"/>
  <c r="BP343" i="80"/>
  <c r="L343" i="80"/>
  <c r="N344" i="80" s="1"/>
  <c r="BU344" i="80" s="1"/>
  <c r="K343" i="80"/>
  <c r="M344" i="80" s="1"/>
  <c r="O344" i="80" l="1"/>
  <c r="BT344" i="80"/>
  <c r="P344" i="80" l="1"/>
  <c r="U344" i="80" s="1"/>
  <c r="S344" i="80"/>
  <c r="BY344" i="80"/>
  <c r="T344" i="80" l="1"/>
  <c r="V344" i="80" s="1"/>
  <c r="Y344" i="80" s="1"/>
  <c r="X344" i="80"/>
  <c r="AD344" i="80" l="1"/>
  <c r="BX344" i="80"/>
  <c r="AP344" i="80"/>
  <c r="AQ344" i="80" s="1"/>
  <c r="AC344" i="80"/>
  <c r="BE344" i="80" l="1"/>
  <c r="AO344" i="80"/>
  <c r="BV345" i="80"/>
  <c r="R344" i="80"/>
  <c r="AF344" i="80"/>
  <c r="AE344" i="80"/>
  <c r="AR344" i="80"/>
  <c r="AS344" i="80"/>
  <c r="AH344" i="80" l="1"/>
  <c r="AI344" i="80" s="1"/>
  <c r="AJ344" i="80" s="1"/>
  <c r="AG344" i="80"/>
  <c r="AK344" i="80" l="1"/>
  <c r="AL344" i="80" s="1"/>
  <c r="BD344" i="80"/>
  <c r="AX344" i="80"/>
  <c r="AT344" i="80"/>
  <c r="AM344" i="80" l="1"/>
  <c r="AV344" i="80" s="1"/>
  <c r="BW345" i="80"/>
  <c r="AN344" i="80"/>
  <c r="AW344" i="80"/>
  <c r="AY344" i="80" l="1"/>
  <c r="BA344" i="80" s="1"/>
  <c r="AZ344" i="80" l="1"/>
  <c r="BB344" i="80"/>
  <c r="BF344" i="80"/>
  <c r="BG344" i="80" l="1"/>
  <c r="BH344" i="80" s="1"/>
  <c r="BI344" i="80" l="1"/>
  <c r="BN344" i="80" l="1"/>
  <c r="Q344" i="80" s="1"/>
  <c r="BJ344" i="80"/>
  <c r="BK344" i="80" s="1"/>
  <c r="BL344" i="80" s="1"/>
  <c r="BQ344" i="80" l="1"/>
  <c r="BO344" i="80"/>
  <c r="BR344" i="80" l="1"/>
  <c r="BS344" i="80" s="1"/>
  <c r="BP344" i="80"/>
  <c r="L344" i="80"/>
  <c r="N345" i="80" s="1"/>
  <c r="BU345" i="80" s="1"/>
  <c r="K344" i="80"/>
  <c r="M345" i="80" s="1"/>
  <c r="BT345" i="80" l="1"/>
  <c r="O345" i="80"/>
  <c r="BY345" i="80" l="1"/>
  <c r="S345" i="80"/>
  <c r="P345" i="80"/>
  <c r="U345" i="80" s="1"/>
  <c r="T345" i="80" l="1"/>
  <c r="V345" i="80" s="1"/>
  <c r="Y345" i="80" s="1"/>
  <c r="X345" i="80"/>
  <c r="BX345" i="80" l="1"/>
  <c r="AP345" i="80"/>
  <c r="AQ345" i="80" s="1"/>
  <c r="AD345" i="80"/>
  <c r="AC345" i="80"/>
  <c r="R345" i="80" l="1"/>
  <c r="AO345" i="80"/>
  <c r="BV346" i="80"/>
  <c r="BE345" i="80"/>
  <c r="AE345" i="80"/>
  <c r="AF345" i="80"/>
  <c r="AR345" i="80"/>
  <c r="AS345" i="80"/>
  <c r="AH345" i="80" l="1"/>
  <c r="AI345" i="80" s="1"/>
  <c r="AJ345" i="80" s="1"/>
  <c r="AG345" i="80"/>
  <c r="BD345" i="80" l="1"/>
  <c r="AX345" i="80"/>
  <c r="AK345" i="80"/>
  <c r="AL345" i="80" s="1"/>
  <c r="AT345" i="80"/>
  <c r="AM345" i="80" l="1"/>
  <c r="AV345" i="80" s="1"/>
  <c r="BW346" i="80"/>
  <c r="AN345" i="80"/>
  <c r="AW345" i="80"/>
  <c r="AY345" i="80" l="1"/>
  <c r="BA345" i="80" s="1"/>
  <c r="AZ345" i="80" l="1"/>
  <c r="BB345" i="80"/>
  <c r="BF345" i="80"/>
  <c r="BG345" i="80" l="1"/>
  <c r="BH345" i="80" s="1"/>
  <c r="BI345" i="80" l="1"/>
  <c r="BN345" i="80" l="1"/>
  <c r="Q345" i="80" s="1"/>
  <c r="BJ345" i="80"/>
  <c r="BK345" i="80" s="1"/>
  <c r="BL345" i="80" s="1"/>
  <c r="BQ345" i="80" l="1"/>
  <c r="BO345" i="80"/>
  <c r="BR345" i="80" l="1"/>
  <c r="BS345" i="80" s="1"/>
  <c r="BP345" i="80"/>
  <c r="L345" i="80"/>
  <c r="N346" i="80" s="1"/>
  <c r="BU346" i="80" s="1"/>
  <c r="K345" i="80"/>
  <c r="M346" i="80" s="1"/>
  <c r="BT346" i="80" l="1"/>
  <c r="O346" i="80"/>
  <c r="P346" i="80" l="1"/>
  <c r="U346" i="80" s="1"/>
  <c r="BY346" i="80"/>
  <c r="S346" i="80"/>
  <c r="T346" i="80" l="1"/>
  <c r="V346" i="80" s="1"/>
  <c r="Y346" i="80" s="1"/>
  <c r="X346" i="80"/>
  <c r="BX346" i="80" l="1"/>
  <c r="AP346" i="80"/>
  <c r="AQ346" i="80" s="1"/>
  <c r="AD346" i="80"/>
  <c r="AC346" i="80"/>
  <c r="BE346" i="80" l="1"/>
  <c r="AO346" i="80"/>
  <c r="BV347" i="80"/>
  <c r="R346" i="80"/>
  <c r="AR346" i="80"/>
  <c r="AS346" i="80"/>
  <c r="AE346" i="80"/>
  <c r="AF346" i="80"/>
  <c r="AG346" i="80" l="1"/>
  <c r="AH346" i="80"/>
  <c r="AI346" i="80" s="1"/>
  <c r="AJ346" i="80" s="1"/>
  <c r="AK346" i="80" l="1"/>
  <c r="AL346" i="80" s="1"/>
  <c r="AX346" i="80"/>
  <c r="BD346" i="80"/>
  <c r="AT346" i="80"/>
  <c r="AM346" i="80" l="1"/>
  <c r="AV346" i="80" s="1"/>
  <c r="BW347" i="80"/>
  <c r="AN346" i="80"/>
  <c r="AW346" i="80"/>
  <c r="AY346" i="80" l="1"/>
  <c r="BA346" i="80" s="1"/>
  <c r="AZ346" i="80" l="1"/>
  <c r="BB346" i="80"/>
  <c r="BF346" i="80"/>
  <c r="BG346" i="80" l="1"/>
  <c r="BH346" i="80" s="1"/>
  <c r="BI346" i="80" l="1"/>
  <c r="BN346" i="80" l="1"/>
  <c r="Q346" i="80" s="1"/>
  <c r="BJ346" i="80"/>
  <c r="BK346" i="80" s="1"/>
  <c r="BL346" i="80" s="1"/>
  <c r="BQ346" i="80" l="1"/>
  <c r="BO346" i="80"/>
  <c r="BR346" i="80" l="1"/>
  <c r="BS346" i="80" s="1"/>
  <c r="BP346" i="80"/>
  <c r="L346" i="80"/>
  <c r="N347" i="80" s="1"/>
  <c r="BU347" i="80" s="1"/>
  <c r="K346" i="80"/>
  <c r="M347" i="80" s="1"/>
  <c r="O347" i="80" l="1"/>
  <c r="BT347" i="80"/>
  <c r="S347" i="80" l="1"/>
  <c r="BY347" i="80"/>
  <c r="P347" i="80"/>
  <c r="U347" i="80" s="1"/>
  <c r="T347" i="80" l="1"/>
  <c r="V347" i="80" s="1"/>
  <c r="Y347" i="80" s="1"/>
  <c r="X347" i="80"/>
  <c r="AD347" i="80" l="1"/>
  <c r="BX347" i="80"/>
  <c r="AP347" i="80"/>
  <c r="AQ347" i="80" s="1"/>
  <c r="AC347" i="80"/>
  <c r="BE347" i="80" l="1"/>
  <c r="AO347" i="80"/>
  <c r="BV348" i="80"/>
  <c r="R347" i="80"/>
  <c r="AF347" i="80"/>
  <c r="AE347" i="80"/>
  <c r="AR347" i="80"/>
  <c r="AS347" i="80"/>
  <c r="AH347" i="80" l="1"/>
  <c r="AI347" i="80" s="1"/>
  <c r="AJ347" i="80" s="1"/>
  <c r="AG347" i="80"/>
  <c r="AX347" i="80" l="1"/>
  <c r="AK347" i="80"/>
  <c r="AL347" i="80" s="1"/>
  <c r="BD347" i="80"/>
  <c r="AT347" i="80"/>
  <c r="AM347" i="80" l="1"/>
  <c r="AV347" i="80" s="1"/>
  <c r="BW348" i="80"/>
  <c r="AN347" i="80"/>
  <c r="AW347" i="80"/>
  <c r="AY347" i="80" l="1"/>
  <c r="BA347" i="80" s="1"/>
  <c r="AZ347" i="80" l="1"/>
  <c r="BB347" i="80"/>
  <c r="BF347" i="80"/>
  <c r="BG347" i="80" l="1"/>
  <c r="BH347" i="80" s="1"/>
  <c r="BI347" i="80" l="1"/>
  <c r="BN347" i="80" l="1"/>
  <c r="Q347" i="80" s="1"/>
  <c r="BJ347" i="80"/>
  <c r="BK347" i="80" s="1"/>
  <c r="BL347" i="80" s="1"/>
  <c r="BQ347" i="80" l="1"/>
  <c r="BO347" i="80"/>
  <c r="BR347" i="80" l="1"/>
  <c r="BS347" i="80" s="1"/>
  <c r="BP347" i="80"/>
  <c r="L347" i="80"/>
  <c r="N348" i="80" s="1"/>
  <c r="BU348" i="80" s="1"/>
  <c r="K347" i="80"/>
  <c r="M348" i="80" s="1"/>
  <c r="BT348" i="80" l="1"/>
  <c r="O348" i="80"/>
  <c r="P348" i="80" l="1"/>
  <c r="U348" i="80" s="1"/>
  <c r="S348" i="80"/>
  <c r="BY348" i="80"/>
  <c r="T348" i="80" l="1"/>
  <c r="V348" i="80" s="1"/>
  <c r="Y348" i="80" s="1"/>
  <c r="X348" i="80"/>
  <c r="AD348" i="80" l="1"/>
  <c r="AP348" i="80"/>
  <c r="AQ348" i="80" s="1"/>
  <c r="BX348" i="80"/>
  <c r="AC348" i="80"/>
  <c r="BE348" i="80" l="1"/>
  <c r="AO348" i="80"/>
  <c r="BV349" i="80"/>
  <c r="R348" i="80"/>
  <c r="AR348" i="80"/>
  <c r="AS348" i="80"/>
  <c r="AF348" i="80"/>
  <c r="AE348" i="80"/>
  <c r="AG348" i="80" l="1"/>
  <c r="AH348" i="80"/>
  <c r="AI348" i="80" s="1"/>
  <c r="AJ348" i="80" s="1"/>
  <c r="AK348" i="80" l="1"/>
  <c r="AL348" i="80" s="1"/>
  <c r="BD348" i="80"/>
  <c r="AX348" i="80"/>
  <c r="AT348" i="80"/>
  <c r="AM348" i="80" l="1"/>
  <c r="AV348" i="80" s="1"/>
  <c r="AN348" i="80"/>
  <c r="BW349" i="80"/>
  <c r="AW348" i="80"/>
  <c r="AY348" i="80" l="1"/>
  <c r="BA348" i="80" s="1"/>
  <c r="AZ348" i="80" l="1"/>
  <c r="BB348" i="80"/>
  <c r="BF348" i="80"/>
  <c r="BG348" i="80" l="1"/>
  <c r="BH348" i="80" s="1"/>
  <c r="BI348" i="80" l="1"/>
  <c r="BN348" i="80" l="1"/>
  <c r="Q348" i="80" s="1"/>
  <c r="BJ348" i="80"/>
  <c r="BK348" i="80" s="1"/>
  <c r="BL348" i="80" s="1"/>
  <c r="BQ348" i="80" l="1"/>
  <c r="BO348" i="80"/>
  <c r="BR348" i="80" l="1"/>
  <c r="BS348" i="80" s="1"/>
  <c r="BP348" i="80"/>
  <c r="L348" i="80"/>
  <c r="N349" i="80" s="1"/>
  <c r="BU349" i="80" s="1"/>
  <c r="K348" i="80"/>
  <c r="M349" i="80" s="1"/>
  <c r="O349" i="80" l="1"/>
  <c r="BT349" i="80"/>
  <c r="BY349" i="80" l="1"/>
  <c r="S349" i="80"/>
  <c r="P349" i="80"/>
  <c r="U349" i="80" s="1"/>
  <c r="T349" i="80" l="1"/>
  <c r="V349" i="80" s="1"/>
  <c r="Y349" i="80" s="1"/>
  <c r="X349" i="80"/>
  <c r="AP349" i="80" l="1"/>
  <c r="AQ349" i="80" s="1"/>
  <c r="AD349" i="80"/>
  <c r="BX349" i="80"/>
  <c r="AC349" i="80"/>
  <c r="R349" i="80" l="1"/>
  <c r="AO349" i="80"/>
  <c r="BV350" i="80"/>
  <c r="BE349" i="80"/>
  <c r="AE349" i="80"/>
  <c r="AF349" i="80"/>
  <c r="AR349" i="80"/>
  <c r="AS349" i="80"/>
  <c r="AG349" i="80" l="1"/>
  <c r="AH349" i="80"/>
  <c r="AI349" i="80" s="1"/>
  <c r="AJ349" i="80" s="1"/>
  <c r="BD349" i="80" l="1"/>
  <c r="AK349" i="80"/>
  <c r="AL349" i="80" s="1"/>
  <c r="AX349" i="80"/>
  <c r="AT349" i="80"/>
  <c r="AM349" i="80" l="1"/>
  <c r="AV349" i="80" s="1"/>
  <c r="AN349" i="80"/>
  <c r="BW350" i="80"/>
  <c r="AW349" i="80"/>
  <c r="AY349" i="80" l="1"/>
  <c r="BA349" i="80" s="1"/>
  <c r="AZ349" i="80" l="1"/>
  <c r="BB349" i="80"/>
  <c r="BF349" i="80"/>
  <c r="BG349" i="80" l="1"/>
  <c r="BH349" i="80" s="1"/>
  <c r="BI349" i="80" l="1"/>
  <c r="BN349" i="80" l="1"/>
  <c r="Q349" i="80" s="1"/>
  <c r="BJ349" i="80"/>
  <c r="BK349" i="80" s="1"/>
  <c r="BL349" i="80" s="1"/>
  <c r="BQ349" i="80" l="1"/>
  <c r="BO349" i="80"/>
  <c r="BR349" i="80" l="1"/>
  <c r="BS349" i="80" s="1"/>
  <c r="BP349" i="80"/>
  <c r="L349" i="80"/>
  <c r="N350" i="80" s="1"/>
  <c r="K349" i="80"/>
  <c r="M350" i="80" s="1"/>
  <c r="BU350" i="80" l="1"/>
  <c r="BT350" i="80"/>
  <c r="O350" i="80"/>
  <c r="S350" i="80" l="1"/>
  <c r="BY350" i="80"/>
  <c r="P350" i="80"/>
  <c r="U350" i="80" s="1"/>
  <c r="T350" i="80" l="1"/>
  <c r="V350" i="80" s="1"/>
  <c r="Y350" i="80" s="1"/>
  <c r="X350" i="80"/>
  <c r="AD350" i="80" l="1"/>
  <c r="AP350" i="80"/>
  <c r="AQ350" i="80" s="1"/>
  <c r="BX350" i="80"/>
  <c r="AC350" i="80"/>
  <c r="BE350" i="80" l="1"/>
  <c r="AO350" i="80"/>
  <c r="BV351" i="80"/>
  <c r="R350" i="80"/>
  <c r="AR350" i="80"/>
  <c r="AS350" i="80"/>
  <c r="AE350" i="80"/>
  <c r="AF350" i="80"/>
  <c r="AH350" i="80" l="1"/>
  <c r="AI350" i="80" s="1"/>
  <c r="AJ350" i="80" s="1"/>
  <c r="AG350" i="80"/>
  <c r="AX350" i="80" l="1"/>
  <c r="BD350" i="80"/>
  <c r="AK350" i="80"/>
  <c r="AL350" i="80" s="1"/>
  <c r="AT350" i="80"/>
  <c r="AM350" i="80" l="1"/>
  <c r="AV350" i="80" s="1"/>
  <c r="AN350" i="80"/>
  <c r="BW351" i="80"/>
  <c r="AW350" i="80"/>
  <c r="AY350" i="80" l="1"/>
  <c r="BA350" i="80" s="1"/>
  <c r="AZ350" i="80" l="1"/>
  <c r="BB350" i="80"/>
  <c r="BF350" i="80"/>
  <c r="BG350" i="80" l="1"/>
  <c r="BH350" i="80" s="1"/>
  <c r="BI350" i="80" l="1"/>
  <c r="BN350" i="80" l="1"/>
  <c r="Q350" i="80" s="1"/>
  <c r="BJ350" i="80"/>
  <c r="BK350" i="80" s="1"/>
  <c r="BL350" i="80" s="1"/>
  <c r="BQ350" i="80" l="1"/>
  <c r="BO350" i="80"/>
  <c r="BR350" i="80" l="1"/>
  <c r="BS350" i="80" s="1"/>
  <c r="BP350" i="80"/>
  <c r="L350" i="80"/>
  <c r="N351" i="80" s="1"/>
  <c r="K350" i="80"/>
  <c r="M351" i="80" s="1"/>
  <c r="O351" i="80" l="1"/>
  <c r="BT351" i="80"/>
  <c r="BU351" i="80"/>
  <c r="BY351" i="80" l="1"/>
  <c r="S351" i="80"/>
  <c r="P351" i="80"/>
  <c r="U351" i="80" s="1"/>
  <c r="T351" i="80" l="1"/>
  <c r="V351" i="80" s="1"/>
  <c r="Y351" i="80" s="1"/>
  <c r="X351" i="80"/>
  <c r="BX351" i="80" l="1"/>
  <c r="AD351" i="80"/>
  <c r="AP351" i="80"/>
  <c r="AQ351" i="80" s="1"/>
  <c r="AC351" i="80"/>
  <c r="R351" i="80" l="1"/>
  <c r="AO351" i="80"/>
  <c r="BV352" i="80"/>
  <c r="BE351" i="80"/>
  <c r="AR351" i="80"/>
  <c r="AS351" i="80"/>
  <c r="AF351" i="80"/>
  <c r="AE351" i="80"/>
  <c r="AH351" i="80" l="1"/>
  <c r="AI351" i="80" s="1"/>
  <c r="AJ351" i="80" s="1"/>
  <c r="AG351" i="80"/>
  <c r="AK351" i="80" l="1"/>
  <c r="AL351" i="80" s="1"/>
  <c r="AX351" i="80"/>
  <c r="BD351" i="80"/>
  <c r="AT351" i="80"/>
  <c r="AM351" i="80" l="1"/>
  <c r="AV351" i="80" s="1"/>
  <c r="BW352" i="80"/>
  <c r="AN351" i="80"/>
  <c r="AW351" i="80"/>
  <c r="AY351" i="80" l="1"/>
  <c r="BA351" i="80" s="1"/>
  <c r="AZ351" i="80" l="1"/>
  <c r="BB351" i="80"/>
  <c r="BF351" i="80"/>
  <c r="BG351" i="80" l="1"/>
  <c r="BH351" i="80" s="1"/>
  <c r="BI351" i="80" l="1"/>
  <c r="BJ351" i="80" l="1"/>
  <c r="BK351" i="80" s="1"/>
  <c r="BL351" i="80" s="1"/>
  <c r="BN351" i="80"/>
  <c r="Q351" i="80" s="1"/>
  <c r="BQ351" i="80" l="1"/>
  <c r="BO351" i="80"/>
  <c r="BR351" i="80" l="1"/>
  <c r="BS351" i="80" s="1"/>
  <c r="BP351" i="80"/>
  <c r="K351" i="80"/>
  <c r="M352" i="80" s="1"/>
  <c r="L351" i="80"/>
  <c r="N352" i="80" s="1"/>
  <c r="BU352" i="80" l="1"/>
  <c r="O352" i="80"/>
  <c r="BT352" i="80"/>
  <c r="S352" i="80" l="1"/>
  <c r="P352" i="80"/>
  <c r="U352" i="80" s="1"/>
  <c r="BY352" i="80"/>
  <c r="T352" i="80" l="1"/>
  <c r="V352" i="80" s="1"/>
  <c r="Y352" i="80" s="1"/>
  <c r="X352" i="80"/>
  <c r="BX352" i="80" l="1"/>
  <c r="AD352" i="80"/>
  <c r="AP352" i="80"/>
  <c r="AQ352" i="80" s="1"/>
  <c r="AC352" i="80"/>
  <c r="R352" i="80" l="1"/>
  <c r="AO352" i="80"/>
  <c r="BV353" i="80"/>
  <c r="BE352" i="80"/>
  <c r="AR352" i="80"/>
  <c r="AS352" i="80"/>
  <c r="AE352" i="80"/>
  <c r="AF352" i="80"/>
  <c r="AG352" i="80" l="1"/>
  <c r="AH352" i="80"/>
  <c r="AI352" i="80" s="1"/>
  <c r="AJ352" i="80" s="1"/>
  <c r="BD352" i="80" l="1"/>
  <c r="AK352" i="80"/>
  <c r="AL352" i="80" s="1"/>
  <c r="AX352" i="80"/>
  <c r="AT352" i="80"/>
  <c r="AM352" i="80" l="1"/>
  <c r="AV352" i="80" s="1"/>
  <c r="AN352" i="80"/>
  <c r="BW353" i="80"/>
  <c r="AW352" i="80"/>
  <c r="AY352" i="80" l="1"/>
  <c r="BA352" i="80" s="1"/>
  <c r="AZ352" i="80" l="1"/>
  <c r="BB352" i="80"/>
  <c r="BF352" i="80"/>
  <c r="BG352" i="80" l="1"/>
  <c r="BH352" i="80" s="1"/>
  <c r="BI352" i="80" l="1"/>
  <c r="BN352" i="80" l="1"/>
  <c r="Q352" i="80" s="1"/>
  <c r="BJ352" i="80"/>
  <c r="BK352" i="80" s="1"/>
  <c r="BL352" i="80" s="1"/>
  <c r="BQ352" i="80" l="1"/>
  <c r="BO352" i="80"/>
  <c r="BR352" i="80" l="1"/>
  <c r="BS352" i="80" s="1"/>
  <c r="BP352" i="80"/>
  <c r="L352" i="80"/>
  <c r="N353" i="80" s="1"/>
  <c r="K352" i="80"/>
  <c r="M353" i="80" s="1"/>
  <c r="BU353" i="80" l="1"/>
  <c r="O353" i="80"/>
  <c r="BT353" i="80"/>
  <c r="BY353" i="80" l="1"/>
  <c r="S353" i="80"/>
  <c r="P353" i="80"/>
  <c r="U353" i="80" s="1"/>
  <c r="T353" i="80" l="1"/>
  <c r="V353" i="80" s="1"/>
  <c r="Y353" i="80" s="1"/>
  <c r="X353" i="80"/>
  <c r="AP353" i="80" l="1"/>
  <c r="AQ353" i="80" s="1"/>
  <c r="AD353" i="80"/>
  <c r="BX353" i="80"/>
  <c r="AC353" i="80"/>
  <c r="BE353" i="80" l="1"/>
  <c r="BV354" i="80"/>
  <c r="AO353" i="80"/>
  <c r="R353" i="80"/>
  <c r="AF353" i="80"/>
  <c r="AE353" i="80"/>
  <c r="AR353" i="80"/>
  <c r="AS353" i="80"/>
  <c r="AG353" i="80" l="1"/>
  <c r="AH353" i="80"/>
  <c r="AI353" i="80" s="1"/>
  <c r="AJ353" i="80" s="1"/>
  <c r="BD353" i="80" l="1"/>
  <c r="AK353" i="80"/>
  <c r="AL353" i="80" s="1"/>
  <c r="AX353" i="80"/>
  <c r="AT353" i="80"/>
  <c r="AM353" i="80" l="1"/>
  <c r="AV353" i="80" s="1"/>
  <c r="AN353" i="80"/>
  <c r="BW354" i="80"/>
  <c r="AW353" i="80"/>
  <c r="AY353" i="80" l="1"/>
  <c r="BA353" i="80" s="1"/>
  <c r="AZ353" i="80" l="1"/>
  <c r="BB353" i="80"/>
  <c r="BF353" i="80"/>
  <c r="BG353" i="80" l="1"/>
  <c r="BH353" i="80" s="1"/>
  <c r="BI353" i="80" l="1"/>
  <c r="BJ353" i="80" l="1"/>
  <c r="BK353" i="80" s="1"/>
  <c r="BL353" i="80" s="1"/>
  <c r="BN353" i="80"/>
  <c r="Q353" i="80" s="1"/>
  <c r="BQ353" i="80" l="1"/>
  <c r="BO353" i="80"/>
  <c r="BR353" i="80" l="1"/>
  <c r="BS353" i="80" s="1"/>
  <c r="BP353" i="80"/>
  <c r="L353" i="80"/>
  <c r="N354" i="80" s="1"/>
  <c r="K353" i="80"/>
  <c r="M354" i="80" s="1"/>
  <c r="O354" i="80" l="1"/>
  <c r="BT354" i="80"/>
  <c r="BU354" i="80"/>
  <c r="BY354" i="80" l="1"/>
  <c r="S354" i="80"/>
  <c r="P354" i="80"/>
  <c r="U354" i="80" s="1"/>
  <c r="T354" i="80" l="1"/>
  <c r="V354" i="80" s="1"/>
  <c r="Y354" i="80" s="1"/>
  <c r="X354" i="80"/>
  <c r="BX354" i="80" l="1"/>
  <c r="AP354" i="80"/>
  <c r="AQ354" i="80" s="1"/>
  <c r="AD354" i="80"/>
  <c r="AC354" i="80"/>
  <c r="BE354" i="80" l="1"/>
  <c r="AO354" i="80"/>
  <c r="BV355" i="80"/>
  <c r="R354" i="80"/>
  <c r="AF354" i="80"/>
  <c r="AE354" i="80"/>
  <c r="AR354" i="80"/>
  <c r="AS354" i="80"/>
  <c r="AH354" i="80" l="1"/>
  <c r="AI354" i="80" s="1"/>
  <c r="AJ354" i="80" s="1"/>
  <c r="AG354" i="80"/>
  <c r="BD354" i="80" l="1"/>
  <c r="AX354" i="80"/>
  <c r="AK354" i="80"/>
  <c r="AL354" i="80" s="1"/>
  <c r="AT354" i="80"/>
  <c r="AM354" i="80" l="1"/>
  <c r="AV354" i="80" s="1"/>
  <c r="BW355" i="80"/>
  <c r="AN354" i="80"/>
  <c r="AW354" i="80"/>
  <c r="AY354" i="80" l="1"/>
  <c r="BA354" i="80" s="1"/>
  <c r="AZ354" i="80" l="1"/>
  <c r="BB354" i="80"/>
  <c r="BF354" i="80"/>
  <c r="BG354" i="80" l="1"/>
  <c r="BH354" i="80" s="1"/>
  <c r="BI354" i="80" l="1"/>
  <c r="BN354" i="80" l="1"/>
  <c r="Q354" i="80" s="1"/>
  <c r="BJ354" i="80"/>
  <c r="BK354" i="80" s="1"/>
  <c r="BL354" i="80" s="1"/>
  <c r="BQ354" i="80" l="1"/>
  <c r="BO354" i="80"/>
  <c r="BR354" i="80" l="1"/>
  <c r="BS354" i="80" s="1"/>
  <c r="BP354" i="80"/>
  <c r="K354" i="80"/>
  <c r="M355" i="80" s="1"/>
  <c r="L354" i="80"/>
  <c r="N355" i="80" s="1"/>
  <c r="BU355" i="80" l="1"/>
  <c r="O355" i="80"/>
  <c r="BT355" i="80"/>
  <c r="S355" i="80" l="1"/>
  <c r="P355" i="80"/>
  <c r="U355" i="80" s="1"/>
  <c r="BY355" i="80"/>
  <c r="T355" i="80" l="1"/>
  <c r="V355" i="80" s="1"/>
  <c r="Y355" i="80" s="1"/>
  <c r="X355" i="80"/>
  <c r="AP355" i="80" l="1"/>
  <c r="AQ355" i="80" s="1"/>
  <c r="BX355" i="80"/>
  <c r="AD355" i="80"/>
  <c r="AC355" i="80"/>
  <c r="R355" i="80" l="1"/>
  <c r="AO355" i="80"/>
  <c r="BV356" i="80"/>
  <c r="BE355" i="80"/>
  <c r="AR355" i="80"/>
  <c r="AS355" i="80"/>
  <c r="AF355" i="80"/>
  <c r="AE355" i="80"/>
  <c r="AH355" i="80" l="1"/>
  <c r="AI355" i="80" s="1"/>
  <c r="AJ355" i="80" s="1"/>
  <c r="AG355" i="80"/>
  <c r="AK355" i="80" l="1"/>
  <c r="AL355" i="80" s="1"/>
  <c r="AX355" i="80"/>
  <c r="BD355" i="80"/>
  <c r="AT355" i="80"/>
  <c r="AM355" i="80" l="1"/>
  <c r="AV355" i="80" s="1"/>
  <c r="BW356" i="80"/>
  <c r="AN355" i="80"/>
  <c r="AW355" i="80"/>
  <c r="AY355" i="80" l="1"/>
  <c r="BA355" i="80" s="1"/>
  <c r="AZ355" i="80" l="1"/>
  <c r="BB355" i="80"/>
  <c r="BF355" i="80"/>
  <c r="BG355" i="80" l="1"/>
  <c r="BH355" i="80" s="1"/>
  <c r="BI355" i="80" l="1"/>
  <c r="BJ355" i="80" l="1"/>
  <c r="BK355" i="80" s="1"/>
  <c r="BL355" i="80" s="1"/>
  <c r="BN355" i="80"/>
  <c r="Q355" i="80" s="1"/>
  <c r="BQ355" i="80" l="1"/>
  <c r="BO355" i="80"/>
  <c r="BR355" i="80" l="1"/>
  <c r="BS355" i="80" s="1"/>
  <c r="BP355" i="80"/>
  <c r="L355" i="80"/>
  <c r="N356" i="80" s="1"/>
  <c r="K355" i="80"/>
  <c r="M356" i="80" s="1"/>
  <c r="O356" i="80" l="1"/>
  <c r="BT356" i="80"/>
  <c r="BU356" i="80"/>
  <c r="S356" i="80" l="1"/>
  <c r="P356" i="80"/>
  <c r="U356" i="80" s="1"/>
  <c r="BY356" i="80"/>
  <c r="T356" i="80" l="1"/>
  <c r="V356" i="80" s="1"/>
  <c r="Y356" i="80" s="1"/>
  <c r="X356" i="80"/>
  <c r="AP356" i="80" l="1"/>
  <c r="AQ356" i="80" s="1"/>
  <c r="BX356" i="80"/>
  <c r="AD356" i="80"/>
  <c r="AC356" i="80"/>
  <c r="BE356" i="80" l="1"/>
  <c r="AO356" i="80"/>
  <c r="BV357" i="80"/>
  <c r="R356" i="80"/>
  <c r="AE356" i="80"/>
  <c r="AF356" i="80"/>
  <c r="AR356" i="80"/>
  <c r="AS356" i="80"/>
  <c r="AH356" i="80" l="1"/>
  <c r="AI356" i="80" s="1"/>
  <c r="AJ356" i="80" s="1"/>
  <c r="AG356" i="80"/>
  <c r="AX356" i="80" l="1"/>
  <c r="AK356" i="80"/>
  <c r="AL356" i="80" s="1"/>
  <c r="BD356" i="80"/>
  <c r="AT356" i="80"/>
  <c r="AM356" i="80" l="1"/>
  <c r="AV356" i="80" s="1"/>
  <c r="BW357" i="80"/>
  <c r="AN356" i="80"/>
  <c r="AW356" i="80"/>
  <c r="AY356" i="80" l="1"/>
  <c r="BA356" i="80" s="1"/>
  <c r="AZ356" i="80" l="1"/>
  <c r="BB356" i="80"/>
  <c r="BF356" i="80"/>
  <c r="BG356" i="80" l="1"/>
  <c r="BH356" i="80" s="1"/>
  <c r="BI356" i="80" l="1"/>
  <c r="BN356" i="80" l="1"/>
  <c r="Q356" i="80" s="1"/>
  <c r="BJ356" i="80"/>
  <c r="BK356" i="80" s="1"/>
  <c r="BL356" i="80" s="1"/>
  <c r="BQ356" i="80" l="1"/>
  <c r="BO356" i="80"/>
  <c r="BR356" i="80" l="1"/>
  <c r="BS356" i="80" s="1"/>
  <c r="BP356" i="80"/>
  <c r="K356" i="80"/>
  <c r="M357" i="80" s="1"/>
  <c r="L356" i="80"/>
  <c r="N357" i="80" s="1"/>
  <c r="BU357" i="80" l="1"/>
  <c r="O357" i="80"/>
  <c r="BT357" i="80"/>
  <c r="S357" i="80" l="1"/>
  <c r="BY357" i="80"/>
  <c r="P357" i="80"/>
  <c r="U357" i="80" s="1"/>
  <c r="T357" i="80" l="1"/>
  <c r="V357" i="80" s="1"/>
  <c r="Y357" i="80" s="1"/>
  <c r="X357" i="80"/>
  <c r="BX357" i="80" l="1"/>
  <c r="AP357" i="80"/>
  <c r="AQ357" i="80" s="1"/>
  <c r="AD357" i="80"/>
  <c r="AC357" i="80"/>
  <c r="R357" i="80" l="1"/>
  <c r="AO357" i="80"/>
  <c r="BV358" i="80"/>
  <c r="BE357" i="80"/>
  <c r="AR357" i="80"/>
  <c r="AS357" i="80"/>
  <c r="AF357" i="80"/>
  <c r="AE357" i="80"/>
  <c r="AH357" i="80" l="1"/>
  <c r="AI357" i="80" s="1"/>
  <c r="AJ357" i="80" s="1"/>
  <c r="AG357" i="80"/>
  <c r="AX357" i="80" l="1"/>
  <c r="BD357" i="80"/>
  <c r="AK357" i="80"/>
  <c r="AL357" i="80" s="1"/>
  <c r="AT357" i="80"/>
  <c r="AM357" i="80" l="1"/>
  <c r="AV357" i="80" s="1"/>
  <c r="BW358" i="80"/>
  <c r="AN357" i="80"/>
  <c r="AW357" i="80"/>
  <c r="AY357" i="80" l="1"/>
  <c r="BA357" i="80" s="1"/>
  <c r="AZ357" i="80" l="1"/>
  <c r="BB357" i="80"/>
  <c r="BF357" i="80"/>
  <c r="BG357" i="80" l="1"/>
  <c r="BH357" i="80" s="1"/>
  <c r="BI357" i="80" l="1"/>
  <c r="BN357" i="80" l="1"/>
  <c r="Q357" i="80" s="1"/>
  <c r="BJ357" i="80"/>
  <c r="BK357" i="80" s="1"/>
  <c r="BL357" i="80" s="1"/>
  <c r="BQ357" i="80" l="1"/>
  <c r="BO357" i="80"/>
  <c r="BR357" i="80" l="1"/>
  <c r="BS357" i="80" s="1"/>
  <c r="BP357" i="80"/>
  <c r="L357" i="80"/>
  <c r="N358" i="80" s="1"/>
  <c r="K357" i="80"/>
  <c r="M358" i="80" s="1"/>
  <c r="BU358" i="80" l="1"/>
  <c r="O358" i="80"/>
  <c r="BT358" i="80"/>
  <c r="S358" i="80" l="1"/>
  <c r="BY358" i="80"/>
  <c r="P358" i="80"/>
  <c r="U358" i="80" s="1"/>
  <c r="T358" i="80" l="1"/>
  <c r="V358" i="80" s="1"/>
  <c r="Y358" i="80" s="1"/>
  <c r="X358" i="80"/>
  <c r="AP358" i="80" l="1"/>
  <c r="AQ358" i="80" s="1"/>
  <c r="BX358" i="80"/>
  <c r="AD358" i="80"/>
  <c r="AC358" i="80"/>
  <c r="R358" i="80" l="1"/>
  <c r="AO358" i="80"/>
  <c r="BE358" i="80"/>
  <c r="BV359" i="80"/>
  <c r="AF358" i="80"/>
  <c r="AE358" i="80"/>
  <c r="AR358" i="80"/>
  <c r="AS358" i="80"/>
  <c r="AH358" i="80" l="1"/>
  <c r="AI358" i="80" s="1"/>
  <c r="AJ358" i="80" s="1"/>
  <c r="AG358" i="80"/>
  <c r="AK358" i="80" l="1"/>
  <c r="AL358" i="80" s="1"/>
  <c r="AX358" i="80"/>
  <c r="BD358" i="80"/>
  <c r="AT358" i="80"/>
  <c r="AM358" i="80" l="1"/>
  <c r="AV358" i="80" s="1"/>
  <c r="BW359" i="80"/>
  <c r="AN358" i="80"/>
  <c r="AW358" i="80"/>
  <c r="AY358" i="80" l="1"/>
  <c r="BA358" i="80" s="1"/>
  <c r="AZ358" i="80" l="1"/>
  <c r="BB358" i="80"/>
  <c r="BF358" i="80"/>
  <c r="BG358" i="80" l="1"/>
  <c r="BH358" i="80" s="1"/>
  <c r="BI358" i="80" l="1"/>
  <c r="BJ358" i="80" l="1"/>
  <c r="BK358" i="80" s="1"/>
  <c r="BL358" i="80" s="1"/>
  <c r="BN358" i="80"/>
  <c r="Q358" i="80" s="1"/>
  <c r="BQ358" i="80" l="1"/>
  <c r="BO358" i="80"/>
  <c r="BR358" i="80" l="1"/>
  <c r="BS358" i="80" s="1"/>
  <c r="BP358" i="80"/>
  <c r="K358" i="80"/>
  <c r="M359" i="80" s="1"/>
  <c r="L358" i="80"/>
  <c r="N359" i="80" s="1"/>
  <c r="BU359" i="80" l="1"/>
  <c r="O359" i="80"/>
  <c r="BT359" i="80"/>
  <c r="S359" i="80" l="1"/>
  <c r="BY359" i="80"/>
  <c r="P359" i="80"/>
  <c r="U359" i="80" s="1"/>
  <c r="T359" i="80" l="1"/>
  <c r="V359" i="80" s="1"/>
  <c r="Y359" i="80" s="1"/>
  <c r="X359" i="80"/>
  <c r="AP359" i="80" l="1"/>
  <c r="AQ359" i="80" s="1"/>
  <c r="AD359" i="80"/>
  <c r="BX359" i="80"/>
  <c r="AC359" i="80"/>
  <c r="BE359" i="80" l="1"/>
  <c r="AO359" i="80"/>
  <c r="R359" i="80"/>
  <c r="BV360" i="80"/>
  <c r="AR359" i="80"/>
  <c r="AS359" i="80"/>
  <c r="AE359" i="80"/>
  <c r="AF359" i="80"/>
  <c r="AH359" i="80" l="1"/>
  <c r="AI359" i="80" s="1"/>
  <c r="AJ359" i="80" s="1"/>
  <c r="AG359" i="80"/>
  <c r="AX359" i="80" l="1"/>
  <c r="BD359" i="80"/>
  <c r="AK359" i="80"/>
  <c r="AL359" i="80" s="1"/>
  <c r="AT359" i="80"/>
  <c r="AM359" i="80" l="1"/>
  <c r="AV359" i="80" s="1"/>
  <c r="BW360" i="80"/>
  <c r="AN359" i="80"/>
  <c r="AW359" i="80"/>
  <c r="AY359" i="80" l="1"/>
  <c r="BA359" i="80" s="1"/>
  <c r="AZ359" i="80" l="1"/>
  <c r="BB359" i="80"/>
  <c r="BF359" i="80"/>
  <c r="BG359" i="80" l="1"/>
  <c r="BH359" i="80" s="1"/>
  <c r="BI359" i="80" l="1"/>
  <c r="BJ359" i="80" l="1"/>
  <c r="BK359" i="80" s="1"/>
  <c r="BL359" i="80" s="1"/>
  <c r="BN359" i="80"/>
  <c r="Q359" i="80" s="1"/>
  <c r="BQ359" i="80" l="1"/>
  <c r="BO359" i="80"/>
  <c r="BR359" i="80" l="1"/>
  <c r="BS359" i="80" s="1"/>
  <c r="BP359" i="80"/>
  <c r="L359" i="80"/>
  <c r="N360" i="80" s="1"/>
  <c r="K359" i="80"/>
  <c r="M360" i="80" s="1"/>
  <c r="O360" i="80" l="1"/>
  <c r="BT360" i="80"/>
  <c r="BU360" i="80"/>
  <c r="P360" i="80" l="1"/>
  <c r="U360" i="80" s="1"/>
  <c r="BY360" i="80"/>
  <c r="S360" i="80"/>
  <c r="T360" i="80" l="1"/>
  <c r="V360" i="80" s="1"/>
  <c r="Y360" i="80" s="1"/>
  <c r="X360" i="80"/>
  <c r="AP360" i="80" l="1"/>
  <c r="AQ360" i="80" s="1"/>
  <c r="AD360" i="80"/>
  <c r="BX360" i="80"/>
  <c r="AC360" i="80"/>
  <c r="BE360" i="80" l="1"/>
  <c r="AO360" i="80"/>
  <c r="BV361" i="80"/>
  <c r="R360" i="80"/>
  <c r="AE360" i="80"/>
  <c r="AF360" i="80"/>
  <c r="AR360" i="80"/>
  <c r="AS360" i="80"/>
  <c r="AH360" i="80" l="1"/>
  <c r="AI360" i="80" s="1"/>
  <c r="AJ360" i="80" s="1"/>
  <c r="AG360" i="80"/>
  <c r="AX360" i="80" l="1"/>
  <c r="BD360" i="80"/>
  <c r="AK360" i="80"/>
  <c r="AL360" i="80" s="1"/>
  <c r="AT360" i="80"/>
  <c r="AM360" i="80" l="1"/>
  <c r="AV360" i="80" s="1"/>
  <c r="BW361" i="80"/>
  <c r="AN360" i="80"/>
  <c r="AW360" i="80"/>
  <c r="AY360" i="80" l="1"/>
  <c r="BA360" i="80" s="1"/>
  <c r="AZ360" i="80" l="1"/>
  <c r="BB360" i="80"/>
  <c r="BF360" i="80"/>
  <c r="BG360" i="80" l="1"/>
  <c r="BH360" i="80" s="1"/>
  <c r="BI360" i="80" l="1"/>
  <c r="BJ360" i="80" l="1"/>
  <c r="BK360" i="80" s="1"/>
  <c r="BL360" i="80" s="1"/>
  <c r="BN360" i="80"/>
  <c r="Q360" i="80" s="1"/>
  <c r="BQ360" i="80" l="1"/>
  <c r="BO360" i="80"/>
  <c r="BR360" i="80" l="1"/>
  <c r="BS360" i="80" s="1"/>
  <c r="BP360" i="80"/>
  <c r="K360" i="80"/>
  <c r="M361" i="80" s="1"/>
  <c r="L360" i="80"/>
  <c r="N361" i="80" s="1"/>
  <c r="BU361" i="80" l="1"/>
  <c r="O361" i="80"/>
  <c r="BT361" i="80"/>
  <c r="S361" i="80" l="1"/>
  <c r="P361" i="80"/>
  <c r="U361" i="80" s="1"/>
  <c r="BY361" i="80"/>
  <c r="T361" i="80" l="1"/>
  <c r="V361" i="80" s="1"/>
  <c r="Y361" i="80" s="1"/>
  <c r="X361" i="80"/>
  <c r="BX361" i="80" l="1"/>
  <c r="AD361" i="80"/>
  <c r="AP361" i="80"/>
  <c r="AQ361" i="80" s="1"/>
  <c r="AC361" i="80"/>
  <c r="R361" i="80" l="1"/>
  <c r="AO361" i="80"/>
  <c r="BV362" i="80"/>
  <c r="BE361" i="80"/>
  <c r="AR361" i="80"/>
  <c r="AS361" i="80"/>
  <c r="AE361" i="80"/>
  <c r="AF361" i="80"/>
  <c r="AH361" i="80" l="1"/>
  <c r="AI361" i="80" s="1"/>
  <c r="AJ361" i="80" s="1"/>
  <c r="AG361" i="80"/>
  <c r="AK361" i="80" l="1"/>
  <c r="AL361" i="80" s="1"/>
  <c r="BD361" i="80"/>
  <c r="AX361" i="80"/>
  <c r="AT361" i="80"/>
  <c r="AM361" i="80" l="1"/>
  <c r="AV361" i="80" s="1"/>
  <c r="AN361" i="80"/>
  <c r="BW362" i="80"/>
  <c r="AW361" i="80"/>
  <c r="AY361" i="80" l="1"/>
  <c r="BA361" i="80" s="1"/>
  <c r="AZ361" i="80" l="1"/>
  <c r="BB361" i="80"/>
  <c r="BF361" i="80"/>
  <c r="BG361" i="80" l="1"/>
  <c r="BH361" i="80" s="1"/>
  <c r="BI361" i="80" l="1"/>
  <c r="BJ361" i="80" l="1"/>
  <c r="BK361" i="80" s="1"/>
  <c r="BL361" i="80" s="1"/>
  <c r="BN361" i="80"/>
  <c r="Q361" i="80" s="1"/>
  <c r="BQ361" i="80" l="1"/>
  <c r="BO361" i="80"/>
  <c r="BR361" i="80" l="1"/>
  <c r="BS361" i="80" s="1"/>
  <c r="BP361" i="80"/>
  <c r="L361" i="80"/>
  <c r="N362" i="80" s="1"/>
  <c r="K361" i="80"/>
  <c r="M362" i="80" s="1"/>
  <c r="BU362" i="80" l="1"/>
  <c r="O362" i="80"/>
  <c r="BT362" i="80"/>
  <c r="S362" i="80" l="1"/>
  <c r="BY362" i="80"/>
  <c r="P362" i="80"/>
  <c r="U362" i="80" s="1"/>
  <c r="T362" i="80" l="1"/>
  <c r="V362" i="80" s="1"/>
  <c r="Y362" i="80" s="1"/>
  <c r="X362" i="80"/>
  <c r="BX362" i="80" l="1"/>
  <c r="AD362" i="80"/>
  <c r="AP362" i="80"/>
  <c r="AQ362" i="80" s="1"/>
  <c r="AC362" i="80"/>
  <c r="R362" i="80" l="1"/>
  <c r="AO362" i="80"/>
  <c r="BV363" i="80"/>
  <c r="BE362" i="80"/>
  <c r="AS362" i="80"/>
  <c r="AR362" i="80"/>
  <c r="AF362" i="80"/>
  <c r="AE362" i="80"/>
  <c r="AH362" i="80" l="1"/>
  <c r="AI362" i="80" s="1"/>
  <c r="AJ362" i="80" s="1"/>
  <c r="AG362" i="80"/>
  <c r="BD362" i="80" l="1"/>
  <c r="AK362" i="80"/>
  <c r="AL362" i="80" s="1"/>
  <c r="AX362" i="80"/>
  <c r="AT362" i="80"/>
  <c r="AM362" i="80" l="1"/>
  <c r="AV362" i="80" s="1"/>
  <c r="BW363" i="80"/>
  <c r="AN362" i="80"/>
  <c r="AW362" i="80"/>
  <c r="AY362" i="80" l="1"/>
  <c r="BA362" i="80" s="1"/>
  <c r="AZ362" i="80" l="1"/>
  <c r="BB362" i="80"/>
  <c r="BF362" i="80"/>
  <c r="BG362" i="80" l="1"/>
  <c r="BH362" i="80" s="1"/>
  <c r="BI362" i="80" l="1"/>
  <c r="BN362" i="80" l="1"/>
  <c r="Q362" i="80" s="1"/>
  <c r="BJ362" i="80"/>
  <c r="BK362" i="80" s="1"/>
  <c r="BL362" i="80" s="1"/>
  <c r="BQ362" i="80" l="1"/>
  <c r="BO362" i="80"/>
  <c r="BR362" i="80" l="1"/>
  <c r="BS362" i="80" s="1"/>
  <c r="BP362" i="80"/>
  <c r="L362" i="80"/>
  <c r="N363" i="80" s="1"/>
  <c r="K362" i="80"/>
  <c r="M363" i="80" s="1"/>
  <c r="O363" i="80" l="1"/>
  <c r="BT363" i="80"/>
  <c r="BU363" i="80"/>
  <c r="P363" i="80" l="1"/>
  <c r="U363" i="80" s="1"/>
  <c r="S363" i="80"/>
  <c r="BY363" i="80"/>
  <c r="T363" i="80" l="1"/>
  <c r="V363" i="80" s="1"/>
  <c r="Y363" i="80" s="1"/>
  <c r="X363" i="80"/>
  <c r="AD363" i="80" l="1"/>
  <c r="BX363" i="80"/>
  <c r="AP363" i="80"/>
  <c r="AQ363" i="80" s="1"/>
  <c r="AC363" i="80"/>
  <c r="BE363" i="80" l="1"/>
  <c r="AO363" i="80"/>
  <c r="BV364" i="80"/>
  <c r="R363" i="80"/>
  <c r="AS363" i="80"/>
  <c r="AR363" i="80"/>
  <c r="AE363" i="80"/>
  <c r="AF363" i="80"/>
  <c r="AG363" i="80" l="1"/>
  <c r="AH363" i="80"/>
  <c r="AI363" i="80" s="1"/>
  <c r="AJ363" i="80" s="1"/>
  <c r="BD363" i="80" l="1"/>
  <c r="AX363" i="80"/>
  <c r="AK363" i="80"/>
  <c r="AL363" i="80" s="1"/>
  <c r="AT363" i="80"/>
  <c r="AM363" i="80" l="1"/>
  <c r="AV363" i="80" s="1"/>
  <c r="BW364" i="80"/>
  <c r="AN363" i="80"/>
  <c r="AW363" i="80"/>
  <c r="AY363" i="80" l="1"/>
  <c r="BA363" i="80" s="1"/>
  <c r="AZ363" i="80" l="1"/>
  <c r="BB363" i="80"/>
  <c r="BF363" i="80"/>
  <c r="BG363" i="80" l="1"/>
  <c r="BH363" i="80" s="1"/>
  <c r="BI363" i="80" l="1"/>
  <c r="BN363" i="80" l="1"/>
  <c r="Q363" i="80" s="1"/>
  <c r="BJ363" i="80"/>
  <c r="BK363" i="80" s="1"/>
  <c r="BL363" i="80" s="1"/>
  <c r="BQ363" i="80" l="1"/>
  <c r="BO363" i="80"/>
  <c r="BR363" i="80" l="1"/>
  <c r="BS363" i="80" s="1"/>
  <c r="BP363" i="80"/>
  <c r="K363" i="80"/>
  <c r="M364" i="80" s="1"/>
  <c r="L363" i="80"/>
  <c r="N364" i="80" s="1"/>
  <c r="BU364" i="80" l="1"/>
  <c r="O364" i="80"/>
  <c r="BT364" i="80"/>
  <c r="S364" i="80" l="1"/>
  <c r="BY364" i="80"/>
  <c r="P364" i="80"/>
  <c r="U364" i="80" s="1"/>
  <c r="T364" i="80" l="1"/>
  <c r="V364" i="80" s="1"/>
  <c r="Y364" i="80" s="1"/>
  <c r="X364" i="80"/>
  <c r="AD364" i="80" l="1"/>
  <c r="BX364" i="80"/>
  <c r="AP364" i="80"/>
  <c r="AQ364" i="80" s="1"/>
  <c r="AC364" i="80"/>
  <c r="R364" i="80" l="1"/>
  <c r="AO364" i="80"/>
  <c r="BV365" i="80"/>
  <c r="BE364" i="80"/>
  <c r="AF364" i="80"/>
  <c r="AE364" i="80"/>
  <c r="AS364" i="80"/>
  <c r="AR364" i="80"/>
  <c r="AG364" i="80" l="1"/>
  <c r="AH364" i="80"/>
  <c r="AI364" i="80" s="1"/>
  <c r="AJ364" i="80" s="1"/>
  <c r="AK364" i="80" l="1"/>
  <c r="AL364" i="80" s="1"/>
  <c r="AX364" i="80"/>
  <c r="BD364" i="80"/>
  <c r="AT364" i="80"/>
  <c r="AM364" i="80" l="1"/>
  <c r="AV364" i="80" s="1"/>
  <c r="BW365" i="80"/>
  <c r="AN364" i="80"/>
  <c r="AW364" i="80"/>
  <c r="AY364" i="80" l="1"/>
  <c r="BA364" i="80" s="1"/>
  <c r="AZ364" i="80" l="1"/>
  <c r="BB364" i="80"/>
  <c r="BF364" i="80"/>
  <c r="BG364" i="80" l="1"/>
  <c r="BH364" i="80" s="1"/>
  <c r="BI364" i="80" l="1"/>
  <c r="BJ364" i="80" l="1"/>
  <c r="BK364" i="80" s="1"/>
  <c r="BL364" i="80" s="1"/>
  <c r="BN364" i="80"/>
  <c r="Q364" i="80" s="1"/>
  <c r="BQ364" i="80" l="1"/>
  <c r="BO364" i="80"/>
  <c r="BR364" i="80" l="1"/>
  <c r="BS364" i="80" s="1"/>
  <c r="BP364" i="80"/>
  <c r="L364" i="80"/>
  <c r="N365" i="80" s="1"/>
  <c r="K364" i="80"/>
  <c r="M365" i="80" s="1"/>
  <c r="O365" i="80" l="1"/>
  <c r="BT365" i="80"/>
  <c r="BU365" i="80"/>
  <c r="P365" i="80" l="1"/>
  <c r="U365" i="80" s="1"/>
  <c r="BY365" i="80"/>
  <c r="S365" i="80"/>
  <c r="T365" i="80" l="1"/>
  <c r="V365" i="80" s="1"/>
  <c r="Y365" i="80" s="1"/>
  <c r="X365" i="80"/>
  <c r="BX365" i="80" l="1"/>
  <c r="AD365" i="80"/>
  <c r="AP365" i="80"/>
  <c r="AQ365" i="80" s="1"/>
  <c r="AC365" i="80"/>
  <c r="R365" i="80" l="1"/>
  <c r="AO365" i="80"/>
  <c r="BE365" i="80"/>
  <c r="BV366" i="80"/>
  <c r="AR365" i="80"/>
  <c r="AS365" i="80"/>
  <c r="AE365" i="80"/>
  <c r="AF365" i="80"/>
  <c r="AG365" i="80" l="1"/>
  <c r="AH365" i="80"/>
  <c r="AI365" i="80" s="1"/>
  <c r="AJ365" i="80" s="1"/>
  <c r="AX365" i="80" l="1"/>
  <c r="AK365" i="80"/>
  <c r="AL365" i="80" s="1"/>
  <c r="BD365" i="80"/>
  <c r="AT365" i="80"/>
  <c r="AM365" i="80" l="1"/>
  <c r="AV365" i="80" s="1"/>
  <c r="AN365" i="80"/>
  <c r="BW366" i="80"/>
  <c r="AW365" i="80"/>
  <c r="AY365" i="80" l="1"/>
  <c r="BA365" i="80" s="1"/>
  <c r="AZ365" i="80" l="1"/>
  <c r="BB365" i="80"/>
  <c r="BF365" i="80"/>
  <c r="BG365" i="80" l="1"/>
  <c r="BH365" i="80" s="1"/>
  <c r="BI365" i="80" l="1"/>
  <c r="BN365" i="80" l="1"/>
  <c r="Q365" i="80" s="1"/>
  <c r="BJ365" i="80"/>
  <c r="BK365" i="80" s="1"/>
  <c r="BL365" i="80" s="1"/>
  <c r="BQ365" i="80" l="1"/>
  <c r="BO365" i="80"/>
  <c r="BR365" i="80" l="1"/>
  <c r="BS365" i="80" s="1"/>
  <c r="BP365" i="80"/>
  <c r="K365" i="80"/>
  <c r="M366" i="80" s="1"/>
  <c r="L365" i="80"/>
  <c r="N366" i="80" s="1"/>
  <c r="BU366" i="80" l="1"/>
  <c r="BT366" i="80"/>
  <c r="O366" i="80"/>
  <c r="P366" i="80" l="1"/>
  <c r="U366" i="80" s="1"/>
  <c r="BY366" i="80"/>
  <c r="S366" i="80"/>
  <c r="T366" i="80" l="1"/>
  <c r="V366" i="80" s="1"/>
  <c r="Y366" i="80" s="1"/>
  <c r="X366" i="80"/>
  <c r="AP366" i="80" l="1"/>
  <c r="AQ366" i="80" s="1"/>
  <c r="BX366" i="80"/>
  <c r="AD366" i="80"/>
  <c r="AC366" i="80"/>
  <c r="BE366" i="80" l="1"/>
  <c r="AO366" i="80"/>
  <c r="R366" i="80"/>
  <c r="BV367" i="80"/>
  <c r="AR366" i="80"/>
  <c r="AS366" i="80"/>
  <c r="AF366" i="80"/>
  <c r="AE366" i="80"/>
  <c r="AG366" i="80" l="1"/>
  <c r="AH366" i="80"/>
  <c r="AI366" i="80" s="1"/>
  <c r="AJ366" i="80" s="1"/>
  <c r="AX366" i="80" l="1"/>
  <c r="BD366" i="80"/>
  <c r="AK366" i="80"/>
  <c r="AL366" i="80" s="1"/>
  <c r="AT366" i="80"/>
  <c r="AM366" i="80" l="1"/>
  <c r="AV366" i="80" s="1"/>
  <c r="AN366" i="80"/>
  <c r="BW367" i="80"/>
  <c r="AW366" i="80"/>
  <c r="AY366" i="80" l="1"/>
  <c r="BA366" i="80" s="1"/>
  <c r="AZ366" i="80" l="1"/>
  <c r="BB366" i="80"/>
  <c r="BF366" i="80"/>
  <c r="BG366" i="80" l="1"/>
  <c r="BH366" i="80" s="1"/>
  <c r="BI366" i="80" l="1"/>
  <c r="BN366" i="80" l="1"/>
  <c r="Q366" i="80" s="1"/>
  <c r="BJ366" i="80"/>
  <c r="BK366" i="80" s="1"/>
  <c r="BL366" i="80" s="1"/>
  <c r="BQ366" i="80" l="1"/>
  <c r="BO366" i="80"/>
  <c r="BR366" i="80" l="1"/>
  <c r="BS366" i="80" s="1"/>
  <c r="BP366" i="80"/>
  <c r="L366" i="80"/>
  <c r="N367" i="80" s="1"/>
  <c r="K366" i="80"/>
  <c r="M367" i="80" s="1"/>
  <c r="BU367" i="80" l="1"/>
  <c r="BT367" i="80"/>
  <c r="O367" i="80"/>
  <c r="S367" i="80" l="1"/>
  <c r="BY367" i="80"/>
  <c r="P367" i="80"/>
  <c r="U367" i="80" s="1"/>
  <c r="T367" i="80" l="1"/>
  <c r="V367" i="80" s="1"/>
  <c r="Y367" i="80" s="1"/>
  <c r="X367" i="80"/>
  <c r="AD367" i="80" l="1"/>
  <c r="BX367" i="80"/>
  <c r="AP367" i="80"/>
  <c r="AQ367" i="80" s="1"/>
  <c r="AC367" i="80"/>
  <c r="BE367" i="80" l="1"/>
  <c r="AO367" i="80"/>
  <c r="BV368" i="80"/>
  <c r="R367" i="80"/>
  <c r="AE367" i="80"/>
  <c r="AF367" i="80"/>
  <c r="AR367" i="80"/>
  <c r="AS367" i="80"/>
  <c r="AG367" i="80" l="1"/>
  <c r="AH367" i="80"/>
  <c r="AI367" i="80" s="1"/>
  <c r="AJ367" i="80" s="1"/>
  <c r="AX367" i="80" l="1"/>
  <c r="AK367" i="80"/>
  <c r="AL367" i="80" s="1"/>
  <c r="BD367" i="80"/>
  <c r="AT367" i="80"/>
  <c r="AM367" i="80" l="1"/>
  <c r="AV367" i="80" s="1"/>
  <c r="AN367" i="80"/>
  <c r="BW368" i="80"/>
  <c r="AW367" i="80"/>
  <c r="AY367" i="80" l="1"/>
  <c r="BA367" i="80" s="1"/>
  <c r="AZ367" i="80" l="1"/>
  <c r="BB367" i="80"/>
  <c r="BF367" i="80"/>
  <c r="BG367" i="80" l="1"/>
  <c r="BH367" i="80" s="1"/>
  <c r="BI367" i="80" l="1"/>
  <c r="BJ367" i="80" l="1"/>
  <c r="BK367" i="80" s="1"/>
  <c r="BL367" i="80" s="1"/>
  <c r="BN367" i="80"/>
  <c r="Q367" i="80" s="1"/>
  <c r="BQ367" i="80" l="1"/>
  <c r="BO367" i="80"/>
  <c r="BR367" i="80" l="1"/>
  <c r="BS367" i="80" s="1"/>
  <c r="BP367" i="80"/>
  <c r="L367" i="80"/>
  <c r="N368" i="80" s="1"/>
  <c r="K367" i="80"/>
  <c r="M368" i="80" s="1"/>
  <c r="O368" i="80" l="1"/>
  <c r="BT368" i="80"/>
  <c r="BU368" i="80"/>
  <c r="S368" i="80" l="1"/>
  <c r="P368" i="80"/>
  <c r="U368" i="80" s="1"/>
  <c r="BY368" i="80"/>
  <c r="T368" i="80" l="1"/>
  <c r="V368" i="80" s="1"/>
  <c r="Y368" i="80" s="1"/>
  <c r="X368" i="80"/>
  <c r="AP368" i="80" l="1"/>
  <c r="AQ368" i="80" s="1"/>
  <c r="BX368" i="80"/>
  <c r="AD368" i="80"/>
  <c r="AC368" i="80"/>
  <c r="BE368" i="80" l="1"/>
  <c r="AO368" i="80"/>
  <c r="BV369" i="80"/>
  <c r="R368" i="80"/>
  <c r="AE368" i="80"/>
  <c r="AF368" i="80"/>
  <c r="AR368" i="80"/>
  <c r="AS368" i="80"/>
  <c r="AH368" i="80" l="1"/>
  <c r="AI368" i="80" s="1"/>
  <c r="AJ368" i="80" s="1"/>
  <c r="AG368" i="80"/>
  <c r="AX368" i="80" l="1"/>
  <c r="BD368" i="80"/>
  <c r="AK368" i="80"/>
  <c r="AL368" i="80" s="1"/>
  <c r="AT368" i="80"/>
  <c r="AM368" i="80" l="1"/>
  <c r="AV368" i="80" s="1"/>
  <c r="BW369" i="80"/>
  <c r="AN368" i="80"/>
  <c r="AW368" i="80"/>
  <c r="AY368" i="80" l="1"/>
  <c r="BA368" i="80" s="1"/>
  <c r="AZ368" i="80" l="1"/>
  <c r="BB368" i="80"/>
  <c r="BF368" i="80"/>
  <c r="BG368" i="80" l="1"/>
  <c r="BH368" i="80" s="1"/>
  <c r="BI368" i="80" l="1"/>
  <c r="BN368" i="80" l="1"/>
  <c r="Q368" i="80" s="1"/>
  <c r="BJ368" i="80"/>
  <c r="BK368" i="80" s="1"/>
  <c r="BL368" i="80" s="1"/>
  <c r="BQ368" i="80" l="1"/>
  <c r="BO368" i="80"/>
  <c r="BR368" i="80" l="1"/>
  <c r="BS368" i="80" s="1"/>
  <c r="BP368" i="80"/>
  <c r="K368" i="80"/>
  <c r="M369" i="80" s="1"/>
  <c r="L368" i="80"/>
  <c r="N369" i="80" s="1"/>
  <c r="O369" i="80" l="1"/>
  <c r="BT369" i="80"/>
  <c r="BU369" i="80"/>
  <c r="S369" i="80" l="1"/>
  <c r="BY369" i="80"/>
  <c r="P369" i="80"/>
  <c r="U369" i="80" s="1"/>
  <c r="T369" i="80" l="1"/>
  <c r="V369" i="80" s="1"/>
  <c r="Y369" i="80" s="1"/>
  <c r="X369" i="80"/>
  <c r="AD369" i="80" l="1"/>
  <c r="AP369" i="80"/>
  <c r="AQ369" i="80" s="1"/>
  <c r="BX369" i="80"/>
  <c r="AC369" i="80"/>
  <c r="BE369" i="80" l="1"/>
  <c r="AO369" i="80"/>
  <c r="BV370" i="80"/>
  <c r="R369" i="80"/>
  <c r="AR369" i="80"/>
  <c r="AS369" i="80"/>
  <c r="AE369" i="80"/>
  <c r="AF369" i="80"/>
  <c r="AH369" i="80" l="1"/>
  <c r="AI369" i="80" s="1"/>
  <c r="AJ369" i="80" s="1"/>
  <c r="AG369" i="80"/>
  <c r="BD369" i="80" l="1"/>
  <c r="AX369" i="80"/>
  <c r="AK369" i="80"/>
  <c r="AL369" i="80" s="1"/>
  <c r="AT369" i="80"/>
  <c r="AM369" i="80" l="1"/>
  <c r="AV369" i="80" s="1"/>
  <c r="BW370" i="80"/>
  <c r="AN369" i="80"/>
  <c r="AW369" i="80"/>
  <c r="AY369" i="80" l="1"/>
  <c r="BA369" i="80" s="1"/>
  <c r="AZ369" i="80" l="1"/>
  <c r="BB369" i="80"/>
  <c r="BF369" i="80"/>
  <c r="BG369" i="80" l="1"/>
  <c r="BH369" i="80" s="1"/>
  <c r="BI369" i="80" l="1"/>
  <c r="BN369" i="80" l="1"/>
  <c r="Q369" i="80" s="1"/>
  <c r="BJ369" i="80"/>
  <c r="BK369" i="80" s="1"/>
  <c r="BL369" i="80" s="1"/>
  <c r="BQ369" i="80" l="1"/>
  <c r="BO369" i="80"/>
  <c r="BR369" i="80" l="1"/>
  <c r="BS369" i="80" s="1"/>
  <c r="BP369" i="80"/>
  <c r="K369" i="80"/>
  <c r="M370" i="80" s="1"/>
  <c r="L369" i="80"/>
  <c r="N370" i="80" s="1"/>
  <c r="BU370" i="80" l="1"/>
  <c r="O370" i="80"/>
  <c r="BT370" i="80"/>
  <c r="S370" i="80" l="1"/>
  <c r="BY370" i="80"/>
  <c r="P370" i="80"/>
  <c r="U370" i="80" s="1"/>
  <c r="T370" i="80" l="1"/>
  <c r="V370" i="80" s="1"/>
  <c r="Y370" i="80" s="1"/>
  <c r="X370" i="80"/>
  <c r="BX370" i="80" l="1"/>
  <c r="AD370" i="80"/>
  <c r="AP370" i="80"/>
  <c r="AQ370" i="80" s="1"/>
  <c r="AC370" i="80"/>
  <c r="R370" i="80" l="1"/>
  <c r="AO370" i="80"/>
  <c r="BV371" i="80"/>
  <c r="BE370" i="80"/>
  <c r="AF370" i="80"/>
  <c r="AE370" i="80"/>
  <c r="AS370" i="80"/>
  <c r="AR370" i="80"/>
  <c r="AG370" i="80" l="1"/>
  <c r="AH370" i="80"/>
  <c r="AI370" i="80" s="1"/>
  <c r="AJ370" i="80" s="1"/>
  <c r="BD370" i="80" l="1"/>
  <c r="AK370" i="80"/>
  <c r="AL370" i="80" s="1"/>
  <c r="AX370" i="80"/>
  <c r="AT370" i="80"/>
  <c r="AM370" i="80" l="1"/>
  <c r="AV370" i="80" s="1"/>
  <c r="AN370" i="80"/>
  <c r="BW371" i="80"/>
  <c r="AW370" i="80"/>
  <c r="AY370" i="80" l="1"/>
  <c r="BA370" i="80" s="1"/>
  <c r="AZ370" i="80" l="1"/>
  <c r="BB370" i="80"/>
  <c r="BF370" i="80"/>
  <c r="BG370" i="80" l="1"/>
  <c r="BH370" i="80" s="1"/>
  <c r="BI370" i="80" l="1"/>
  <c r="BN370" i="80" l="1"/>
  <c r="Q370" i="80" s="1"/>
  <c r="BJ370" i="80"/>
  <c r="BK370" i="80" s="1"/>
  <c r="BL370" i="80" s="1"/>
  <c r="BQ370" i="80" l="1"/>
  <c r="BO370" i="80"/>
  <c r="BR370" i="80" l="1"/>
  <c r="BS370" i="80" s="1"/>
  <c r="BP370" i="80"/>
  <c r="L370" i="80"/>
  <c r="N371" i="80" s="1"/>
  <c r="K370" i="80"/>
  <c r="M371" i="80" s="1"/>
  <c r="BU371" i="80" l="1"/>
  <c r="O371" i="80"/>
  <c r="BT371" i="80"/>
  <c r="S371" i="80" l="1"/>
  <c r="BY371" i="80"/>
  <c r="P371" i="80"/>
  <c r="U371" i="80" s="1"/>
  <c r="T371" i="80" l="1"/>
  <c r="V371" i="80" s="1"/>
  <c r="Y371" i="80" s="1"/>
  <c r="X371" i="80"/>
  <c r="AD371" i="80" l="1"/>
  <c r="AP371" i="80"/>
  <c r="AQ371" i="80" s="1"/>
  <c r="BX371" i="80"/>
  <c r="AC371" i="80"/>
  <c r="R371" i="80" l="1"/>
  <c r="AO371" i="80"/>
  <c r="BV372" i="80"/>
  <c r="BE371" i="80"/>
  <c r="AE371" i="80"/>
  <c r="AF371" i="80"/>
  <c r="AS371" i="80"/>
  <c r="AR371" i="80"/>
  <c r="AG371" i="80" l="1"/>
  <c r="AH371" i="80"/>
  <c r="AI371" i="80" s="1"/>
  <c r="AJ371" i="80" s="1"/>
  <c r="BD371" i="80" l="1"/>
  <c r="AK371" i="80"/>
  <c r="AL371" i="80" s="1"/>
  <c r="AX371" i="80"/>
  <c r="AT371" i="80"/>
  <c r="AM371" i="80" l="1"/>
  <c r="AV371" i="80" s="1"/>
  <c r="BW372" i="80"/>
  <c r="AN371" i="80"/>
  <c r="AW371" i="80"/>
  <c r="AY371" i="80" l="1"/>
  <c r="BA371" i="80" s="1"/>
  <c r="AZ371" i="80" l="1"/>
  <c r="BB371" i="80"/>
  <c r="BF371" i="80"/>
  <c r="BG371" i="80" l="1"/>
  <c r="BH371" i="80" s="1"/>
  <c r="BI371" i="80" l="1"/>
  <c r="BJ371" i="80" l="1"/>
  <c r="BK371" i="80" s="1"/>
  <c r="BL371" i="80" s="1"/>
  <c r="BN371" i="80"/>
  <c r="Q371" i="80" s="1"/>
  <c r="BQ371" i="80" l="1"/>
  <c r="BO371" i="80"/>
  <c r="BR371" i="80" l="1"/>
  <c r="BS371" i="80" s="1"/>
  <c r="BP371" i="80"/>
  <c r="K371" i="80"/>
  <c r="M372" i="80" s="1"/>
  <c r="L371" i="80"/>
  <c r="N372" i="80" s="1"/>
  <c r="O372" i="80" l="1"/>
  <c r="BT372" i="80"/>
  <c r="BU372" i="80"/>
  <c r="S372" i="80" l="1"/>
  <c r="BY372" i="80"/>
  <c r="P372" i="80"/>
  <c r="U372" i="80" s="1"/>
  <c r="T372" i="80" l="1"/>
  <c r="V372" i="80" s="1"/>
  <c r="Y372" i="80" s="1"/>
  <c r="X372" i="80"/>
  <c r="BX372" i="80" l="1"/>
  <c r="AD372" i="80"/>
  <c r="AP372" i="80"/>
  <c r="AQ372" i="80" s="1"/>
  <c r="AC372" i="80"/>
  <c r="R372" i="80" l="1"/>
  <c r="AO372" i="80"/>
  <c r="BV373" i="80"/>
  <c r="BE372" i="80"/>
  <c r="AF372" i="80"/>
  <c r="AE372" i="80"/>
  <c r="AS372" i="80"/>
  <c r="AR372" i="80"/>
  <c r="AH372" i="80" l="1"/>
  <c r="AI372" i="80" s="1"/>
  <c r="AJ372" i="80" s="1"/>
  <c r="AG372" i="80"/>
  <c r="AX372" i="80" l="1"/>
  <c r="BD372" i="80"/>
  <c r="AK372" i="80"/>
  <c r="AL372" i="80" s="1"/>
  <c r="AT372" i="80"/>
  <c r="AM372" i="80" l="1"/>
  <c r="AV372" i="80" s="1"/>
  <c r="AN372" i="80"/>
  <c r="BW373" i="80"/>
  <c r="AW372" i="80"/>
  <c r="AY372" i="80" l="1"/>
  <c r="BA372" i="80" s="1"/>
  <c r="AZ372" i="80" l="1"/>
  <c r="BB372" i="80"/>
  <c r="BF372" i="80"/>
  <c r="BG372" i="80" l="1"/>
  <c r="BH372" i="80" s="1"/>
  <c r="BI372" i="80" l="1"/>
  <c r="BN372" i="80" l="1"/>
  <c r="Q372" i="80" s="1"/>
  <c r="BJ372" i="80"/>
  <c r="BK372" i="80" s="1"/>
  <c r="BL372" i="80" s="1"/>
  <c r="BQ372" i="80" l="1"/>
  <c r="BO372" i="80"/>
  <c r="BR372" i="80" l="1"/>
  <c r="BS372" i="80" s="1"/>
  <c r="BP372" i="80"/>
  <c r="K372" i="80"/>
  <c r="M373" i="80" s="1"/>
  <c r="L372" i="80"/>
  <c r="N373" i="80" s="1"/>
  <c r="O373" i="80" l="1"/>
  <c r="BT373" i="80"/>
  <c r="BU373" i="80"/>
  <c r="BY373" i="80" l="1"/>
  <c r="P373" i="80"/>
  <c r="U373" i="80" s="1"/>
  <c r="S373" i="80"/>
  <c r="T373" i="80" l="1"/>
  <c r="V373" i="80" s="1"/>
  <c r="Y373" i="80" s="1"/>
  <c r="X373" i="80"/>
  <c r="BX373" i="80" l="1"/>
  <c r="AP373" i="80"/>
  <c r="AQ373" i="80" s="1"/>
  <c r="AD373" i="80"/>
  <c r="AC373" i="80"/>
  <c r="BE373" i="80" l="1"/>
  <c r="AO373" i="80"/>
  <c r="BV374" i="80"/>
  <c r="R373" i="80"/>
  <c r="AF373" i="80"/>
  <c r="AE373" i="80"/>
  <c r="AR373" i="80"/>
  <c r="AS373" i="80"/>
  <c r="AH373" i="80" l="1"/>
  <c r="AI373" i="80" s="1"/>
  <c r="AJ373" i="80" s="1"/>
  <c r="AG373" i="80"/>
  <c r="BD373" i="80" l="1"/>
  <c r="AX373" i="80"/>
  <c r="AK373" i="80"/>
  <c r="AL373" i="80" s="1"/>
  <c r="AT373" i="80"/>
  <c r="AM373" i="80" l="1"/>
  <c r="AV373" i="80" s="1"/>
  <c r="BW374" i="80"/>
  <c r="AN373" i="80"/>
  <c r="AW373" i="80"/>
  <c r="AY373" i="80" l="1"/>
  <c r="BA373" i="80" s="1"/>
  <c r="AZ373" i="80" l="1"/>
  <c r="BB373" i="80"/>
  <c r="BF373" i="80"/>
  <c r="BG373" i="80" l="1"/>
  <c r="BH373" i="80" s="1"/>
  <c r="BI373" i="80" l="1"/>
  <c r="BJ373" i="80" l="1"/>
  <c r="BK373" i="80" s="1"/>
  <c r="BL373" i="80" s="1"/>
  <c r="BN373" i="80"/>
  <c r="Q373" i="80" s="1"/>
  <c r="BQ373" i="80" l="1"/>
  <c r="BO373" i="80"/>
  <c r="BR373" i="80" l="1"/>
  <c r="BS373" i="80" s="1"/>
  <c r="BP373" i="80"/>
  <c r="K373" i="80"/>
  <c r="M374" i="80" s="1"/>
  <c r="L373" i="80"/>
  <c r="N374" i="80" s="1"/>
  <c r="O374" i="80" l="1"/>
  <c r="BT374" i="80"/>
  <c r="BU374" i="80"/>
  <c r="BY374" i="80" l="1"/>
  <c r="S374" i="80"/>
  <c r="P374" i="80"/>
  <c r="U374" i="80" s="1"/>
  <c r="T374" i="80" l="1"/>
  <c r="V374" i="80" s="1"/>
  <c r="Y374" i="80" s="1"/>
  <c r="X374" i="80"/>
  <c r="AD374" i="80" l="1"/>
  <c r="AP374" i="80"/>
  <c r="AQ374" i="80" s="1"/>
  <c r="BX374" i="80"/>
  <c r="AC374" i="80"/>
  <c r="BE374" i="80" l="1"/>
  <c r="AO374" i="80"/>
  <c r="BV375" i="80"/>
  <c r="R374" i="80"/>
  <c r="AF374" i="80"/>
  <c r="AE374" i="80"/>
  <c r="AR374" i="80"/>
  <c r="AS374" i="80"/>
  <c r="AH374" i="80" l="1"/>
  <c r="AI374" i="80" s="1"/>
  <c r="AJ374" i="80" s="1"/>
  <c r="AG374" i="80"/>
  <c r="BD374" i="80" l="1"/>
  <c r="AX374" i="80"/>
  <c r="AK374" i="80"/>
  <c r="AL374" i="80" s="1"/>
  <c r="AT374" i="80"/>
  <c r="AM374" i="80" l="1"/>
  <c r="AV374" i="80" s="1"/>
  <c r="BW375" i="80"/>
  <c r="AN374" i="80"/>
  <c r="AW374" i="80"/>
  <c r="AY374" i="80" l="1"/>
  <c r="BA374" i="80" s="1"/>
  <c r="AZ374" i="80" l="1"/>
  <c r="BB374" i="80"/>
  <c r="BF374" i="80"/>
  <c r="BG374" i="80" l="1"/>
  <c r="BH374" i="80" s="1"/>
  <c r="BI374" i="80" l="1"/>
  <c r="BJ374" i="80" l="1"/>
  <c r="BK374" i="80" s="1"/>
  <c r="BL374" i="80" s="1"/>
  <c r="BN374" i="80"/>
  <c r="Q374" i="80" s="1"/>
  <c r="BQ374" i="80" l="1"/>
  <c r="BO374" i="80"/>
  <c r="BR374" i="80" l="1"/>
  <c r="BS374" i="80" s="1"/>
  <c r="BP374" i="80"/>
  <c r="K374" i="80"/>
  <c r="M375" i="80" s="1"/>
  <c r="L374" i="80"/>
  <c r="N375" i="80" s="1"/>
  <c r="BU375" i="80" l="1"/>
  <c r="O375" i="80"/>
  <c r="BT375" i="80"/>
  <c r="P375" i="80" l="1"/>
  <c r="U375" i="80" s="1"/>
  <c r="S375" i="80"/>
  <c r="BY375" i="80"/>
  <c r="T375" i="80" l="1"/>
  <c r="V375" i="80" s="1"/>
  <c r="Y375" i="80" s="1"/>
  <c r="X375" i="80"/>
  <c r="AD375" i="80" l="1"/>
  <c r="AP375" i="80"/>
  <c r="AQ375" i="80" s="1"/>
  <c r="BX375" i="80"/>
  <c r="AC375" i="80"/>
  <c r="R375" i="80" l="1"/>
  <c r="AO375" i="80"/>
  <c r="BV376" i="80"/>
  <c r="BE375" i="80"/>
  <c r="AR375" i="80"/>
  <c r="AS375" i="80"/>
  <c r="AF375" i="80"/>
  <c r="AE375" i="80"/>
  <c r="AH375" i="80" l="1"/>
  <c r="AI375" i="80" s="1"/>
  <c r="AJ375" i="80" s="1"/>
  <c r="AG375" i="80"/>
  <c r="AX375" i="80" l="1"/>
  <c r="AK375" i="80"/>
  <c r="AL375" i="80" s="1"/>
  <c r="BD375" i="80"/>
  <c r="AT375" i="80"/>
  <c r="AM375" i="80" l="1"/>
  <c r="AV375" i="80" s="1"/>
  <c r="AN375" i="80"/>
  <c r="BW376" i="80"/>
  <c r="AW375" i="80"/>
  <c r="AY375" i="80" l="1"/>
  <c r="BA375" i="80" s="1"/>
  <c r="AZ375" i="80" l="1"/>
  <c r="BB375" i="80"/>
  <c r="BF375" i="80"/>
  <c r="BG375" i="80" l="1"/>
  <c r="BH375" i="80" s="1"/>
  <c r="BI375" i="80" l="1"/>
  <c r="BJ375" i="80" l="1"/>
  <c r="BK375" i="80" s="1"/>
  <c r="BL375" i="80" s="1"/>
  <c r="BN375" i="80"/>
  <c r="Q375" i="80" s="1"/>
  <c r="BQ375" i="80" l="1"/>
  <c r="BO375" i="80"/>
  <c r="BR375" i="80" l="1"/>
  <c r="BS375" i="80" s="1"/>
  <c r="BP375" i="80"/>
  <c r="L375" i="80"/>
  <c r="N376" i="80" s="1"/>
  <c r="K375" i="80"/>
  <c r="M376" i="80" s="1"/>
  <c r="O376" i="80" l="1"/>
  <c r="BT376" i="80"/>
  <c r="BU376" i="80"/>
  <c r="P376" i="80" l="1"/>
  <c r="U376" i="80" s="1"/>
  <c r="S376" i="80"/>
  <c r="BY376" i="80"/>
  <c r="T376" i="80" l="1"/>
  <c r="V376" i="80" s="1"/>
  <c r="Y376" i="80" s="1"/>
  <c r="X376" i="80"/>
  <c r="AD376" i="80" l="1"/>
  <c r="AP376" i="80"/>
  <c r="AQ376" i="80" s="1"/>
  <c r="BX376" i="80"/>
  <c r="AC376" i="80"/>
  <c r="R376" i="80" l="1"/>
  <c r="AO376" i="80"/>
  <c r="BV377" i="80"/>
  <c r="BE376" i="80"/>
  <c r="AF376" i="80"/>
  <c r="AE376" i="80"/>
  <c r="AR376" i="80"/>
  <c r="AS376" i="80"/>
  <c r="AH376" i="80" l="1"/>
  <c r="AI376" i="80" s="1"/>
  <c r="AJ376" i="80" s="1"/>
  <c r="AG376" i="80"/>
  <c r="AX376" i="80" l="1"/>
  <c r="AK376" i="80"/>
  <c r="AL376" i="80" s="1"/>
  <c r="BD376" i="80"/>
  <c r="AT376" i="80"/>
  <c r="AM376" i="80" l="1"/>
  <c r="AV376" i="80" s="1"/>
  <c r="AN376" i="80"/>
  <c r="BW377" i="80"/>
  <c r="AW376" i="80"/>
  <c r="AY376" i="80" l="1"/>
  <c r="BA376" i="80" s="1"/>
  <c r="AZ376" i="80" l="1"/>
  <c r="BB376" i="80"/>
  <c r="BF376" i="80"/>
  <c r="BG376" i="80" l="1"/>
  <c r="BH376" i="80" s="1"/>
  <c r="BI376" i="80" l="1"/>
  <c r="BN376" i="80" l="1"/>
  <c r="Q376" i="80" s="1"/>
  <c r="BJ376" i="80"/>
  <c r="BK376" i="80" s="1"/>
  <c r="BL376" i="80" s="1"/>
  <c r="BQ376" i="80" l="1"/>
  <c r="BO376" i="80"/>
  <c r="BR376" i="80" l="1"/>
  <c r="BS376" i="80" s="1"/>
  <c r="BP376" i="80"/>
  <c r="K376" i="80"/>
  <c r="M377" i="80" s="1"/>
  <c r="L376" i="80"/>
  <c r="N377" i="80" s="1"/>
  <c r="BU377" i="80" l="1"/>
  <c r="O377" i="80"/>
  <c r="BT377" i="80"/>
  <c r="BY377" i="80" l="1"/>
  <c r="S377" i="80"/>
  <c r="P377" i="80"/>
  <c r="U377" i="80" s="1"/>
  <c r="T377" i="80" l="1"/>
  <c r="V377" i="80" s="1"/>
  <c r="Y377" i="80" s="1"/>
  <c r="X377" i="80"/>
  <c r="BX377" i="80" l="1"/>
  <c r="AP377" i="80"/>
  <c r="AQ377" i="80" s="1"/>
  <c r="AD377" i="80"/>
  <c r="AC377" i="80"/>
  <c r="R377" i="80" l="1"/>
  <c r="BV378" i="80"/>
  <c r="AO377" i="80"/>
  <c r="BE377" i="80"/>
  <c r="AR377" i="80"/>
  <c r="AS377" i="80"/>
  <c r="AE377" i="80"/>
  <c r="AF377" i="80"/>
  <c r="AH377" i="80" l="1"/>
  <c r="AI377" i="80" s="1"/>
  <c r="AJ377" i="80" s="1"/>
  <c r="AG377" i="80"/>
  <c r="AK377" i="80" l="1"/>
  <c r="AL377" i="80" s="1"/>
  <c r="BD377" i="80"/>
  <c r="AX377" i="80"/>
  <c r="AT377" i="80"/>
  <c r="AM377" i="80" l="1"/>
  <c r="AV377" i="80" s="1"/>
  <c r="AN377" i="80"/>
  <c r="BW378" i="80"/>
  <c r="AW377" i="80"/>
  <c r="AY377" i="80" l="1"/>
  <c r="BA377" i="80" s="1"/>
  <c r="AZ377" i="80" l="1"/>
  <c r="BB377" i="80"/>
  <c r="BF377" i="80"/>
  <c r="BG377" i="80" l="1"/>
  <c r="BH377" i="80" s="1"/>
  <c r="BI377" i="80" l="1"/>
  <c r="BJ377" i="80" l="1"/>
  <c r="BK377" i="80" s="1"/>
  <c r="BL377" i="80" s="1"/>
  <c r="BN377" i="80"/>
  <c r="Q377" i="80" s="1"/>
  <c r="BQ377" i="80" l="1"/>
  <c r="BO377" i="80"/>
  <c r="BR377" i="80" l="1"/>
  <c r="BS377" i="80" s="1"/>
  <c r="BP377" i="80"/>
  <c r="L377" i="80"/>
  <c r="N378" i="80" s="1"/>
  <c r="K377" i="80"/>
  <c r="M378" i="80" s="1"/>
  <c r="O378" i="80" l="1"/>
  <c r="BT378" i="80"/>
  <c r="BU378" i="80"/>
  <c r="BY378" i="80" l="1"/>
  <c r="S378" i="80"/>
  <c r="P378" i="80"/>
  <c r="U378" i="80" s="1"/>
  <c r="T378" i="80" l="1"/>
  <c r="V378" i="80" s="1"/>
  <c r="Y378" i="80" s="1"/>
  <c r="X378" i="80"/>
  <c r="AP378" i="80" l="1"/>
  <c r="AQ378" i="80" s="1"/>
  <c r="BX378" i="80"/>
  <c r="AD378" i="80"/>
  <c r="AC378" i="80"/>
  <c r="BE378" i="80" l="1"/>
  <c r="AO378" i="80"/>
  <c r="BV379" i="80"/>
  <c r="R378" i="80"/>
  <c r="AE378" i="80"/>
  <c r="AF378" i="80"/>
  <c r="AR378" i="80"/>
  <c r="AS378" i="80"/>
  <c r="AH378" i="80" l="1"/>
  <c r="AI378" i="80" s="1"/>
  <c r="AJ378" i="80" s="1"/>
  <c r="AG378" i="80"/>
  <c r="AK378" i="80" l="1"/>
  <c r="AL378" i="80" s="1"/>
  <c r="AX378" i="80"/>
  <c r="BD378" i="80"/>
  <c r="AT378" i="80"/>
  <c r="AM378" i="80" l="1"/>
  <c r="AV378" i="80" s="1"/>
  <c r="AN378" i="80"/>
  <c r="BW379" i="80"/>
  <c r="AW378" i="80"/>
  <c r="AY378" i="80" l="1"/>
  <c r="BA378" i="80" s="1"/>
  <c r="AZ378" i="80" l="1"/>
  <c r="BB378" i="80"/>
  <c r="BF378" i="80"/>
  <c r="BG378" i="80" l="1"/>
  <c r="BH378" i="80" s="1"/>
  <c r="BI378" i="80" l="1"/>
  <c r="BJ378" i="80" l="1"/>
  <c r="BK378" i="80" s="1"/>
  <c r="BL378" i="80" s="1"/>
  <c r="BN378" i="80"/>
  <c r="Q378" i="80" s="1"/>
  <c r="BQ378" i="80" l="1"/>
  <c r="BO378" i="80"/>
  <c r="BR378" i="80" l="1"/>
  <c r="BS378" i="80" s="1"/>
  <c r="BP378" i="80"/>
  <c r="K378" i="80"/>
  <c r="M379" i="80" s="1"/>
  <c r="L378" i="80"/>
  <c r="N379" i="80" s="1"/>
  <c r="BU379" i="80" l="1"/>
  <c r="O379" i="80"/>
  <c r="BT379" i="80"/>
  <c r="S379" i="80" l="1"/>
  <c r="BY379" i="80"/>
  <c r="P379" i="80"/>
  <c r="U379" i="80" s="1"/>
  <c r="T379" i="80" l="1"/>
  <c r="V379" i="80" s="1"/>
  <c r="Y379" i="80" s="1"/>
  <c r="X379" i="80"/>
  <c r="AP379" i="80" l="1"/>
  <c r="AQ379" i="80" s="1"/>
  <c r="AD379" i="80"/>
  <c r="BX379" i="80"/>
  <c r="AC379" i="80"/>
  <c r="R379" i="80" l="1"/>
  <c r="AO379" i="80"/>
  <c r="BV380" i="80"/>
  <c r="BE379" i="80"/>
  <c r="AF379" i="80"/>
  <c r="AE379" i="80"/>
  <c r="AR379" i="80"/>
  <c r="AS379" i="80"/>
  <c r="AH379" i="80" l="1"/>
  <c r="AI379" i="80" s="1"/>
  <c r="AJ379" i="80" s="1"/>
  <c r="AG379" i="80"/>
  <c r="AX379" i="80" l="1"/>
  <c r="BD379" i="80"/>
  <c r="AK379" i="80"/>
  <c r="AL379" i="80" s="1"/>
  <c r="AT379" i="80"/>
  <c r="AM379" i="80" l="1"/>
  <c r="AV379" i="80" s="1"/>
  <c r="AN379" i="80"/>
  <c r="BW380" i="80"/>
  <c r="AW379" i="80"/>
  <c r="AY379" i="80" l="1"/>
  <c r="BA379" i="80" s="1"/>
  <c r="AZ379" i="80" l="1"/>
  <c r="BB379" i="80"/>
  <c r="BF379" i="80"/>
  <c r="BG379" i="80" l="1"/>
  <c r="BH379" i="80" s="1"/>
  <c r="BI379" i="80" l="1"/>
  <c r="BN379" i="80" l="1"/>
  <c r="Q379" i="80" s="1"/>
  <c r="BJ379" i="80"/>
  <c r="BK379" i="80" s="1"/>
  <c r="BL379" i="80" s="1"/>
  <c r="BQ379" i="80" l="1"/>
  <c r="BO379" i="80"/>
  <c r="BR379" i="80" l="1"/>
  <c r="BS379" i="80" s="1"/>
  <c r="BP379" i="80"/>
  <c r="L379" i="80"/>
  <c r="N380" i="80" s="1"/>
  <c r="K379" i="80"/>
  <c r="M380" i="80" s="1"/>
  <c r="BU380" i="80" l="1"/>
  <c r="O380" i="80"/>
  <c r="BT380" i="80"/>
  <c r="S380" i="80" l="1"/>
  <c r="P380" i="80"/>
  <c r="U380" i="80" s="1"/>
  <c r="BY380" i="80"/>
  <c r="T380" i="80" l="1"/>
  <c r="V380" i="80" s="1"/>
  <c r="Y380" i="80" s="1"/>
  <c r="X380" i="80"/>
  <c r="AP380" i="80" l="1"/>
  <c r="AQ380" i="80" s="1"/>
  <c r="AD380" i="80"/>
  <c r="BX380" i="80"/>
  <c r="AC380" i="80"/>
  <c r="BE380" i="80" l="1"/>
  <c r="AO380" i="80"/>
  <c r="BV381" i="80"/>
  <c r="R380" i="80"/>
  <c r="AF380" i="80"/>
  <c r="AE380" i="80"/>
  <c r="AR380" i="80"/>
  <c r="AS380" i="80"/>
  <c r="AH380" i="80" l="1"/>
  <c r="AI380" i="80" s="1"/>
  <c r="AJ380" i="80" s="1"/>
  <c r="AG380" i="80"/>
  <c r="AK380" i="80" l="1"/>
  <c r="AL380" i="80" s="1"/>
  <c r="AX380" i="80"/>
  <c r="BD380" i="80"/>
  <c r="AT380" i="80"/>
  <c r="AM380" i="80" l="1"/>
  <c r="AV380" i="80" s="1"/>
  <c r="BW381" i="80"/>
  <c r="AN380" i="80"/>
  <c r="AW380" i="80"/>
  <c r="AY380" i="80" l="1"/>
  <c r="BA380" i="80" s="1"/>
  <c r="AZ380" i="80" l="1"/>
  <c r="BB380" i="80"/>
  <c r="BF380" i="80"/>
  <c r="BG380" i="80" l="1"/>
  <c r="BH380" i="80" s="1"/>
  <c r="BI380" i="80" l="1"/>
  <c r="BN380" i="80" l="1"/>
  <c r="Q380" i="80" s="1"/>
  <c r="BJ380" i="80"/>
  <c r="BK380" i="80" s="1"/>
  <c r="BL380" i="80" s="1"/>
  <c r="BQ380" i="80" l="1"/>
  <c r="BO380" i="80"/>
  <c r="BR380" i="80" l="1"/>
  <c r="BS380" i="80" s="1"/>
  <c r="BP380" i="80"/>
  <c r="L380" i="80"/>
  <c r="N381" i="80" s="1"/>
  <c r="K380" i="80"/>
  <c r="M381" i="80" s="1"/>
  <c r="O381" i="80" l="1"/>
  <c r="BT381" i="80"/>
  <c r="BU381" i="80"/>
  <c r="S381" i="80" l="1"/>
  <c r="P381" i="80"/>
  <c r="U381" i="80" s="1"/>
  <c r="BY381" i="80"/>
  <c r="T381" i="80" l="1"/>
  <c r="V381" i="80" s="1"/>
  <c r="Y381" i="80" s="1"/>
  <c r="X381" i="80"/>
  <c r="AD381" i="80" l="1"/>
  <c r="BX381" i="80"/>
  <c r="AP381" i="80"/>
  <c r="AQ381" i="80" s="1"/>
  <c r="AC381" i="80"/>
  <c r="BE381" i="80" l="1"/>
  <c r="AO381" i="80"/>
  <c r="BV382" i="80"/>
  <c r="R381" i="80"/>
  <c r="AR381" i="80"/>
  <c r="AS381" i="80"/>
  <c r="AF381" i="80"/>
  <c r="AE381" i="80"/>
  <c r="AH381" i="80" l="1"/>
  <c r="AI381" i="80" s="1"/>
  <c r="AJ381" i="80" s="1"/>
  <c r="AG381" i="80"/>
  <c r="AX381" i="80" l="1"/>
  <c r="AK381" i="80"/>
  <c r="AL381" i="80" s="1"/>
  <c r="BD381" i="80"/>
  <c r="AT381" i="80"/>
  <c r="AM381" i="80" l="1"/>
  <c r="AV381" i="80" s="1"/>
  <c r="BW382" i="80"/>
  <c r="AN381" i="80"/>
  <c r="AW381" i="80"/>
  <c r="AY381" i="80" l="1"/>
  <c r="BA381" i="80" s="1"/>
  <c r="AZ381" i="80" l="1"/>
  <c r="BB381" i="80"/>
  <c r="BF381" i="80"/>
  <c r="BG381" i="80" l="1"/>
  <c r="BH381" i="80" s="1"/>
  <c r="BI381" i="80" l="1"/>
  <c r="BJ381" i="80" l="1"/>
  <c r="BK381" i="80" s="1"/>
  <c r="BL381" i="80" s="1"/>
  <c r="BN381" i="80"/>
  <c r="Q381" i="80" s="1"/>
  <c r="BQ381" i="80" l="1"/>
  <c r="BO381" i="80"/>
  <c r="BR381" i="80" l="1"/>
  <c r="BS381" i="80" s="1"/>
  <c r="BP381" i="80"/>
  <c r="K381" i="80"/>
  <c r="M382" i="80" s="1"/>
  <c r="L381" i="80"/>
  <c r="N382" i="80" s="1"/>
  <c r="BU382" i="80" l="1"/>
  <c r="O382" i="80"/>
  <c r="BT382" i="80"/>
  <c r="S382" i="80" l="1"/>
  <c r="BY382" i="80"/>
  <c r="P382" i="80"/>
  <c r="U382" i="80" s="1"/>
  <c r="T382" i="80" l="1"/>
  <c r="V382" i="80" s="1"/>
  <c r="Y382" i="80" s="1"/>
  <c r="X382" i="80"/>
  <c r="AD382" i="80" l="1"/>
  <c r="AP382" i="80"/>
  <c r="AQ382" i="80" s="1"/>
  <c r="BX382" i="80"/>
  <c r="AC382" i="80"/>
  <c r="BE382" i="80" l="1"/>
  <c r="AO382" i="80"/>
  <c r="BV383" i="80"/>
  <c r="R382" i="80"/>
  <c r="AR382" i="80"/>
  <c r="AS382" i="80"/>
  <c r="AE382" i="80"/>
  <c r="AF382" i="80"/>
  <c r="AG382" i="80" l="1"/>
  <c r="AH382" i="80"/>
  <c r="AI382" i="80" s="1"/>
  <c r="AJ382" i="80" s="1"/>
  <c r="AK382" i="80" l="1"/>
  <c r="AL382" i="80" s="1"/>
  <c r="BD382" i="80"/>
  <c r="AX382" i="80"/>
  <c r="AT382" i="80"/>
  <c r="AM382" i="80" l="1"/>
  <c r="AV382" i="80" s="1"/>
  <c r="AN382" i="80"/>
  <c r="BW383" i="80"/>
  <c r="AW382" i="80"/>
  <c r="AY382" i="80" l="1"/>
  <c r="BA382" i="80" s="1"/>
  <c r="AZ382" i="80" l="1"/>
  <c r="BB382" i="80"/>
  <c r="BF382" i="80"/>
  <c r="BG382" i="80" l="1"/>
  <c r="BH382" i="80" s="1"/>
  <c r="BI382" i="80" l="1"/>
  <c r="BJ382" i="80" l="1"/>
  <c r="BK382" i="80" s="1"/>
  <c r="BL382" i="80" s="1"/>
  <c r="BN382" i="80"/>
  <c r="Q382" i="80" s="1"/>
  <c r="BQ382" i="80" l="1"/>
  <c r="BO382" i="80"/>
  <c r="BR382" i="80" l="1"/>
  <c r="BS382" i="80" s="1"/>
  <c r="BP382" i="80"/>
  <c r="L382" i="80"/>
  <c r="N383" i="80" s="1"/>
  <c r="K382" i="80"/>
  <c r="M383" i="80" s="1"/>
  <c r="O383" i="80" l="1"/>
  <c r="BT383" i="80"/>
  <c r="BU383" i="80"/>
  <c r="P383" i="80" l="1"/>
  <c r="U383" i="80" s="1"/>
  <c r="BY383" i="80"/>
  <c r="S383" i="80"/>
  <c r="T383" i="80" l="1"/>
  <c r="V383" i="80" s="1"/>
  <c r="Y383" i="80" s="1"/>
  <c r="X383" i="80"/>
  <c r="AP383" i="80" l="1"/>
  <c r="AQ383" i="80" s="1"/>
  <c r="AD383" i="80"/>
  <c r="BX383" i="80"/>
  <c r="AC383" i="80"/>
  <c r="BE383" i="80" l="1"/>
  <c r="AO383" i="80"/>
  <c r="BV384" i="80"/>
  <c r="R383" i="80"/>
  <c r="AE383" i="80"/>
  <c r="AF383" i="80"/>
  <c r="AR383" i="80"/>
  <c r="AS383" i="80"/>
  <c r="AH383" i="80" l="1"/>
  <c r="AI383" i="80" s="1"/>
  <c r="AJ383" i="80" s="1"/>
  <c r="AG383" i="80"/>
  <c r="BD383" i="80" l="1"/>
  <c r="AX383" i="80"/>
  <c r="AK383" i="80"/>
  <c r="AL383" i="80" s="1"/>
  <c r="AT383" i="80"/>
  <c r="AM383" i="80" l="1"/>
  <c r="AV383" i="80" s="1"/>
  <c r="AN383" i="80"/>
  <c r="BW384" i="80"/>
  <c r="AW383" i="80"/>
  <c r="AY383" i="80" l="1"/>
  <c r="BA383" i="80" s="1"/>
  <c r="AZ383" i="80" l="1"/>
  <c r="BB383" i="80"/>
  <c r="BF383" i="80"/>
  <c r="BG383" i="80" l="1"/>
  <c r="BH383" i="80" s="1"/>
  <c r="BI383" i="80" l="1"/>
  <c r="BN383" i="80" l="1"/>
  <c r="Q383" i="80" s="1"/>
  <c r="BJ383" i="80"/>
  <c r="BK383" i="80" s="1"/>
  <c r="BL383" i="80" s="1"/>
  <c r="BQ383" i="80" l="1"/>
  <c r="BO383" i="80"/>
  <c r="BR383" i="80" l="1"/>
  <c r="BS383" i="80" s="1"/>
  <c r="BP383" i="80"/>
  <c r="K383" i="80"/>
  <c r="M384" i="80" s="1"/>
  <c r="L383" i="80"/>
  <c r="N384" i="80" s="1"/>
  <c r="BU384" i="80" l="1"/>
  <c r="O384" i="80"/>
  <c r="BT384" i="80"/>
  <c r="S384" i="80" l="1"/>
  <c r="BY384" i="80"/>
  <c r="P384" i="80"/>
  <c r="U384" i="80" s="1"/>
  <c r="T384" i="80" l="1"/>
  <c r="V384" i="80" s="1"/>
  <c r="Y384" i="80" s="1"/>
  <c r="X384" i="80"/>
  <c r="AD384" i="80" l="1"/>
  <c r="BX384" i="80"/>
  <c r="AP384" i="80"/>
  <c r="AQ384" i="80" s="1"/>
  <c r="AC384" i="80"/>
  <c r="BE384" i="80" l="1"/>
  <c r="AO384" i="80"/>
  <c r="BV385" i="80"/>
  <c r="R384" i="80"/>
  <c r="AR384" i="80"/>
  <c r="AS384" i="80"/>
  <c r="AF384" i="80"/>
  <c r="AE384" i="80"/>
  <c r="AG384" i="80" l="1"/>
  <c r="AH384" i="80"/>
  <c r="AI384" i="80" s="1"/>
  <c r="AJ384" i="80" s="1"/>
  <c r="AK384" i="80" l="1"/>
  <c r="AL384" i="80" s="1"/>
  <c r="BD384" i="80"/>
  <c r="AX384" i="80"/>
  <c r="AT384" i="80"/>
  <c r="AM384" i="80" l="1"/>
  <c r="AV384" i="80" s="1"/>
  <c r="AN384" i="80"/>
  <c r="BW385" i="80"/>
  <c r="AW384" i="80"/>
  <c r="AY384" i="80" l="1"/>
  <c r="BA384" i="80" s="1"/>
  <c r="AZ384" i="80" l="1"/>
  <c r="BB384" i="80"/>
  <c r="BF384" i="80"/>
  <c r="BG384" i="80" l="1"/>
  <c r="BH384" i="80" s="1"/>
  <c r="BI384" i="80" l="1"/>
  <c r="BJ384" i="80" l="1"/>
  <c r="BK384" i="80" s="1"/>
  <c r="BL384" i="80" s="1"/>
  <c r="BN384" i="80"/>
  <c r="Q384" i="80" s="1"/>
  <c r="BQ384" i="80" l="1"/>
  <c r="BO384" i="80"/>
  <c r="BR384" i="80" l="1"/>
  <c r="BS384" i="80" s="1"/>
  <c r="BP384" i="80"/>
  <c r="L384" i="80"/>
  <c r="N385" i="80" s="1"/>
  <c r="K384" i="80"/>
  <c r="M385" i="80" s="1"/>
  <c r="O385" i="80" l="1"/>
  <c r="BT385" i="80"/>
  <c r="BU385" i="80"/>
  <c r="S385" i="80" l="1"/>
  <c r="BY385" i="80"/>
  <c r="P385" i="80"/>
  <c r="U385" i="80" s="1"/>
  <c r="T385" i="80" l="1"/>
  <c r="V385" i="80" s="1"/>
  <c r="Y385" i="80" s="1"/>
  <c r="X385" i="80"/>
  <c r="AD385" i="80" l="1"/>
  <c r="BX385" i="80"/>
  <c r="AP385" i="80"/>
  <c r="AQ385" i="80" s="1"/>
  <c r="AC385" i="80"/>
  <c r="BE385" i="80" l="1"/>
  <c r="AO385" i="80"/>
  <c r="BV386" i="80"/>
  <c r="R385" i="80"/>
  <c r="AF385" i="80"/>
  <c r="AE385" i="80"/>
  <c r="AR385" i="80"/>
  <c r="AS385" i="80"/>
  <c r="AH385" i="80" l="1"/>
  <c r="AI385" i="80" s="1"/>
  <c r="AJ385" i="80" s="1"/>
  <c r="AG385" i="80"/>
  <c r="AK385" i="80" l="1"/>
  <c r="AL385" i="80" s="1"/>
  <c r="BD385" i="80"/>
  <c r="AX385" i="80"/>
  <c r="AT385" i="80"/>
  <c r="AM385" i="80" l="1"/>
  <c r="AV385" i="80" s="1"/>
  <c r="BW386" i="80"/>
  <c r="AN385" i="80"/>
  <c r="AW385" i="80"/>
  <c r="AY385" i="80" l="1"/>
  <c r="BA385" i="80" s="1"/>
  <c r="AZ385" i="80" l="1"/>
  <c r="BB385" i="80"/>
  <c r="BF385" i="80"/>
  <c r="BG385" i="80" l="1"/>
  <c r="BH385" i="80" s="1"/>
  <c r="BI385" i="80" l="1"/>
  <c r="BN385" i="80" l="1"/>
  <c r="Q385" i="80" s="1"/>
  <c r="BJ385" i="80"/>
  <c r="BK385" i="80" s="1"/>
  <c r="BL385" i="80" s="1"/>
  <c r="BQ385" i="80" l="1"/>
  <c r="BO385" i="80"/>
  <c r="BR385" i="80" l="1"/>
  <c r="BS385" i="80" s="1"/>
  <c r="BP385" i="80"/>
  <c r="K385" i="80"/>
  <c r="M386" i="80" s="1"/>
  <c r="L385" i="80"/>
  <c r="N386" i="80" s="1"/>
  <c r="BU386" i="80" l="1"/>
  <c r="O386" i="80"/>
  <c r="BT386" i="80"/>
  <c r="S386" i="80" l="1"/>
  <c r="BY386" i="80"/>
  <c r="P386" i="80"/>
  <c r="U386" i="80" s="1"/>
  <c r="T386" i="80" l="1"/>
  <c r="V386" i="80" s="1"/>
  <c r="Y386" i="80" s="1"/>
  <c r="X386" i="80"/>
  <c r="BX386" i="80" l="1"/>
  <c r="AP386" i="80"/>
  <c r="AQ386" i="80" s="1"/>
  <c r="AD386" i="80"/>
  <c r="AC386" i="80"/>
  <c r="BE386" i="80" l="1"/>
  <c r="AO386" i="80"/>
  <c r="R386" i="80"/>
  <c r="BV387" i="80"/>
  <c r="AE386" i="80"/>
  <c r="AF386" i="80"/>
  <c r="AR386" i="80"/>
  <c r="AS386" i="80"/>
  <c r="AH386" i="80" l="1"/>
  <c r="AI386" i="80" s="1"/>
  <c r="AJ386" i="80" s="1"/>
  <c r="AG386" i="80"/>
  <c r="AX386" i="80" l="1"/>
  <c r="BD386" i="80"/>
  <c r="AK386" i="80"/>
  <c r="AL386" i="80" s="1"/>
  <c r="AT386" i="80"/>
  <c r="AM386" i="80" l="1"/>
  <c r="AV386" i="80" s="1"/>
  <c r="AN386" i="80"/>
  <c r="BW387" i="80"/>
  <c r="AW386" i="80"/>
  <c r="AY386" i="80" l="1"/>
  <c r="BA386" i="80" s="1"/>
  <c r="AZ386" i="80" l="1"/>
  <c r="BB386" i="80"/>
  <c r="BF386" i="80"/>
  <c r="BG386" i="80" l="1"/>
  <c r="BH386" i="80" s="1"/>
  <c r="BI386" i="80" l="1"/>
  <c r="BJ386" i="80" l="1"/>
  <c r="BK386" i="80" s="1"/>
  <c r="BL386" i="80" s="1"/>
  <c r="BN386" i="80"/>
  <c r="Q386" i="80" s="1"/>
  <c r="BQ386" i="80" l="1"/>
  <c r="BO386" i="80"/>
  <c r="BR386" i="80" l="1"/>
  <c r="BS386" i="80" s="1"/>
  <c r="BP386" i="80"/>
  <c r="K386" i="80"/>
  <c r="M387" i="80" s="1"/>
  <c r="L386" i="80"/>
  <c r="N387" i="80" s="1"/>
  <c r="O387" i="80" l="1"/>
  <c r="BT387" i="80"/>
  <c r="BU387" i="80"/>
  <c r="P387" i="80" l="1"/>
  <c r="U387" i="80" s="1"/>
  <c r="S387" i="80"/>
  <c r="BY387" i="80"/>
  <c r="T387" i="80" l="1"/>
  <c r="V387" i="80" s="1"/>
  <c r="Y387" i="80" s="1"/>
  <c r="X387" i="80"/>
  <c r="BX387" i="80" l="1"/>
  <c r="AP387" i="80"/>
  <c r="AQ387" i="80" s="1"/>
  <c r="AD387" i="80"/>
  <c r="AC387" i="80"/>
  <c r="R387" i="80" l="1"/>
  <c r="AO387" i="80"/>
  <c r="BE387" i="80"/>
  <c r="BV388" i="80"/>
  <c r="AE387" i="80"/>
  <c r="AF387" i="80"/>
  <c r="AS387" i="80"/>
  <c r="AR387" i="80"/>
  <c r="AG387" i="80" l="1"/>
  <c r="AH387" i="80"/>
  <c r="AI387" i="80" s="1"/>
  <c r="AJ387" i="80" s="1"/>
  <c r="BD387" i="80" l="1"/>
  <c r="AX387" i="80"/>
  <c r="AK387" i="80"/>
  <c r="AL387" i="80" s="1"/>
  <c r="AT387" i="80"/>
  <c r="AM387" i="80" l="1"/>
  <c r="AV387" i="80" s="1"/>
  <c r="BW388" i="80"/>
  <c r="AN387" i="80"/>
  <c r="AW387" i="80"/>
  <c r="AY387" i="80" l="1"/>
  <c r="BA387" i="80" s="1"/>
  <c r="AZ387" i="80" l="1"/>
  <c r="BB387" i="80"/>
  <c r="BF387" i="80"/>
  <c r="BG387" i="80" l="1"/>
  <c r="BH387" i="80" s="1"/>
  <c r="BI387" i="80" l="1"/>
  <c r="BN387" i="80" l="1"/>
  <c r="Q387" i="80" s="1"/>
  <c r="BJ387" i="80"/>
  <c r="BK387" i="80" s="1"/>
  <c r="BL387" i="80" s="1"/>
  <c r="BQ387" i="80" l="1"/>
  <c r="BO387" i="80"/>
  <c r="BR387" i="80" l="1"/>
  <c r="BS387" i="80" s="1"/>
  <c r="BP387" i="80"/>
  <c r="K387" i="80"/>
  <c r="M388" i="80" s="1"/>
  <c r="L387" i="80"/>
  <c r="N388" i="80" s="1"/>
  <c r="BU388" i="80" l="1"/>
  <c r="O388" i="80"/>
  <c r="BT388" i="80"/>
  <c r="BY388" i="80" l="1"/>
  <c r="S388" i="80"/>
  <c r="P388" i="80"/>
  <c r="U388" i="80" s="1"/>
  <c r="T388" i="80" l="1"/>
  <c r="V388" i="80" s="1"/>
  <c r="Y388" i="80" s="1"/>
  <c r="X388" i="80"/>
  <c r="BX388" i="80" l="1"/>
  <c r="AP388" i="80"/>
  <c r="AQ388" i="80" s="1"/>
  <c r="AD388" i="80"/>
  <c r="AC388" i="80"/>
  <c r="BE388" i="80" l="1"/>
  <c r="R388" i="80"/>
  <c r="AO388" i="80"/>
  <c r="BV389" i="80"/>
  <c r="AE388" i="80"/>
  <c r="AF388" i="80"/>
  <c r="AR388" i="80"/>
  <c r="AS388" i="80"/>
  <c r="AH388" i="80" l="1"/>
  <c r="AI388" i="80" s="1"/>
  <c r="AJ388" i="80" s="1"/>
  <c r="AG388" i="80"/>
  <c r="BD388" i="80" l="1"/>
  <c r="AK388" i="80"/>
  <c r="AL388" i="80" s="1"/>
  <c r="AX388" i="80"/>
  <c r="AT388" i="80"/>
  <c r="AM388" i="80" l="1"/>
  <c r="AV388" i="80" s="1"/>
  <c r="AN388" i="80"/>
  <c r="BW389" i="80"/>
  <c r="AW388" i="80"/>
  <c r="AY388" i="80" l="1"/>
  <c r="BA388" i="80" s="1"/>
  <c r="AZ388" i="80" l="1"/>
  <c r="BB388" i="80"/>
  <c r="BF388" i="80"/>
  <c r="BG388" i="80" l="1"/>
  <c r="BH388" i="80" s="1"/>
  <c r="BI388" i="80" l="1"/>
  <c r="BN388" i="80" l="1"/>
  <c r="Q388" i="80" s="1"/>
  <c r="BJ388" i="80"/>
  <c r="BK388" i="80" s="1"/>
  <c r="BL388" i="80" s="1"/>
  <c r="BQ388" i="80" l="1"/>
  <c r="BO388" i="80"/>
  <c r="BR388" i="80" l="1"/>
  <c r="BS388" i="80" s="1"/>
  <c r="BP388" i="80"/>
  <c r="L388" i="80"/>
  <c r="N389" i="80" s="1"/>
  <c r="K388" i="80"/>
  <c r="M389" i="80" s="1"/>
  <c r="BT389" i="80" l="1"/>
  <c r="O389" i="80"/>
  <c r="BU389" i="80"/>
  <c r="S389" i="80" l="1"/>
  <c r="P389" i="80"/>
  <c r="U389" i="80" s="1"/>
  <c r="BY389" i="80"/>
  <c r="T389" i="80" l="1"/>
  <c r="V389" i="80" s="1"/>
  <c r="Y389" i="80" s="1"/>
  <c r="X389" i="80"/>
  <c r="BX389" i="80" l="1"/>
  <c r="AP389" i="80"/>
  <c r="AQ389" i="80" s="1"/>
  <c r="AD389" i="80"/>
  <c r="AC389" i="80"/>
  <c r="BE389" i="80" l="1"/>
  <c r="AO389" i="80"/>
  <c r="BV390" i="80"/>
  <c r="R389" i="80"/>
  <c r="AF389" i="80"/>
  <c r="AE389" i="80"/>
  <c r="AR389" i="80"/>
  <c r="AS389" i="80"/>
  <c r="AH389" i="80" l="1"/>
  <c r="AI389" i="80" s="1"/>
  <c r="AJ389" i="80" s="1"/>
  <c r="AG389" i="80"/>
  <c r="AX389" i="80" l="1"/>
  <c r="AK389" i="80"/>
  <c r="AL389" i="80" s="1"/>
  <c r="BD389" i="80"/>
  <c r="AT389" i="80"/>
  <c r="AM389" i="80" l="1"/>
  <c r="AV389" i="80" s="1"/>
  <c r="AN389" i="80"/>
  <c r="BW390" i="80"/>
  <c r="AW389" i="80"/>
  <c r="AY389" i="80" l="1"/>
  <c r="BA389" i="80" s="1"/>
  <c r="AZ389" i="80" l="1"/>
  <c r="BB389" i="80"/>
  <c r="BF389" i="80"/>
  <c r="BG389" i="80" l="1"/>
  <c r="BH389" i="80" s="1"/>
  <c r="BI389" i="80" l="1"/>
  <c r="BN389" i="80" l="1"/>
  <c r="Q389" i="80" s="1"/>
  <c r="BJ389" i="80"/>
  <c r="BK389" i="80" s="1"/>
  <c r="BL389" i="80" s="1"/>
  <c r="BQ389" i="80" l="1"/>
  <c r="BO389" i="80"/>
  <c r="BR389" i="80" l="1"/>
  <c r="BS389" i="80" s="1"/>
  <c r="BP389" i="80"/>
  <c r="K389" i="80"/>
  <c r="M390" i="80" s="1"/>
  <c r="L389" i="80"/>
  <c r="N390" i="80" s="1"/>
  <c r="BU390" i="80" l="1"/>
  <c r="O390" i="80"/>
  <c r="BT390" i="80"/>
  <c r="BY390" i="80" l="1"/>
  <c r="S390" i="80"/>
  <c r="P390" i="80"/>
  <c r="U390" i="80" s="1"/>
  <c r="T390" i="80" l="1"/>
  <c r="V390" i="80" s="1"/>
  <c r="Y390" i="80" s="1"/>
  <c r="X390" i="80"/>
  <c r="BX390" i="80" l="1"/>
  <c r="AD390" i="80"/>
  <c r="AP390" i="80"/>
  <c r="AQ390" i="80" s="1"/>
  <c r="AC390" i="80"/>
  <c r="BE390" i="80" l="1"/>
  <c r="AO390" i="80"/>
  <c r="BV391" i="80"/>
  <c r="R390" i="80"/>
  <c r="AR390" i="80"/>
  <c r="AS390" i="80"/>
  <c r="AF390" i="80"/>
  <c r="AE390" i="80"/>
  <c r="AH390" i="80" l="1"/>
  <c r="AI390" i="80" s="1"/>
  <c r="AJ390" i="80" s="1"/>
  <c r="AG390" i="80"/>
  <c r="AX390" i="80" l="1"/>
  <c r="AK390" i="80"/>
  <c r="AL390" i="80" s="1"/>
  <c r="BD390" i="80"/>
  <c r="AT390" i="80"/>
  <c r="AM390" i="80" l="1"/>
  <c r="AV390" i="80" s="1"/>
  <c r="BW391" i="80"/>
  <c r="AN390" i="80"/>
  <c r="AW390" i="80"/>
  <c r="AY390" i="80" l="1"/>
  <c r="BA390" i="80" s="1"/>
  <c r="AZ390" i="80" l="1"/>
  <c r="BB390" i="80"/>
  <c r="BF390" i="80"/>
  <c r="BG390" i="80" l="1"/>
  <c r="BH390" i="80" s="1"/>
  <c r="BI390" i="80" l="1"/>
  <c r="BN390" i="80" l="1"/>
  <c r="Q390" i="80" s="1"/>
  <c r="BJ390" i="80"/>
  <c r="BK390" i="80" s="1"/>
  <c r="BL390" i="80" s="1"/>
  <c r="BQ390" i="80" l="1"/>
  <c r="BO390" i="80"/>
  <c r="BR390" i="80" l="1"/>
  <c r="BS390" i="80" s="1"/>
  <c r="BP390" i="80"/>
  <c r="L390" i="80"/>
  <c r="N391" i="80" s="1"/>
  <c r="K390" i="80"/>
  <c r="M391" i="80" s="1"/>
  <c r="BU391" i="80" l="1"/>
  <c r="O391" i="80"/>
  <c r="BT391" i="80"/>
  <c r="S391" i="80" l="1"/>
  <c r="BY391" i="80"/>
  <c r="P391" i="80"/>
  <c r="U391" i="80" s="1"/>
  <c r="T391" i="80" l="1"/>
  <c r="V391" i="80" s="1"/>
  <c r="Y391" i="80" s="1"/>
  <c r="X391" i="80"/>
  <c r="AD391" i="80" l="1"/>
  <c r="AP391" i="80"/>
  <c r="AQ391" i="80" s="1"/>
  <c r="BX391" i="80"/>
  <c r="AC391" i="80"/>
  <c r="BE391" i="80" l="1"/>
  <c r="AO391" i="80"/>
  <c r="BV392" i="80"/>
  <c r="R391" i="80"/>
  <c r="AE391" i="80"/>
  <c r="AF391" i="80"/>
  <c r="AS391" i="80"/>
  <c r="AR391" i="80"/>
  <c r="AG391" i="80" l="1"/>
  <c r="AH391" i="80"/>
  <c r="AI391" i="80" s="1"/>
  <c r="AJ391" i="80" s="1"/>
  <c r="AX391" i="80" l="1"/>
  <c r="BD391" i="80"/>
  <c r="AK391" i="80"/>
  <c r="AL391" i="80" s="1"/>
  <c r="AT391" i="80"/>
  <c r="AM391" i="80" l="1"/>
  <c r="AV391" i="80" s="1"/>
  <c r="AN391" i="80"/>
  <c r="BW392" i="80"/>
  <c r="AW391" i="80"/>
  <c r="AY391" i="80" l="1"/>
  <c r="BA391" i="80" s="1"/>
  <c r="AZ391" i="80" l="1"/>
  <c r="BB391" i="80"/>
  <c r="BF391" i="80"/>
  <c r="BG391" i="80" l="1"/>
  <c r="BH391" i="80" s="1"/>
  <c r="BI391" i="80" l="1"/>
  <c r="BJ391" i="80" l="1"/>
  <c r="BK391" i="80" s="1"/>
  <c r="BL391" i="80" s="1"/>
  <c r="BN391" i="80"/>
  <c r="Q391" i="80" s="1"/>
  <c r="BQ391" i="80" l="1"/>
  <c r="BO391" i="80"/>
  <c r="BR391" i="80" l="1"/>
  <c r="BS391" i="80" s="1"/>
  <c r="BP391" i="80"/>
  <c r="L391" i="80"/>
  <c r="N392" i="80" s="1"/>
  <c r="K391" i="80"/>
  <c r="M392" i="80" s="1"/>
  <c r="BU392" i="80" l="1"/>
  <c r="O392" i="80"/>
  <c r="BT392" i="80"/>
  <c r="BY392" i="80" l="1"/>
  <c r="P392" i="80"/>
  <c r="U392" i="80" s="1"/>
  <c r="S392" i="80"/>
  <c r="T392" i="80" l="1"/>
  <c r="V392" i="80" s="1"/>
  <c r="X392" i="80"/>
  <c r="Y392" i="80" l="1"/>
  <c r="AP392" i="80" s="1"/>
  <c r="AQ392" i="80" s="1"/>
  <c r="AC392" i="80"/>
  <c r="BX392" i="80" l="1"/>
  <c r="AD392" i="80"/>
  <c r="AE392" i="80" s="1"/>
  <c r="R392" i="80"/>
  <c r="AO392" i="80"/>
  <c r="BV393" i="80"/>
  <c r="BE392" i="80"/>
  <c r="AR392" i="80"/>
  <c r="AS392" i="80"/>
  <c r="AF392" i="80" l="1"/>
  <c r="AG392" i="80"/>
  <c r="AH392" i="80"/>
  <c r="AI392" i="80" s="1"/>
  <c r="AJ392" i="80" s="1"/>
  <c r="AX392" i="80" l="1"/>
  <c r="BD392" i="80"/>
  <c r="AK392" i="80"/>
  <c r="AL392" i="80" s="1"/>
  <c r="AT392" i="80"/>
  <c r="AM392" i="80" l="1"/>
  <c r="AV392" i="80" s="1"/>
  <c r="BW393" i="80"/>
  <c r="AN392" i="80"/>
  <c r="AW392" i="80"/>
  <c r="AY392" i="80" l="1"/>
  <c r="BA392" i="80" s="1"/>
  <c r="AZ392" i="80" l="1"/>
  <c r="BB392" i="80"/>
  <c r="BF392" i="80"/>
  <c r="BG392" i="80" l="1"/>
  <c r="BH392" i="80" s="1"/>
  <c r="BI392" i="80" l="1"/>
  <c r="BJ392" i="80" l="1"/>
  <c r="BK392" i="80" s="1"/>
  <c r="BL392" i="80" s="1"/>
  <c r="BN392" i="80"/>
  <c r="Q392" i="80" s="1"/>
  <c r="BQ392" i="80" l="1"/>
  <c r="BO392" i="80"/>
  <c r="BR392" i="80" l="1"/>
  <c r="BS392" i="80" s="1"/>
  <c r="BP392" i="80"/>
  <c r="L392" i="80"/>
  <c r="N393" i="80" s="1"/>
  <c r="K392" i="80"/>
  <c r="M393" i="80" s="1"/>
  <c r="BU393" i="80" l="1"/>
  <c r="O393" i="80"/>
  <c r="BT393" i="80"/>
  <c r="P393" i="80" l="1"/>
  <c r="U393" i="80" s="1"/>
  <c r="BY393" i="80"/>
  <c r="S393" i="80"/>
  <c r="T393" i="80" l="1"/>
  <c r="V393" i="80" s="1"/>
  <c r="Y393" i="80" s="1"/>
  <c r="X393" i="80"/>
  <c r="AP393" i="80" l="1"/>
  <c r="AQ393" i="80" s="1"/>
  <c r="BX393" i="80"/>
  <c r="AD393" i="80"/>
  <c r="AC393" i="80"/>
  <c r="BE393" i="80" l="1"/>
  <c r="AO393" i="80"/>
  <c r="BV394" i="80"/>
  <c r="R393" i="80"/>
  <c r="AE393" i="80"/>
  <c r="AF393" i="80"/>
  <c r="AR393" i="80"/>
  <c r="AS393" i="80"/>
  <c r="AG393" i="80" l="1"/>
  <c r="AH393" i="80"/>
  <c r="AI393" i="80" s="1"/>
  <c r="AJ393" i="80" s="1"/>
  <c r="BD393" i="80" l="1"/>
  <c r="AK393" i="80"/>
  <c r="AL393" i="80" s="1"/>
  <c r="AX393" i="80"/>
  <c r="AT393" i="80"/>
  <c r="AM393" i="80" l="1"/>
  <c r="AV393" i="80" s="1"/>
  <c r="BW394" i="80"/>
  <c r="AN393" i="80"/>
  <c r="AW393" i="80"/>
  <c r="AY393" i="80" l="1"/>
  <c r="BA393" i="80" s="1"/>
  <c r="AZ393" i="80" l="1"/>
  <c r="BB393" i="80"/>
  <c r="BF393" i="80"/>
  <c r="BG393" i="80" l="1"/>
  <c r="BH393" i="80" s="1"/>
  <c r="BI393" i="80" l="1"/>
  <c r="BJ393" i="80" l="1"/>
  <c r="BK393" i="80" s="1"/>
  <c r="BL393" i="80" s="1"/>
  <c r="BN393" i="80"/>
  <c r="Q393" i="80" s="1"/>
  <c r="BQ393" i="80" l="1"/>
  <c r="BO393" i="80"/>
  <c r="BR393" i="80" l="1"/>
  <c r="BS393" i="80" s="1"/>
  <c r="BP393" i="80"/>
  <c r="L393" i="80"/>
  <c r="N394" i="80" s="1"/>
  <c r="K393" i="80"/>
  <c r="M394" i="80" s="1"/>
  <c r="BU394" i="80" l="1"/>
  <c r="O394" i="80"/>
  <c r="BT394" i="80"/>
  <c r="BY394" i="80" l="1"/>
  <c r="S394" i="80"/>
  <c r="P394" i="80"/>
  <c r="U394" i="80" s="1"/>
  <c r="T394" i="80" l="1"/>
  <c r="V394" i="80" s="1"/>
  <c r="Y394" i="80" s="1"/>
  <c r="X394" i="80"/>
  <c r="AP394" i="80" l="1"/>
  <c r="AQ394" i="80" s="1"/>
  <c r="BX394" i="80"/>
  <c r="AD394" i="80"/>
  <c r="AC394" i="80"/>
  <c r="R394" i="80" l="1"/>
  <c r="AO394" i="80"/>
  <c r="BV395" i="80"/>
  <c r="BE394" i="80"/>
  <c r="AR394" i="80"/>
  <c r="AS394" i="80"/>
  <c r="AE394" i="80"/>
  <c r="AF394" i="80"/>
  <c r="AH394" i="80" l="1"/>
  <c r="AI394" i="80" s="1"/>
  <c r="AJ394" i="80" s="1"/>
  <c r="AG394" i="80"/>
  <c r="BD394" i="80" l="1"/>
  <c r="AK394" i="80"/>
  <c r="AL394" i="80" s="1"/>
  <c r="AX394" i="80"/>
  <c r="AT394" i="80"/>
  <c r="AM394" i="80" l="1"/>
  <c r="AV394" i="80" s="1"/>
  <c r="AN394" i="80"/>
  <c r="BW395" i="80"/>
  <c r="AW394" i="80"/>
  <c r="AY394" i="80" l="1"/>
  <c r="BA394" i="80" s="1"/>
  <c r="AZ394" i="80" l="1"/>
  <c r="BB394" i="80"/>
  <c r="BF394" i="80"/>
  <c r="BG394" i="80" l="1"/>
  <c r="BH394" i="80" s="1"/>
  <c r="BI394" i="80" l="1"/>
  <c r="BJ394" i="80" l="1"/>
  <c r="BK394" i="80" s="1"/>
  <c r="BL394" i="80" s="1"/>
  <c r="BN394" i="80"/>
  <c r="Q394" i="80" s="1"/>
  <c r="BQ394" i="80" l="1"/>
  <c r="BO394" i="80"/>
  <c r="BR394" i="80" l="1"/>
  <c r="BS394" i="80" s="1"/>
  <c r="BP394" i="80"/>
  <c r="L394" i="80"/>
  <c r="N395" i="80" s="1"/>
  <c r="K394" i="80"/>
  <c r="M395" i="80" s="1"/>
  <c r="BU395" i="80" l="1"/>
  <c r="O395" i="80"/>
  <c r="BT395" i="80"/>
  <c r="BY395" i="80" l="1"/>
  <c r="P395" i="80"/>
  <c r="U395" i="80" s="1"/>
  <c r="S395" i="80"/>
  <c r="T395" i="80" l="1"/>
  <c r="V395" i="80" s="1"/>
  <c r="X395" i="80"/>
  <c r="Y395" i="80" l="1"/>
  <c r="AD395" i="80" s="1"/>
  <c r="AC395" i="80"/>
  <c r="BX395" i="80" l="1"/>
  <c r="AP395" i="80"/>
  <c r="AQ395" i="80" s="1"/>
  <c r="AR395" i="80" s="1"/>
  <c r="BE395" i="80"/>
  <c r="AO395" i="80"/>
  <c r="BV396" i="80"/>
  <c r="R395" i="80"/>
  <c r="AE395" i="80"/>
  <c r="AF395" i="80"/>
  <c r="AS395" i="80" l="1"/>
  <c r="AH395" i="80"/>
  <c r="AI395" i="80" s="1"/>
  <c r="AJ395" i="80" s="1"/>
  <c r="AG395" i="80"/>
  <c r="BD395" i="80" l="1"/>
  <c r="AX395" i="80"/>
  <c r="AK395" i="80"/>
  <c r="AL395" i="80" s="1"/>
  <c r="AT395" i="80"/>
  <c r="AM395" i="80" l="1"/>
  <c r="AV395" i="80" s="1"/>
  <c r="AN395" i="80"/>
  <c r="BW396" i="80"/>
  <c r="AW395" i="80"/>
  <c r="AY395" i="80" l="1"/>
  <c r="BA395" i="80" s="1"/>
  <c r="AZ395" i="80" l="1"/>
  <c r="BB395" i="80"/>
  <c r="BF395" i="80"/>
  <c r="BG395" i="80" l="1"/>
  <c r="BH395" i="80" s="1"/>
  <c r="BI395" i="80" l="1"/>
  <c r="BN395" i="80" l="1"/>
  <c r="Q395" i="80" s="1"/>
  <c r="BJ395" i="80"/>
  <c r="BK395" i="80" s="1"/>
  <c r="BL395" i="80" s="1"/>
  <c r="BQ395" i="80" l="1"/>
  <c r="BO395" i="80"/>
  <c r="BR395" i="80" l="1"/>
  <c r="BS395" i="80" s="1"/>
  <c r="BP395" i="80"/>
  <c r="K395" i="80"/>
  <c r="M396" i="80" s="1"/>
  <c r="L395" i="80"/>
  <c r="N396" i="80" s="1"/>
  <c r="BU396" i="80" l="1"/>
  <c r="BT396" i="80"/>
  <c r="O396" i="80"/>
  <c r="S396" i="80" l="1"/>
  <c r="P396" i="80"/>
  <c r="U396" i="80" s="1"/>
  <c r="BY396" i="80"/>
  <c r="T396" i="80" l="1"/>
  <c r="V396" i="80" s="1"/>
  <c r="Y396" i="80" s="1"/>
  <c r="X396" i="80"/>
  <c r="AD396" i="80" l="1"/>
  <c r="AP396" i="80"/>
  <c r="AQ396" i="80" s="1"/>
  <c r="BX396" i="80"/>
  <c r="AC396" i="80"/>
  <c r="R396" i="80" l="1"/>
  <c r="AO396" i="80"/>
  <c r="BV397" i="80"/>
  <c r="BE396" i="80"/>
  <c r="AF396" i="80"/>
  <c r="AE396" i="80"/>
  <c r="AR396" i="80"/>
  <c r="AS396" i="80"/>
  <c r="AH396" i="80" l="1"/>
  <c r="AI396" i="80" s="1"/>
  <c r="AJ396" i="80" s="1"/>
  <c r="AG396" i="80"/>
  <c r="BD396" i="80" l="1"/>
  <c r="AX396" i="80"/>
  <c r="AK396" i="80"/>
  <c r="AL396" i="80" s="1"/>
  <c r="AT396" i="80"/>
  <c r="AM396" i="80" l="1"/>
  <c r="AV396" i="80" s="1"/>
  <c r="BW397" i="80"/>
  <c r="AN396" i="80"/>
  <c r="AW396" i="80"/>
  <c r="AY396" i="80" l="1"/>
  <c r="BA396" i="80" s="1"/>
  <c r="AZ396" i="80" l="1"/>
  <c r="BB396" i="80"/>
  <c r="BF396" i="80"/>
  <c r="BG396" i="80" l="1"/>
  <c r="BH396" i="80" s="1"/>
  <c r="BI396" i="80" l="1"/>
  <c r="BN396" i="80" l="1"/>
  <c r="Q396" i="80" s="1"/>
  <c r="BJ396" i="80"/>
  <c r="BK396" i="80" s="1"/>
  <c r="BL396" i="80" s="1"/>
  <c r="BQ396" i="80" l="1"/>
  <c r="BO396" i="80"/>
  <c r="BR396" i="80" l="1"/>
  <c r="BS396" i="80" s="1"/>
  <c r="BP396" i="80"/>
  <c r="L396" i="80"/>
  <c r="N397" i="80" s="1"/>
  <c r="K396" i="80"/>
  <c r="M397" i="80" s="1"/>
  <c r="BU397" i="80" l="1"/>
  <c r="O397" i="80"/>
  <c r="BT397" i="80"/>
  <c r="P397" i="80" l="1"/>
  <c r="U397" i="80" s="1"/>
  <c r="S397" i="80"/>
  <c r="BY397" i="80"/>
  <c r="T397" i="80" l="1"/>
  <c r="V397" i="80" s="1"/>
  <c r="Y397" i="80" s="1"/>
  <c r="X397" i="80"/>
  <c r="AD397" i="80" l="1"/>
  <c r="AP397" i="80"/>
  <c r="AQ397" i="80" s="1"/>
  <c r="BX397" i="80"/>
  <c r="AC397" i="80"/>
  <c r="R397" i="80" l="1"/>
  <c r="AO397" i="80"/>
  <c r="BV398" i="80"/>
  <c r="BE397" i="80"/>
  <c r="AR397" i="80"/>
  <c r="AS397" i="80"/>
  <c r="AF397" i="80"/>
  <c r="AE397" i="80"/>
  <c r="AG397" i="80" l="1"/>
  <c r="AH397" i="80"/>
  <c r="AI397" i="80" s="1"/>
  <c r="AJ397" i="80" s="1"/>
  <c r="AX397" i="80" l="1"/>
  <c r="AK397" i="80"/>
  <c r="AL397" i="80" s="1"/>
  <c r="BD397" i="80"/>
  <c r="AT397" i="80"/>
  <c r="AM397" i="80" l="1"/>
  <c r="AV397" i="80" s="1"/>
  <c r="AN397" i="80"/>
  <c r="BW398" i="80"/>
  <c r="AW397" i="80"/>
  <c r="AY397" i="80" l="1"/>
  <c r="BA397" i="80" s="1"/>
  <c r="AZ397" i="80" l="1"/>
  <c r="BB397" i="80"/>
  <c r="BF397" i="80"/>
  <c r="BG397" i="80" l="1"/>
  <c r="BH397" i="80" s="1"/>
  <c r="BI397" i="80" l="1"/>
  <c r="BJ397" i="80" l="1"/>
  <c r="BK397" i="80" s="1"/>
  <c r="BL397" i="80" s="1"/>
  <c r="BN397" i="80"/>
  <c r="Q397" i="80" s="1"/>
  <c r="BQ397" i="80" l="1"/>
  <c r="BO397" i="80"/>
  <c r="BR397" i="80" l="1"/>
  <c r="BS397" i="80" s="1"/>
  <c r="BP397" i="80"/>
  <c r="L397" i="80"/>
  <c r="N398" i="80" s="1"/>
  <c r="K397" i="80"/>
  <c r="M398" i="80" s="1"/>
  <c r="BT398" i="80" l="1"/>
  <c r="O398" i="80"/>
  <c r="BU398" i="80"/>
  <c r="S398" i="80" l="1"/>
  <c r="BY398" i="80"/>
  <c r="P398" i="80"/>
  <c r="U398" i="80" s="1"/>
  <c r="T398" i="80" l="1"/>
  <c r="V398" i="80" s="1"/>
  <c r="X398" i="80"/>
  <c r="Y398" i="80" l="1"/>
  <c r="AP398" i="80" s="1"/>
  <c r="AQ398" i="80" s="1"/>
  <c r="AC398" i="80"/>
  <c r="R398" i="80" l="1"/>
  <c r="BX398" i="80"/>
  <c r="AD398" i="80"/>
  <c r="AF398" i="80" s="1"/>
  <c r="AO398" i="80"/>
  <c r="BV399" i="80"/>
  <c r="BE398" i="80"/>
  <c r="AR398" i="80"/>
  <c r="AS398" i="80"/>
  <c r="AE398" i="80" l="1"/>
  <c r="AG398" i="80"/>
  <c r="AH398" i="80"/>
  <c r="AI398" i="80" s="1"/>
  <c r="AJ398" i="80" s="1"/>
  <c r="BD398" i="80" l="1"/>
  <c r="AK398" i="80"/>
  <c r="AL398" i="80" s="1"/>
  <c r="AX398" i="80"/>
  <c r="AT398" i="80"/>
  <c r="AM398" i="80" l="1"/>
  <c r="AV398" i="80" s="1"/>
  <c r="BW399" i="80"/>
  <c r="AN398" i="80"/>
  <c r="AW398" i="80"/>
  <c r="AY398" i="80" l="1"/>
  <c r="BA398" i="80" s="1"/>
  <c r="AZ398" i="80" l="1"/>
  <c r="BB398" i="80"/>
  <c r="BF398" i="80"/>
  <c r="BG398" i="80" l="1"/>
  <c r="BH398" i="80" s="1"/>
  <c r="BI398" i="80" l="1"/>
  <c r="BN398" i="80" l="1"/>
  <c r="Q398" i="80" s="1"/>
  <c r="BJ398" i="80"/>
  <c r="BK398" i="80" s="1"/>
  <c r="BL398" i="80" s="1"/>
  <c r="BQ398" i="80" l="1"/>
  <c r="BO398" i="80"/>
  <c r="BR398" i="80" l="1"/>
  <c r="BS398" i="80" s="1"/>
  <c r="BP398" i="80"/>
  <c r="K398" i="80"/>
  <c r="M399" i="80" s="1"/>
  <c r="L398" i="80"/>
  <c r="N399" i="80" s="1"/>
  <c r="O399" i="80" l="1"/>
  <c r="BT399" i="80"/>
  <c r="BU399" i="80"/>
  <c r="S399" i="80" l="1"/>
  <c r="BY399" i="80"/>
  <c r="P399" i="80"/>
  <c r="U399" i="80" s="1"/>
  <c r="T399" i="80" l="1"/>
  <c r="V399" i="80" s="1"/>
  <c r="X399" i="80"/>
  <c r="Y399" i="80" l="1"/>
  <c r="AC399" i="80"/>
  <c r="BE399" i="80" l="1"/>
  <c r="AP399" i="80"/>
  <c r="AQ399" i="80" s="1"/>
  <c r="AR399" i="80" s="1"/>
  <c r="AD399" i="80"/>
  <c r="AF399" i="80" s="1"/>
  <c r="BX399" i="80"/>
  <c r="AO399" i="80"/>
  <c r="BV400" i="80"/>
  <c r="R399" i="80"/>
  <c r="AE399" i="80" l="1"/>
  <c r="AS399" i="80"/>
  <c r="AH399" i="80"/>
  <c r="AI399" i="80" s="1"/>
  <c r="AJ399" i="80" s="1"/>
  <c r="AG399" i="80"/>
  <c r="BD399" i="80" l="1"/>
  <c r="AX399" i="80"/>
  <c r="AK399" i="80"/>
  <c r="AL399" i="80" s="1"/>
  <c r="AT399" i="80"/>
  <c r="AM399" i="80" l="1"/>
  <c r="AV399" i="80" s="1"/>
  <c r="BW400" i="80"/>
  <c r="AN399" i="80"/>
  <c r="AW399" i="80"/>
  <c r="AY399" i="80" l="1"/>
  <c r="BA399" i="80" s="1"/>
  <c r="AZ399" i="80" l="1"/>
  <c r="BB399" i="80"/>
  <c r="BF399" i="80"/>
  <c r="BG399" i="80" l="1"/>
  <c r="BH399" i="80" s="1"/>
  <c r="BI399" i="80" l="1"/>
  <c r="BJ399" i="80" l="1"/>
  <c r="BK399" i="80" s="1"/>
  <c r="BL399" i="80" s="1"/>
  <c r="BN399" i="80"/>
  <c r="Q399" i="80" s="1"/>
  <c r="BQ399" i="80" l="1"/>
  <c r="BO399" i="80"/>
  <c r="BR399" i="80" l="1"/>
  <c r="BS399" i="80" s="1"/>
  <c r="BP399" i="80"/>
  <c r="K399" i="80"/>
  <c r="M400" i="80" s="1"/>
  <c r="L399" i="80"/>
  <c r="N400" i="80" s="1"/>
  <c r="BU400" i="80" l="1"/>
  <c r="O400" i="80"/>
  <c r="BT400" i="80"/>
  <c r="S400" i="80" l="1"/>
  <c r="BY400" i="80"/>
  <c r="P400" i="80"/>
  <c r="U400" i="80" s="1"/>
  <c r="X400" i="80" l="1"/>
  <c r="T400" i="80"/>
  <c r="V400" i="80" s="1"/>
  <c r="Y400" i="80" s="1"/>
  <c r="BX400" i="80" l="1"/>
  <c r="AP400" i="80"/>
  <c r="AQ400" i="80" s="1"/>
  <c r="AD400" i="80"/>
  <c r="AC400" i="80"/>
  <c r="BE400" i="80" l="1"/>
  <c r="AO400" i="80"/>
  <c r="BV401" i="80"/>
  <c r="R400" i="80"/>
  <c r="AF400" i="80"/>
  <c r="AE400" i="80"/>
  <c r="AR400" i="80"/>
  <c r="AS400" i="80"/>
  <c r="AG400" i="80" l="1"/>
  <c r="AH400" i="80"/>
  <c r="AI400" i="80" s="1"/>
  <c r="AJ400" i="80" s="1"/>
  <c r="AK400" i="80" l="1"/>
  <c r="AL400" i="80" s="1"/>
  <c r="AX400" i="80"/>
  <c r="BD400" i="80"/>
  <c r="AT400" i="80"/>
  <c r="AM400" i="80" l="1"/>
  <c r="AV400" i="80" s="1"/>
  <c r="BW401" i="80"/>
  <c r="AN400" i="80"/>
  <c r="AW400" i="80"/>
  <c r="AY400" i="80" l="1"/>
  <c r="BA400" i="80" s="1"/>
  <c r="AZ400" i="80" l="1"/>
  <c r="BB400" i="80"/>
  <c r="BF400" i="80"/>
  <c r="BG400" i="80" l="1"/>
  <c r="BH400" i="80" s="1"/>
  <c r="BI400" i="80" l="1"/>
  <c r="BN400" i="80" l="1"/>
  <c r="Q400" i="80" s="1"/>
  <c r="BJ400" i="80"/>
  <c r="BK400" i="80" s="1"/>
  <c r="BL400" i="80" s="1"/>
  <c r="BQ400" i="80" l="1"/>
  <c r="BO400" i="80"/>
  <c r="BR400" i="80" l="1"/>
  <c r="BS400" i="80" s="1"/>
  <c r="BP400" i="80"/>
  <c r="L400" i="80"/>
  <c r="N401" i="80" s="1"/>
  <c r="K400" i="80"/>
  <c r="M401" i="80" s="1"/>
  <c r="O401" i="80" l="1"/>
  <c r="BT401" i="80"/>
  <c r="BU401" i="80"/>
  <c r="BY401" i="80" l="1"/>
  <c r="P401" i="80"/>
  <c r="U401" i="80" s="1"/>
  <c r="S401" i="80"/>
  <c r="T401" i="80" l="1"/>
  <c r="V401" i="80" s="1"/>
  <c r="Y401" i="80" s="1"/>
  <c r="X401" i="80"/>
  <c r="BX401" i="80" l="1"/>
  <c r="AD401" i="80"/>
  <c r="AP401" i="80"/>
  <c r="AQ401" i="80" s="1"/>
  <c r="AC401" i="80"/>
  <c r="BE401" i="80" l="1"/>
  <c r="AO401" i="80"/>
  <c r="BV402" i="80"/>
  <c r="R401" i="80"/>
  <c r="AR401" i="80"/>
  <c r="AS401" i="80"/>
  <c r="AE401" i="80"/>
  <c r="AF401" i="80"/>
  <c r="AG401" i="80" l="1"/>
  <c r="AH401" i="80"/>
  <c r="AI401" i="80" s="1"/>
  <c r="AJ401" i="80" s="1"/>
  <c r="AK401" i="80" l="1"/>
  <c r="AL401" i="80" s="1"/>
  <c r="AX401" i="80"/>
  <c r="BD401" i="80"/>
  <c r="AT401" i="80"/>
  <c r="AM401" i="80" l="1"/>
  <c r="AV401" i="80" s="1"/>
  <c r="BW402" i="80"/>
  <c r="AN401" i="80"/>
  <c r="AW401" i="80"/>
  <c r="AY401" i="80" l="1"/>
  <c r="BA401" i="80" s="1"/>
  <c r="AZ401" i="80" l="1"/>
  <c r="BB401" i="80"/>
  <c r="BF401" i="80"/>
  <c r="BG401" i="80" l="1"/>
  <c r="BH401" i="80" s="1"/>
  <c r="BI401" i="80" l="1"/>
  <c r="BN401" i="80" l="1"/>
  <c r="Q401" i="80" s="1"/>
  <c r="BJ401" i="80"/>
  <c r="BK401" i="80" s="1"/>
  <c r="BL401" i="80" s="1"/>
  <c r="BQ401" i="80" l="1"/>
  <c r="BO401" i="80"/>
  <c r="BR401" i="80" l="1"/>
  <c r="BS401" i="80" s="1"/>
  <c r="BP401" i="80"/>
  <c r="K401" i="80"/>
  <c r="M402" i="80" s="1"/>
  <c r="L401" i="80"/>
  <c r="N402" i="80" s="1"/>
  <c r="O402" i="80" l="1"/>
  <c r="BT402" i="80"/>
  <c r="BU402" i="80"/>
  <c r="P402" i="80" l="1"/>
  <c r="U402" i="80" s="1"/>
  <c r="S402" i="80"/>
  <c r="BY402" i="80"/>
  <c r="T402" i="80" l="1"/>
  <c r="V402" i="80" s="1"/>
  <c r="Y402" i="80" s="1"/>
  <c r="X402" i="80"/>
  <c r="BX402" i="80" l="1"/>
  <c r="AD402" i="80"/>
  <c r="AP402" i="80"/>
  <c r="AQ402" i="80" s="1"/>
  <c r="AC402" i="80"/>
  <c r="R402" i="80" l="1"/>
  <c r="AO402" i="80"/>
  <c r="BE402" i="80"/>
  <c r="BV403" i="80"/>
  <c r="AS402" i="80"/>
  <c r="AR402" i="80"/>
  <c r="AE402" i="80"/>
  <c r="AF402" i="80"/>
  <c r="AG402" i="80" l="1"/>
  <c r="AH402" i="80"/>
  <c r="AI402" i="80" s="1"/>
  <c r="AJ402" i="80" s="1"/>
  <c r="BD402" i="80" l="1"/>
  <c r="AK402" i="80"/>
  <c r="AL402" i="80" s="1"/>
  <c r="AX402" i="80"/>
  <c r="AT402" i="80"/>
  <c r="AM402" i="80" l="1"/>
  <c r="AV402" i="80" s="1"/>
  <c r="BW403" i="80"/>
  <c r="AN402" i="80"/>
  <c r="AW402" i="80"/>
  <c r="AY402" i="80" l="1"/>
  <c r="BA402" i="80" s="1"/>
  <c r="AZ402" i="80" l="1"/>
  <c r="BB402" i="80"/>
  <c r="BF402" i="80"/>
  <c r="BG402" i="80" l="1"/>
  <c r="BH402" i="80" s="1"/>
  <c r="BI402" i="80" l="1"/>
  <c r="BN402" i="80" l="1"/>
  <c r="Q402" i="80" s="1"/>
  <c r="BJ402" i="80"/>
  <c r="BK402" i="80" s="1"/>
  <c r="BL402" i="80" s="1"/>
  <c r="BQ402" i="80" l="1"/>
  <c r="BO402" i="80"/>
  <c r="BR402" i="80" l="1"/>
  <c r="BS402" i="80" s="1"/>
  <c r="BP402" i="80"/>
  <c r="K402" i="80"/>
  <c r="M403" i="80" s="1"/>
  <c r="L402" i="80"/>
  <c r="N403" i="80" s="1"/>
  <c r="BU403" i="80" l="1"/>
  <c r="O403" i="80"/>
  <c r="BT403" i="80"/>
  <c r="BY403" i="80" l="1"/>
  <c r="S403" i="80"/>
  <c r="P403" i="80"/>
  <c r="U403" i="80" s="1"/>
  <c r="T403" i="80" l="1"/>
  <c r="V403" i="80" s="1"/>
  <c r="Y403" i="80" s="1"/>
  <c r="X403" i="80"/>
  <c r="AP403" i="80" l="1"/>
  <c r="AQ403" i="80" s="1"/>
  <c r="AD403" i="80"/>
  <c r="BX403" i="80"/>
  <c r="AC403" i="80"/>
  <c r="BE403" i="80" l="1"/>
  <c r="AO403" i="80"/>
  <c r="BV404" i="80"/>
  <c r="R403" i="80"/>
  <c r="AE403" i="80"/>
  <c r="AF403" i="80"/>
  <c r="AR403" i="80"/>
  <c r="AS403" i="80"/>
  <c r="AH403" i="80" l="1"/>
  <c r="AI403" i="80" s="1"/>
  <c r="AJ403" i="80" s="1"/>
  <c r="AG403" i="80"/>
  <c r="BD403" i="80" l="1"/>
  <c r="AK403" i="80"/>
  <c r="AL403" i="80" s="1"/>
  <c r="AX403" i="80"/>
  <c r="AT403" i="80"/>
  <c r="AM403" i="80" l="1"/>
  <c r="AV403" i="80" s="1"/>
  <c r="BW404" i="80"/>
  <c r="AN403" i="80"/>
  <c r="AW403" i="80"/>
  <c r="AY403" i="80" l="1"/>
  <c r="BA403" i="80" s="1"/>
  <c r="AZ403" i="80" l="1"/>
  <c r="BB403" i="80"/>
  <c r="BF403" i="80"/>
  <c r="BG403" i="80" l="1"/>
  <c r="BH403" i="80" s="1"/>
  <c r="BI403" i="80" l="1"/>
  <c r="BJ403" i="80" l="1"/>
  <c r="BK403" i="80" s="1"/>
  <c r="BL403" i="80" s="1"/>
  <c r="BN403" i="80"/>
  <c r="Q403" i="80" s="1"/>
  <c r="BQ403" i="80" l="1"/>
  <c r="BO403" i="80"/>
  <c r="BR403" i="80" l="1"/>
  <c r="BS403" i="80" s="1"/>
  <c r="BP403" i="80"/>
  <c r="L403" i="80"/>
  <c r="N404" i="80" s="1"/>
  <c r="K403" i="80"/>
  <c r="M404" i="80" s="1"/>
  <c r="BU404" i="80" l="1"/>
  <c r="O404" i="80"/>
  <c r="BT404" i="80"/>
  <c r="BY404" i="80" l="1"/>
  <c r="S404" i="80"/>
  <c r="P404" i="80"/>
  <c r="U404" i="80" s="1"/>
  <c r="T404" i="80" l="1"/>
  <c r="V404" i="80" s="1"/>
  <c r="Y404" i="80" s="1"/>
  <c r="X404" i="80"/>
  <c r="AP404" i="80" l="1"/>
  <c r="AQ404" i="80" s="1"/>
  <c r="AD404" i="80"/>
  <c r="BX404" i="80"/>
  <c r="AC404" i="80"/>
  <c r="R404" i="80" l="1"/>
  <c r="AO404" i="80"/>
  <c r="BV405" i="80"/>
  <c r="BE404" i="80"/>
  <c r="AR404" i="80"/>
  <c r="AS404" i="80"/>
  <c r="AE404" i="80"/>
  <c r="AF404" i="80"/>
  <c r="AG404" i="80" l="1"/>
  <c r="AH404" i="80"/>
  <c r="AI404" i="80" s="1"/>
  <c r="AJ404" i="80" s="1"/>
  <c r="AK404" i="80" l="1"/>
  <c r="AL404" i="80" s="1"/>
  <c r="BD404" i="80"/>
  <c r="AX404" i="80"/>
  <c r="AT404" i="80"/>
  <c r="AM404" i="80" l="1"/>
  <c r="AV404" i="80" s="1"/>
  <c r="AN404" i="80"/>
  <c r="BW405" i="80"/>
  <c r="AW404" i="80"/>
  <c r="AY404" i="80" l="1"/>
  <c r="BA404" i="80" s="1"/>
  <c r="AZ404" i="80" l="1"/>
  <c r="BB404" i="80"/>
  <c r="BF404" i="80"/>
  <c r="BG404" i="80" l="1"/>
  <c r="BH404" i="80" s="1"/>
  <c r="BI404" i="80" l="1"/>
  <c r="BJ404" i="80" l="1"/>
  <c r="BK404" i="80" s="1"/>
  <c r="BL404" i="80" s="1"/>
  <c r="BN404" i="80"/>
  <c r="Q404" i="80" s="1"/>
  <c r="BQ404" i="80" l="1"/>
  <c r="BO404" i="80"/>
  <c r="BR404" i="80" l="1"/>
  <c r="BS404" i="80" s="1"/>
  <c r="BP404" i="80"/>
  <c r="L404" i="80"/>
  <c r="N405" i="80" s="1"/>
  <c r="K404" i="80"/>
  <c r="M405" i="80" s="1"/>
  <c r="O405" i="80" l="1"/>
  <c r="BT405" i="80"/>
  <c r="BU405" i="80"/>
  <c r="S405" i="80" l="1"/>
  <c r="BY405" i="80"/>
  <c r="P405" i="80"/>
  <c r="U405" i="80" s="1"/>
  <c r="T405" i="80" l="1"/>
  <c r="V405" i="80" s="1"/>
  <c r="Y405" i="80" s="1"/>
  <c r="X405" i="80"/>
  <c r="BX405" i="80" l="1"/>
  <c r="AP405" i="80"/>
  <c r="AQ405" i="80" s="1"/>
  <c r="AD405" i="80"/>
  <c r="AC405" i="80"/>
  <c r="BE405" i="80" l="1"/>
  <c r="AO405" i="80"/>
  <c r="BV406" i="80"/>
  <c r="R405" i="80"/>
  <c r="AR405" i="80"/>
  <c r="AS405" i="80"/>
  <c r="AF405" i="80"/>
  <c r="AE405" i="80"/>
  <c r="AG405" i="80" l="1"/>
  <c r="AH405" i="80"/>
  <c r="AI405" i="80" s="1"/>
  <c r="AJ405" i="80" s="1"/>
  <c r="BD405" i="80" l="1"/>
  <c r="AX405" i="80"/>
  <c r="AK405" i="80"/>
  <c r="AL405" i="80" s="1"/>
  <c r="AT405" i="80"/>
  <c r="AM405" i="80" l="1"/>
  <c r="AV405" i="80" s="1"/>
  <c r="BW406" i="80"/>
  <c r="AN405" i="80"/>
  <c r="AW405" i="80"/>
  <c r="AY405" i="80" l="1"/>
  <c r="BA405" i="80" s="1"/>
  <c r="AZ405" i="80" l="1"/>
  <c r="BB405" i="80"/>
  <c r="BF405" i="80"/>
  <c r="BG405" i="80" l="1"/>
  <c r="BH405" i="80" s="1"/>
  <c r="BI405" i="80" l="1"/>
  <c r="BN405" i="80" l="1"/>
  <c r="Q405" i="80" s="1"/>
  <c r="BJ405" i="80"/>
  <c r="BK405" i="80" s="1"/>
  <c r="BL405" i="80" s="1"/>
  <c r="BQ405" i="80" l="1"/>
  <c r="BO405" i="80"/>
  <c r="BR405" i="80" l="1"/>
  <c r="BS405" i="80" s="1"/>
  <c r="BP405" i="80"/>
  <c r="K405" i="80"/>
  <c r="M406" i="80" s="1"/>
  <c r="L405" i="80"/>
  <c r="N406" i="80" s="1"/>
  <c r="BU406" i="80" l="1"/>
  <c r="O406" i="80"/>
  <c r="BT406" i="80"/>
  <c r="BY406" i="80" l="1"/>
  <c r="S406" i="80"/>
  <c r="P406" i="80"/>
  <c r="U406" i="80" s="1"/>
  <c r="T406" i="80" l="1"/>
  <c r="V406" i="80" s="1"/>
  <c r="Y406" i="80" s="1"/>
  <c r="X406" i="80"/>
  <c r="AD406" i="80" l="1"/>
  <c r="BX406" i="80"/>
  <c r="AP406" i="80"/>
  <c r="AQ406" i="80" s="1"/>
  <c r="AC406" i="80"/>
  <c r="R406" i="80" l="1"/>
  <c r="AO406" i="80"/>
  <c r="BV407" i="80"/>
  <c r="BE406" i="80"/>
  <c r="AF406" i="80"/>
  <c r="AE406" i="80"/>
  <c r="AR406" i="80"/>
  <c r="AS406" i="80"/>
  <c r="AH406" i="80" l="1"/>
  <c r="AI406" i="80" s="1"/>
  <c r="AJ406" i="80" s="1"/>
  <c r="AG406" i="80"/>
  <c r="AX406" i="80" l="1"/>
  <c r="AK406" i="80"/>
  <c r="AL406" i="80" s="1"/>
  <c r="BD406" i="80"/>
  <c r="AT406" i="80"/>
  <c r="AM406" i="80" l="1"/>
  <c r="AV406" i="80" s="1"/>
  <c r="BW407" i="80"/>
  <c r="AN406" i="80"/>
  <c r="AW406" i="80"/>
  <c r="AY406" i="80" l="1"/>
  <c r="BA406" i="80" s="1"/>
  <c r="AZ406" i="80" l="1"/>
  <c r="BB406" i="80"/>
  <c r="BF406" i="80"/>
  <c r="BG406" i="80" l="1"/>
  <c r="BH406" i="80" s="1"/>
  <c r="BI406" i="80" l="1"/>
  <c r="BJ406" i="80" l="1"/>
  <c r="BK406" i="80" s="1"/>
  <c r="BL406" i="80" s="1"/>
  <c r="BN406" i="80"/>
  <c r="Q406" i="80" s="1"/>
  <c r="BQ406" i="80" l="1"/>
  <c r="BO406" i="80"/>
  <c r="BR406" i="80" l="1"/>
  <c r="BS406" i="80" s="1"/>
  <c r="BP406" i="80"/>
  <c r="L406" i="80"/>
  <c r="N407" i="80" s="1"/>
  <c r="K406" i="80"/>
  <c r="M407" i="80" s="1"/>
  <c r="O407" i="80" l="1"/>
  <c r="BT407" i="80"/>
  <c r="BU407" i="80"/>
  <c r="S407" i="80" l="1"/>
  <c r="BY407" i="80"/>
  <c r="P407" i="80"/>
  <c r="U407" i="80" s="1"/>
  <c r="T407" i="80" l="1"/>
  <c r="V407" i="80" s="1"/>
  <c r="Y407" i="80" s="1"/>
  <c r="X407" i="80"/>
  <c r="AD407" i="80" l="1"/>
  <c r="BX407" i="80"/>
  <c r="AP407" i="80"/>
  <c r="AQ407" i="80" s="1"/>
  <c r="AC407" i="80"/>
  <c r="BE407" i="80" l="1"/>
  <c r="AO407" i="80"/>
  <c r="BV408" i="80"/>
  <c r="R407" i="80"/>
  <c r="AE407" i="80"/>
  <c r="AF407" i="80"/>
  <c r="AS407" i="80"/>
  <c r="AR407" i="80"/>
  <c r="AG407" i="80" l="1"/>
  <c r="AH407" i="80"/>
  <c r="AI407" i="80" s="1"/>
  <c r="AJ407" i="80" s="1"/>
  <c r="BD407" i="80" l="1"/>
  <c r="AK407" i="80"/>
  <c r="AL407" i="80" s="1"/>
  <c r="AX407" i="80"/>
  <c r="AT407" i="80"/>
  <c r="AM407" i="80" l="1"/>
  <c r="AV407" i="80" s="1"/>
  <c r="AN407" i="80"/>
  <c r="BW408" i="80"/>
  <c r="AW407" i="80"/>
  <c r="AY407" i="80" l="1"/>
  <c r="BA407" i="80" s="1"/>
  <c r="AZ407" i="80" l="1"/>
  <c r="BB407" i="80"/>
  <c r="BF407" i="80"/>
  <c r="BG407" i="80" l="1"/>
  <c r="BH407" i="80" s="1"/>
  <c r="BI407" i="80" l="1"/>
  <c r="BN407" i="80" l="1"/>
  <c r="Q407" i="80" s="1"/>
  <c r="BJ407" i="80"/>
  <c r="BK407" i="80" s="1"/>
  <c r="BL407" i="80" s="1"/>
  <c r="BQ407" i="80" l="1"/>
  <c r="BO407" i="80"/>
  <c r="BR407" i="80" l="1"/>
  <c r="BS407" i="80" s="1"/>
  <c r="BP407" i="80"/>
  <c r="K407" i="80"/>
  <c r="M408" i="80" s="1"/>
  <c r="L407" i="80"/>
  <c r="N408" i="80" s="1"/>
  <c r="O408" i="80" l="1"/>
  <c r="BT408" i="80"/>
  <c r="BU408" i="80"/>
  <c r="BY408" i="80" l="1"/>
  <c r="P408" i="80"/>
  <c r="U408" i="80" s="1"/>
  <c r="S408" i="80"/>
  <c r="T408" i="80" l="1"/>
  <c r="V408" i="80" s="1"/>
  <c r="Y408" i="80" s="1"/>
  <c r="X408" i="80"/>
  <c r="BX408" i="80" l="1"/>
  <c r="AD408" i="80"/>
  <c r="AP408" i="80"/>
  <c r="AQ408" i="80" s="1"/>
  <c r="AC408" i="80"/>
  <c r="BE408" i="80" l="1"/>
  <c r="AO408" i="80"/>
  <c r="BV409" i="80"/>
  <c r="R408" i="80"/>
  <c r="AS408" i="80"/>
  <c r="AR408" i="80"/>
  <c r="AF408" i="80"/>
  <c r="AE408" i="80"/>
  <c r="AG408" i="80" l="1"/>
  <c r="AH408" i="80"/>
  <c r="AI408" i="80" s="1"/>
  <c r="AJ408" i="80" s="1"/>
  <c r="AK408" i="80" l="1"/>
  <c r="AL408" i="80" s="1"/>
  <c r="BD408" i="80"/>
  <c r="AX408" i="80"/>
  <c r="AT408" i="80"/>
  <c r="AM408" i="80" l="1"/>
  <c r="AV408" i="80" s="1"/>
  <c r="BW409" i="80"/>
  <c r="AN408" i="80"/>
  <c r="AW408" i="80"/>
  <c r="AY408" i="80" l="1"/>
  <c r="BA408" i="80" s="1"/>
  <c r="AZ408" i="80" l="1"/>
  <c r="BB408" i="80"/>
  <c r="BF408" i="80"/>
  <c r="BG408" i="80" l="1"/>
  <c r="BH408" i="80" s="1"/>
  <c r="BI408" i="80" l="1"/>
  <c r="BN408" i="80" l="1"/>
  <c r="Q408" i="80" s="1"/>
  <c r="BJ408" i="80"/>
  <c r="BK408" i="80" s="1"/>
  <c r="BL408" i="80" s="1"/>
  <c r="BQ408" i="80" l="1"/>
  <c r="BO408" i="80"/>
  <c r="BR408" i="80" l="1"/>
  <c r="BS408" i="80" s="1"/>
  <c r="BP408" i="80"/>
  <c r="L408" i="80"/>
  <c r="N409" i="80" s="1"/>
  <c r="K408" i="80"/>
  <c r="M409" i="80" s="1"/>
  <c r="O409" i="80" l="1"/>
  <c r="BT409" i="80"/>
  <c r="BU409" i="80"/>
  <c r="P409" i="80" l="1"/>
  <c r="U409" i="80" s="1"/>
  <c r="S409" i="80"/>
  <c r="BY409" i="80"/>
  <c r="T409" i="80" l="1"/>
  <c r="V409" i="80" s="1"/>
  <c r="X409" i="80"/>
  <c r="Y409" i="80" l="1"/>
  <c r="AD409" i="80" s="1"/>
  <c r="AC409" i="80"/>
  <c r="AP409" i="80" l="1"/>
  <c r="AQ409" i="80" s="1"/>
  <c r="AR409" i="80" s="1"/>
  <c r="BX409" i="80"/>
  <c r="R409" i="80"/>
  <c r="BE409" i="80"/>
  <c r="BV410" i="80"/>
  <c r="AO409" i="80"/>
  <c r="AF409" i="80"/>
  <c r="AE409" i="80"/>
  <c r="AS409" i="80" l="1"/>
  <c r="AH409" i="80"/>
  <c r="AI409" i="80" s="1"/>
  <c r="AJ409" i="80" s="1"/>
  <c r="AG409" i="80"/>
  <c r="AK409" i="80" l="1"/>
  <c r="AL409" i="80" s="1"/>
  <c r="BD409" i="80"/>
  <c r="AX409" i="80"/>
  <c r="AT409" i="80"/>
  <c r="AM409" i="80" l="1"/>
  <c r="AV409" i="80" s="1"/>
  <c r="BW410" i="80"/>
  <c r="AN409" i="80"/>
  <c r="AW409" i="80"/>
  <c r="AY409" i="80" l="1"/>
  <c r="BA409" i="80" s="1"/>
  <c r="AZ409" i="80" l="1"/>
  <c r="BB409" i="80"/>
  <c r="BF409" i="80"/>
  <c r="BG409" i="80" l="1"/>
  <c r="BH409" i="80" s="1"/>
  <c r="BI409" i="80" l="1"/>
  <c r="BJ409" i="80" l="1"/>
  <c r="BK409" i="80" s="1"/>
  <c r="BL409" i="80" s="1"/>
  <c r="BN409" i="80"/>
  <c r="Q409" i="80" s="1"/>
  <c r="BQ409" i="80" l="1"/>
  <c r="BO409" i="80"/>
  <c r="BR409" i="80" l="1"/>
  <c r="BS409" i="80" s="1"/>
  <c r="BP409" i="80"/>
  <c r="K409" i="80"/>
  <c r="M410" i="80" s="1"/>
  <c r="L409" i="80"/>
  <c r="N410" i="80" s="1"/>
  <c r="BU410" i="80" l="1"/>
  <c r="O410" i="80"/>
  <c r="BT410" i="80"/>
  <c r="BY410" i="80" l="1"/>
  <c r="P410" i="80"/>
  <c r="U410" i="80" s="1"/>
  <c r="S410" i="80"/>
  <c r="T410" i="80" l="1"/>
  <c r="V410" i="80" s="1"/>
  <c r="Y410" i="80" s="1"/>
  <c r="X410" i="80"/>
  <c r="AP410" i="80" l="1"/>
  <c r="AQ410" i="80" s="1"/>
  <c r="BX410" i="80"/>
  <c r="AD410" i="80"/>
  <c r="AC410" i="80"/>
  <c r="BE410" i="80" l="1"/>
  <c r="AO410" i="80"/>
  <c r="BV411" i="80"/>
  <c r="R410" i="80"/>
  <c r="AF410" i="80"/>
  <c r="AE410" i="80"/>
  <c r="AR410" i="80"/>
  <c r="AS410" i="80"/>
  <c r="AG410" i="80" l="1"/>
  <c r="AH410" i="80"/>
  <c r="AI410" i="80" s="1"/>
  <c r="AJ410" i="80" s="1"/>
  <c r="AK410" i="80" l="1"/>
  <c r="AL410" i="80" s="1"/>
  <c r="AX410" i="80"/>
  <c r="BD410" i="80"/>
  <c r="AT410" i="80"/>
  <c r="AM410" i="80" l="1"/>
  <c r="AV410" i="80" s="1"/>
  <c r="AN410" i="80"/>
  <c r="BW411" i="80"/>
  <c r="AW410" i="80"/>
  <c r="AY410" i="80" l="1"/>
  <c r="BA410" i="80" s="1"/>
  <c r="AZ410" i="80" l="1"/>
  <c r="BB410" i="80"/>
  <c r="BF410" i="80"/>
  <c r="BG410" i="80" l="1"/>
  <c r="BH410" i="80" s="1"/>
  <c r="BI410" i="80" l="1"/>
  <c r="BJ410" i="80" l="1"/>
  <c r="BK410" i="80" s="1"/>
  <c r="BL410" i="80" s="1"/>
  <c r="BN410" i="80"/>
  <c r="Q410" i="80" s="1"/>
  <c r="BQ410" i="80" l="1"/>
  <c r="BO410" i="80"/>
  <c r="BR410" i="80" l="1"/>
  <c r="BS410" i="80" s="1"/>
  <c r="BP410" i="80"/>
  <c r="L410" i="80"/>
  <c r="N411" i="80" s="1"/>
  <c r="K410" i="80"/>
  <c r="M411" i="80" s="1"/>
  <c r="O411" i="80" l="1"/>
  <c r="BT411" i="80"/>
  <c r="BU411" i="80"/>
  <c r="S411" i="80" l="1"/>
  <c r="BY411" i="80"/>
  <c r="P411" i="80"/>
  <c r="U411" i="80" s="1"/>
  <c r="T411" i="80" l="1"/>
  <c r="V411" i="80" s="1"/>
  <c r="X411" i="80"/>
  <c r="Y411" i="80" l="1"/>
  <c r="AP411" i="80" s="1"/>
  <c r="AQ411" i="80" s="1"/>
  <c r="AC411" i="80"/>
  <c r="AD411" i="80" l="1"/>
  <c r="AE411" i="80" s="1"/>
  <c r="BX411" i="80"/>
  <c r="R411" i="80"/>
  <c r="BE411" i="80"/>
  <c r="BV412" i="80"/>
  <c r="AO411" i="80"/>
  <c r="AR411" i="80"/>
  <c r="AS411" i="80"/>
  <c r="AF411" i="80" l="1"/>
  <c r="AG411" i="80" s="1"/>
  <c r="AH411" i="80" l="1"/>
  <c r="AI411" i="80" s="1"/>
  <c r="AJ411" i="80" s="1"/>
  <c r="BD411" i="80"/>
  <c r="AK411" i="80"/>
  <c r="AL411" i="80" s="1"/>
  <c r="AX411" i="80"/>
  <c r="AT411" i="80"/>
  <c r="AM411" i="80" l="1"/>
  <c r="AV411" i="80" s="1"/>
  <c r="AN411" i="80"/>
  <c r="BW412" i="80"/>
  <c r="AW411" i="80"/>
  <c r="AY411" i="80" l="1"/>
  <c r="BA411" i="80" s="1"/>
  <c r="AZ411" i="80" l="1"/>
  <c r="BB411" i="80"/>
  <c r="BF411" i="80"/>
  <c r="BG411" i="80" l="1"/>
  <c r="BH411" i="80" s="1"/>
  <c r="BI411" i="80" l="1"/>
  <c r="BN411" i="80" l="1"/>
  <c r="Q411" i="80" s="1"/>
  <c r="BJ411" i="80"/>
  <c r="BK411" i="80" s="1"/>
  <c r="BL411" i="80" s="1"/>
  <c r="BQ411" i="80" l="1"/>
  <c r="BO411" i="80"/>
  <c r="BR411" i="80" l="1"/>
  <c r="BS411" i="80" s="1"/>
  <c r="BP411" i="80"/>
  <c r="K411" i="80"/>
  <c r="M412" i="80" s="1"/>
  <c r="L411" i="80"/>
  <c r="N412" i="80" s="1"/>
  <c r="O412" i="80" l="1"/>
  <c r="BT412" i="80"/>
  <c r="BU412" i="80"/>
  <c r="P412" i="80" l="1"/>
  <c r="U412" i="80" s="1"/>
  <c r="BY412" i="80"/>
  <c r="S412" i="80"/>
  <c r="T412" i="80" l="1"/>
  <c r="V412" i="80" s="1"/>
  <c r="Y412" i="80" s="1"/>
  <c r="X412" i="80"/>
  <c r="BX412" i="80" l="1"/>
  <c r="AP412" i="80"/>
  <c r="AQ412" i="80" s="1"/>
  <c r="AD412" i="80"/>
  <c r="AC412" i="80"/>
  <c r="BE412" i="80" l="1"/>
  <c r="AO412" i="80"/>
  <c r="BV413" i="80"/>
  <c r="R412" i="80"/>
  <c r="AF412" i="80"/>
  <c r="AE412" i="80"/>
  <c r="AR412" i="80"/>
  <c r="AS412" i="80"/>
  <c r="AH412" i="80" l="1"/>
  <c r="AI412" i="80" s="1"/>
  <c r="AJ412" i="80" s="1"/>
  <c r="AG412" i="80"/>
  <c r="BD412" i="80" l="1"/>
  <c r="AK412" i="80"/>
  <c r="AL412" i="80" s="1"/>
  <c r="AX412" i="80"/>
  <c r="AT412" i="80"/>
  <c r="AM412" i="80" l="1"/>
  <c r="AV412" i="80" s="1"/>
  <c r="BW413" i="80"/>
  <c r="AN412" i="80"/>
  <c r="AW412" i="80"/>
  <c r="AY412" i="80" l="1"/>
  <c r="BA412" i="80" s="1"/>
  <c r="AZ412" i="80" l="1"/>
  <c r="BB412" i="80"/>
  <c r="BF412" i="80"/>
  <c r="BG412" i="80" l="1"/>
  <c r="BH412" i="80" s="1"/>
  <c r="BI412" i="80" l="1"/>
  <c r="BJ412" i="80" l="1"/>
  <c r="BK412" i="80" s="1"/>
  <c r="BL412" i="80" s="1"/>
  <c r="BN412" i="80"/>
  <c r="Q412" i="80" s="1"/>
  <c r="BQ412" i="80" l="1"/>
  <c r="BO412" i="80"/>
  <c r="BR412" i="80" l="1"/>
  <c r="BS412" i="80" s="1"/>
  <c r="BP412" i="80"/>
  <c r="K412" i="80"/>
  <c r="M413" i="80" s="1"/>
  <c r="L412" i="80"/>
  <c r="N413" i="80" s="1"/>
  <c r="O413" i="80" l="1"/>
  <c r="BT413" i="80"/>
  <c r="BU413" i="80"/>
  <c r="P413" i="80" l="1"/>
  <c r="U413" i="80" s="1"/>
  <c r="S413" i="80"/>
  <c r="BY413" i="80"/>
  <c r="T413" i="80" l="1"/>
  <c r="V413" i="80" s="1"/>
  <c r="Y413" i="80" s="1"/>
  <c r="X413" i="80"/>
  <c r="AD413" i="80" l="1"/>
  <c r="AP413" i="80"/>
  <c r="AQ413" i="80" s="1"/>
  <c r="BX413" i="80"/>
  <c r="AC413" i="80"/>
  <c r="R413" i="80" l="1"/>
  <c r="AO413" i="80"/>
  <c r="BE413" i="80"/>
  <c r="BV414" i="80"/>
  <c r="AE413" i="80"/>
  <c r="AF413" i="80"/>
  <c r="AS413" i="80"/>
  <c r="AR413" i="80"/>
  <c r="AG413" i="80" l="1"/>
  <c r="AH413" i="80"/>
  <c r="AI413" i="80" s="1"/>
  <c r="AJ413" i="80" s="1"/>
  <c r="AK413" i="80" l="1"/>
  <c r="AL413" i="80" s="1"/>
  <c r="AX413" i="80"/>
  <c r="BD413" i="80"/>
  <c r="AT413" i="80"/>
  <c r="AM413" i="80" l="1"/>
  <c r="AV413" i="80" s="1"/>
  <c r="BW414" i="80"/>
  <c r="AN413" i="80"/>
  <c r="AW413" i="80"/>
  <c r="AY413" i="80" l="1"/>
  <c r="BA413" i="80" s="1"/>
  <c r="AZ413" i="80" l="1"/>
  <c r="BB413" i="80"/>
  <c r="BF413" i="80"/>
  <c r="BG413" i="80" l="1"/>
  <c r="BH413" i="80" s="1"/>
  <c r="BI413" i="80" l="1"/>
  <c r="BJ413" i="80" l="1"/>
  <c r="BK413" i="80" s="1"/>
  <c r="BL413" i="80" s="1"/>
  <c r="BN413" i="80"/>
  <c r="Q413" i="80" s="1"/>
  <c r="BQ413" i="80" l="1"/>
  <c r="BO413" i="80"/>
  <c r="BR413" i="80" l="1"/>
  <c r="BS413" i="80" s="1"/>
  <c r="BP413" i="80"/>
  <c r="K413" i="80"/>
  <c r="M414" i="80" s="1"/>
  <c r="L413" i="80"/>
  <c r="N414" i="80" s="1"/>
  <c r="BU414" i="80" l="1"/>
  <c r="O414" i="80"/>
  <c r="BT414" i="80"/>
  <c r="P414" i="80" l="1"/>
  <c r="U414" i="80" s="1"/>
  <c r="S414" i="80"/>
  <c r="BY414" i="80"/>
  <c r="T414" i="80" l="1"/>
  <c r="V414" i="80" s="1"/>
  <c r="X414" i="80"/>
  <c r="Y414" i="80" l="1"/>
  <c r="AP414" i="80" s="1"/>
  <c r="AQ414" i="80" s="1"/>
  <c r="AC414" i="80"/>
  <c r="AD414" i="80" l="1"/>
  <c r="AE414" i="80" s="1"/>
  <c r="BX414" i="80"/>
  <c r="AO414" i="80"/>
  <c r="BE414" i="80"/>
  <c r="R414" i="80"/>
  <c r="BV415" i="80"/>
  <c r="AR414" i="80"/>
  <c r="AS414" i="80"/>
  <c r="AF414" i="80" l="1"/>
  <c r="AG414" i="80" s="1"/>
  <c r="AH414" i="80" l="1"/>
  <c r="AI414" i="80" s="1"/>
  <c r="AJ414" i="80" s="1"/>
  <c r="BD414" i="80"/>
  <c r="AK414" i="80"/>
  <c r="AL414" i="80" s="1"/>
  <c r="AX414" i="80"/>
  <c r="AT414" i="80"/>
  <c r="AM414" i="80" l="1"/>
  <c r="AV414" i="80" s="1"/>
  <c r="BW415" i="80"/>
  <c r="AN414" i="80"/>
  <c r="AW414" i="80"/>
  <c r="AY414" i="80" l="1"/>
  <c r="BA414" i="80" s="1"/>
  <c r="AZ414" i="80" l="1"/>
  <c r="BB414" i="80"/>
  <c r="BF414" i="80"/>
  <c r="BG414" i="80" l="1"/>
  <c r="BH414" i="80" s="1"/>
  <c r="BI414" i="80" l="1"/>
  <c r="BJ414" i="80" l="1"/>
  <c r="BK414" i="80" s="1"/>
  <c r="BL414" i="80" s="1"/>
  <c r="BN414" i="80"/>
  <c r="Q414" i="80" s="1"/>
  <c r="BQ414" i="80" l="1"/>
  <c r="BO414" i="80"/>
  <c r="BR414" i="80" l="1"/>
  <c r="BS414" i="80" s="1"/>
  <c r="BP414" i="80"/>
  <c r="L414" i="80"/>
  <c r="N415" i="80" s="1"/>
  <c r="K414" i="80"/>
  <c r="M415" i="80" s="1"/>
  <c r="O415" i="80" l="1"/>
  <c r="BT415" i="80"/>
  <c r="BU415" i="80"/>
  <c r="S415" i="80" l="1"/>
  <c r="P415" i="80"/>
  <c r="U415" i="80" s="1"/>
  <c r="BY415" i="80"/>
  <c r="T415" i="80" l="1"/>
  <c r="V415" i="80" s="1"/>
  <c r="Y415" i="80" s="1"/>
  <c r="X415" i="80"/>
  <c r="AD415" i="80" l="1"/>
  <c r="BX415" i="80"/>
  <c r="AP415" i="80"/>
  <c r="AQ415" i="80" s="1"/>
  <c r="AC415" i="80"/>
  <c r="BE415" i="80" l="1"/>
  <c r="AO415" i="80"/>
  <c r="BV416" i="80"/>
  <c r="R415" i="80"/>
  <c r="AE415" i="80"/>
  <c r="AF415" i="80"/>
  <c r="AS415" i="80"/>
  <c r="AR415" i="80"/>
  <c r="AH415" i="80" l="1"/>
  <c r="AI415" i="80" s="1"/>
  <c r="AJ415" i="80" s="1"/>
  <c r="AG415" i="80"/>
  <c r="AK415" i="80" l="1"/>
  <c r="AL415" i="80" s="1"/>
  <c r="BD415" i="80"/>
  <c r="AX415" i="80"/>
  <c r="AT415" i="80"/>
  <c r="AM415" i="80" l="1"/>
  <c r="AV415" i="80" s="1"/>
  <c r="AN415" i="80"/>
  <c r="BW416" i="80"/>
  <c r="AW415" i="80"/>
  <c r="AY415" i="80" l="1"/>
  <c r="BA415" i="80" s="1"/>
  <c r="AZ415" i="80" l="1"/>
  <c r="BB415" i="80"/>
  <c r="BF415" i="80"/>
  <c r="BG415" i="80" l="1"/>
  <c r="BH415" i="80" s="1"/>
  <c r="BI415" i="80" l="1"/>
  <c r="BJ415" i="80" l="1"/>
  <c r="BK415" i="80" s="1"/>
  <c r="BL415" i="80" s="1"/>
  <c r="BN415" i="80"/>
  <c r="Q415" i="80" s="1"/>
  <c r="BQ415" i="80" l="1"/>
  <c r="BO415" i="80"/>
  <c r="BR415" i="80" l="1"/>
  <c r="BS415" i="80" s="1"/>
  <c r="BP415" i="80"/>
  <c r="K415" i="80"/>
  <c r="M416" i="80" s="1"/>
  <c r="L415" i="80"/>
  <c r="N416" i="80" s="1"/>
  <c r="BU416" i="80" l="1"/>
  <c r="O416" i="80"/>
  <c r="BT416" i="80"/>
  <c r="S416" i="80" l="1"/>
  <c r="P416" i="80"/>
  <c r="U416" i="80" s="1"/>
  <c r="BY416" i="80"/>
  <c r="T416" i="80" l="1"/>
  <c r="V416" i="80" s="1"/>
  <c r="Y416" i="80" s="1"/>
  <c r="X416" i="80"/>
  <c r="AD416" i="80" l="1"/>
  <c r="BX416" i="80"/>
  <c r="AP416" i="80"/>
  <c r="AQ416" i="80" s="1"/>
  <c r="AC416" i="80"/>
  <c r="R416" i="80" l="1"/>
  <c r="AO416" i="80"/>
  <c r="BV417" i="80"/>
  <c r="BE416" i="80"/>
  <c r="AE416" i="80"/>
  <c r="AF416" i="80"/>
  <c r="AR416" i="80"/>
  <c r="AS416" i="80"/>
  <c r="AG416" i="80" l="1"/>
  <c r="AH416" i="80"/>
  <c r="AI416" i="80" s="1"/>
  <c r="AJ416" i="80" s="1"/>
  <c r="AX416" i="80" l="1"/>
  <c r="BD416" i="80"/>
  <c r="AK416" i="80"/>
  <c r="AL416" i="80" s="1"/>
  <c r="AT416" i="80"/>
  <c r="AM416" i="80" l="1"/>
  <c r="AV416" i="80" s="1"/>
  <c r="AN416" i="80"/>
  <c r="BW417" i="80"/>
  <c r="AW416" i="80"/>
  <c r="AY416" i="80" l="1"/>
  <c r="BA416" i="80" s="1"/>
  <c r="AZ416" i="80" l="1"/>
  <c r="BB416" i="80"/>
  <c r="BF416" i="80"/>
  <c r="BG416" i="80" l="1"/>
  <c r="BH416" i="80" s="1"/>
  <c r="BI416" i="80" l="1"/>
  <c r="BJ416" i="80" l="1"/>
  <c r="BK416" i="80" s="1"/>
  <c r="BL416" i="80" s="1"/>
  <c r="BN416" i="80"/>
  <c r="Q416" i="80" s="1"/>
  <c r="BQ416" i="80" l="1"/>
  <c r="BO416" i="80"/>
  <c r="BR416" i="80" l="1"/>
  <c r="BS416" i="80" s="1"/>
  <c r="BP416" i="80"/>
  <c r="L416" i="80"/>
  <c r="N417" i="80" s="1"/>
  <c r="K416" i="80"/>
  <c r="M417" i="80" s="1"/>
  <c r="O417" i="80" l="1"/>
  <c r="BT417" i="80"/>
  <c r="BU417" i="80"/>
  <c r="P417" i="80" l="1"/>
  <c r="U417" i="80" s="1"/>
  <c r="BY417" i="80"/>
  <c r="S417" i="80"/>
  <c r="T417" i="80" l="1"/>
  <c r="V417" i="80" s="1"/>
  <c r="Y417" i="80" s="1"/>
  <c r="X417" i="80"/>
  <c r="AP417" i="80" l="1"/>
  <c r="AQ417" i="80" s="1"/>
  <c r="BX417" i="80"/>
  <c r="AD417" i="80"/>
  <c r="AC417" i="80"/>
  <c r="R417" i="80" l="1"/>
  <c r="AO417" i="80"/>
  <c r="BE417" i="80"/>
  <c r="BV418" i="80"/>
  <c r="AR417" i="80"/>
  <c r="AS417" i="80"/>
  <c r="AE417" i="80"/>
  <c r="AF417" i="80"/>
  <c r="AG417" i="80" l="1"/>
  <c r="AH417" i="80"/>
  <c r="AI417" i="80" s="1"/>
  <c r="AJ417" i="80" s="1"/>
  <c r="AK417" i="80" l="1"/>
  <c r="AL417" i="80" s="1"/>
  <c r="BD417" i="80"/>
  <c r="AX417" i="80"/>
  <c r="AT417" i="80"/>
  <c r="AM417" i="80" l="1"/>
  <c r="AV417" i="80" s="1"/>
  <c r="AN417" i="80"/>
  <c r="BW418" i="80"/>
  <c r="AW417" i="80"/>
  <c r="AY417" i="80" l="1"/>
  <c r="BA417" i="80" s="1"/>
  <c r="AZ417" i="80" l="1"/>
  <c r="BB417" i="80"/>
  <c r="BF417" i="80"/>
  <c r="BG417" i="80" l="1"/>
  <c r="BH417" i="80" s="1"/>
  <c r="BI417" i="80" l="1"/>
  <c r="BJ417" i="80" l="1"/>
  <c r="BK417" i="80" s="1"/>
  <c r="BL417" i="80" s="1"/>
  <c r="BN417" i="80"/>
  <c r="Q417" i="80" s="1"/>
  <c r="BQ417" i="80" l="1"/>
  <c r="BO417" i="80"/>
  <c r="BR417" i="80" l="1"/>
  <c r="BS417" i="80" s="1"/>
  <c r="BP417" i="80"/>
  <c r="K417" i="80"/>
  <c r="M418" i="80" s="1"/>
  <c r="L417" i="80"/>
  <c r="N418" i="80" s="1"/>
  <c r="O418" i="80" l="1"/>
  <c r="BT418" i="80"/>
  <c r="BU418" i="80"/>
  <c r="BY418" i="80" l="1"/>
  <c r="S418" i="80"/>
  <c r="P418" i="80"/>
  <c r="U418" i="80" s="1"/>
  <c r="T418" i="80" l="1"/>
  <c r="V418" i="80" s="1"/>
  <c r="X418" i="80"/>
  <c r="Y418" i="80" l="1"/>
  <c r="AP418" i="80" s="1"/>
  <c r="AQ418" i="80" s="1"/>
  <c r="AC418" i="80"/>
  <c r="BE418" i="80" l="1"/>
  <c r="BV419" i="80"/>
  <c r="R418" i="80"/>
  <c r="AO418" i="80"/>
  <c r="AD418" i="80"/>
  <c r="AE418" i="80" s="1"/>
  <c r="BX418" i="80"/>
  <c r="AR418" i="80"/>
  <c r="AS418" i="80"/>
  <c r="AF418" i="80" l="1"/>
  <c r="AG418" i="80" s="1"/>
  <c r="AH418" i="80" l="1"/>
  <c r="AI418" i="80" s="1"/>
  <c r="AJ418" i="80" s="1"/>
  <c r="BD418" i="80"/>
  <c r="AX418" i="80"/>
  <c r="AK418" i="80"/>
  <c r="AL418" i="80" s="1"/>
  <c r="AT418" i="80"/>
  <c r="AM418" i="80" l="1"/>
  <c r="AV418" i="80" s="1"/>
  <c r="BW419" i="80"/>
  <c r="AN418" i="80"/>
  <c r="AW418" i="80"/>
  <c r="AY418" i="80" l="1"/>
  <c r="BA418" i="80" s="1"/>
  <c r="AZ418" i="80" l="1"/>
  <c r="BB418" i="80"/>
  <c r="BF418" i="80"/>
  <c r="BG418" i="80" l="1"/>
  <c r="BH418" i="80" s="1"/>
  <c r="BI418" i="80" l="1"/>
  <c r="BJ418" i="80" l="1"/>
  <c r="BK418" i="80" s="1"/>
  <c r="BL418" i="80" s="1"/>
  <c r="BN418" i="80"/>
  <c r="Q418" i="80" s="1"/>
  <c r="BQ418" i="80" l="1"/>
  <c r="BO418" i="80"/>
  <c r="BR418" i="80" l="1"/>
  <c r="BS418" i="80" s="1"/>
  <c r="BP418" i="80"/>
  <c r="K418" i="80"/>
  <c r="M419" i="80" s="1"/>
  <c r="L418" i="80"/>
  <c r="N419" i="80" s="1"/>
  <c r="BU419" i="80" l="1"/>
  <c r="O419" i="80"/>
  <c r="BT419" i="80"/>
  <c r="S419" i="80" l="1"/>
  <c r="BY419" i="80"/>
  <c r="P419" i="80"/>
  <c r="U419" i="80" s="1"/>
  <c r="T419" i="80" l="1"/>
  <c r="V419" i="80" s="1"/>
  <c r="X419" i="80"/>
  <c r="Y419" i="80" l="1"/>
  <c r="AP419" i="80" s="1"/>
  <c r="AQ419" i="80" s="1"/>
  <c r="AC419" i="80"/>
  <c r="AD419" i="80" l="1"/>
  <c r="AE419" i="80" s="1"/>
  <c r="BX419" i="80"/>
  <c r="BE419" i="80"/>
  <c r="R419" i="80"/>
  <c r="BV420" i="80"/>
  <c r="AO419" i="80"/>
  <c r="AR419" i="80"/>
  <c r="AS419" i="80"/>
  <c r="AF419" i="80" l="1"/>
  <c r="AG419" i="80" s="1"/>
  <c r="AH419" i="80" l="1"/>
  <c r="AI419" i="80" s="1"/>
  <c r="AJ419" i="80" s="1"/>
  <c r="AX419" i="80"/>
  <c r="AK419" i="80"/>
  <c r="AL419" i="80" s="1"/>
  <c r="BD419" i="80"/>
  <c r="AT419" i="80"/>
  <c r="AM419" i="80" l="1"/>
  <c r="AV419" i="80" s="1"/>
  <c r="BW420" i="80"/>
  <c r="AN419" i="80"/>
  <c r="AW419" i="80"/>
  <c r="AY419" i="80" l="1"/>
  <c r="BA419" i="80" s="1"/>
  <c r="AZ419" i="80" l="1"/>
  <c r="BB419" i="80"/>
  <c r="BF419" i="80"/>
  <c r="BG419" i="80" l="1"/>
  <c r="BH419" i="80" s="1"/>
  <c r="BI419" i="80" l="1"/>
  <c r="BN419" i="80" l="1"/>
  <c r="Q419" i="80" s="1"/>
  <c r="BJ419" i="80"/>
  <c r="BK419" i="80" s="1"/>
  <c r="BL419" i="80" s="1"/>
  <c r="BQ419" i="80" l="1"/>
  <c r="BO419" i="80"/>
  <c r="BR419" i="80" l="1"/>
  <c r="BS419" i="80" s="1"/>
  <c r="BP419" i="80"/>
  <c r="L419" i="80"/>
  <c r="N420" i="80" s="1"/>
  <c r="K419" i="80"/>
  <c r="M420" i="80" s="1"/>
  <c r="BU420" i="80" l="1"/>
  <c r="O420" i="80"/>
  <c r="BT420" i="80"/>
  <c r="S420" i="80" l="1"/>
  <c r="P420" i="80"/>
  <c r="U420" i="80" s="1"/>
  <c r="BY420" i="80"/>
  <c r="T420" i="80" l="1"/>
  <c r="V420" i="80" s="1"/>
  <c r="Y420" i="80" s="1"/>
  <c r="X420" i="80"/>
  <c r="AP420" i="80" l="1"/>
  <c r="AQ420" i="80" s="1"/>
  <c r="AD420" i="80"/>
  <c r="BX420" i="80"/>
  <c r="AC420" i="80"/>
  <c r="BE420" i="80" l="1"/>
  <c r="AO420" i="80"/>
  <c r="BV421" i="80"/>
  <c r="R420" i="80"/>
  <c r="AF420" i="80"/>
  <c r="AE420" i="80"/>
  <c r="AR420" i="80"/>
  <c r="AS420" i="80"/>
  <c r="AG420" i="80" l="1"/>
  <c r="AH420" i="80"/>
  <c r="AI420" i="80" s="1"/>
  <c r="AJ420" i="80" s="1"/>
  <c r="BD420" i="80" l="1"/>
  <c r="AX420" i="80"/>
  <c r="AK420" i="80"/>
  <c r="AL420" i="80" s="1"/>
  <c r="AT420" i="80"/>
  <c r="AM420" i="80" l="1"/>
  <c r="AV420" i="80" s="1"/>
  <c r="AN420" i="80"/>
  <c r="BW421" i="80"/>
  <c r="AW420" i="80"/>
  <c r="AY420" i="80" l="1"/>
  <c r="BA420" i="80" s="1"/>
  <c r="AZ420" i="80" l="1"/>
  <c r="BB420" i="80"/>
  <c r="BF420" i="80"/>
  <c r="BG420" i="80" l="1"/>
  <c r="BH420" i="80" s="1"/>
  <c r="BI420" i="80" l="1"/>
  <c r="BJ420" i="80" l="1"/>
  <c r="BK420" i="80" s="1"/>
  <c r="BL420" i="80" s="1"/>
  <c r="BN420" i="80"/>
  <c r="Q420" i="80" s="1"/>
  <c r="BQ420" i="80" l="1"/>
  <c r="BO420" i="80"/>
  <c r="BR420" i="80" l="1"/>
  <c r="BS420" i="80" s="1"/>
  <c r="BP420" i="80"/>
  <c r="L420" i="80"/>
  <c r="N421" i="80" s="1"/>
  <c r="K420" i="80"/>
  <c r="M421" i="80" s="1"/>
  <c r="BU421" i="80" l="1"/>
  <c r="O421" i="80"/>
  <c r="BT421" i="80"/>
  <c r="S421" i="80" l="1"/>
  <c r="BY421" i="80"/>
  <c r="P421" i="80"/>
  <c r="U421" i="80" s="1"/>
  <c r="T421" i="80" l="1"/>
  <c r="V421" i="80" s="1"/>
  <c r="X421" i="80"/>
  <c r="Y421" i="80" l="1"/>
  <c r="AP421" i="80" s="1"/>
  <c r="AQ421" i="80" s="1"/>
  <c r="AC421" i="80"/>
  <c r="BE421" i="80" l="1"/>
  <c r="R421" i="80"/>
  <c r="BV422" i="80"/>
  <c r="BX421" i="80"/>
  <c r="AD421" i="80"/>
  <c r="AE421" i="80" s="1"/>
  <c r="AO421" i="80"/>
  <c r="AR421" i="80"/>
  <c r="AS421" i="80"/>
  <c r="AF421" i="80" l="1"/>
  <c r="AH421" i="80" s="1"/>
  <c r="AI421" i="80" s="1"/>
  <c r="AJ421" i="80" s="1"/>
  <c r="AG421" i="80" l="1"/>
  <c r="AK421" i="80" s="1"/>
  <c r="AL421" i="80" s="1"/>
  <c r="AT421" i="80" l="1"/>
  <c r="AX421" i="80"/>
  <c r="BD421" i="80"/>
  <c r="AM421" i="80"/>
  <c r="AV421" i="80" s="1"/>
  <c r="AN421" i="80"/>
  <c r="BW422" i="80"/>
  <c r="AW421" i="80"/>
  <c r="AY421" i="80" l="1"/>
  <c r="BA421" i="80" s="1"/>
  <c r="AZ421" i="80" l="1"/>
  <c r="BB421" i="80"/>
  <c r="BF421" i="80"/>
  <c r="BG421" i="80" l="1"/>
  <c r="BH421" i="80" s="1"/>
  <c r="BI421" i="80" l="1"/>
  <c r="BJ421" i="80" l="1"/>
  <c r="BK421" i="80" s="1"/>
  <c r="BL421" i="80" s="1"/>
  <c r="BN421" i="80"/>
  <c r="Q421" i="80" s="1"/>
  <c r="BQ421" i="80" l="1"/>
  <c r="BO421" i="80"/>
  <c r="BR421" i="80" l="1"/>
  <c r="BS421" i="80" s="1"/>
  <c r="BP421" i="80"/>
  <c r="L421" i="80"/>
  <c r="N422" i="80" s="1"/>
  <c r="K421" i="80"/>
  <c r="M422" i="80" s="1"/>
  <c r="BT422" i="80" l="1"/>
  <c r="O422" i="80"/>
  <c r="BU422" i="80"/>
  <c r="S422" i="80" l="1"/>
  <c r="P422" i="80"/>
  <c r="U422" i="80" s="1"/>
  <c r="BY422" i="80"/>
  <c r="T422" i="80" l="1"/>
  <c r="V422" i="80" s="1"/>
  <c r="X422" i="80"/>
  <c r="Y422" i="80" l="1"/>
  <c r="AP422" i="80" s="1"/>
  <c r="AQ422" i="80" s="1"/>
  <c r="AC422" i="80"/>
  <c r="AD422" i="80" l="1"/>
  <c r="AF422" i="80" s="1"/>
  <c r="BX422" i="80"/>
  <c r="R422" i="80"/>
  <c r="AO422" i="80"/>
  <c r="BE422" i="80"/>
  <c r="BV423" i="80"/>
  <c r="AR422" i="80"/>
  <c r="AS422" i="80"/>
  <c r="AE422" i="80" l="1"/>
  <c r="AH422" i="80"/>
  <c r="AI422" i="80" s="1"/>
  <c r="AJ422" i="80" s="1"/>
  <c r="AG422" i="80"/>
  <c r="AX422" i="80" l="1"/>
  <c r="AK422" i="80"/>
  <c r="AL422" i="80" s="1"/>
  <c r="BD422" i="80"/>
  <c r="AT422" i="80"/>
  <c r="AM422" i="80" l="1"/>
  <c r="AV422" i="80" s="1"/>
  <c r="BW423" i="80"/>
  <c r="AN422" i="80"/>
  <c r="AW422" i="80"/>
  <c r="AY422" i="80" l="1"/>
  <c r="BA422" i="80" s="1"/>
  <c r="AZ422" i="80" l="1"/>
  <c r="BB422" i="80"/>
  <c r="BF422" i="80"/>
  <c r="BG422" i="80" l="1"/>
  <c r="BH422" i="80" s="1"/>
  <c r="BI422" i="80" l="1"/>
  <c r="BN422" i="80" l="1"/>
  <c r="Q422" i="80" s="1"/>
  <c r="BJ422" i="80"/>
  <c r="BK422" i="80" s="1"/>
  <c r="BL422" i="80" s="1"/>
  <c r="BQ422" i="80" l="1"/>
  <c r="BO422" i="80"/>
  <c r="BR422" i="80" l="1"/>
  <c r="BS422" i="80" s="1"/>
  <c r="BP422" i="80"/>
  <c r="L422" i="80"/>
  <c r="N423" i="80" s="1"/>
  <c r="K422" i="80"/>
  <c r="M423" i="80" s="1"/>
  <c r="O423" i="80" l="1"/>
  <c r="BT423" i="80"/>
  <c r="BU423" i="80"/>
  <c r="P423" i="80" l="1"/>
  <c r="U423" i="80" s="1"/>
  <c r="BY423" i="80"/>
  <c r="S423" i="80"/>
  <c r="T423" i="80" l="1"/>
  <c r="V423" i="80" s="1"/>
  <c r="Y423" i="80" s="1"/>
  <c r="X423" i="80"/>
  <c r="AP423" i="80" l="1"/>
  <c r="AQ423" i="80" s="1"/>
  <c r="AD423" i="80"/>
  <c r="BX423" i="80"/>
  <c r="AC423" i="80"/>
  <c r="BE423" i="80" l="1"/>
  <c r="AO423" i="80"/>
  <c r="R423" i="80"/>
  <c r="BV424" i="80"/>
  <c r="AF423" i="80"/>
  <c r="AE423" i="80"/>
  <c r="AR423" i="80"/>
  <c r="AS423" i="80"/>
  <c r="AG423" i="80" l="1"/>
  <c r="AH423" i="80"/>
  <c r="AI423" i="80" s="1"/>
  <c r="AJ423" i="80" s="1"/>
  <c r="AK423" i="80" l="1"/>
  <c r="AL423" i="80" s="1"/>
  <c r="AX423" i="80"/>
  <c r="BD423" i="80"/>
  <c r="AT423" i="80"/>
  <c r="AM423" i="80" l="1"/>
  <c r="AV423" i="80" s="1"/>
  <c r="AN423" i="80"/>
  <c r="BW424" i="80"/>
  <c r="AW423" i="80"/>
  <c r="AY423" i="80" l="1"/>
  <c r="BA423" i="80" s="1"/>
  <c r="AZ423" i="80" l="1"/>
  <c r="BB423" i="80"/>
  <c r="BF423" i="80"/>
  <c r="BG423" i="80" l="1"/>
  <c r="BH423" i="80" s="1"/>
  <c r="BI423" i="80" l="1"/>
  <c r="BJ423" i="80" l="1"/>
  <c r="BK423" i="80" s="1"/>
  <c r="BL423" i="80" s="1"/>
  <c r="BN423" i="80"/>
  <c r="Q423" i="80" s="1"/>
  <c r="BQ423" i="80" l="1"/>
  <c r="BO423" i="80"/>
  <c r="BR423" i="80" l="1"/>
  <c r="BS423" i="80" s="1"/>
  <c r="BP423" i="80"/>
  <c r="L423" i="80"/>
  <c r="N424" i="80" s="1"/>
  <c r="K423" i="80"/>
  <c r="M424" i="80" s="1"/>
  <c r="BU424" i="80" l="1"/>
  <c r="O424" i="80"/>
  <c r="BT424" i="80"/>
  <c r="P424" i="80" l="1"/>
  <c r="U424" i="80" s="1"/>
  <c r="S424" i="80"/>
  <c r="BY424" i="80"/>
  <c r="T424" i="80" l="1"/>
  <c r="V424" i="80" s="1"/>
  <c r="Y424" i="80" s="1"/>
  <c r="X424" i="80"/>
  <c r="BX424" i="80" l="1"/>
  <c r="AD424" i="80"/>
  <c r="AP424" i="80"/>
  <c r="AQ424" i="80" s="1"/>
  <c r="AC424" i="80"/>
  <c r="BE424" i="80" l="1"/>
  <c r="AO424" i="80"/>
  <c r="BV425" i="80"/>
  <c r="R424" i="80"/>
  <c r="AS424" i="80"/>
  <c r="AR424" i="80"/>
  <c r="AF424" i="80"/>
  <c r="AE424" i="80"/>
  <c r="AG424" i="80" l="1"/>
  <c r="AH424" i="80"/>
  <c r="AI424" i="80" s="1"/>
  <c r="AJ424" i="80" s="1"/>
  <c r="BD424" i="80" l="1"/>
  <c r="AK424" i="80"/>
  <c r="AL424" i="80" s="1"/>
  <c r="AX424" i="80"/>
  <c r="AT424" i="80"/>
  <c r="AM424" i="80" l="1"/>
  <c r="AV424" i="80" s="1"/>
  <c r="BW425" i="80"/>
  <c r="AN424" i="80"/>
  <c r="AW424" i="80"/>
  <c r="AY424" i="80" l="1"/>
  <c r="BA424" i="80" s="1"/>
  <c r="AZ424" i="80" l="1"/>
  <c r="BB424" i="80"/>
  <c r="BF424" i="80"/>
  <c r="BG424" i="80" l="1"/>
  <c r="BH424" i="80" s="1"/>
  <c r="BI424" i="80" l="1"/>
  <c r="BN424" i="80" l="1"/>
  <c r="Q424" i="80" s="1"/>
  <c r="BJ424" i="80"/>
  <c r="BK424" i="80" s="1"/>
  <c r="BL424" i="80" s="1"/>
  <c r="BQ424" i="80" l="1"/>
  <c r="BO424" i="80"/>
  <c r="BR424" i="80" l="1"/>
  <c r="BS424" i="80" s="1"/>
  <c r="BP424" i="80"/>
  <c r="L424" i="80"/>
  <c r="N425" i="80" s="1"/>
  <c r="K424" i="80"/>
  <c r="M425" i="80" s="1"/>
  <c r="BU425" i="80" l="1"/>
  <c r="BT425" i="80"/>
  <c r="O425" i="80"/>
  <c r="P425" i="80" l="1"/>
  <c r="U425" i="80" s="1"/>
  <c r="BY425" i="80"/>
  <c r="S425" i="80"/>
  <c r="T425" i="80" l="1"/>
  <c r="V425" i="80" s="1"/>
  <c r="Y425" i="80" s="1"/>
  <c r="X425" i="80"/>
  <c r="BX425" i="80" l="1"/>
  <c r="AP425" i="80"/>
  <c r="AQ425" i="80" s="1"/>
  <c r="AD425" i="80"/>
  <c r="AC425" i="80"/>
  <c r="R425" i="80" l="1"/>
  <c r="AO425" i="80"/>
  <c r="BV426" i="80"/>
  <c r="BE425" i="80"/>
  <c r="AF425" i="80"/>
  <c r="AE425" i="80"/>
  <c r="AR425" i="80"/>
  <c r="AS425" i="80"/>
  <c r="AH425" i="80" l="1"/>
  <c r="AI425" i="80" s="1"/>
  <c r="AJ425" i="80" s="1"/>
  <c r="AG425" i="80"/>
  <c r="AK425" i="80" l="1"/>
  <c r="AL425" i="80" s="1"/>
  <c r="AX425" i="80"/>
  <c r="BD425" i="80"/>
  <c r="AT425" i="80"/>
  <c r="AM425" i="80" l="1"/>
  <c r="AV425" i="80" s="1"/>
  <c r="AN425" i="80"/>
  <c r="BW426" i="80"/>
  <c r="AW425" i="80"/>
  <c r="AY425" i="80" l="1"/>
  <c r="BA425" i="80" s="1"/>
  <c r="AZ425" i="80" l="1"/>
  <c r="BB425" i="80"/>
  <c r="BF425" i="80"/>
  <c r="BG425" i="80" l="1"/>
  <c r="BH425" i="80" s="1"/>
  <c r="BI425" i="80" l="1"/>
  <c r="BN425" i="80" l="1"/>
  <c r="Q425" i="80" s="1"/>
  <c r="BJ425" i="80"/>
  <c r="BK425" i="80" s="1"/>
  <c r="BL425" i="80" s="1"/>
  <c r="BQ425" i="80" l="1"/>
  <c r="BO425" i="80"/>
  <c r="BR425" i="80" l="1"/>
  <c r="BS425" i="80" s="1"/>
  <c r="BP425" i="80"/>
  <c r="L425" i="80"/>
  <c r="N426" i="80" s="1"/>
  <c r="K425" i="80"/>
  <c r="M426" i="80" s="1"/>
  <c r="O426" i="80" l="1"/>
  <c r="BT426" i="80"/>
  <c r="BU426" i="80"/>
  <c r="P426" i="80" l="1"/>
  <c r="U426" i="80" s="1"/>
  <c r="BY426" i="80"/>
  <c r="S426" i="80"/>
  <c r="T426" i="80" l="1"/>
  <c r="V426" i="80" s="1"/>
  <c r="Y426" i="80" s="1"/>
  <c r="X426" i="80"/>
  <c r="BX426" i="80" l="1"/>
  <c r="AD426" i="80"/>
  <c r="AP426" i="80"/>
  <c r="AQ426" i="80" s="1"/>
  <c r="AC426" i="80"/>
  <c r="BE426" i="80" l="1"/>
  <c r="AO426" i="80"/>
  <c r="BV427" i="80"/>
  <c r="R426" i="80"/>
  <c r="AF426" i="80"/>
  <c r="AE426" i="80"/>
  <c r="AR426" i="80"/>
  <c r="AS426" i="80"/>
  <c r="AH426" i="80" l="1"/>
  <c r="AI426" i="80" s="1"/>
  <c r="AJ426" i="80" s="1"/>
  <c r="AG426" i="80"/>
  <c r="AK426" i="80" l="1"/>
  <c r="AL426" i="80" s="1"/>
  <c r="AX426" i="80"/>
  <c r="BD426" i="80"/>
  <c r="AT426" i="80"/>
  <c r="AM426" i="80" l="1"/>
  <c r="AV426" i="80" s="1"/>
  <c r="BW427" i="80"/>
  <c r="AN426" i="80"/>
  <c r="AW426" i="80"/>
  <c r="AY426" i="80" l="1"/>
  <c r="BA426" i="80" s="1"/>
  <c r="AZ426" i="80" l="1"/>
  <c r="BB426" i="80"/>
  <c r="BF426" i="80"/>
  <c r="BG426" i="80" l="1"/>
  <c r="BH426" i="80" s="1"/>
  <c r="BI426" i="80" l="1"/>
  <c r="BJ426" i="80" l="1"/>
  <c r="BK426" i="80" s="1"/>
  <c r="BL426" i="80" s="1"/>
  <c r="BN426" i="80"/>
  <c r="Q426" i="80" s="1"/>
  <c r="BQ426" i="80" l="1"/>
  <c r="BO426" i="80"/>
  <c r="BR426" i="80" l="1"/>
  <c r="BS426" i="80" s="1"/>
  <c r="BP426" i="80"/>
  <c r="K426" i="80"/>
  <c r="M427" i="80" s="1"/>
  <c r="L426" i="80"/>
  <c r="N427" i="80" s="1"/>
  <c r="O427" i="80" l="1"/>
  <c r="BT427" i="80"/>
  <c r="BU427" i="80"/>
  <c r="BY427" i="80" l="1"/>
  <c r="S427" i="80"/>
  <c r="P427" i="80"/>
  <c r="U427" i="80" s="1"/>
  <c r="T427" i="80" l="1"/>
  <c r="V427" i="80" s="1"/>
  <c r="Y427" i="80" s="1"/>
  <c r="X427" i="80"/>
  <c r="AD427" i="80" l="1"/>
  <c r="AP427" i="80"/>
  <c r="AQ427" i="80" s="1"/>
  <c r="BX427" i="80"/>
  <c r="AC427" i="80"/>
  <c r="BE427" i="80" l="1"/>
  <c r="AO427" i="80"/>
  <c r="BV428" i="80"/>
  <c r="R427" i="80"/>
  <c r="AR427" i="80"/>
  <c r="AS427" i="80"/>
  <c r="AF427" i="80"/>
  <c r="AE427" i="80"/>
  <c r="AH427" i="80" l="1"/>
  <c r="AI427" i="80" s="1"/>
  <c r="AJ427" i="80" s="1"/>
  <c r="AG427" i="80"/>
  <c r="AX427" i="80" l="1"/>
  <c r="AK427" i="80"/>
  <c r="AL427" i="80" s="1"/>
  <c r="BD427" i="80"/>
  <c r="AT427" i="80"/>
  <c r="AM427" i="80" l="1"/>
  <c r="AV427" i="80" s="1"/>
  <c r="AN427" i="80"/>
  <c r="BW428" i="80"/>
  <c r="AW427" i="80"/>
  <c r="AY427" i="80" l="1"/>
  <c r="BA427" i="80" s="1"/>
  <c r="AZ427" i="80" l="1"/>
  <c r="BB427" i="80"/>
  <c r="BF427" i="80"/>
  <c r="BG427" i="80" l="1"/>
  <c r="BH427" i="80" s="1"/>
  <c r="BI427" i="80" l="1"/>
  <c r="BJ427" i="80" l="1"/>
  <c r="BK427" i="80" s="1"/>
  <c r="BL427" i="80" s="1"/>
  <c r="BN427" i="80"/>
  <c r="Q427" i="80" s="1"/>
  <c r="BQ427" i="80" l="1"/>
  <c r="BO427" i="80"/>
  <c r="BR427" i="80" l="1"/>
  <c r="BS427" i="80" s="1"/>
  <c r="BP427" i="80"/>
  <c r="K427" i="80"/>
  <c r="M428" i="80" s="1"/>
  <c r="L427" i="80"/>
  <c r="N428" i="80" s="1"/>
  <c r="BU428" i="80" l="1"/>
  <c r="O428" i="80"/>
  <c r="BT428" i="80"/>
  <c r="P428" i="80" l="1"/>
  <c r="U428" i="80" s="1"/>
  <c r="S428" i="80"/>
  <c r="BY428" i="80"/>
  <c r="T428" i="80" l="1"/>
  <c r="V428" i="80" s="1"/>
  <c r="X428" i="80"/>
  <c r="Y428" i="80" l="1"/>
  <c r="BX428" i="80" s="1"/>
  <c r="AC428" i="80"/>
  <c r="R428" i="80" l="1"/>
  <c r="AP428" i="80"/>
  <c r="AQ428" i="80" s="1"/>
  <c r="AR428" i="80" s="1"/>
  <c r="AD428" i="80"/>
  <c r="AF428" i="80" s="1"/>
  <c r="AO428" i="80"/>
  <c r="BV429" i="80"/>
  <c r="BE428" i="80"/>
  <c r="AS428" i="80" l="1"/>
  <c r="AE428" i="80"/>
  <c r="AG428" i="80"/>
  <c r="AH428" i="80"/>
  <c r="AI428" i="80" s="1"/>
  <c r="AJ428" i="80" s="1"/>
  <c r="AK428" i="80" l="1"/>
  <c r="AL428" i="80" s="1"/>
  <c r="AX428" i="80"/>
  <c r="BD428" i="80"/>
  <c r="AT428" i="80"/>
  <c r="AM428" i="80" l="1"/>
  <c r="AV428" i="80" s="1"/>
  <c r="BW429" i="80"/>
  <c r="AN428" i="80"/>
  <c r="AW428" i="80"/>
  <c r="AY428" i="80" l="1"/>
  <c r="BA428" i="80" s="1"/>
  <c r="AZ428" i="80" l="1"/>
  <c r="BB428" i="80"/>
  <c r="BF428" i="80"/>
  <c r="BG428" i="80" l="1"/>
  <c r="BH428" i="80" s="1"/>
  <c r="BI428" i="80" l="1"/>
  <c r="BN428" i="80" l="1"/>
  <c r="Q428" i="80" s="1"/>
  <c r="BJ428" i="80"/>
  <c r="BK428" i="80" s="1"/>
  <c r="BL428" i="80" s="1"/>
  <c r="BQ428" i="80" l="1"/>
  <c r="BO428" i="80"/>
  <c r="BR428" i="80" l="1"/>
  <c r="BS428" i="80" s="1"/>
  <c r="BP428" i="80"/>
  <c r="L428" i="80"/>
  <c r="N429" i="80" s="1"/>
  <c r="K428" i="80"/>
  <c r="M429" i="80" s="1"/>
  <c r="O429" i="80" l="1"/>
  <c r="BT429" i="80"/>
  <c r="BU429" i="80"/>
  <c r="P429" i="80" l="1"/>
  <c r="U429" i="80" s="1"/>
  <c r="S429" i="80"/>
  <c r="BY429" i="80"/>
  <c r="T429" i="80" l="1"/>
  <c r="V429" i="80" s="1"/>
  <c r="X429" i="80"/>
  <c r="Y429" i="80" l="1"/>
  <c r="AD429" i="80" s="1"/>
  <c r="AC429" i="80"/>
  <c r="BE429" i="80" l="1"/>
  <c r="AP429" i="80"/>
  <c r="AQ429" i="80" s="1"/>
  <c r="AR429" i="80" s="1"/>
  <c r="BX429" i="80"/>
  <c r="AO429" i="80"/>
  <c r="BV430" i="80"/>
  <c r="R429" i="80"/>
  <c r="AE429" i="80"/>
  <c r="AF429" i="80"/>
  <c r="AS429" i="80" l="1"/>
  <c r="AG429" i="80"/>
  <c r="AH429" i="80"/>
  <c r="AI429" i="80" s="1"/>
  <c r="AJ429" i="80" s="1"/>
  <c r="AK429" i="80" l="1"/>
  <c r="AL429" i="80" s="1"/>
  <c r="BD429" i="80"/>
  <c r="AX429" i="80"/>
  <c r="AT429" i="80"/>
  <c r="AM429" i="80" l="1"/>
  <c r="AV429" i="80" s="1"/>
  <c r="BW430" i="80"/>
  <c r="AN429" i="80"/>
  <c r="AW429" i="80"/>
  <c r="AY429" i="80" l="1"/>
  <c r="BA429" i="80" s="1"/>
  <c r="AZ429" i="80" l="1"/>
  <c r="BB429" i="80"/>
  <c r="BF429" i="80"/>
  <c r="BG429" i="80" l="1"/>
  <c r="BH429" i="80" s="1"/>
  <c r="BI429" i="80" l="1"/>
  <c r="BN429" i="80" l="1"/>
  <c r="Q429" i="80" s="1"/>
  <c r="BJ429" i="80"/>
  <c r="BK429" i="80" s="1"/>
  <c r="BL429" i="80" s="1"/>
  <c r="BQ429" i="80" l="1"/>
  <c r="BO429" i="80"/>
  <c r="BR429" i="80" l="1"/>
  <c r="BS429" i="80" s="1"/>
  <c r="BP429" i="80"/>
  <c r="L429" i="80"/>
  <c r="N430" i="80" s="1"/>
  <c r="K429" i="80"/>
  <c r="M430" i="80" s="1"/>
  <c r="BU430" i="80" l="1"/>
  <c r="O430" i="80"/>
  <c r="BT430" i="80"/>
  <c r="S430" i="80" l="1"/>
  <c r="P430" i="80"/>
  <c r="U430" i="80" s="1"/>
  <c r="BY430" i="80"/>
  <c r="T430" i="80" l="1"/>
  <c r="V430" i="80" s="1"/>
  <c r="X430" i="80"/>
  <c r="Y430" i="80" l="1"/>
  <c r="AP430" i="80" s="1"/>
  <c r="AQ430" i="80" s="1"/>
  <c r="BX430" i="80" l="1"/>
  <c r="AD430" i="80"/>
  <c r="AE430" i="80" s="1"/>
  <c r="AS430" i="80"/>
  <c r="AC430" i="80"/>
  <c r="BE430" i="80" l="1"/>
  <c r="AF430" i="80"/>
  <c r="AG430" i="80" s="1"/>
  <c r="AR430" i="80"/>
  <c r="BV431" i="80"/>
  <c r="AO430" i="80"/>
  <c r="R430" i="80"/>
  <c r="AH430" i="80" l="1"/>
  <c r="AI430" i="80" s="1"/>
  <c r="AJ430" i="80" s="1"/>
  <c r="BD430" i="80"/>
  <c r="AX430" i="80"/>
  <c r="AK430" i="80"/>
  <c r="AL430" i="80" s="1"/>
  <c r="AT430" i="80"/>
  <c r="AM430" i="80" l="1"/>
  <c r="AV430" i="80" s="1"/>
  <c r="BW431" i="80"/>
  <c r="AN430" i="80"/>
  <c r="AW430" i="80"/>
  <c r="AY430" i="80" l="1"/>
  <c r="BA430" i="80" s="1"/>
  <c r="AZ430" i="80" l="1"/>
  <c r="BB430" i="80"/>
  <c r="BF430" i="80"/>
  <c r="BG430" i="80" l="1"/>
  <c r="BH430" i="80" s="1"/>
  <c r="BI430" i="80" l="1"/>
  <c r="BJ430" i="80" l="1"/>
  <c r="BK430" i="80" s="1"/>
  <c r="BL430" i="80" s="1"/>
  <c r="BN430" i="80"/>
  <c r="Q430" i="80" s="1"/>
  <c r="BQ430" i="80" l="1"/>
  <c r="BO430" i="80"/>
  <c r="BR430" i="80" l="1"/>
  <c r="BS430" i="80" s="1"/>
  <c r="BP430" i="80"/>
  <c r="L430" i="80"/>
  <c r="N431" i="80" s="1"/>
  <c r="K430" i="80"/>
  <c r="M431" i="80" s="1"/>
  <c r="O431" i="80" l="1"/>
  <c r="BT431" i="80"/>
  <c r="BU431" i="80"/>
  <c r="P431" i="80" l="1"/>
  <c r="U431" i="80" s="1"/>
  <c r="BY431" i="80"/>
  <c r="S431" i="80"/>
  <c r="T431" i="80" l="1"/>
  <c r="V431" i="80" s="1"/>
  <c r="X431" i="80"/>
  <c r="Y431" i="80" l="1"/>
  <c r="BX431" i="80" s="1"/>
  <c r="AC431" i="80"/>
  <c r="AP431" i="80" l="1"/>
  <c r="AQ431" i="80" s="1"/>
  <c r="AD431" i="80"/>
  <c r="AF431" i="80" s="1"/>
  <c r="R431" i="80"/>
  <c r="AO431" i="80"/>
  <c r="BV432" i="80"/>
  <c r="BE431" i="80"/>
  <c r="AR431" i="80"/>
  <c r="AS431" i="80"/>
  <c r="AE431" i="80" l="1"/>
  <c r="AH431" i="80"/>
  <c r="AI431" i="80" s="1"/>
  <c r="AJ431" i="80" s="1"/>
  <c r="AG431" i="80"/>
  <c r="BD431" i="80" l="1"/>
  <c r="AX431" i="80"/>
  <c r="AK431" i="80"/>
  <c r="AL431" i="80" s="1"/>
  <c r="AT431" i="80"/>
  <c r="AM431" i="80" l="1"/>
  <c r="AV431" i="80" s="1"/>
  <c r="BW432" i="80"/>
  <c r="AN431" i="80"/>
  <c r="AW431" i="80"/>
  <c r="AY431" i="80" l="1"/>
  <c r="BA431" i="80" s="1"/>
  <c r="AZ431" i="80" l="1"/>
  <c r="BB431" i="80"/>
  <c r="BF431" i="80"/>
  <c r="BG431" i="80" l="1"/>
  <c r="BH431" i="80" s="1"/>
  <c r="BI431" i="80" l="1"/>
  <c r="BN431" i="80" l="1"/>
  <c r="Q431" i="80" s="1"/>
  <c r="BJ431" i="80"/>
  <c r="BK431" i="80" s="1"/>
  <c r="BL431" i="80" s="1"/>
  <c r="BQ431" i="80" l="1"/>
  <c r="BO431" i="80"/>
  <c r="BR431" i="80" l="1"/>
  <c r="BS431" i="80" s="1"/>
  <c r="BP431" i="80"/>
  <c r="K431" i="80"/>
  <c r="M432" i="80" s="1"/>
  <c r="L431" i="80"/>
  <c r="N432" i="80" s="1"/>
  <c r="O432" i="80" l="1"/>
  <c r="BT432" i="80"/>
  <c r="BU432" i="80"/>
  <c r="BY432" i="80" l="1"/>
  <c r="P432" i="80"/>
  <c r="U432" i="80" s="1"/>
  <c r="S432" i="80"/>
  <c r="T432" i="80" l="1"/>
  <c r="V432" i="80" s="1"/>
  <c r="Y432" i="80" s="1"/>
  <c r="X432" i="80"/>
  <c r="AD432" i="80" l="1"/>
  <c r="AP432" i="80"/>
  <c r="AQ432" i="80" s="1"/>
  <c r="BX432" i="80"/>
  <c r="AC432" i="80"/>
  <c r="R432" i="80" l="1"/>
  <c r="AO432" i="80"/>
  <c r="BV433" i="80"/>
  <c r="BE432" i="80"/>
  <c r="AR432" i="80"/>
  <c r="AS432" i="80"/>
  <c r="AE432" i="80"/>
  <c r="AF432" i="80"/>
  <c r="AG432" i="80" l="1"/>
  <c r="AH432" i="80"/>
  <c r="AI432" i="80" s="1"/>
  <c r="AJ432" i="80" s="1"/>
  <c r="AK432" i="80" l="1"/>
  <c r="AL432" i="80" s="1"/>
  <c r="BD432" i="80"/>
  <c r="AX432" i="80"/>
  <c r="AT432" i="80"/>
  <c r="AM432" i="80" l="1"/>
  <c r="AV432" i="80" s="1"/>
  <c r="BW433" i="80"/>
  <c r="AN432" i="80"/>
  <c r="AW432" i="80"/>
  <c r="AY432" i="80" l="1"/>
  <c r="BA432" i="80" s="1"/>
  <c r="AZ432" i="80" l="1"/>
  <c r="BB432" i="80"/>
  <c r="BF432" i="80"/>
  <c r="BG432" i="80" l="1"/>
  <c r="BH432" i="80" s="1"/>
  <c r="BI432" i="80" l="1"/>
  <c r="BJ432" i="80" l="1"/>
  <c r="BK432" i="80" s="1"/>
  <c r="BL432" i="80" s="1"/>
  <c r="BN432" i="80"/>
  <c r="Q432" i="80" s="1"/>
  <c r="BQ432" i="80" l="1"/>
  <c r="BO432" i="80"/>
  <c r="BR432" i="80" l="1"/>
  <c r="BS432" i="80" s="1"/>
  <c r="BP432" i="80"/>
  <c r="K432" i="80"/>
  <c r="M433" i="80" s="1"/>
  <c r="L432" i="80"/>
  <c r="N433" i="80" s="1"/>
  <c r="O433" i="80" l="1"/>
  <c r="BT433" i="80"/>
  <c r="BU433" i="80"/>
  <c r="BY433" i="80" l="1"/>
  <c r="P433" i="80"/>
  <c r="U433" i="80" s="1"/>
  <c r="S433" i="80"/>
  <c r="T433" i="80" l="1"/>
  <c r="V433" i="80" s="1"/>
  <c r="Y433" i="80" s="1"/>
  <c r="X433" i="80"/>
  <c r="BX433" i="80" l="1"/>
  <c r="AD433" i="80"/>
  <c r="AP433" i="80"/>
  <c r="AQ433" i="80" s="1"/>
  <c r="AC433" i="80"/>
  <c r="R433" i="80" l="1"/>
  <c r="AO433" i="80"/>
  <c r="BV434" i="80"/>
  <c r="BE433" i="80"/>
  <c r="AR433" i="80"/>
  <c r="AS433" i="80"/>
  <c r="AF433" i="80"/>
  <c r="AE433" i="80"/>
  <c r="AH433" i="80" l="1"/>
  <c r="AI433" i="80" s="1"/>
  <c r="AJ433" i="80" s="1"/>
  <c r="AG433" i="80"/>
  <c r="AX433" i="80" l="1"/>
  <c r="AK433" i="80"/>
  <c r="AL433" i="80" s="1"/>
  <c r="BD433" i="80"/>
  <c r="AT433" i="80"/>
  <c r="AM433" i="80" l="1"/>
  <c r="AV433" i="80" s="1"/>
  <c r="BW434" i="80"/>
  <c r="AN433" i="80"/>
  <c r="AW433" i="80"/>
  <c r="AY433" i="80" l="1"/>
  <c r="BA433" i="80" s="1"/>
  <c r="AZ433" i="80" l="1"/>
  <c r="BB433" i="80"/>
  <c r="BF433" i="80"/>
  <c r="BG433" i="80" l="1"/>
  <c r="BH433" i="80" s="1"/>
  <c r="BI433" i="80" l="1"/>
  <c r="BN433" i="80" l="1"/>
  <c r="Q433" i="80" s="1"/>
  <c r="BJ433" i="80"/>
  <c r="BK433" i="80" s="1"/>
  <c r="BL433" i="80" s="1"/>
  <c r="BQ433" i="80" l="1"/>
  <c r="BO433" i="80"/>
  <c r="BR433" i="80" l="1"/>
  <c r="BS433" i="80" s="1"/>
  <c r="BP433" i="80"/>
  <c r="K433" i="80"/>
  <c r="M434" i="80" s="1"/>
  <c r="L433" i="80"/>
  <c r="N434" i="80" s="1"/>
  <c r="BU434" i="80" l="1"/>
  <c r="O434" i="80"/>
  <c r="BT434" i="80"/>
  <c r="S434" i="80" l="1"/>
  <c r="P434" i="80"/>
  <c r="U434" i="80" s="1"/>
  <c r="BY434" i="80"/>
  <c r="T434" i="80" l="1"/>
  <c r="V434" i="80" s="1"/>
  <c r="Y434" i="80" s="1"/>
  <c r="X434" i="80"/>
  <c r="AP434" i="80" l="1"/>
  <c r="AQ434" i="80" s="1"/>
  <c r="BX434" i="80"/>
  <c r="AD434" i="80"/>
  <c r="AC434" i="80"/>
  <c r="BE434" i="80" l="1"/>
  <c r="AO434" i="80"/>
  <c r="R434" i="80"/>
  <c r="BV435" i="80"/>
  <c r="AE434" i="80"/>
  <c r="AF434" i="80"/>
  <c r="AR434" i="80"/>
  <c r="AS434" i="80"/>
  <c r="AH434" i="80" l="1"/>
  <c r="AI434" i="80" s="1"/>
  <c r="AJ434" i="80" s="1"/>
  <c r="AG434" i="80"/>
  <c r="BD434" i="80" l="1"/>
  <c r="AX434" i="80"/>
  <c r="AK434" i="80"/>
  <c r="AL434" i="80" s="1"/>
  <c r="AT434" i="80"/>
  <c r="AM434" i="80" l="1"/>
  <c r="AV434" i="80" s="1"/>
  <c r="BW435" i="80"/>
  <c r="AN434" i="80"/>
  <c r="AW434" i="80"/>
  <c r="AY434" i="80" l="1"/>
  <c r="BA434" i="80" s="1"/>
  <c r="AZ434" i="80" l="1"/>
  <c r="BB434" i="80"/>
  <c r="BF434" i="80"/>
  <c r="BG434" i="80" l="1"/>
  <c r="BH434" i="80" s="1"/>
  <c r="BI434" i="80" l="1"/>
  <c r="BJ434" i="80" l="1"/>
  <c r="BK434" i="80" s="1"/>
  <c r="BL434" i="80" s="1"/>
  <c r="BN434" i="80"/>
  <c r="Q434" i="80" s="1"/>
  <c r="BQ434" i="80" l="1"/>
  <c r="BO434" i="80"/>
  <c r="BR434" i="80" l="1"/>
  <c r="BS434" i="80" s="1"/>
  <c r="BP434" i="80"/>
  <c r="L434" i="80"/>
  <c r="N435" i="80" s="1"/>
  <c r="K434" i="80"/>
  <c r="M435" i="80" s="1"/>
  <c r="BU435" i="80" l="1"/>
  <c r="BT435" i="80"/>
  <c r="O435" i="80"/>
  <c r="BY435" i="80" l="1"/>
  <c r="S435" i="80"/>
  <c r="P435" i="80"/>
  <c r="U435" i="80" s="1"/>
  <c r="T435" i="80" l="1"/>
  <c r="V435" i="80" s="1"/>
  <c r="Y435" i="80" s="1"/>
  <c r="X435" i="80"/>
  <c r="AP435" i="80" l="1"/>
  <c r="AQ435" i="80" s="1"/>
  <c r="BX435" i="80"/>
  <c r="AD435" i="80"/>
  <c r="AC435" i="80"/>
  <c r="R435" i="80" l="1"/>
  <c r="AO435" i="80"/>
  <c r="BV436" i="80"/>
  <c r="BE435" i="80"/>
  <c r="AE435" i="80"/>
  <c r="AF435" i="80"/>
  <c r="AR435" i="80"/>
  <c r="AS435" i="80"/>
  <c r="AH435" i="80" l="1"/>
  <c r="AI435" i="80" s="1"/>
  <c r="AJ435" i="80" s="1"/>
  <c r="AG435" i="80"/>
  <c r="BD435" i="80" l="1"/>
  <c r="AK435" i="80"/>
  <c r="AL435" i="80" s="1"/>
  <c r="AX435" i="80"/>
  <c r="AT435" i="80"/>
  <c r="AM435" i="80" l="1"/>
  <c r="AV435" i="80" s="1"/>
  <c r="BW436" i="80"/>
  <c r="AN435" i="80"/>
  <c r="AW435" i="80"/>
  <c r="AY435" i="80" l="1"/>
  <c r="BA435" i="80" s="1"/>
  <c r="AZ435" i="80" l="1"/>
  <c r="BB435" i="80"/>
  <c r="BF435" i="80"/>
  <c r="BG435" i="80" l="1"/>
  <c r="BH435" i="80" s="1"/>
  <c r="BI435" i="80" l="1"/>
  <c r="BN435" i="80" l="1"/>
  <c r="Q435" i="80" s="1"/>
  <c r="BJ435" i="80"/>
  <c r="BK435" i="80" s="1"/>
  <c r="BL435" i="80" s="1"/>
  <c r="BQ435" i="80" l="1"/>
  <c r="BO435" i="80"/>
  <c r="BR435" i="80" l="1"/>
  <c r="BS435" i="80" s="1"/>
  <c r="BP435" i="80"/>
  <c r="L435" i="80"/>
  <c r="N436" i="80" s="1"/>
  <c r="K435" i="80"/>
  <c r="M436" i="80" s="1"/>
  <c r="O436" i="80" l="1"/>
  <c r="BT436" i="80"/>
  <c r="BU436" i="80"/>
  <c r="BY436" i="80" l="1"/>
  <c r="S436" i="80"/>
  <c r="P436" i="80"/>
  <c r="U436" i="80" s="1"/>
  <c r="T436" i="80" l="1"/>
  <c r="V436" i="80" s="1"/>
  <c r="X436" i="80"/>
  <c r="Y436" i="80" l="1"/>
  <c r="AD436" i="80" s="1"/>
  <c r="AC436" i="80"/>
  <c r="BX436" i="80" l="1"/>
  <c r="R436" i="80"/>
  <c r="AP436" i="80"/>
  <c r="AQ436" i="80" s="1"/>
  <c r="AS436" i="80" s="1"/>
  <c r="AO436" i="80"/>
  <c r="BV437" i="80"/>
  <c r="BE436" i="80"/>
  <c r="AF436" i="80"/>
  <c r="AE436" i="80"/>
  <c r="AR436" i="80" l="1"/>
  <c r="AH436" i="80"/>
  <c r="AI436" i="80" s="1"/>
  <c r="AJ436" i="80" s="1"/>
  <c r="AG436" i="80"/>
  <c r="AK436" i="80" l="1"/>
  <c r="AL436" i="80" s="1"/>
  <c r="AX436" i="80"/>
  <c r="BD436" i="80"/>
  <c r="AT436" i="80"/>
  <c r="AM436" i="80" l="1"/>
  <c r="AV436" i="80" s="1"/>
  <c r="AN436" i="80"/>
  <c r="BW437" i="80"/>
  <c r="AW436" i="80"/>
  <c r="AY436" i="80" l="1"/>
  <c r="BA436" i="80" s="1"/>
  <c r="AZ436" i="80" l="1"/>
  <c r="BB436" i="80"/>
  <c r="BF436" i="80"/>
  <c r="BG436" i="80" l="1"/>
  <c r="BH436" i="80" s="1"/>
  <c r="BI436" i="80" l="1"/>
  <c r="BJ436" i="80" l="1"/>
  <c r="BK436" i="80" s="1"/>
  <c r="BL436" i="80" s="1"/>
  <c r="BN436" i="80"/>
  <c r="Q436" i="80" s="1"/>
  <c r="BQ436" i="80" l="1"/>
  <c r="BO436" i="80"/>
  <c r="BR436" i="80" l="1"/>
  <c r="BS436" i="80" s="1"/>
  <c r="BP436" i="80"/>
  <c r="K436" i="80"/>
  <c r="M437" i="80" s="1"/>
  <c r="L436" i="80"/>
  <c r="N437" i="80" s="1"/>
  <c r="O437" i="80" l="1"/>
  <c r="BT437" i="80"/>
  <c r="BU437" i="80"/>
  <c r="S437" i="80" l="1"/>
  <c r="BY437" i="80"/>
  <c r="P437" i="80"/>
  <c r="U437" i="80" s="1"/>
  <c r="T437" i="80" l="1"/>
  <c r="V437" i="80" s="1"/>
  <c r="Y437" i="80" s="1"/>
  <c r="X437" i="80"/>
  <c r="BX437" i="80" l="1"/>
  <c r="AP437" i="80"/>
  <c r="AQ437" i="80" s="1"/>
  <c r="AD437" i="80"/>
  <c r="AC437" i="80"/>
  <c r="BE437" i="80" l="1"/>
  <c r="AO437" i="80"/>
  <c r="BV438" i="80"/>
  <c r="R437" i="80"/>
  <c r="AR437" i="80"/>
  <c r="AS437" i="80"/>
  <c r="AE437" i="80"/>
  <c r="AF437" i="80"/>
  <c r="AG437" i="80" l="1"/>
  <c r="AH437" i="80"/>
  <c r="AI437" i="80" s="1"/>
  <c r="AJ437" i="80" s="1"/>
  <c r="BD437" i="80" l="1"/>
  <c r="AK437" i="80"/>
  <c r="AL437" i="80" s="1"/>
  <c r="AX437" i="80"/>
  <c r="AT437" i="80"/>
  <c r="AM437" i="80" l="1"/>
  <c r="AV437" i="80" s="1"/>
  <c r="AN437" i="80"/>
  <c r="BW438" i="80"/>
  <c r="AW437" i="80"/>
  <c r="AY437" i="80" l="1"/>
  <c r="BA437" i="80" s="1"/>
  <c r="AZ437" i="80" l="1"/>
  <c r="BB437" i="80"/>
  <c r="BF437" i="80"/>
  <c r="BG437" i="80" l="1"/>
  <c r="BH437" i="80" s="1"/>
  <c r="BI437" i="80" l="1"/>
  <c r="BN437" i="80" l="1"/>
  <c r="Q437" i="80" s="1"/>
  <c r="BJ437" i="80"/>
  <c r="BK437" i="80" s="1"/>
  <c r="BL437" i="80" s="1"/>
  <c r="BQ437" i="80" l="1"/>
  <c r="BO437" i="80"/>
  <c r="BR437" i="80" l="1"/>
  <c r="BS437" i="80" s="1"/>
  <c r="BP437" i="80"/>
  <c r="K437" i="80"/>
  <c r="M438" i="80" s="1"/>
  <c r="L437" i="80"/>
  <c r="N438" i="80" s="1"/>
  <c r="BU438" i="80" l="1"/>
  <c r="BT438" i="80"/>
  <c r="O438" i="80"/>
  <c r="P438" i="80" l="1"/>
  <c r="U438" i="80" s="1"/>
  <c r="S438" i="80"/>
  <c r="BY438" i="80"/>
  <c r="T438" i="80" l="1"/>
  <c r="V438" i="80" s="1"/>
  <c r="Y438" i="80" s="1"/>
  <c r="X438" i="80"/>
  <c r="AP438" i="80" l="1"/>
  <c r="AQ438" i="80" s="1"/>
  <c r="AD438" i="80"/>
  <c r="BX438" i="80"/>
  <c r="AC438" i="80"/>
  <c r="BE438" i="80" l="1"/>
  <c r="AO438" i="80"/>
  <c r="BV439" i="80"/>
  <c r="R438" i="80"/>
  <c r="AR438" i="80"/>
  <c r="AS438" i="80"/>
  <c r="AF438" i="80"/>
  <c r="AE438" i="80"/>
  <c r="AH438" i="80" l="1"/>
  <c r="AI438" i="80" s="1"/>
  <c r="AJ438" i="80" s="1"/>
  <c r="AG438" i="80"/>
  <c r="AX438" i="80" l="1"/>
  <c r="AK438" i="80"/>
  <c r="AL438" i="80" s="1"/>
  <c r="BD438" i="80"/>
  <c r="AT438" i="80"/>
  <c r="AM438" i="80" l="1"/>
  <c r="AV438" i="80" s="1"/>
  <c r="BW439" i="80"/>
  <c r="AN438" i="80"/>
  <c r="AW438" i="80"/>
  <c r="AY438" i="80" l="1"/>
  <c r="BA438" i="80" s="1"/>
  <c r="AZ438" i="80" l="1"/>
  <c r="BB438" i="80"/>
  <c r="BF438" i="80"/>
  <c r="BG438" i="80" l="1"/>
  <c r="BH438" i="80" s="1"/>
  <c r="BI438" i="80" l="1"/>
  <c r="BJ438" i="80" l="1"/>
  <c r="BK438" i="80" s="1"/>
  <c r="BL438" i="80" s="1"/>
  <c r="BN438" i="80"/>
  <c r="Q438" i="80" s="1"/>
  <c r="BQ438" i="80" l="1"/>
  <c r="BO438" i="80"/>
  <c r="BR438" i="80" l="1"/>
  <c r="BS438" i="80" s="1"/>
  <c r="BP438" i="80"/>
  <c r="L438" i="80"/>
  <c r="N439" i="80" s="1"/>
  <c r="K438" i="80"/>
  <c r="M439" i="80" s="1"/>
  <c r="O439" i="80" l="1"/>
  <c r="BT439" i="80"/>
  <c r="BU439" i="80"/>
  <c r="P439" i="80" l="1"/>
  <c r="U439" i="80" s="1"/>
  <c r="BY439" i="80"/>
  <c r="S439" i="80"/>
  <c r="T439" i="80" l="1"/>
  <c r="V439" i="80" s="1"/>
  <c r="Y439" i="80" s="1"/>
  <c r="X439" i="80"/>
  <c r="BX439" i="80" l="1"/>
  <c r="AP439" i="80"/>
  <c r="AQ439" i="80" s="1"/>
  <c r="AD439" i="80"/>
  <c r="AC439" i="80"/>
  <c r="BE439" i="80" l="1"/>
  <c r="AO439" i="80"/>
  <c r="BV440" i="80"/>
  <c r="R439" i="80"/>
  <c r="AF439" i="80"/>
  <c r="AE439" i="80"/>
  <c r="AS439" i="80"/>
  <c r="AR439" i="80"/>
  <c r="AH439" i="80" l="1"/>
  <c r="AI439" i="80" s="1"/>
  <c r="AJ439" i="80" s="1"/>
  <c r="AG439" i="80"/>
  <c r="BD439" i="80" l="1"/>
  <c r="AX439" i="80"/>
  <c r="AK439" i="80"/>
  <c r="AL439" i="80" s="1"/>
  <c r="AT439" i="80"/>
  <c r="AM439" i="80" l="1"/>
  <c r="AV439" i="80" s="1"/>
  <c r="BW440" i="80"/>
  <c r="AN439" i="80"/>
  <c r="AW439" i="80"/>
  <c r="AY439" i="80" l="1"/>
  <c r="BA439" i="80" s="1"/>
  <c r="AZ439" i="80" l="1"/>
  <c r="BB439" i="80"/>
  <c r="BF439" i="80"/>
  <c r="BG439" i="80" l="1"/>
  <c r="BH439" i="80" s="1"/>
  <c r="BI439" i="80" l="1"/>
  <c r="BN439" i="80" l="1"/>
  <c r="Q439" i="80" s="1"/>
  <c r="BJ439" i="80"/>
  <c r="BK439" i="80" s="1"/>
  <c r="BL439" i="80" s="1"/>
  <c r="BQ439" i="80" l="1"/>
  <c r="BO439" i="80"/>
  <c r="BR439" i="80" l="1"/>
  <c r="BS439" i="80" s="1"/>
  <c r="BP439" i="80"/>
  <c r="K439" i="80"/>
  <c r="M440" i="80" s="1"/>
  <c r="L439" i="80"/>
  <c r="N440" i="80" s="1"/>
  <c r="BU440" i="80" l="1"/>
  <c r="O440" i="80"/>
  <c r="BT440" i="80"/>
  <c r="P440" i="80" l="1"/>
  <c r="U440" i="80" s="1"/>
  <c r="S440" i="80"/>
  <c r="BY440" i="80"/>
  <c r="T440" i="80" l="1"/>
  <c r="V440" i="80" s="1"/>
  <c r="Y440" i="80" s="1"/>
  <c r="X440" i="80"/>
  <c r="AD440" i="80" l="1"/>
  <c r="BX440" i="80"/>
  <c r="AP440" i="80"/>
  <c r="AQ440" i="80" s="1"/>
  <c r="AC440" i="80"/>
  <c r="R440" i="80" l="1"/>
  <c r="AO440" i="80"/>
  <c r="BV441" i="80"/>
  <c r="BE440" i="80"/>
  <c r="AR440" i="80"/>
  <c r="AS440" i="80"/>
  <c r="AF440" i="80"/>
  <c r="AE440" i="80"/>
  <c r="AH440" i="80" l="1"/>
  <c r="AI440" i="80" s="1"/>
  <c r="AJ440" i="80" s="1"/>
  <c r="AG440" i="80"/>
  <c r="AX440" i="80" l="1"/>
  <c r="AK440" i="80"/>
  <c r="AL440" i="80" s="1"/>
  <c r="BD440" i="80"/>
  <c r="AT440" i="80"/>
  <c r="AM440" i="80" l="1"/>
  <c r="AV440" i="80" s="1"/>
  <c r="AN440" i="80"/>
  <c r="BW441" i="80"/>
  <c r="AW440" i="80"/>
  <c r="AY440" i="80" l="1"/>
  <c r="BA440" i="80" s="1"/>
  <c r="AZ440" i="80" l="1"/>
  <c r="BB440" i="80"/>
  <c r="BF440" i="80"/>
  <c r="BG440" i="80" l="1"/>
  <c r="BH440" i="80" s="1"/>
  <c r="BI440" i="80" l="1"/>
  <c r="BN440" i="80" l="1"/>
  <c r="Q440" i="80" s="1"/>
  <c r="BJ440" i="80"/>
  <c r="BK440" i="80" s="1"/>
  <c r="BL440" i="80" s="1"/>
  <c r="BQ440" i="80" l="1"/>
  <c r="BO440" i="80"/>
  <c r="BR440" i="80" l="1"/>
  <c r="BS440" i="80" s="1"/>
  <c r="BP440" i="80"/>
  <c r="L440" i="80"/>
  <c r="N441" i="80" s="1"/>
  <c r="K440" i="80"/>
  <c r="M441" i="80" s="1"/>
  <c r="BU441" i="80" l="1"/>
  <c r="BT441" i="80"/>
  <c r="O441" i="80"/>
  <c r="S441" i="80" l="1"/>
  <c r="P441" i="80"/>
  <c r="U441" i="80" s="1"/>
  <c r="BY441" i="80"/>
  <c r="T441" i="80" l="1"/>
  <c r="V441" i="80" s="1"/>
  <c r="Y441" i="80" s="1"/>
  <c r="X441" i="80"/>
  <c r="AD441" i="80" l="1"/>
  <c r="BX441" i="80"/>
  <c r="AP441" i="80"/>
  <c r="AQ441" i="80" s="1"/>
  <c r="AC441" i="80"/>
  <c r="BE441" i="80" l="1"/>
  <c r="AO441" i="80"/>
  <c r="BV442" i="80"/>
  <c r="R441" i="80"/>
  <c r="AE441" i="80"/>
  <c r="AF441" i="80"/>
  <c r="AR441" i="80"/>
  <c r="AS441" i="80"/>
  <c r="AG441" i="80" l="1"/>
  <c r="AH441" i="80"/>
  <c r="AI441" i="80" s="1"/>
  <c r="AJ441" i="80" s="1"/>
  <c r="BD441" i="80" l="1"/>
  <c r="AK441" i="80"/>
  <c r="AL441" i="80" s="1"/>
  <c r="AX441" i="80"/>
  <c r="AT441" i="80"/>
  <c r="AM441" i="80" l="1"/>
  <c r="AV441" i="80" s="1"/>
  <c r="BW442" i="80"/>
  <c r="AN441" i="80"/>
  <c r="AW441" i="80"/>
  <c r="AY441" i="80" l="1"/>
  <c r="BA441" i="80" s="1"/>
  <c r="AZ441" i="80" l="1"/>
  <c r="BB441" i="80"/>
  <c r="BF441" i="80"/>
  <c r="BG441" i="80" l="1"/>
  <c r="BH441" i="80" s="1"/>
  <c r="BI441" i="80" l="1"/>
  <c r="BN441" i="80" l="1"/>
  <c r="Q441" i="80" s="1"/>
  <c r="BJ441" i="80"/>
  <c r="BK441" i="80" s="1"/>
  <c r="BL441" i="80" s="1"/>
  <c r="BQ441" i="80" l="1"/>
  <c r="BO441" i="80"/>
  <c r="BR441" i="80" l="1"/>
  <c r="BS441" i="80" s="1"/>
  <c r="BP441" i="80"/>
  <c r="L441" i="80"/>
  <c r="N442" i="80" s="1"/>
  <c r="K441" i="80"/>
  <c r="M442" i="80" s="1"/>
  <c r="BU442" i="80" l="1"/>
  <c r="O442" i="80"/>
  <c r="BT442" i="80"/>
  <c r="S442" i="80" l="1"/>
  <c r="BY442" i="80"/>
  <c r="P442" i="80"/>
  <c r="U442" i="80" s="1"/>
  <c r="T442" i="80" l="1"/>
  <c r="V442" i="80" s="1"/>
  <c r="Y442" i="80" s="1"/>
  <c r="X442" i="80"/>
  <c r="BX442" i="80" l="1"/>
  <c r="AD442" i="80"/>
  <c r="AP442" i="80"/>
  <c r="AQ442" i="80" s="1"/>
  <c r="AC442" i="80"/>
  <c r="R442" i="80" l="1"/>
  <c r="AO442" i="80"/>
  <c r="BV443" i="80"/>
  <c r="BE442" i="80"/>
  <c r="AE442" i="80"/>
  <c r="AF442" i="80"/>
  <c r="AS442" i="80"/>
  <c r="AR442" i="80"/>
  <c r="AG442" i="80" l="1"/>
  <c r="AH442" i="80"/>
  <c r="AI442" i="80" s="1"/>
  <c r="AJ442" i="80" s="1"/>
  <c r="AX442" i="80" l="1"/>
  <c r="BD442" i="80"/>
  <c r="AK442" i="80"/>
  <c r="AL442" i="80" s="1"/>
  <c r="AT442" i="80"/>
  <c r="AM442" i="80" l="1"/>
  <c r="AV442" i="80" s="1"/>
  <c r="BW443" i="80"/>
  <c r="AN442" i="80"/>
  <c r="AW442" i="80"/>
  <c r="AY442" i="80" l="1"/>
  <c r="BA442" i="80" s="1"/>
  <c r="AZ442" i="80" l="1"/>
  <c r="BB442" i="80"/>
  <c r="BF442" i="80"/>
  <c r="BG442" i="80" l="1"/>
  <c r="BH442" i="80" s="1"/>
  <c r="BI442" i="80" l="1"/>
  <c r="BJ442" i="80" l="1"/>
  <c r="BK442" i="80" s="1"/>
  <c r="BL442" i="80" s="1"/>
  <c r="BN442" i="80"/>
  <c r="Q442" i="80" s="1"/>
  <c r="BQ442" i="80" l="1"/>
  <c r="BO442" i="80"/>
  <c r="BR442" i="80" l="1"/>
  <c r="BS442" i="80" s="1"/>
  <c r="BP442" i="80"/>
  <c r="K442" i="80"/>
  <c r="M443" i="80" s="1"/>
  <c r="L442" i="80"/>
  <c r="N443" i="80" s="1"/>
  <c r="O443" i="80" l="1"/>
  <c r="BT443" i="80"/>
  <c r="BU443" i="80"/>
  <c r="S443" i="80" l="1"/>
  <c r="P443" i="80"/>
  <c r="U443" i="80" s="1"/>
  <c r="BY443" i="80"/>
  <c r="T443" i="80" l="1"/>
  <c r="V443" i="80" s="1"/>
  <c r="Y443" i="80" s="1"/>
  <c r="X443" i="80"/>
  <c r="BX443" i="80" l="1"/>
  <c r="AD443" i="80"/>
  <c r="AP443" i="80"/>
  <c r="AQ443" i="80" s="1"/>
  <c r="AC443" i="80"/>
  <c r="BE443" i="80" l="1"/>
  <c r="AO443" i="80"/>
  <c r="BV444" i="80"/>
  <c r="R443" i="80"/>
  <c r="AF443" i="80"/>
  <c r="AE443" i="80"/>
  <c r="AR443" i="80"/>
  <c r="AS443" i="80"/>
  <c r="AH443" i="80" l="1"/>
  <c r="AI443" i="80" s="1"/>
  <c r="AJ443" i="80" s="1"/>
  <c r="AG443" i="80"/>
  <c r="AX443" i="80" l="1"/>
  <c r="BD443" i="80"/>
  <c r="AK443" i="80"/>
  <c r="AL443" i="80" s="1"/>
  <c r="AT443" i="80"/>
  <c r="AM443" i="80" l="1"/>
  <c r="AV443" i="80" s="1"/>
  <c r="BW444" i="80"/>
  <c r="AN443" i="80"/>
  <c r="AW443" i="80"/>
  <c r="AY443" i="80" l="1"/>
  <c r="BA443" i="80" s="1"/>
  <c r="AZ443" i="80" l="1"/>
  <c r="BB443" i="80"/>
  <c r="BF443" i="80"/>
  <c r="BG443" i="80" l="1"/>
  <c r="BH443" i="80" s="1"/>
  <c r="BI443" i="80" l="1"/>
  <c r="BN443" i="80" l="1"/>
  <c r="Q443" i="80" s="1"/>
  <c r="BJ443" i="80"/>
  <c r="BK443" i="80" s="1"/>
  <c r="BL443" i="80" s="1"/>
  <c r="BQ443" i="80" l="1"/>
  <c r="BO443" i="80"/>
  <c r="BR443" i="80" l="1"/>
  <c r="BS443" i="80" s="1"/>
  <c r="BP443" i="80"/>
  <c r="K443" i="80"/>
  <c r="M444" i="80" s="1"/>
  <c r="L443" i="80"/>
  <c r="N444" i="80" s="1"/>
  <c r="O444" i="80" l="1"/>
  <c r="BT444" i="80"/>
  <c r="BU444" i="80"/>
  <c r="S444" i="80" l="1"/>
  <c r="P444" i="80"/>
  <c r="U444" i="80" s="1"/>
  <c r="BY444" i="80"/>
  <c r="T444" i="80" l="1"/>
  <c r="V444" i="80" s="1"/>
  <c r="Y444" i="80" s="1"/>
  <c r="X444" i="80"/>
  <c r="AP444" i="80" l="1"/>
  <c r="AQ444" i="80" s="1"/>
  <c r="AD444" i="80"/>
  <c r="BX444" i="80"/>
  <c r="AC444" i="80"/>
  <c r="R444" i="80" l="1"/>
  <c r="AO444" i="80"/>
  <c r="BV445" i="80"/>
  <c r="BE444" i="80"/>
  <c r="AR444" i="80"/>
  <c r="AS444" i="80"/>
  <c r="AF444" i="80"/>
  <c r="AE444" i="80"/>
  <c r="AG444" i="80" l="1"/>
  <c r="AH444" i="80"/>
  <c r="AI444" i="80" s="1"/>
  <c r="AJ444" i="80" s="1"/>
  <c r="BD444" i="80" l="1"/>
  <c r="AK444" i="80"/>
  <c r="AL444" i="80" s="1"/>
  <c r="AX444" i="80"/>
  <c r="AT444" i="80"/>
  <c r="AM444" i="80" l="1"/>
  <c r="AV444" i="80" s="1"/>
  <c r="BW445" i="80"/>
  <c r="AN444" i="80"/>
  <c r="AW444" i="80"/>
  <c r="AY444" i="80" l="1"/>
  <c r="BA444" i="80" s="1"/>
  <c r="AZ444" i="80" l="1"/>
  <c r="BB444" i="80"/>
  <c r="BF444" i="80"/>
  <c r="BG444" i="80" l="1"/>
  <c r="BH444" i="80" s="1"/>
  <c r="BI444" i="80" l="1"/>
  <c r="BJ444" i="80" l="1"/>
  <c r="BK444" i="80" s="1"/>
  <c r="BL444" i="80" s="1"/>
  <c r="BN444" i="80"/>
  <c r="Q444" i="80" s="1"/>
  <c r="BQ444" i="80" l="1"/>
  <c r="BO444" i="80"/>
  <c r="BR444" i="80" l="1"/>
  <c r="BS444" i="80" s="1"/>
  <c r="BP444" i="80"/>
  <c r="K444" i="80"/>
  <c r="M445" i="80" s="1"/>
  <c r="L444" i="80"/>
  <c r="N445" i="80" s="1"/>
  <c r="BU445" i="80" l="1"/>
  <c r="O445" i="80"/>
  <c r="BT445" i="80"/>
  <c r="S445" i="80" l="1"/>
  <c r="BY445" i="80"/>
  <c r="P445" i="80"/>
  <c r="U445" i="80" s="1"/>
  <c r="T445" i="80" l="1"/>
  <c r="V445" i="80" s="1"/>
  <c r="Y445" i="80" s="1"/>
  <c r="X445" i="80"/>
  <c r="AP445" i="80" l="1"/>
  <c r="AQ445" i="80" s="1"/>
  <c r="BX445" i="80"/>
  <c r="AD445" i="80"/>
  <c r="AC445" i="80"/>
  <c r="R445" i="80" l="1"/>
  <c r="AO445" i="80"/>
  <c r="BE445" i="80"/>
  <c r="BV446" i="80"/>
  <c r="AR445" i="80"/>
  <c r="AS445" i="80"/>
  <c r="AF445" i="80"/>
  <c r="AE445" i="80"/>
  <c r="AG445" i="80" l="1"/>
  <c r="AH445" i="80"/>
  <c r="AI445" i="80" s="1"/>
  <c r="AJ445" i="80" s="1"/>
  <c r="BD445" i="80" l="1"/>
  <c r="AX445" i="80"/>
  <c r="AK445" i="80"/>
  <c r="AL445" i="80" s="1"/>
  <c r="AT445" i="80"/>
  <c r="AM445" i="80" l="1"/>
  <c r="AV445" i="80" s="1"/>
  <c r="AN445" i="80"/>
  <c r="BW446" i="80"/>
  <c r="AW445" i="80"/>
  <c r="AY445" i="80" l="1"/>
  <c r="BA445" i="80" s="1"/>
  <c r="AZ445" i="80" l="1"/>
  <c r="BB445" i="80"/>
  <c r="BF445" i="80"/>
  <c r="BG445" i="80" l="1"/>
  <c r="BH445" i="80" s="1"/>
  <c r="BI445" i="80" l="1"/>
  <c r="BN445" i="80" l="1"/>
  <c r="Q445" i="80" s="1"/>
  <c r="BJ445" i="80"/>
  <c r="BK445" i="80" s="1"/>
  <c r="BL445" i="80" s="1"/>
  <c r="BQ445" i="80" l="1"/>
  <c r="BO445" i="80"/>
  <c r="BR445" i="80" l="1"/>
  <c r="BS445" i="80" s="1"/>
  <c r="BP445" i="80"/>
  <c r="L445" i="80"/>
  <c r="N446" i="80" s="1"/>
  <c r="K445" i="80"/>
  <c r="M446" i="80" s="1"/>
  <c r="BT446" i="80" l="1"/>
  <c r="O446" i="80"/>
  <c r="BU446" i="80"/>
  <c r="S446" i="80" l="1"/>
  <c r="P446" i="80"/>
  <c r="U446" i="80" s="1"/>
  <c r="BY446" i="80"/>
  <c r="T446" i="80" l="1"/>
  <c r="V446" i="80" s="1"/>
  <c r="Y446" i="80" s="1"/>
  <c r="X446" i="80"/>
  <c r="AP446" i="80" l="1"/>
  <c r="AQ446" i="80" s="1"/>
  <c r="AD446" i="80"/>
  <c r="BX446" i="80"/>
  <c r="AC446" i="80"/>
  <c r="BE446" i="80" l="1"/>
  <c r="AO446" i="80"/>
  <c r="BV447" i="80"/>
  <c r="R446" i="80"/>
  <c r="AR446" i="80"/>
  <c r="AS446" i="80"/>
  <c r="AF446" i="80"/>
  <c r="AE446" i="80"/>
  <c r="AH446" i="80" l="1"/>
  <c r="AI446" i="80" s="1"/>
  <c r="AJ446" i="80" s="1"/>
  <c r="AG446" i="80"/>
  <c r="AX446" i="80" l="1"/>
  <c r="AK446" i="80"/>
  <c r="AL446" i="80" s="1"/>
  <c r="BD446" i="80"/>
  <c r="AT446" i="80"/>
  <c r="AM446" i="80" l="1"/>
  <c r="AV446" i="80" s="1"/>
  <c r="BW447" i="80"/>
  <c r="AN446" i="80"/>
  <c r="AW446" i="80"/>
  <c r="AY446" i="80" l="1"/>
  <c r="BA446" i="80" s="1"/>
  <c r="AZ446" i="80" l="1"/>
  <c r="BB446" i="80"/>
  <c r="BF446" i="80"/>
  <c r="BG446" i="80" l="1"/>
  <c r="BH446" i="80" s="1"/>
  <c r="BI446" i="80" l="1"/>
  <c r="BN446" i="80" l="1"/>
  <c r="Q446" i="80" s="1"/>
  <c r="BJ446" i="80"/>
  <c r="BK446" i="80" s="1"/>
  <c r="BL446" i="80" s="1"/>
  <c r="BQ446" i="80" l="1"/>
  <c r="BO446" i="80"/>
  <c r="BR446" i="80" l="1"/>
  <c r="BS446" i="80" s="1"/>
  <c r="BP446" i="80"/>
  <c r="K446" i="80"/>
  <c r="M447" i="80" s="1"/>
  <c r="L446" i="80"/>
  <c r="N447" i="80" s="1"/>
  <c r="BU447" i="80" l="1"/>
  <c r="O447" i="80"/>
  <c r="BT447" i="80"/>
  <c r="S447" i="80" l="1"/>
  <c r="BY447" i="80"/>
  <c r="P447" i="80"/>
  <c r="U447" i="80" s="1"/>
  <c r="T447" i="80" l="1"/>
  <c r="V447" i="80" s="1"/>
  <c r="Y447" i="80" s="1"/>
  <c r="X447" i="80"/>
  <c r="AD447" i="80" l="1"/>
  <c r="AP447" i="80"/>
  <c r="AQ447" i="80" s="1"/>
  <c r="BX447" i="80"/>
  <c r="AC447" i="80"/>
  <c r="BE447" i="80" l="1"/>
  <c r="AO447" i="80"/>
  <c r="BV448" i="80"/>
  <c r="R447" i="80"/>
  <c r="AF447" i="80"/>
  <c r="AE447" i="80"/>
  <c r="AR447" i="80"/>
  <c r="AS447" i="80"/>
  <c r="AG447" i="80" l="1"/>
  <c r="AH447" i="80"/>
  <c r="AI447" i="80" s="1"/>
  <c r="AJ447" i="80" s="1"/>
  <c r="AX447" i="80" l="1"/>
  <c r="BD447" i="80"/>
  <c r="AK447" i="80"/>
  <c r="AL447" i="80" s="1"/>
  <c r="AT447" i="80"/>
  <c r="AM447" i="80" l="1"/>
  <c r="AV447" i="80" s="1"/>
  <c r="BW448" i="80"/>
  <c r="AN447" i="80"/>
  <c r="AW447" i="80"/>
  <c r="AY447" i="80" l="1"/>
  <c r="BA447" i="80" s="1"/>
  <c r="AZ447" i="80" l="1"/>
  <c r="BB447" i="80"/>
  <c r="BF447" i="80"/>
  <c r="BG447" i="80" l="1"/>
  <c r="BH447" i="80" s="1"/>
  <c r="BI447" i="80" l="1"/>
  <c r="BJ447" i="80" l="1"/>
  <c r="BK447" i="80" s="1"/>
  <c r="BL447" i="80" s="1"/>
  <c r="BN447" i="80"/>
  <c r="Q447" i="80" s="1"/>
  <c r="BQ447" i="80" l="1"/>
  <c r="BO447" i="80"/>
  <c r="BR447" i="80" l="1"/>
  <c r="BS447" i="80" s="1"/>
  <c r="BP447" i="80"/>
  <c r="L447" i="80"/>
  <c r="N448" i="80" s="1"/>
  <c r="K447" i="80"/>
  <c r="M448" i="80" s="1"/>
  <c r="BU448" i="80" l="1"/>
  <c r="BT448" i="80"/>
  <c r="O448" i="80"/>
  <c r="S448" i="80" l="1"/>
  <c r="P448" i="80"/>
  <c r="U448" i="80" s="1"/>
  <c r="BY448" i="80"/>
  <c r="T448" i="80" l="1"/>
  <c r="V448" i="80" s="1"/>
  <c r="Y448" i="80" s="1"/>
  <c r="X448" i="80"/>
  <c r="BX448" i="80" l="1"/>
  <c r="AP448" i="80"/>
  <c r="AQ448" i="80" s="1"/>
  <c r="AD448" i="80"/>
  <c r="AC448" i="80"/>
  <c r="BE448" i="80" l="1"/>
  <c r="AO448" i="80"/>
  <c r="BV449" i="80"/>
  <c r="R448" i="80"/>
  <c r="AE448" i="80"/>
  <c r="AF448" i="80"/>
  <c r="AR448" i="80"/>
  <c r="AS448" i="80"/>
  <c r="AG448" i="80" l="1"/>
  <c r="AH448" i="80"/>
  <c r="AI448" i="80" s="1"/>
  <c r="AJ448" i="80" s="1"/>
  <c r="AX448" i="80" l="1"/>
  <c r="BD448" i="80"/>
  <c r="AK448" i="80"/>
  <c r="AL448" i="80" s="1"/>
  <c r="AT448" i="80"/>
  <c r="AM448" i="80" l="1"/>
  <c r="AV448" i="80" s="1"/>
  <c r="BW449" i="80"/>
  <c r="AN448" i="80"/>
  <c r="AW448" i="80"/>
  <c r="AY448" i="80" l="1"/>
  <c r="BA448" i="80" s="1"/>
  <c r="AZ448" i="80" l="1"/>
  <c r="BB448" i="80"/>
  <c r="BF448" i="80"/>
  <c r="BG448" i="80" l="1"/>
  <c r="BH448" i="80" s="1"/>
  <c r="BI448" i="80" l="1"/>
  <c r="BN448" i="80" l="1"/>
  <c r="Q448" i="80" s="1"/>
  <c r="BJ448" i="80"/>
  <c r="BK448" i="80" s="1"/>
  <c r="BL448" i="80" s="1"/>
  <c r="BQ448" i="80" l="1"/>
  <c r="BO448" i="80"/>
  <c r="BR448" i="80" l="1"/>
  <c r="BS448" i="80" s="1"/>
  <c r="BP448" i="80"/>
  <c r="L448" i="80"/>
  <c r="N449" i="80" s="1"/>
  <c r="K448" i="80"/>
  <c r="M449" i="80" s="1"/>
  <c r="O449" i="80" l="1"/>
  <c r="BT449" i="80"/>
  <c r="BU449" i="80"/>
  <c r="S449" i="80" l="1"/>
  <c r="BY449" i="80"/>
  <c r="P449" i="80"/>
  <c r="U449" i="80" s="1"/>
  <c r="T449" i="80" l="1"/>
  <c r="V449" i="80" s="1"/>
  <c r="X449" i="80"/>
  <c r="Y449" i="80" l="1"/>
  <c r="AP449" i="80" s="1"/>
  <c r="AQ449" i="80" s="1"/>
  <c r="AC449" i="80"/>
  <c r="R449" i="80" l="1"/>
  <c r="AD449" i="80"/>
  <c r="AF449" i="80" s="1"/>
  <c r="BX449" i="80"/>
  <c r="AO449" i="80"/>
  <c r="BV450" i="80"/>
  <c r="BE449" i="80"/>
  <c r="AE449" i="80"/>
  <c r="AR449" i="80"/>
  <c r="AS449" i="80"/>
  <c r="AH449" i="80" l="1"/>
  <c r="AI449" i="80" s="1"/>
  <c r="AJ449" i="80" s="1"/>
  <c r="AG449" i="80"/>
  <c r="BD449" i="80" l="1"/>
  <c r="AK449" i="80"/>
  <c r="AL449" i="80" s="1"/>
  <c r="AX449" i="80"/>
  <c r="AT449" i="80"/>
  <c r="AM449" i="80" l="1"/>
  <c r="AV449" i="80" s="1"/>
  <c r="AN449" i="80"/>
  <c r="BW450" i="80"/>
  <c r="AW449" i="80"/>
  <c r="AY449" i="80" l="1"/>
  <c r="BA449" i="80" s="1"/>
  <c r="AZ449" i="80" l="1"/>
  <c r="BB449" i="80"/>
  <c r="BF449" i="80"/>
  <c r="BG449" i="80" l="1"/>
  <c r="BH449" i="80" s="1"/>
  <c r="BI449" i="80" l="1"/>
  <c r="BN449" i="80" l="1"/>
  <c r="Q449" i="80" s="1"/>
  <c r="BJ449" i="80"/>
  <c r="BK449" i="80" s="1"/>
  <c r="BL449" i="80" s="1"/>
  <c r="BQ449" i="80" l="1"/>
  <c r="BO449" i="80"/>
  <c r="BR449" i="80" l="1"/>
  <c r="BS449" i="80" s="1"/>
  <c r="BP449" i="80"/>
  <c r="K449" i="80"/>
  <c r="M450" i="80" s="1"/>
  <c r="L449" i="80"/>
  <c r="N450" i="80" s="1"/>
  <c r="BU450" i="80" l="1"/>
  <c r="O450" i="80"/>
  <c r="BT450" i="80"/>
  <c r="BY450" i="80" l="1"/>
  <c r="S450" i="80"/>
  <c r="P450" i="80"/>
  <c r="U450" i="80" s="1"/>
  <c r="T450" i="80" l="1"/>
  <c r="V450" i="80" s="1"/>
  <c r="Y450" i="80" s="1"/>
  <c r="X450" i="80"/>
  <c r="BX450" i="80" l="1"/>
  <c r="AP450" i="80"/>
  <c r="AQ450" i="80" s="1"/>
  <c r="AD450" i="80"/>
  <c r="AC450" i="80"/>
  <c r="R450" i="80" l="1"/>
  <c r="AO450" i="80"/>
  <c r="BV451" i="80"/>
  <c r="BE450" i="80"/>
  <c r="AS450" i="80"/>
  <c r="AR450" i="80"/>
  <c r="AE450" i="80"/>
  <c r="AF450" i="80"/>
  <c r="AG450" i="80" l="1"/>
  <c r="AH450" i="80"/>
  <c r="AI450" i="80" s="1"/>
  <c r="AJ450" i="80" s="1"/>
  <c r="BD450" i="80" l="1"/>
  <c r="AK450" i="80"/>
  <c r="AL450" i="80" s="1"/>
  <c r="AX450" i="80"/>
  <c r="AT450" i="80"/>
  <c r="AM450" i="80" l="1"/>
  <c r="AV450" i="80" s="1"/>
  <c r="BW451" i="80"/>
  <c r="AN450" i="80"/>
  <c r="AW450" i="80"/>
  <c r="AY450" i="80" l="1"/>
  <c r="BA450" i="80" s="1"/>
  <c r="AZ450" i="80" l="1"/>
  <c r="BB450" i="80"/>
  <c r="BF450" i="80"/>
  <c r="BG450" i="80" l="1"/>
  <c r="BH450" i="80" s="1"/>
  <c r="BI450" i="80" l="1"/>
  <c r="BN450" i="80" l="1"/>
  <c r="Q450" i="80" s="1"/>
  <c r="BJ450" i="80"/>
  <c r="BK450" i="80" s="1"/>
  <c r="BL450" i="80" s="1"/>
  <c r="BQ450" i="80" l="1"/>
  <c r="BO450" i="80"/>
  <c r="BR450" i="80" l="1"/>
  <c r="BS450" i="80" s="1"/>
  <c r="BP450" i="80"/>
  <c r="L450" i="80"/>
  <c r="N451" i="80" s="1"/>
  <c r="K450" i="80"/>
  <c r="M451" i="80" s="1"/>
  <c r="O451" i="80" l="1"/>
  <c r="BT451" i="80"/>
  <c r="BU451" i="80"/>
  <c r="BY451" i="80" l="1"/>
  <c r="S451" i="80"/>
  <c r="P451" i="80"/>
  <c r="U451" i="80" s="1"/>
  <c r="T451" i="80" l="1"/>
  <c r="V451" i="80" s="1"/>
  <c r="X451" i="80"/>
  <c r="Y451" i="80" l="1"/>
  <c r="BX451" i="80" s="1"/>
  <c r="AC451" i="80"/>
  <c r="AD451" i="80" l="1"/>
  <c r="BE451" i="80"/>
  <c r="AP451" i="80"/>
  <c r="AQ451" i="80" s="1"/>
  <c r="AS451" i="80" s="1"/>
  <c r="AO451" i="80"/>
  <c r="BV452" i="80"/>
  <c r="R451" i="80"/>
  <c r="AE451" i="80"/>
  <c r="AF451" i="80"/>
  <c r="AR451" i="80" l="1"/>
  <c r="AG451" i="80"/>
  <c r="AH451" i="80"/>
  <c r="AI451" i="80" s="1"/>
  <c r="AJ451" i="80" s="1"/>
  <c r="BD451" i="80" l="1"/>
  <c r="AX451" i="80"/>
  <c r="AK451" i="80"/>
  <c r="AL451" i="80" s="1"/>
  <c r="AT451" i="80"/>
  <c r="AM451" i="80" l="1"/>
  <c r="AV451" i="80" s="1"/>
  <c r="AN451" i="80"/>
  <c r="BW452" i="80"/>
  <c r="AW451" i="80"/>
  <c r="AY451" i="80" l="1"/>
  <c r="BA451" i="80" s="1"/>
  <c r="AZ451" i="80" l="1"/>
  <c r="BB451" i="80"/>
  <c r="BF451" i="80"/>
  <c r="BG451" i="80" l="1"/>
  <c r="BH451" i="80" s="1"/>
  <c r="BI451" i="80" l="1"/>
  <c r="BN451" i="80" l="1"/>
  <c r="Q451" i="80" s="1"/>
  <c r="BJ451" i="80"/>
  <c r="BK451" i="80" s="1"/>
  <c r="BL451" i="80" s="1"/>
  <c r="BQ451" i="80" l="1"/>
  <c r="BO451" i="80"/>
  <c r="BR451" i="80" l="1"/>
  <c r="BS451" i="80" s="1"/>
  <c r="BP451" i="80"/>
  <c r="K451" i="80"/>
  <c r="M452" i="80" s="1"/>
  <c r="L451" i="80"/>
  <c r="N452" i="80" s="1"/>
  <c r="BU452" i="80" l="1"/>
  <c r="O452" i="80"/>
  <c r="BT452" i="80"/>
  <c r="S452" i="80" l="1"/>
  <c r="P452" i="80"/>
  <c r="U452" i="80" s="1"/>
  <c r="BY452" i="80"/>
  <c r="T452" i="80" l="1"/>
  <c r="V452" i="80" s="1"/>
  <c r="X452" i="80"/>
  <c r="Y452" i="80" l="1"/>
  <c r="AP452" i="80" s="1"/>
  <c r="AQ452" i="80" s="1"/>
  <c r="AC452" i="80"/>
  <c r="BE452" i="80" l="1"/>
  <c r="BX452" i="80"/>
  <c r="AD452" i="80"/>
  <c r="AF452" i="80" s="1"/>
  <c r="AO452" i="80"/>
  <c r="BV453" i="80"/>
  <c r="R452" i="80"/>
  <c r="AR452" i="80"/>
  <c r="AS452" i="80"/>
  <c r="AE452" i="80" l="1"/>
  <c r="AG452" i="80"/>
  <c r="AH452" i="80"/>
  <c r="AI452" i="80" s="1"/>
  <c r="AJ452" i="80" s="1"/>
  <c r="AK452" i="80" l="1"/>
  <c r="AL452" i="80" s="1"/>
  <c r="AX452" i="80"/>
  <c r="BD452" i="80"/>
  <c r="AT452" i="80"/>
  <c r="AM452" i="80" l="1"/>
  <c r="AV452" i="80" s="1"/>
  <c r="AN452" i="80"/>
  <c r="BW453" i="80"/>
  <c r="AW452" i="80"/>
  <c r="AY452" i="80" l="1"/>
  <c r="BA452" i="80" s="1"/>
  <c r="AZ452" i="80" l="1"/>
  <c r="BB452" i="80"/>
  <c r="BF452" i="80"/>
  <c r="BG452" i="80" l="1"/>
  <c r="BH452" i="80" s="1"/>
  <c r="BI452" i="80" l="1"/>
  <c r="BN452" i="80" l="1"/>
  <c r="Q452" i="80" s="1"/>
  <c r="BJ452" i="80"/>
  <c r="BK452" i="80" s="1"/>
  <c r="BL452" i="80" s="1"/>
  <c r="BQ452" i="80" l="1"/>
  <c r="BO452" i="80"/>
  <c r="BR452" i="80" l="1"/>
  <c r="BS452" i="80" s="1"/>
  <c r="BP452" i="80"/>
  <c r="L452" i="80"/>
  <c r="N453" i="80" s="1"/>
  <c r="K452" i="80"/>
  <c r="M453" i="80" s="1"/>
  <c r="BU453" i="80" l="1"/>
  <c r="O453" i="80"/>
  <c r="BT453" i="80"/>
  <c r="S453" i="80" l="1"/>
  <c r="P453" i="80"/>
  <c r="U453" i="80" s="1"/>
  <c r="BY453" i="80"/>
  <c r="T453" i="80" l="1"/>
  <c r="V453" i="80" s="1"/>
  <c r="X453" i="80"/>
  <c r="Y453" i="80" l="1"/>
  <c r="BX453" i="80" s="1"/>
  <c r="AC453" i="80"/>
  <c r="BE453" i="80" l="1"/>
  <c r="AD453" i="80"/>
  <c r="AP453" i="80"/>
  <c r="AQ453" i="80" s="1"/>
  <c r="AR453" i="80" s="1"/>
  <c r="AO453" i="80"/>
  <c r="BV454" i="80"/>
  <c r="R453" i="80"/>
  <c r="AE453" i="80"/>
  <c r="AF453" i="80"/>
  <c r="AS453" i="80" l="1"/>
  <c r="AG453" i="80"/>
  <c r="AH453" i="80"/>
  <c r="AI453" i="80" s="1"/>
  <c r="AJ453" i="80" s="1"/>
  <c r="AK453" i="80" l="1"/>
  <c r="AL453" i="80" s="1"/>
  <c r="BD453" i="80"/>
  <c r="AX453" i="80"/>
  <c r="AT453" i="80"/>
  <c r="AM453" i="80" l="1"/>
  <c r="AV453" i="80" s="1"/>
  <c r="AN453" i="80"/>
  <c r="BW454" i="80"/>
  <c r="AW453" i="80"/>
  <c r="AY453" i="80" l="1"/>
  <c r="BA453" i="80" s="1"/>
  <c r="AZ453" i="80" l="1"/>
  <c r="BB453" i="80"/>
  <c r="BF453" i="80"/>
  <c r="BG453" i="80" l="1"/>
  <c r="BH453" i="80" s="1"/>
  <c r="BI453" i="80" l="1"/>
  <c r="BJ453" i="80" l="1"/>
  <c r="BK453" i="80" s="1"/>
  <c r="BL453" i="80" s="1"/>
  <c r="BN453" i="80"/>
  <c r="Q453" i="80" s="1"/>
  <c r="BQ453" i="80" l="1"/>
  <c r="BO453" i="80"/>
  <c r="BR453" i="80" l="1"/>
  <c r="BS453" i="80" s="1"/>
  <c r="BP453" i="80"/>
  <c r="L453" i="80"/>
  <c r="N454" i="80" s="1"/>
  <c r="K453" i="80"/>
  <c r="M454" i="80" s="1"/>
  <c r="BU454" i="80" l="1"/>
  <c r="O454" i="80"/>
  <c r="BT454" i="80"/>
  <c r="P454" i="80" l="1"/>
  <c r="U454" i="80" s="1"/>
  <c r="S454" i="80"/>
  <c r="BY454" i="80"/>
  <c r="T454" i="80" l="1"/>
  <c r="V454" i="80" s="1"/>
  <c r="Y454" i="80" s="1"/>
  <c r="X454" i="80"/>
  <c r="BX454" i="80" l="1"/>
  <c r="AP454" i="80"/>
  <c r="AQ454" i="80" s="1"/>
  <c r="AD454" i="80"/>
  <c r="AC454" i="80"/>
  <c r="R454" i="80" l="1"/>
  <c r="AO454" i="80"/>
  <c r="BV455" i="80"/>
  <c r="BE454" i="80"/>
  <c r="AE454" i="80"/>
  <c r="AF454" i="80"/>
  <c r="AR454" i="80"/>
  <c r="AS454" i="80"/>
  <c r="AG454" i="80" l="1"/>
  <c r="AH454" i="80"/>
  <c r="AI454" i="80" s="1"/>
  <c r="AJ454" i="80" s="1"/>
  <c r="AK454" i="80" l="1"/>
  <c r="AL454" i="80" s="1"/>
  <c r="BD454" i="80"/>
  <c r="AX454" i="80"/>
  <c r="AT454" i="80"/>
  <c r="AM454" i="80" l="1"/>
  <c r="AV454" i="80" s="1"/>
  <c r="AN454" i="80"/>
  <c r="BW455" i="80"/>
  <c r="AW454" i="80"/>
  <c r="AY454" i="80" l="1"/>
  <c r="BA454" i="80" s="1"/>
  <c r="AZ454" i="80" l="1"/>
  <c r="BB454" i="80"/>
  <c r="BF454" i="80"/>
  <c r="BG454" i="80" l="1"/>
  <c r="BH454" i="80" s="1"/>
  <c r="BI454" i="80" l="1"/>
  <c r="BJ454" i="80" l="1"/>
  <c r="BK454" i="80" s="1"/>
  <c r="BL454" i="80" s="1"/>
  <c r="BN454" i="80"/>
  <c r="Q454" i="80" s="1"/>
  <c r="BQ454" i="80" l="1"/>
  <c r="BO454" i="80"/>
  <c r="BR454" i="80" l="1"/>
  <c r="BS454" i="80" s="1"/>
  <c r="BP454" i="80"/>
  <c r="L454" i="80"/>
  <c r="N455" i="80" s="1"/>
  <c r="K454" i="80"/>
  <c r="M455" i="80" s="1"/>
  <c r="BU455" i="80" l="1"/>
  <c r="O455" i="80"/>
  <c r="BT455" i="80"/>
  <c r="S455" i="80" l="1"/>
  <c r="P455" i="80"/>
  <c r="U455" i="80" s="1"/>
  <c r="BY455" i="80"/>
  <c r="T455" i="80" l="1"/>
  <c r="V455" i="80" s="1"/>
  <c r="X455" i="80"/>
  <c r="Y455" i="80" l="1"/>
  <c r="BX455" i="80" s="1"/>
  <c r="AC455" i="80"/>
  <c r="R455" i="80" l="1"/>
  <c r="AP455" i="80"/>
  <c r="AQ455" i="80" s="1"/>
  <c r="AS455" i="80" s="1"/>
  <c r="AD455" i="80"/>
  <c r="AF455" i="80" s="1"/>
  <c r="AO455" i="80"/>
  <c r="BV456" i="80"/>
  <c r="BE455" i="80"/>
  <c r="AE455" i="80" l="1"/>
  <c r="AR455" i="80"/>
  <c r="AH455" i="80"/>
  <c r="AI455" i="80" s="1"/>
  <c r="AJ455" i="80" s="1"/>
  <c r="AG455" i="80"/>
  <c r="AX455" i="80" l="1"/>
  <c r="BD455" i="80"/>
  <c r="AK455" i="80"/>
  <c r="AL455" i="80" s="1"/>
  <c r="AT455" i="80"/>
  <c r="AM455" i="80" l="1"/>
  <c r="AV455" i="80" s="1"/>
  <c r="AN455" i="80"/>
  <c r="BW456" i="80"/>
  <c r="AW455" i="80"/>
  <c r="AY455" i="80" l="1"/>
  <c r="BA455" i="80" s="1"/>
  <c r="AZ455" i="80" l="1"/>
  <c r="BB455" i="80"/>
  <c r="BF455" i="80"/>
  <c r="BG455" i="80" l="1"/>
  <c r="BH455" i="80" s="1"/>
  <c r="BI455" i="80" l="1"/>
  <c r="BJ455" i="80" l="1"/>
  <c r="BK455" i="80" s="1"/>
  <c r="BL455" i="80" s="1"/>
  <c r="BN455" i="80"/>
  <c r="Q455" i="80" s="1"/>
  <c r="BQ455" i="80" l="1"/>
  <c r="BO455" i="80"/>
  <c r="BR455" i="80" l="1"/>
  <c r="BS455" i="80" s="1"/>
  <c r="BP455" i="80"/>
  <c r="L455" i="80"/>
  <c r="N456" i="80" s="1"/>
  <c r="K455" i="80"/>
  <c r="M456" i="80" s="1"/>
  <c r="O456" i="80" l="1"/>
  <c r="BT456" i="80"/>
  <c r="BU456" i="80"/>
  <c r="S456" i="80" l="1"/>
  <c r="P456" i="80"/>
  <c r="U456" i="80" s="1"/>
  <c r="BY456" i="80"/>
  <c r="T456" i="80" l="1"/>
  <c r="V456" i="80" s="1"/>
  <c r="X456" i="80"/>
  <c r="Y456" i="80" l="1"/>
  <c r="AD456" i="80" s="1"/>
  <c r="AC456" i="80"/>
  <c r="BE456" i="80" l="1"/>
  <c r="BX456" i="80"/>
  <c r="AP456" i="80"/>
  <c r="AQ456" i="80" s="1"/>
  <c r="AR456" i="80" s="1"/>
  <c r="AO456" i="80"/>
  <c r="BV457" i="80"/>
  <c r="R456" i="80"/>
  <c r="AE456" i="80"/>
  <c r="AF456" i="80"/>
  <c r="AS456" i="80" l="1"/>
  <c r="AG456" i="80"/>
  <c r="AH456" i="80"/>
  <c r="AI456" i="80" s="1"/>
  <c r="AJ456" i="80" s="1"/>
  <c r="AK456" i="80" l="1"/>
  <c r="AL456" i="80" s="1"/>
  <c r="BD456" i="80"/>
  <c r="AX456" i="80"/>
  <c r="AT456" i="80"/>
  <c r="AM456" i="80" l="1"/>
  <c r="AV456" i="80" s="1"/>
  <c r="AN456" i="80"/>
  <c r="BW457" i="80"/>
  <c r="AW456" i="80"/>
  <c r="AY456" i="80" l="1"/>
  <c r="BA456" i="80" s="1"/>
  <c r="AZ456" i="80" l="1"/>
  <c r="BB456" i="80"/>
  <c r="BF456" i="80"/>
  <c r="BG456" i="80" l="1"/>
  <c r="BH456" i="80" s="1"/>
  <c r="BI456" i="80" l="1"/>
  <c r="BJ456" i="80" l="1"/>
  <c r="BK456" i="80" s="1"/>
  <c r="BL456" i="80" s="1"/>
  <c r="BN456" i="80"/>
  <c r="Q456" i="80" s="1"/>
  <c r="BQ456" i="80" l="1"/>
  <c r="BO456" i="80"/>
  <c r="BR456" i="80" l="1"/>
  <c r="BS456" i="80" s="1"/>
  <c r="BP456" i="80"/>
  <c r="K456" i="80"/>
  <c r="M457" i="80" s="1"/>
  <c r="L456" i="80"/>
  <c r="N457" i="80" s="1"/>
  <c r="BU457" i="80" l="1"/>
  <c r="O457" i="80"/>
  <c r="BT457" i="80"/>
  <c r="S457" i="80" l="1"/>
  <c r="P457" i="80"/>
  <c r="U457" i="80" s="1"/>
  <c r="BY457" i="80"/>
  <c r="T457" i="80" l="1"/>
  <c r="V457" i="80" s="1"/>
  <c r="X457" i="80"/>
  <c r="Y457" i="80" l="1"/>
  <c r="AP457" i="80" s="1"/>
  <c r="AQ457" i="80" s="1"/>
  <c r="AC457" i="80"/>
  <c r="R457" i="80" l="1"/>
  <c r="BX457" i="80"/>
  <c r="AD457" i="80"/>
  <c r="AE457" i="80" s="1"/>
  <c r="AO457" i="80"/>
  <c r="BV458" i="80"/>
  <c r="BE457" i="80"/>
  <c r="AS457" i="80"/>
  <c r="AR457" i="80"/>
  <c r="AF457" i="80" l="1"/>
  <c r="AH457" i="80" s="1"/>
  <c r="AI457" i="80" s="1"/>
  <c r="AJ457" i="80" s="1"/>
  <c r="AG457" i="80" l="1"/>
  <c r="AK457" i="80" s="1"/>
  <c r="AL457" i="80" s="1"/>
  <c r="AX457" i="80"/>
  <c r="BD457" i="80"/>
  <c r="AT457" i="80"/>
  <c r="AM457" i="80" l="1"/>
  <c r="AV457" i="80" s="1"/>
  <c r="AN457" i="80"/>
  <c r="BW458" i="80"/>
  <c r="AW457" i="80"/>
  <c r="AY457" i="80" l="1"/>
  <c r="BA457" i="80" s="1"/>
  <c r="AZ457" i="80" l="1"/>
  <c r="BB457" i="80"/>
  <c r="BF457" i="80"/>
  <c r="BG457" i="80" l="1"/>
  <c r="BH457" i="80" s="1"/>
  <c r="BI457" i="80" l="1"/>
  <c r="BN457" i="80" l="1"/>
  <c r="Q457" i="80" s="1"/>
  <c r="BJ457" i="80"/>
  <c r="BK457" i="80" s="1"/>
  <c r="BL457" i="80" s="1"/>
  <c r="BQ457" i="80" l="1"/>
  <c r="BO457" i="80"/>
  <c r="BR457" i="80" l="1"/>
  <c r="BS457" i="80" s="1"/>
  <c r="BP457" i="80"/>
  <c r="L457" i="80"/>
  <c r="N458" i="80" s="1"/>
  <c r="K457" i="80"/>
  <c r="M458" i="80" s="1"/>
  <c r="O458" i="80" l="1"/>
  <c r="BT458" i="80"/>
  <c r="BU458" i="80"/>
  <c r="BY458" i="80" l="1"/>
  <c r="P458" i="80"/>
  <c r="U458" i="80" s="1"/>
  <c r="S458" i="80"/>
  <c r="T458" i="80" l="1"/>
  <c r="V458" i="80" s="1"/>
  <c r="X458" i="80"/>
  <c r="Y458" i="80" l="1"/>
  <c r="AP458" i="80" s="1"/>
  <c r="AQ458" i="80" s="1"/>
  <c r="AC458" i="80"/>
  <c r="R458" i="80" l="1"/>
  <c r="BX458" i="80"/>
  <c r="AD458" i="80"/>
  <c r="AE458" i="80" s="1"/>
  <c r="AO458" i="80"/>
  <c r="BV459" i="80"/>
  <c r="BE458" i="80"/>
  <c r="AR458" i="80"/>
  <c r="AS458" i="80"/>
  <c r="AF458" i="80" l="1"/>
  <c r="AG458" i="80" s="1"/>
  <c r="AH458" i="80" l="1"/>
  <c r="AI458" i="80" s="1"/>
  <c r="AJ458" i="80" s="1"/>
  <c r="AX458" i="80"/>
  <c r="AK458" i="80"/>
  <c r="AL458" i="80" s="1"/>
  <c r="BD458" i="80"/>
  <c r="AT458" i="80"/>
  <c r="AM458" i="80" l="1"/>
  <c r="AV458" i="80" s="1"/>
  <c r="AN458" i="80"/>
  <c r="BW459" i="80"/>
  <c r="AW458" i="80"/>
  <c r="AY458" i="80" l="1"/>
  <c r="BA458" i="80" s="1"/>
  <c r="AZ458" i="80" l="1"/>
  <c r="BB458" i="80"/>
  <c r="BF458" i="80"/>
  <c r="BG458" i="80" l="1"/>
  <c r="BH458" i="80" s="1"/>
  <c r="BI458" i="80" l="1"/>
  <c r="BN458" i="80" l="1"/>
  <c r="Q458" i="80" s="1"/>
  <c r="BJ458" i="80"/>
  <c r="BK458" i="80" s="1"/>
  <c r="BL458" i="80" s="1"/>
  <c r="BQ458" i="80" l="1"/>
  <c r="BO458" i="80"/>
  <c r="BR458" i="80" l="1"/>
  <c r="BS458" i="80" s="1"/>
  <c r="BP458" i="80"/>
  <c r="L458" i="80"/>
  <c r="N459" i="80" s="1"/>
  <c r="K458" i="80"/>
  <c r="M459" i="80" s="1"/>
  <c r="BU459" i="80" l="1"/>
  <c r="O459" i="80"/>
  <c r="BT459" i="80"/>
  <c r="S459" i="80" l="1"/>
  <c r="BY459" i="80"/>
  <c r="P459" i="80"/>
  <c r="U459" i="80" s="1"/>
  <c r="T459" i="80" l="1"/>
  <c r="V459" i="80" s="1"/>
  <c r="X459" i="80"/>
  <c r="Y459" i="80" l="1"/>
  <c r="BX459" i="80" s="1"/>
  <c r="AC459" i="80"/>
  <c r="AD459" i="80" l="1"/>
  <c r="AE459" i="80" s="1"/>
  <c r="AP459" i="80"/>
  <c r="AQ459" i="80" s="1"/>
  <c r="AS459" i="80" s="1"/>
  <c r="R459" i="80"/>
  <c r="AO459" i="80"/>
  <c r="BV460" i="80"/>
  <c r="BE459" i="80"/>
  <c r="AR459" i="80" l="1"/>
  <c r="AF459" i="80"/>
  <c r="AG459" i="80" s="1"/>
  <c r="AH459" i="80" l="1"/>
  <c r="AI459" i="80" s="1"/>
  <c r="AJ459" i="80" s="1"/>
  <c r="AK459" i="80"/>
  <c r="AL459" i="80" s="1"/>
  <c r="AX459" i="80"/>
  <c r="BD459" i="80"/>
  <c r="AT459" i="80"/>
  <c r="AM459" i="80" l="1"/>
  <c r="AV459" i="80" s="1"/>
  <c r="AN459" i="80"/>
  <c r="BW460" i="80"/>
  <c r="AW459" i="80"/>
  <c r="AY459" i="80" l="1"/>
  <c r="BA459" i="80" s="1"/>
  <c r="AZ459" i="80" l="1"/>
  <c r="BB459" i="80"/>
  <c r="BF459" i="80"/>
  <c r="BG459" i="80" l="1"/>
  <c r="BH459" i="80" s="1"/>
  <c r="BI459" i="80" l="1"/>
  <c r="BJ459" i="80" l="1"/>
  <c r="BK459" i="80" s="1"/>
  <c r="BL459" i="80" s="1"/>
  <c r="BN459" i="80"/>
  <c r="Q459" i="80" s="1"/>
  <c r="BQ459" i="80" l="1"/>
  <c r="BO459" i="80"/>
  <c r="BR459" i="80" l="1"/>
  <c r="BS459" i="80" s="1"/>
  <c r="BP459" i="80"/>
  <c r="L459" i="80"/>
  <c r="N460" i="80" s="1"/>
  <c r="K459" i="80"/>
  <c r="M460" i="80" s="1"/>
  <c r="O460" i="80" l="1"/>
  <c r="BT460" i="80"/>
  <c r="BU460" i="80"/>
  <c r="S460" i="80" l="1"/>
  <c r="P460" i="80"/>
  <c r="U460" i="80" s="1"/>
  <c r="BY460" i="80"/>
  <c r="X460" i="80" l="1"/>
  <c r="T460" i="80"/>
  <c r="V460" i="80" s="1"/>
  <c r="Y460" i="80" s="1"/>
  <c r="AD460" i="80" l="1"/>
  <c r="AP460" i="80"/>
  <c r="AQ460" i="80" s="1"/>
  <c r="BX460" i="80"/>
  <c r="AC460" i="80"/>
  <c r="BE460" i="80" l="1"/>
  <c r="AO460" i="80"/>
  <c r="BV461" i="80"/>
  <c r="R460" i="80"/>
  <c r="AR460" i="80"/>
  <c r="AS460" i="80"/>
  <c r="AF460" i="80"/>
  <c r="AE460" i="80"/>
  <c r="AG460" i="80" l="1"/>
  <c r="AH460" i="80"/>
  <c r="AI460" i="80" s="1"/>
  <c r="AJ460" i="80" s="1"/>
  <c r="AK460" i="80" l="1"/>
  <c r="AL460" i="80" s="1"/>
  <c r="BD460" i="80"/>
  <c r="AX460" i="80"/>
  <c r="AT460" i="80"/>
  <c r="AM460" i="80" l="1"/>
  <c r="AV460" i="80" s="1"/>
  <c r="BW461" i="80"/>
  <c r="AN460" i="80"/>
  <c r="AW460" i="80"/>
  <c r="AY460" i="80" l="1"/>
  <c r="BA460" i="80" s="1"/>
  <c r="AZ460" i="80" l="1"/>
  <c r="BB460" i="80"/>
  <c r="BF460" i="80"/>
  <c r="BG460" i="80" l="1"/>
  <c r="BH460" i="80" s="1"/>
  <c r="BI460" i="80" l="1"/>
  <c r="BN460" i="80" l="1"/>
  <c r="Q460" i="80" s="1"/>
  <c r="BJ460" i="80"/>
  <c r="BK460" i="80" s="1"/>
  <c r="BL460" i="80" s="1"/>
  <c r="BQ460" i="80" l="1"/>
  <c r="BO460" i="80"/>
  <c r="BR460" i="80" l="1"/>
  <c r="BS460" i="80" s="1"/>
  <c r="BP460" i="80"/>
  <c r="K460" i="80"/>
  <c r="M461" i="80" s="1"/>
  <c r="L460" i="80"/>
  <c r="N461" i="80" s="1"/>
  <c r="BU461" i="80" l="1"/>
  <c r="O461" i="80"/>
  <c r="BT461" i="80"/>
  <c r="S461" i="80" l="1"/>
  <c r="BY461" i="80"/>
  <c r="P461" i="80"/>
  <c r="U461" i="80" s="1"/>
  <c r="T461" i="80" l="1"/>
  <c r="V461" i="80" s="1"/>
  <c r="Y461" i="80" s="1"/>
  <c r="X461" i="80"/>
  <c r="AD461" i="80" l="1"/>
  <c r="AP461" i="80"/>
  <c r="AQ461" i="80" s="1"/>
  <c r="BX461" i="80"/>
  <c r="AC461" i="80"/>
  <c r="BE461" i="80" l="1"/>
  <c r="AO461" i="80"/>
  <c r="BV462" i="80"/>
  <c r="R461" i="80"/>
  <c r="AR461" i="80"/>
  <c r="AS461" i="80"/>
  <c r="AF461" i="80"/>
  <c r="AE461" i="80"/>
  <c r="AH461" i="80" l="1"/>
  <c r="AI461" i="80" s="1"/>
  <c r="AJ461" i="80" s="1"/>
  <c r="AG461" i="80"/>
  <c r="AX461" i="80" l="1"/>
  <c r="BD461" i="80"/>
  <c r="AK461" i="80"/>
  <c r="AL461" i="80" s="1"/>
  <c r="AT461" i="80"/>
  <c r="AM461" i="80" l="1"/>
  <c r="AV461" i="80" s="1"/>
  <c r="AN461" i="80"/>
  <c r="BW462" i="80"/>
  <c r="AW461" i="80"/>
  <c r="AY461" i="80" l="1"/>
  <c r="BA461" i="80" s="1"/>
  <c r="AZ461" i="80" l="1"/>
  <c r="BB461" i="80"/>
  <c r="BF461" i="80"/>
  <c r="BG461" i="80" l="1"/>
  <c r="BH461" i="80" s="1"/>
  <c r="BI461" i="80" l="1"/>
  <c r="BN461" i="80" l="1"/>
  <c r="Q461" i="80" s="1"/>
  <c r="BJ461" i="80"/>
  <c r="BK461" i="80" s="1"/>
  <c r="BL461" i="80" s="1"/>
  <c r="BQ461" i="80" l="1"/>
  <c r="BO461" i="80"/>
  <c r="BR461" i="80" l="1"/>
  <c r="BS461" i="80" s="1"/>
  <c r="BP461" i="80"/>
  <c r="L461" i="80"/>
  <c r="N462" i="80" s="1"/>
  <c r="K461" i="80"/>
  <c r="M462" i="80" s="1"/>
  <c r="O462" i="80" l="1"/>
  <c r="BT462" i="80"/>
  <c r="BU462" i="80"/>
  <c r="S462" i="80" l="1"/>
  <c r="BY462" i="80"/>
  <c r="P462" i="80"/>
  <c r="U462" i="80" s="1"/>
  <c r="T462" i="80" l="1"/>
  <c r="V462" i="80" s="1"/>
  <c r="Y462" i="80" s="1"/>
  <c r="X462" i="80"/>
  <c r="AP462" i="80" l="1"/>
  <c r="AQ462" i="80" s="1"/>
  <c r="AD462" i="80"/>
  <c r="BX462" i="80"/>
  <c r="AC462" i="80"/>
  <c r="R462" i="80" l="1"/>
  <c r="AO462" i="80"/>
  <c r="BE462" i="80"/>
  <c r="BV463" i="80"/>
  <c r="AE462" i="80"/>
  <c r="AF462" i="80"/>
  <c r="AR462" i="80"/>
  <c r="AS462" i="80"/>
  <c r="AH462" i="80" l="1"/>
  <c r="AI462" i="80" s="1"/>
  <c r="AJ462" i="80" s="1"/>
  <c r="AG462" i="80"/>
  <c r="BD462" i="80" l="1"/>
  <c r="AK462" i="80"/>
  <c r="AL462" i="80" s="1"/>
  <c r="AX462" i="80"/>
  <c r="AT462" i="80"/>
  <c r="AM462" i="80" l="1"/>
  <c r="AV462" i="80" s="1"/>
  <c r="BW463" i="80"/>
  <c r="AN462" i="80"/>
  <c r="AW462" i="80"/>
  <c r="AY462" i="80" l="1"/>
  <c r="BA462" i="80" s="1"/>
  <c r="AZ462" i="80" l="1"/>
  <c r="BB462" i="80"/>
  <c r="BF462" i="80"/>
  <c r="BG462" i="80" l="1"/>
  <c r="BH462" i="80" s="1"/>
  <c r="BI462" i="80" l="1"/>
  <c r="BN462" i="80" l="1"/>
  <c r="Q462" i="80" s="1"/>
  <c r="BJ462" i="80"/>
  <c r="BK462" i="80" s="1"/>
  <c r="BL462" i="80" s="1"/>
  <c r="BQ462" i="80" l="1"/>
  <c r="BO462" i="80"/>
  <c r="BR462" i="80" l="1"/>
  <c r="BS462" i="80" s="1"/>
  <c r="BP462" i="80"/>
  <c r="K462" i="80"/>
  <c r="M463" i="80" s="1"/>
  <c r="L462" i="80"/>
  <c r="N463" i="80" s="1"/>
  <c r="O463" i="80" l="1"/>
  <c r="BT463" i="80"/>
  <c r="BU463" i="80"/>
  <c r="S463" i="80" l="1"/>
  <c r="BY463" i="80"/>
  <c r="P463" i="80"/>
  <c r="U463" i="80" s="1"/>
  <c r="T463" i="80" l="1"/>
  <c r="V463" i="80" s="1"/>
  <c r="Y463" i="80" s="1"/>
  <c r="X463" i="80"/>
  <c r="AP463" i="80" l="1"/>
  <c r="AQ463" i="80" s="1"/>
  <c r="BX463" i="80"/>
  <c r="AD463" i="80"/>
  <c r="AC463" i="80"/>
  <c r="BE463" i="80" l="1"/>
  <c r="AO463" i="80"/>
  <c r="BV464" i="80"/>
  <c r="R463" i="80"/>
  <c r="AF463" i="80"/>
  <c r="AE463" i="80"/>
  <c r="AR463" i="80"/>
  <c r="AS463" i="80"/>
  <c r="AG463" i="80" l="1"/>
  <c r="AH463" i="80"/>
  <c r="AI463" i="80" s="1"/>
  <c r="AJ463" i="80" s="1"/>
  <c r="BD463" i="80" l="1"/>
  <c r="AK463" i="80"/>
  <c r="AL463" i="80" s="1"/>
  <c r="AX463" i="80"/>
  <c r="AT463" i="80"/>
  <c r="AM463" i="80" l="1"/>
  <c r="AV463" i="80" s="1"/>
  <c r="AN463" i="80"/>
  <c r="BW464" i="80"/>
  <c r="AW463" i="80"/>
  <c r="AY463" i="80" l="1"/>
  <c r="BA463" i="80" s="1"/>
  <c r="AZ463" i="80" l="1"/>
  <c r="BB463" i="80"/>
  <c r="BF463" i="80"/>
  <c r="BG463" i="80" l="1"/>
  <c r="BH463" i="80" s="1"/>
  <c r="BI463" i="80" l="1"/>
  <c r="BJ463" i="80" l="1"/>
  <c r="BK463" i="80" s="1"/>
  <c r="BL463" i="80" s="1"/>
  <c r="BN463" i="80"/>
  <c r="Q463" i="80" s="1"/>
  <c r="BQ463" i="80" l="1"/>
  <c r="BO463" i="80"/>
  <c r="BR463" i="80" l="1"/>
  <c r="BS463" i="80" s="1"/>
  <c r="BP463" i="80"/>
  <c r="K463" i="80"/>
  <c r="M464" i="80" s="1"/>
  <c r="L463" i="80"/>
  <c r="N464" i="80" s="1"/>
  <c r="BU464" i="80" l="1"/>
  <c r="O464" i="80"/>
  <c r="BT464" i="80"/>
  <c r="P464" i="80" l="1"/>
  <c r="U464" i="80" s="1"/>
  <c r="BY464" i="80"/>
  <c r="S464" i="80"/>
  <c r="X464" i="80" l="1"/>
  <c r="T464" i="80"/>
  <c r="V464" i="80" s="1"/>
  <c r="Y464" i="80" s="1"/>
  <c r="AD464" i="80" l="1"/>
  <c r="AP464" i="80"/>
  <c r="AQ464" i="80" s="1"/>
  <c r="BX464" i="80"/>
  <c r="AC464" i="80"/>
  <c r="BE464" i="80" l="1"/>
  <c r="AO464" i="80"/>
  <c r="BV465" i="80"/>
  <c r="R464" i="80"/>
  <c r="AF464" i="80"/>
  <c r="AE464" i="80"/>
  <c r="AS464" i="80"/>
  <c r="AR464" i="80"/>
  <c r="AH464" i="80" l="1"/>
  <c r="AI464" i="80" s="1"/>
  <c r="AJ464" i="80" s="1"/>
  <c r="AG464" i="80"/>
  <c r="AK464" i="80" l="1"/>
  <c r="AL464" i="80" s="1"/>
  <c r="AX464" i="80"/>
  <c r="BD464" i="80"/>
  <c r="AT464" i="80"/>
  <c r="AM464" i="80" l="1"/>
  <c r="AV464" i="80" s="1"/>
  <c r="AN464" i="80"/>
  <c r="BW465" i="80"/>
  <c r="AW464" i="80"/>
  <c r="AY464" i="80" l="1"/>
  <c r="BA464" i="80" s="1"/>
  <c r="AZ464" i="80" l="1"/>
  <c r="BB464" i="80"/>
  <c r="BF464" i="80"/>
  <c r="BG464" i="80" l="1"/>
  <c r="BH464" i="80" s="1"/>
  <c r="BI464" i="80" l="1"/>
  <c r="BN464" i="80" l="1"/>
  <c r="Q464" i="80" s="1"/>
  <c r="BJ464" i="80"/>
  <c r="BK464" i="80" s="1"/>
  <c r="BL464" i="80" s="1"/>
  <c r="BQ464" i="80" l="1"/>
  <c r="BO464" i="80"/>
  <c r="BR464" i="80" l="1"/>
  <c r="BS464" i="80" s="1"/>
  <c r="BP464" i="80"/>
  <c r="L464" i="80"/>
  <c r="N465" i="80" s="1"/>
  <c r="K464" i="80"/>
  <c r="M465" i="80" s="1"/>
  <c r="O465" i="80" l="1"/>
  <c r="BT465" i="80"/>
  <c r="BU465" i="80"/>
  <c r="S465" i="80" l="1"/>
  <c r="P465" i="80"/>
  <c r="U465" i="80" s="1"/>
  <c r="BY465" i="80"/>
  <c r="T465" i="80" l="1"/>
  <c r="V465" i="80" s="1"/>
  <c r="Y465" i="80" s="1"/>
  <c r="X465" i="80"/>
  <c r="AD465" i="80" l="1"/>
  <c r="BX465" i="80"/>
  <c r="AP465" i="80"/>
  <c r="AQ465" i="80" s="1"/>
  <c r="AC465" i="80"/>
  <c r="BE465" i="80" l="1"/>
  <c r="AO465" i="80"/>
  <c r="R465" i="80"/>
  <c r="BV466" i="80"/>
  <c r="AR465" i="80"/>
  <c r="AS465" i="80"/>
  <c r="AF465" i="80"/>
  <c r="AE465" i="80"/>
  <c r="AG465" i="80" l="1"/>
  <c r="AH465" i="80"/>
  <c r="AI465" i="80" s="1"/>
  <c r="AJ465" i="80" s="1"/>
  <c r="AX465" i="80" l="1"/>
  <c r="BD465" i="80"/>
  <c r="AK465" i="80"/>
  <c r="AL465" i="80" s="1"/>
  <c r="AT465" i="80"/>
  <c r="AM465" i="80" l="1"/>
  <c r="AV465" i="80" s="1"/>
  <c r="BW466" i="80"/>
  <c r="AN465" i="80"/>
  <c r="AW465" i="80"/>
  <c r="AY465" i="80" l="1"/>
  <c r="BA465" i="80" s="1"/>
  <c r="AZ465" i="80" l="1"/>
  <c r="BB465" i="80"/>
  <c r="BF465" i="80"/>
  <c r="BG465" i="80" l="1"/>
  <c r="BH465" i="80" s="1"/>
  <c r="BI465" i="80" l="1"/>
  <c r="BJ465" i="80" l="1"/>
  <c r="BK465" i="80" s="1"/>
  <c r="BL465" i="80" s="1"/>
  <c r="BN465" i="80"/>
  <c r="Q465" i="80" s="1"/>
  <c r="BQ465" i="80" l="1"/>
  <c r="BO465" i="80"/>
  <c r="BR465" i="80" l="1"/>
  <c r="BS465" i="80" s="1"/>
  <c r="BP465" i="80"/>
  <c r="K465" i="80"/>
  <c r="M466" i="80" s="1"/>
  <c r="L465" i="80"/>
  <c r="N466" i="80" s="1"/>
  <c r="BU466" i="80" l="1"/>
  <c r="O466" i="80"/>
  <c r="BT466" i="80"/>
  <c r="S466" i="80" l="1"/>
  <c r="P466" i="80"/>
  <c r="U466" i="80" s="1"/>
  <c r="BY466" i="80"/>
  <c r="T466" i="80" l="1"/>
  <c r="V466" i="80" s="1"/>
  <c r="Y466" i="80" s="1"/>
  <c r="X466" i="80"/>
  <c r="AP466" i="80" l="1"/>
  <c r="AQ466" i="80" s="1"/>
  <c r="AD466" i="80"/>
  <c r="BX466" i="80"/>
  <c r="AC466" i="80"/>
  <c r="BE466" i="80" l="1"/>
  <c r="AO466" i="80"/>
  <c r="BV467" i="80"/>
  <c r="R466" i="80"/>
  <c r="AF466" i="80"/>
  <c r="AE466" i="80"/>
  <c r="AR466" i="80"/>
  <c r="AS466" i="80"/>
  <c r="AH466" i="80" l="1"/>
  <c r="AI466" i="80" s="1"/>
  <c r="AJ466" i="80" s="1"/>
  <c r="AG466" i="80"/>
  <c r="BD466" i="80" l="1"/>
  <c r="AX466" i="80"/>
  <c r="AK466" i="80"/>
  <c r="AL466" i="80" s="1"/>
  <c r="AT466" i="80"/>
  <c r="AM466" i="80" l="1"/>
  <c r="AV466" i="80" s="1"/>
  <c r="BW467" i="80"/>
  <c r="AN466" i="80"/>
  <c r="AW466" i="80"/>
  <c r="AY466" i="80" l="1"/>
  <c r="BA466" i="80" s="1"/>
  <c r="AZ466" i="80" l="1"/>
  <c r="BB466" i="80"/>
  <c r="BF466" i="80"/>
  <c r="BG466" i="80" l="1"/>
  <c r="BH466" i="80" s="1"/>
  <c r="BI466" i="80" l="1"/>
  <c r="BJ466" i="80" l="1"/>
  <c r="BK466" i="80" s="1"/>
  <c r="BL466" i="80" s="1"/>
  <c r="BN466" i="80"/>
  <c r="Q466" i="80" s="1"/>
  <c r="BQ466" i="80" l="1"/>
  <c r="BO466" i="80"/>
  <c r="BR466" i="80" l="1"/>
  <c r="BS466" i="80" s="1"/>
  <c r="BP466" i="80"/>
  <c r="L466" i="80"/>
  <c r="N467" i="80" s="1"/>
  <c r="K466" i="80"/>
  <c r="M467" i="80" s="1"/>
  <c r="O467" i="80" l="1"/>
  <c r="BT467" i="80"/>
  <c r="BU467" i="80"/>
  <c r="S467" i="80" l="1"/>
  <c r="P467" i="80"/>
  <c r="U467" i="80" s="1"/>
  <c r="BY467" i="80"/>
  <c r="T467" i="80" l="1"/>
  <c r="V467" i="80" s="1"/>
  <c r="X467" i="80"/>
  <c r="Y467" i="80" l="1"/>
  <c r="AP467" i="80" s="1"/>
  <c r="AQ467" i="80" s="1"/>
  <c r="AD467" i="80"/>
  <c r="BX467" i="80"/>
  <c r="AC467" i="80"/>
  <c r="BE467" i="80" l="1"/>
  <c r="AO467" i="80"/>
  <c r="BV468" i="80"/>
  <c r="R467" i="80"/>
  <c r="AE467" i="80"/>
  <c r="AF467" i="80"/>
  <c r="AR467" i="80"/>
  <c r="AS467" i="80"/>
  <c r="AH467" i="80" l="1"/>
  <c r="AI467" i="80" s="1"/>
  <c r="AJ467" i="80" s="1"/>
  <c r="AG467" i="80"/>
  <c r="BD467" i="80" l="1"/>
  <c r="AK467" i="80"/>
  <c r="AL467" i="80" s="1"/>
  <c r="AX467" i="80"/>
  <c r="AT467" i="80"/>
  <c r="AM467" i="80" l="1"/>
  <c r="AV467" i="80" s="1"/>
  <c r="BW468" i="80"/>
  <c r="AN467" i="80"/>
  <c r="AW467" i="80"/>
  <c r="AY467" i="80" l="1"/>
  <c r="BA467" i="80" s="1"/>
  <c r="AZ467" i="80" l="1"/>
  <c r="BB467" i="80"/>
  <c r="BF467" i="80"/>
  <c r="BG467" i="80" l="1"/>
  <c r="BH467" i="80" s="1"/>
  <c r="BI467" i="80" l="1"/>
  <c r="BN467" i="80" l="1"/>
  <c r="Q467" i="80" s="1"/>
  <c r="BJ467" i="80"/>
  <c r="BK467" i="80" s="1"/>
  <c r="BL467" i="80" s="1"/>
  <c r="BQ467" i="80" l="1"/>
  <c r="BO467" i="80"/>
  <c r="BR467" i="80" l="1"/>
  <c r="BS467" i="80" s="1"/>
  <c r="BP467" i="80"/>
  <c r="K467" i="80"/>
  <c r="M468" i="80" s="1"/>
  <c r="L467" i="80"/>
  <c r="N468" i="80" s="1"/>
  <c r="O468" i="80" l="1"/>
  <c r="BT468" i="80"/>
  <c r="BU468" i="80"/>
  <c r="BY468" i="80" l="1"/>
  <c r="S468" i="80"/>
  <c r="P468" i="80"/>
  <c r="U468" i="80" s="1"/>
  <c r="T468" i="80" l="1"/>
  <c r="V468" i="80" s="1"/>
  <c r="Y468" i="80" s="1"/>
  <c r="X468" i="80"/>
  <c r="AD468" i="80" l="1"/>
  <c r="BX468" i="80"/>
  <c r="AP468" i="80"/>
  <c r="AQ468" i="80" s="1"/>
  <c r="AC468" i="80"/>
  <c r="R468" i="80" l="1"/>
  <c r="AO468" i="80"/>
  <c r="BV469" i="80"/>
  <c r="BE468" i="80"/>
  <c r="AE468" i="80"/>
  <c r="AF468" i="80"/>
  <c r="AR468" i="80"/>
  <c r="AS468" i="80"/>
  <c r="AG468" i="80" l="1"/>
  <c r="AH468" i="80"/>
  <c r="AI468" i="80" s="1"/>
  <c r="AJ468" i="80" s="1"/>
  <c r="AX468" i="80" l="1"/>
  <c r="AK468" i="80"/>
  <c r="AL468" i="80" s="1"/>
  <c r="BD468" i="80"/>
  <c r="AT468" i="80"/>
  <c r="AM468" i="80" l="1"/>
  <c r="AV468" i="80" s="1"/>
  <c r="AN468" i="80"/>
  <c r="BW469" i="80"/>
  <c r="AW468" i="80"/>
  <c r="AY468" i="80" l="1"/>
  <c r="BA468" i="80" s="1"/>
  <c r="AZ468" i="80" l="1"/>
  <c r="BB468" i="80"/>
  <c r="BF468" i="80"/>
  <c r="BG468" i="80" l="1"/>
  <c r="BH468" i="80" s="1"/>
  <c r="BI468" i="80" l="1"/>
  <c r="BJ468" i="80" l="1"/>
  <c r="BK468" i="80" s="1"/>
  <c r="BL468" i="80" s="1"/>
  <c r="BN468" i="80"/>
  <c r="Q468" i="80" s="1"/>
  <c r="BQ468" i="80" l="1"/>
  <c r="BO468" i="80"/>
  <c r="BR468" i="80" l="1"/>
  <c r="BS468" i="80" s="1"/>
  <c r="BP468" i="80"/>
  <c r="L468" i="80"/>
  <c r="N469" i="80" s="1"/>
  <c r="K468" i="80"/>
  <c r="M469" i="80" s="1"/>
  <c r="O469" i="80" l="1"/>
  <c r="BT469" i="80"/>
  <c r="BU469" i="80"/>
  <c r="P469" i="80" l="1"/>
  <c r="U469" i="80" s="1"/>
  <c r="S469" i="80"/>
  <c r="BY469" i="80"/>
  <c r="T469" i="80" l="1"/>
  <c r="V469" i="80" s="1"/>
  <c r="Y469" i="80" s="1"/>
  <c r="X469" i="80"/>
  <c r="AP469" i="80" l="1"/>
  <c r="AQ469" i="80" s="1"/>
  <c r="BX469" i="80"/>
  <c r="AD469" i="80"/>
  <c r="AC469" i="80"/>
  <c r="BE469" i="80" l="1"/>
  <c r="AO469" i="80"/>
  <c r="BV470" i="80"/>
  <c r="R469" i="80"/>
  <c r="AE469" i="80"/>
  <c r="AF469" i="80"/>
  <c r="AS469" i="80"/>
  <c r="AR469" i="80"/>
  <c r="AG469" i="80" l="1"/>
  <c r="AH469" i="80"/>
  <c r="AI469" i="80" s="1"/>
  <c r="AJ469" i="80" s="1"/>
  <c r="BD469" i="80" l="1"/>
  <c r="AX469" i="80"/>
  <c r="AK469" i="80"/>
  <c r="AL469" i="80" s="1"/>
  <c r="AT469" i="80"/>
  <c r="AM469" i="80" l="1"/>
  <c r="AV469" i="80" s="1"/>
  <c r="AN469" i="80"/>
  <c r="BW470" i="80"/>
  <c r="AW469" i="80"/>
  <c r="AY469" i="80" l="1"/>
  <c r="BA469" i="80" s="1"/>
  <c r="AZ469" i="80" l="1"/>
  <c r="BB469" i="80"/>
  <c r="BF469" i="80"/>
  <c r="BG469" i="80" l="1"/>
  <c r="BH469" i="80" s="1"/>
  <c r="BI469" i="80" l="1"/>
  <c r="BJ469" i="80" l="1"/>
  <c r="BK469" i="80" s="1"/>
  <c r="BL469" i="80" s="1"/>
  <c r="BN469" i="80"/>
  <c r="Q469" i="80" s="1"/>
  <c r="BQ469" i="80" l="1"/>
  <c r="BO469" i="80"/>
  <c r="BR469" i="80" l="1"/>
  <c r="BS469" i="80" s="1"/>
  <c r="BP469" i="80"/>
  <c r="K469" i="80"/>
  <c r="M470" i="80" s="1"/>
  <c r="L469" i="80"/>
  <c r="N470" i="80" s="1"/>
  <c r="O470" i="80" l="1"/>
  <c r="BT470" i="80"/>
  <c r="BU470" i="80"/>
  <c r="BY470" i="80" l="1"/>
  <c r="P470" i="80"/>
  <c r="U470" i="80" s="1"/>
  <c r="S470" i="80"/>
  <c r="T470" i="80" l="1"/>
  <c r="V470" i="80" s="1"/>
  <c r="X470" i="80"/>
  <c r="Y470" i="80" l="1"/>
  <c r="BX470" i="80" s="1"/>
  <c r="AC470" i="80"/>
  <c r="AP470" i="80" l="1"/>
  <c r="AQ470" i="80" s="1"/>
  <c r="AD470" i="80"/>
  <c r="R470" i="80"/>
  <c r="AO470" i="80"/>
  <c r="BV471" i="80"/>
  <c r="BE470" i="80"/>
  <c r="AE470" i="80"/>
  <c r="AF470" i="80"/>
  <c r="AS470" i="80"/>
  <c r="AR470" i="80"/>
  <c r="AH470" i="80" l="1"/>
  <c r="AI470" i="80" s="1"/>
  <c r="AJ470" i="80" s="1"/>
  <c r="AG470" i="80"/>
  <c r="AX470" i="80" l="1"/>
  <c r="AK470" i="80"/>
  <c r="AL470" i="80" s="1"/>
  <c r="BD470" i="80"/>
  <c r="AT470" i="80"/>
  <c r="AM470" i="80" l="1"/>
  <c r="AV470" i="80" s="1"/>
  <c r="AN470" i="80"/>
  <c r="BW471" i="80"/>
  <c r="AW470" i="80"/>
  <c r="AY470" i="80" l="1"/>
  <c r="BA470" i="80" s="1"/>
  <c r="AZ470" i="80" l="1"/>
  <c r="BB470" i="80"/>
  <c r="BF470" i="80"/>
  <c r="BG470" i="80" l="1"/>
  <c r="BH470" i="80" s="1"/>
  <c r="BI470" i="80" l="1"/>
  <c r="BN470" i="80" l="1"/>
  <c r="Q470" i="80" s="1"/>
  <c r="BJ470" i="80"/>
  <c r="BK470" i="80" s="1"/>
  <c r="BL470" i="80" s="1"/>
  <c r="BQ470" i="80" l="1"/>
  <c r="BO470" i="80"/>
  <c r="BR470" i="80" l="1"/>
  <c r="BS470" i="80" s="1"/>
  <c r="BP470" i="80"/>
  <c r="K470" i="80"/>
  <c r="M471" i="80" s="1"/>
  <c r="L470" i="80"/>
  <c r="N471" i="80" s="1"/>
  <c r="BU471" i="80" l="1"/>
  <c r="O471" i="80"/>
  <c r="BT471" i="80"/>
  <c r="P471" i="80" l="1"/>
  <c r="U471" i="80" s="1"/>
  <c r="S471" i="80"/>
  <c r="BY471" i="80"/>
  <c r="T471" i="80" l="1"/>
  <c r="V471" i="80" s="1"/>
  <c r="X471" i="80"/>
  <c r="Y471" i="80" l="1"/>
  <c r="BX471" i="80" s="1"/>
  <c r="AC471" i="80"/>
  <c r="R471" i="80" l="1"/>
  <c r="AD471" i="80"/>
  <c r="AF471" i="80" s="1"/>
  <c r="AP471" i="80"/>
  <c r="AQ471" i="80" s="1"/>
  <c r="AR471" i="80" s="1"/>
  <c r="AO471" i="80"/>
  <c r="BV472" i="80"/>
  <c r="BE471" i="80"/>
  <c r="AE471" i="80"/>
  <c r="AS471" i="80" l="1"/>
  <c r="AG471" i="80"/>
  <c r="AH471" i="80"/>
  <c r="AI471" i="80" s="1"/>
  <c r="AJ471" i="80" s="1"/>
  <c r="AK471" i="80" l="1"/>
  <c r="AL471" i="80" s="1"/>
  <c r="BD471" i="80"/>
  <c r="AX471" i="80"/>
  <c r="AT471" i="80"/>
  <c r="AM471" i="80" l="1"/>
  <c r="AV471" i="80" s="1"/>
  <c r="AN471" i="80"/>
  <c r="BW472" i="80"/>
  <c r="AW471" i="80"/>
  <c r="AY471" i="80" l="1"/>
  <c r="BA471" i="80" s="1"/>
  <c r="AZ471" i="80" l="1"/>
  <c r="BB471" i="80"/>
  <c r="BF471" i="80"/>
  <c r="BG471" i="80" l="1"/>
  <c r="BH471" i="80" s="1"/>
  <c r="BI471" i="80" l="1"/>
  <c r="BN471" i="80" l="1"/>
  <c r="Q471" i="80" s="1"/>
  <c r="BJ471" i="80"/>
  <c r="BK471" i="80" s="1"/>
  <c r="BL471" i="80" s="1"/>
  <c r="BQ471" i="80" l="1"/>
  <c r="BO471" i="80"/>
  <c r="BR471" i="80" l="1"/>
  <c r="BS471" i="80" s="1"/>
  <c r="BP471" i="80"/>
  <c r="L471" i="80"/>
  <c r="N472" i="80" s="1"/>
  <c r="K471" i="80"/>
  <c r="M472" i="80" s="1"/>
  <c r="O472" i="80" l="1"/>
  <c r="BT472" i="80"/>
  <c r="BU472" i="80"/>
  <c r="P472" i="80" l="1"/>
  <c r="U472" i="80" s="1"/>
  <c r="BY472" i="80"/>
  <c r="S472" i="80"/>
  <c r="X472" i="80" l="1"/>
  <c r="T472" i="80"/>
  <c r="V472" i="80" s="1"/>
  <c r="Y472" i="80" s="1"/>
  <c r="AD472" i="80" l="1"/>
  <c r="AP472" i="80"/>
  <c r="AQ472" i="80" s="1"/>
  <c r="BX472" i="80"/>
  <c r="AC472" i="80"/>
  <c r="BE472" i="80" l="1"/>
  <c r="AO472" i="80"/>
  <c r="BV473" i="80"/>
  <c r="R472" i="80"/>
  <c r="AR472" i="80"/>
  <c r="AS472" i="80"/>
  <c r="AE472" i="80"/>
  <c r="AF472" i="80"/>
  <c r="AH472" i="80" l="1"/>
  <c r="AI472" i="80" s="1"/>
  <c r="AJ472" i="80" s="1"/>
  <c r="AG472" i="80"/>
  <c r="AX472" i="80" l="1"/>
  <c r="BD472" i="80"/>
  <c r="AK472" i="80"/>
  <c r="AL472" i="80" s="1"/>
  <c r="AT472" i="80"/>
  <c r="AM472" i="80" l="1"/>
  <c r="AV472" i="80" s="1"/>
  <c r="AN472" i="80"/>
  <c r="BW473" i="80"/>
  <c r="AW472" i="80"/>
  <c r="AY472" i="80" l="1"/>
  <c r="BA472" i="80" s="1"/>
  <c r="AZ472" i="80" l="1"/>
  <c r="BB472" i="80"/>
  <c r="BF472" i="80"/>
  <c r="BG472" i="80" l="1"/>
  <c r="BH472" i="80" s="1"/>
  <c r="BI472" i="80" l="1"/>
  <c r="BN472" i="80" l="1"/>
  <c r="Q472" i="80" s="1"/>
  <c r="BJ472" i="80"/>
  <c r="BK472" i="80" s="1"/>
  <c r="BL472" i="80" s="1"/>
  <c r="BQ472" i="80" l="1"/>
  <c r="BO472" i="80"/>
  <c r="BR472" i="80" l="1"/>
  <c r="BS472" i="80" s="1"/>
  <c r="BP472" i="80"/>
  <c r="K472" i="80"/>
  <c r="M473" i="80" s="1"/>
  <c r="L472" i="80"/>
  <c r="N473" i="80" s="1"/>
  <c r="BU473" i="80" l="1"/>
  <c r="O473" i="80"/>
  <c r="BT473" i="80"/>
  <c r="P473" i="80" l="1"/>
  <c r="U473" i="80" s="1"/>
  <c r="S473" i="80"/>
  <c r="BY473" i="80"/>
  <c r="T473" i="80" l="1"/>
  <c r="V473" i="80" s="1"/>
  <c r="X473" i="80"/>
  <c r="Y473" i="80" l="1"/>
  <c r="AD473" i="80" s="1"/>
  <c r="AC473" i="80"/>
  <c r="R473" i="80" l="1"/>
  <c r="BX473" i="80"/>
  <c r="AP473" i="80"/>
  <c r="AQ473" i="80" s="1"/>
  <c r="AR473" i="80" s="1"/>
  <c r="AO473" i="80"/>
  <c r="BV474" i="80"/>
  <c r="BE473" i="80"/>
  <c r="AF473" i="80"/>
  <c r="AE473" i="80"/>
  <c r="AS473" i="80" l="1"/>
  <c r="AG473" i="80"/>
  <c r="AH473" i="80"/>
  <c r="AI473" i="80" s="1"/>
  <c r="AJ473" i="80" s="1"/>
  <c r="BD473" i="80" l="1"/>
  <c r="AX473" i="80"/>
  <c r="AK473" i="80"/>
  <c r="AL473" i="80" s="1"/>
  <c r="AT473" i="80"/>
  <c r="AM473" i="80" l="1"/>
  <c r="AV473" i="80" s="1"/>
  <c r="BW474" i="80"/>
  <c r="AN473" i="80"/>
  <c r="AW473" i="80"/>
  <c r="AY473" i="80" l="1"/>
  <c r="BA473" i="80" s="1"/>
  <c r="AZ473" i="80" l="1"/>
  <c r="BB473" i="80"/>
  <c r="BF473" i="80"/>
  <c r="BG473" i="80" l="1"/>
  <c r="BH473" i="80" s="1"/>
  <c r="BI473" i="80" l="1"/>
  <c r="BJ473" i="80" l="1"/>
  <c r="BK473" i="80" s="1"/>
  <c r="BL473" i="80" s="1"/>
  <c r="BN473" i="80"/>
  <c r="Q473" i="80" s="1"/>
  <c r="BQ473" i="80" l="1"/>
  <c r="BO473" i="80"/>
  <c r="BR473" i="80" l="1"/>
  <c r="BS473" i="80" s="1"/>
  <c r="BP473" i="80"/>
  <c r="L473" i="80"/>
  <c r="N474" i="80" s="1"/>
  <c r="K473" i="80"/>
  <c r="M474" i="80" s="1"/>
  <c r="O474" i="80" l="1"/>
  <c r="BT474" i="80"/>
  <c r="BU474" i="80"/>
  <c r="S474" i="80" l="1"/>
  <c r="P474" i="80"/>
  <c r="U474" i="80" s="1"/>
  <c r="BY474" i="80"/>
  <c r="T474" i="80" l="1"/>
  <c r="V474" i="80" s="1"/>
  <c r="X474" i="80"/>
  <c r="Y474" i="80" l="1"/>
  <c r="BX474" i="80" s="1"/>
  <c r="AC474" i="80"/>
  <c r="R474" i="80" l="1"/>
  <c r="AP474" i="80"/>
  <c r="AQ474" i="80" s="1"/>
  <c r="AS474" i="80" s="1"/>
  <c r="AD474" i="80"/>
  <c r="AF474" i="80" s="1"/>
  <c r="AO474" i="80"/>
  <c r="BV475" i="80"/>
  <c r="BE474" i="80"/>
  <c r="AR474" i="80" l="1"/>
  <c r="AE474" i="80"/>
  <c r="AH474" i="80"/>
  <c r="AI474" i="80" s="1"/>
  <c r="AJ474" i="80" s="1"/>
  <c r="AG474" i="80"/>
  <c r="AK474" i="80" l="1"/>
  <c r="AL474" i="80" s="1"/>
  <c r="AX474" i="80"/>
  <c r="BD474" i="80"/>
  <c r="AT474" i="80"/>
  <c r="AM474" i="80" l="1"/>
  <c r="AV474" i="80" s="1"/>
  <c r="AN474" i="80"/>
  <c r="BW475" i="80"/>
  <c r="AW474" i="80"/>
  <c r="AY474" i="80" l="1"/>
  <c r="BA474" i="80" s="1"/>
  <c r="AZ474" i="80" l="1"/>
  <c r="BB474" i="80"/>
  <c r="BF474" i="80"/>
  <c r="BG474" i="80" l="1"/>
  <c r="BH474" i="80" s="1"/>
  <c r="BI474" i="80" l="1"/>
  <c r="BN474" i="80" l="1"/>
  <c r="Q474" i="80" s="1"/>
  <c r="BJ474" i="80"/>
  <c r="BK474" i="80" s="1"/>
  <c r="BL474" i="80" s="1"/>
  <c r="BQ474" i="80" l="1"/>
  <c r="BO474" i="80"/>
  <c r="BR474" i="80" l="1"/>
  <c r="BS474" i="80" s="1"/>
  <c r="BP474" i="80"/>
  <c r="K474" i="80"/>
  <c r="M475" i="80" s="1"/>
  <c r="L474" i="80"/>
  <c r="N475" i="80" s="1"/>
  <c r="BU475" i="80" l="1"/>
  <c r="O475" i="80"/>
  <c r="BT475" i="80"/>
  <c r="BY475" i="80" l="1"/>
  <c r="P475" i="80"/>
  <c r="U475" i="80" s="1"/>
  <c r="S475" i="80"/>
  <c r="T475" i="80" l="1"/>
  <c r="V475" i="80" s="1"/>
  <c r="X475" i="80"/>
  <c r="Y475" i="80" l="1"/>
  <c r="AD475" i="80" s="1"/>
  <c r="AC475" i="80"/>
  <c r="BE475" i="80" l="1"/>
  <c r="AP475" i="80"/>
  <c r="AQ475" i="80" s="1"/>
  <c r="AS475" i="80" s="1"/>
  <c r="BX475" i="80"/>
  <c r="AO475" i="80"/>
  <c r="R475" i="80"/>
  <c r="BV476" i="80"/>
  <c r="AF475" i="80"/>
  <c r="AE475" i="80"/>
  <c r="AR475" i="80" l="1"/>
  <c r="AH475" i="80"/>
  <c r="AI475" i="80" s="1"/>
  <c r="AJ475" i="80" s="1"/>
  <c r="AG475" i="80"/>
  <c r="AK475" i="80" l="1"/>
  <c r="AL475" i="80" s="1"/>
  <c r="BD475" i="80"/>
  <c r="AX475" i="80"/>
  <c r="AT475" i="80"/>
  <c r="AM475" i="80" l="1"/>
  <c r="AV475" i="80" s="1"/>
  <c r="BW476" i="80"/>
  <c r="AN475" i="80"/>
  <c r="AW475" i="80"/>
  <c r="AY475" i="80" l="1"/>
  <c r="BA475" i="80" s="1"/>
  <c r="AZ475" i="80" l="1"/>
  <c r="BB475" i="80"/>
  <c r="BF475" i="80"/>
  <c r="BG475" i="80" l="1"/>
  <c r="BH475" i="80" s="1"/>
  <c r="BI475" i="80" l="1"/>
  <c r="BN475" i="80" l="1"/>
  <c r="Q475" i="80" s="1"/>
  <c r="BJ475" i="80"/>
  <c r="BK475" i="80" s="1"/>
  <c r="BL475" i="80" s="1"/>
  <c r="BQ475" i="80" l="1"/>
  <c r="BO475" i="80"/>
  <c r="BR475" i="80" l="1"/>
  <c r="BS475" i="80" s="1"/>
  <c r="BP475" i="80"/>
  <c r="L475" i="80"/>
  <c r="N476" i="80" s="1"/>
  <c r="K475" i="80"/>
  <c r="M476" i="80" s="1"/>
  <c r="BU476" i="80" l="1"/>
  <c r="O476" i="80"/>
  <c r="BT476" i="80"/>
  <c r="S476" i="80" l="1"/>
  <c r="BY476" i="80"/>
  <c r="P476" i="80"/>
  <c r="U476" i="80" s="1"/>
  <c r="T476" i="80" l="1"/>
  <c r="V476" i="80" s="1"/>
  <c r="X476" i="80"/>
  <c r="Y476" i="80" l="1"/>
  <c r="AD476" i="80" s="1"/>
  <c r="AC476" i="80"/>
  <c r="AP476" i="80" l="1"/>
  <c r="AQ476" i="80" s="1"/>
  <c r="BX476" i="80"/>
  <c r="BE476" i="80"/>
  <c r="AO476" i="80"/>
  <c r="BV477" i="80"/>
  <c r="R476" i="80"/>
  <c r="AF476" i="80"/>
  <c r="AE476" i="80"/>
  <c r="AR476" i="80"/>
  <c r="AS476" i="80"/>
  <c r="AG476" i="80" l="1"/>
  <c r="AH476" i="80"/>
  <c r="AI476" i="80" s="1"/>
  <c r="AJ476" i="80" s="1"/>
  <c r="BD476" i="80" l="1"/>
  <c r="AK476" i="80"/>
  <c r="AL476" i="80" s="1"/>
  <c r="AX476" i="80"/>
  <c r="AT476" i="80"/>
  <c r="AM476" i="80" l="1"/>
  <c r="AV476" i="80" s="1"/>
  <c r="BW477" i="80"/>
  <c r="AN476" i="80"/>
  <c r="AW476" i="80"/>
  <c r="AY476" i="80" l="1"/>
  <c r="BA476" i="80" s="1"/>
  <c r="AZ476" i="80" l="1"/>
  <c r="BB476" i="80"/>
  <c r="BF476" i="80"/>
  <c r="BG476" i="80" l="1"/>
  <c r="BH476" i="80" s="1"/>
  <c r="BI476" i="80" l="1"/>
  <c r="BJ476" i="80" l="1"/>
  <c r="BK476" i="80" s="1"/>
  <c r="BL476" i="80" s="1"/>
  <c r="BN476" i="80"/>
  <c r="Q476" i="80" s="1"/>
  <c r="BQ476" i="80" l="1"/>
  <c r="BO476" i="80"/>
  <c r="BR476" i="80" l="1"/>
  <c r="BS476" i="80" s="1"/>
  <c r="BP476" i="80"/>
  <c r="L476" i="80"/>
  <c r="N477" i="80" s="1"/>
  <c r="K476" i="80"/>
  <c r="M477" i="80" s="1"/>
  <c r="O477" i="80" l="1"/>
  <c r="BT477" i="80"/>
  <c r="BU477" i="80"/>
  <c r="S477" i="80" l="1"/>
  <c r="BY477" i="80"/>
  <c r="P477" i="80"/>
  <c r="U477" i="80" s="1"/>
  <c r="T477" i="80" l="1"/>
  <c r="V477" i="80" s="1"/>
  <c r="Y477" i="80" s="1"/>
  <c r="X477" i="80"/>
  <c r="AD477" i="80" l="1"/>
  <c r="BX477" i="80"/>
  <c r="AP477" i="80"/>
  <c r="AQ477" i="80" s="1"/>
  <c r="AC477" i="80"/>
  <c r="BE477" i="80" l="1"/>
  <c r="AO477" i="80"/>
  <c r="BV478" i="80"/>
  <c r="R477" i="80"/>
  <c r="AF477" i="80"/>
  <c r="AE477" i="80"/>
  <c r="AR477" i="80"/>
  <c r="AS477" i="80"/>
  <c r="AH477" i="80" l="1"/>
  <c r="AI477" i="80" s="1"/>
  <c r="AJ477" i="80" s="1"/>
  <c r="AG477" i="80"/>
  <c r="AX477" i="80" l="1"/>
  <c r="BD477" i="80"/>
  <c r="AK477" i="80"/>
  <c r="AL477" i="80" s="1"/>
  <c r="AT477" i="80"/>
  <c r="AM477" i="80" l="1"/>
  <c r="AV477" i="80" s="1"/>
  <c r="AN477" i="80"/>
  <c r="BW478" i="80"/>
  <c r="AW477" i="80"/>
  <c r="AY477" i="80" l="1"/>
  <c r="BA477" i="80" s="1"/>
  <c r="AZ477" i="80" l="1"/>
  <c r="BB477" i="80"/>
  <c r="BF477" i="80"/>
  <c r="BG477" i="80" l="1"/>
  <c r="BH477" i="80" s="1"/>
  <c r="BI477" i="80" l="1"/>
  <c r="BN477" i="80" l="1"/>
  <c r="Q477" i="80" s="1"/>
  <c r="BJ477" i="80"/>
  <c r="BK477" i="80" s="1"/>
  <c r="BL477" i="80" s="1"/>
  <c r="BQ477" i="80" l="1"/>
  <c r="BO477" i="80"/>
  <c r="BR477" i="80" l="1"/>
  <c r="BS477" i="80" s="1"/>
  <c r="BP477" i="80"/>
  <c r="K477" i="80"/>
  <c r="M478" i="80" s="1"/>
  <c r="L477" i="80"/>
  <c r="N478" i="80" s="1"/>
  <c r="BU478" i="80" l="1"/>
  <c r="O478" i="80"/>
  <c r="BT478" i="80"/>
  <c r="P478" i="80" l="1"/>
  <c r="U478" i="80" s="1"/>
  <c r="S478" i="80"/>
  <c r="BY478" i="80"/>
  <c r="T478" i="80" l="1"/>
  <c r="V478" i="80" s="1"/>
  <c r="X478" i="80"/>
  <c r="Y478" i="80" l="1"/>
  <c r="BX478" i="80" s="1"/>
  <c r="AC478" i="80"/>
  <c r="BE478" i="80" l="1"/>
  <c r="AD478" i="80"/>
  <c r="AE478" i="80" s="1"/>
  <c r="AP478" i="80"/>
  <c r="AQ478" i="80" s="1"/>
  <c r="AR478" i="80" s="1"/>
  <c r="AO478" i="80"/>
  <c r="BV479" i="80"/>
  <c r="R478" i="80"/>
  <c r="AF478" i="80" l="1"/>
  <c r="AG478" i="80" s="1"/>
  <c r="AS478" i="80"/>
  <c r="AH478" i="80" l="1"/>
  <c r="AI478" i="80" s="1"/>
  <c r="AJ478" i="80" s="1"/>
  <c r="BD478" i="80"/>
  <c r="AK478" i="80"/>
  <c r="AL478" i="80" s="1"/>
  <c r="AX478" i="80"/>
  <c r="AT478" i="80"/>
  <c r="AM478" i="80" l="1"/>
  <c r="AV478" i="80" s="1"/>
  <c r="BW479" i="80"/>
  <c r="AN478" i="80"/>
  <c r="AW478" i="80"/>
  <c r="AY478" i="80" l="1"/>
  <c r="BA478" i="80" s="1"/>
  <c r="AZ478" i="80" l="1"/>
  <c r="BB478" i="80"/>
  <c r="BF478" i="80"/>
  <c r="BG478" i="80" l="1"/>
  <c r="BH478" i="80" s="1"/>
  <c r="BI478" i="80" l="1"/>
  <c r="BN478" i="80" l="1"/>
  <c r="Q478" i="80" s="1"/>
  <c r="BJ478" i="80"/>
  <c r="BK478" i="80" s="1"/>
  <c r="BL478" i="80" s="1"/>
  <c r="BQ478" i="80" l="1"/>
  <c r="BO478" i="80"/>
  <c r="BR478" i="80" l="1"/>
  <c r="BS478" i="80" s="1"/>
  <c r="BP478" i="80"/>
  <c r="L478" i="80"/>
  <c r="N479" i="80" s="1"/>
  <c r="K478" i="80"/>
  <c r="M479" i="80" s="1"/>
  <c r="O479" i="80" l="1"/>
  <c r="BT479" i="80"/>
  <c r="BU479" i="80"/>
  <c r="P479" i="80" l="1"/>
  <c r="U479" i="80" s="1"/>
  <c r="BY479" i="80"/>
  <c r="S479" i="80"/>
  <c r="T479" i="80" l="1"/>
  <c r="V479" i="80" s="1"/>
  <c r="X479" i="80"/>
  <c r="Y479" i="80" l="1"/>
  <c r="BX479" i="80" s="1"/>
  <c r="AC479" i="80"/>
  <c r="AP479" i="80" l="1"/>
  <c r="AQ479" i="80" s="1"/>
  <c r="AR479" i="80" s="1"/>
  <c r="BE479" i="80"/>
  <c r="AD479" i="80"/>
  <c r="AF479" i="80" s="1"/>
  <c r="AO479" i="80"/>
  <c r="BV480" i="80"/>
  <c r="R479" i="80"/>
  <c r="AS479" i="80" l="1"/>
  <c r="AE479" i="80"/>
  <c r="AH479" i="80"/>
  <c r="AI479" i="80" s="1"/>
  <c r="AJ479" i="80" s="1"/>
  <c r="AG479" i="80"/>
  <c r="AX479" i="80" l="1"/>
  <c r="AK479" i="80"/>
  <c r="AL479" i="80" s="1"/>
  <c r="BD479" i="80"/>
  <c r="AT479" i="80"/>
  <c r="AM479" i="80" l="1"/>
  <c r="AV479" i="80" s="1"/>
  <c r="AN479" i="80"/>
  <c r="BW480" i="80"/>
  <c r="AW479" i="80"/>
  <c r="AY479" i="80" l="1"/>
  <c r="BA479" i="80" s="1"/>
  <c r="AZ479" i="80" l="1"/>
  <c r="BB479" i="80"/>
  <c r="BF479" i="80"/>
  <c r="BG479" i="80" l="1"/>
  <c r="BH479" i="80" s="1"/>
  <c r="BI479" i="80" l="1"/>
  <c r="BN479" i="80" l="1"/>
  <c r="Q479" i="80" s="1"/>
  <c r="BJ479" i="80"/>
  <c r="BK479" i="80" s="1"/>
  <c r="BL479" i="80" s="1"/>
  <c r="BQ479" i="80" l="1"/>
  <c r="BO479" i="80"/>
  <c r="BR479" i="80" l="1"/>
  <c r="BS479" i="80" s="1"/>
  <c r="BP479" i="80"/>
  <c r="K479" i="80"/>
  <c r="M480" i="80" s="1"/>
  <c r="L479" i="80"/>
  <c r="N480" i="80" s="1"/>
  <c r="BU480" i="80" l="1"/>
  <c r="O480" i="80"/>
  <c r="BT480" i="80"/>
  <c r="S480" i="80" l="1"/>
  <c r="P480" i="80"/>
  <c r="U480" i="80" s="1"/>
  <c r="BY480" i="80"/>
  <c r="T480" i="80" l="1"/>
  <c r="V480" i="80" s="1"/>
  <c r="X480" i="80"/>
  <c r="Y480" i="80" l="1"/>
  <c r="AP480" i="80" s="1"/>
  <c r="AQ480" i="80" s="1"/>
  <c r="AD480" i="80" l="1"/>
  <c r="AE480" i="80" s="1"/>
  <c r="BX480" i="80"/>
  <c r="AS480" i="80"/>
  <c r="AC480" i="80"/>
  <c r="BE480" i="80" l="1"/>
  <c r="AF480" i="80"/>
  <c r="R480" i="80"/>
  <c r="BV481" i="80"/>
  <c r="AO480" i="80"/>
  <c r="AR480" i="80"/>
  <c r="AH480" i="80"/>
  <c r="AI480" i="80" s="1"/>
  <c r="AJ480" i="80" s="1"/>
  <c r="AG480" i="80"/>
  <c r="AX480" i="80" l="1"/>
  <c r="AK480" i="80"/>
  <c r="AL480" i="80" s="1"/>
  <c r="BD480" i="80"/>
  <c r="AT480" i="80"/>
  <c r="AM480" i="80" l="1"/>
  <c r="AV480" i="80" s="1"/>
  <c r="BW481" i="80"/>
  <c r="AN480" i="80"/>
  <c r="AW480" i="80"/>
  <c r="AY480" i="80" l="1"/>
  <c r="BA480" i="80" s="1"/>
  <c r="AZ480" i="80" l="1"/>
  <c r="BB480" i="80"/>
  <c r="BF480" i="80"/>
  <c r="BG480" i="80" l="1"/>
  <c r="BH480" i="80" s="1"/>
  <c r="BI480" i="80" l="1"/>
  <c r="BJ480" i="80" l="1"/>
  <c r="BK480" i="80" s="1"/>
  <c r="BL480" i="80" s="1"/>
  <c r="BN480" i="80"/>
  <c r="Q480" i="80" s="1"/>
  <c r="BQ480" i="80" l="1"/>
  <c r="BO480" i="80"/>
  <c r="BR480" i="80" l="1"/>
  <c r="BS480" i="80" s="1"/>
  <c r="BP480" i="80"/>
  <c r="L480" i="80"/>
  <c r="N481" i="80" s="1"/>
  <c r="K480" i="80"/>
  <c r="M481" i="80" s="1"/>
  <c r="O481" i="80" l="1"/>
  <c r="BT481" i="80"/>
  <c r="BU481" i="80"/>
  <c r="P481" i="80" l="1"/>
  <c r="U481" i="80" s="1"/>
  <c r="S481" i="80"/>
  <c r="BY481" i="80"/>
  <c r="T481" i="80" l="1"/>
  <c r="V481" i="80" s="1"/>
  <c r="X481" i="80"/>
  <c r="Y481" i="80" l="1"/>
  <c r="AC481" i="80"/>
  <c r="BE481" i="80" l="1"/>
  <c r="AP481" i="80"/>
  <c r="AQ481" i="80" s="1"/>
  <c r="AS481" i="80" s="1"/>
  <c r="AD481" i="80"/>
  <c r="AF481" i="80" s="1"/>
  <c r="BX481" i="80"/>
  <c r="AO481" i="80"/>
  <c r="BV482" i="80"/>
  <c r="R481" i="80"/>
  <c r="AR481" i="80" l="1"/>
  <c r="AE481" i="80"/>
  <c r="AH481" i="80"/>
  <c r="AI481" i="80" s="1"/>
  <c r="AJ481" i="80" s="1"/>
  <c r="AG481" i="80"/>
  <c r="AX481" i="80" l="1"/>
  <c r="AK481" i="80"/>
  <c r="AL481" i="80" s="1"/>
  <c r="BD481" i="80"/>
  <c r="AT481" i="80"/>
  <c r="AM481" i="80" l="1"/>
  <c r="AV481" i="80" s="1"/>
  <c r="AN481" i="80"/>
  <c r="BW482" i="80"/>
  <c r="AW481" i="80"/>
  <c r="AY481" i="80" l="1"/>
  <c r="BA481" i="80" s="1"/>
  <c r="AZ481" i="80" l="1"/>
  <c r="BB481" i="80"/>
  <c r="BF481" i="80"/>
  <c r="BG481" i="80" l="1"/>
  <c r="BH481" i="80" s="1"/>
  <c r="BI481" i="80" l="1"/>
  <c r="BJ481" i="80" l="1"/>
  <c r="BK481" i="80" s="1"/>
  <c r="BL481" i="80" s="1"/>
  <c r="BN481" i="80"/>
  <c r="Q481" i="80" s="1"/>
  <c r="BQ481" i="80" l="1"/>
  <c r="BO481" i="80"/>
  <c r="BR481" i="80" l="1"/>
  <c r="BS481" i="80" s="1"/>
  <c r="BP481" i="80"/>
  <c r="L481" i="80"/>
  <c r="N482" i="80" s="1"/>
  <c r="K481" i="80"/>
  <c r="M482" i="80" s="1"/>
  <c r="O482" i="80" l="1"/>
  <c r="BT482" i="80"/>
  <c r="BU482" i="80"/>
  <c r="P482" i="80" l="1"/>
  <c r="U482" i="80" s="1"/>
  <c r="BY482" i="80"/>
  <c r="S482" i="80"/>
  <c r="T482" i="80" l="1"/>
  <c r="V482" i="80" s="1"/>
  <c r="X482" i="80"/>
  <c r="Y482" i="80" l="1"/>
  <c r="BX482" i="80" s="1"/>
  <c r="AC482" i="80"/>
  <c r="AP482" i="80" l="1"/>
  <c r="AQ482" i="80" s="1"/>
  <c r="AR482" i="80" s="1"/>
  <c r="AD482" i="80"/>
  <c r="AF482" i="80" s="1"/>
  <c r="BE482" i="80"/>
  <c r="BV483" i="80"/>
  <c r="AO482" i="80"/>
  <c r="R482" i="80"/>
  <c r="AE482" i="80" l="1"/>
  <c r="AS482" i="80"/>
  <c r="AG482" i="80"/>
  <c r="AH482" i="80"/>
  <c r="AI482" i="80" s="1"/>
  <c r="AJ482" i="80" s="1"/>
  <c r="AX482" i="80" l="1"/>
  <c r="AK482" i="80"/>
  <c r="AL482" i="80" s="1"/>
  <c r="BD482" i="80"/>
  <c r="AT482" i="80"/>
  <c r="AM482" i="80" l="1"/>
  <c r="AV482" i="80" s="1"/>
  <c r="BW483" i="80"/>
  <c r="AN482" i="80"/>
  <c r="AW482" i="80"/>
  <c r="AY482" i="80" l="1"/>
  <c r="BA482" i="80" s="1"/>
  <c r="AZ482" i="80" l="1"/>
  <c r="BB482" i="80"/>
  <c r="BF482" i="80"/>
  <c r="BG482" i="80" l="1"/>
  <c r="BH482" i="80" s="1"/>
  <c r="BI482" i="80" l="1"/>
  <c r="BJ482" i="80" l="1"/>
  <c r="BK482" i="80" s="1"/>
  <c r="BL482" i="80" s="1"/>
  <c r="BN482" i="80"/>
  <c r="Q482" i="80" s="1"/>
  <c r="BQ482" i="80" l="1"/>
  <c r="BO482" i="80"/>
  <c r="BR482" i="80" l="1"/>
  <c r="BS482" i="80" s="1"/>
  <c r="BP482" i="80"/>
  <c r="K482" i="80"/>
  <c r="M483" i="80" s="1"/>
  <c r="L482" i="80"/>
  <c r="N483" i="80" s="1"/>
  <c r="BU483" i="80" l="1"/>
  <c r="O483" i="80"/>
  <c r="BT483" i="80"/>
  <c r="P483" i="80" l="1"/>
  <c r="U483" i="80" s="1"/>
  <c r="BY483" i="80"/>
  <c r="S483" i="80"/>
  <c r="T483" i="80" l="1"/>
  <c r="V483" i="80" s="1"/>
  <c r="X483" i="80"/>
  <c r="Y483" i="80" l="1"/>
  <c r="AC483" i="80"/>
  <c r="R483" i="80" l="1"/>
  <c r="AD483" i="80"/>
  <c r="AE483" i="80" s="1"/>
  <c r="BX483" i="80"/>
  <c r="AP483" i="80"/>
  <c r="AQ483" i="80" s="1"/>
  <c r="AR483" i="80" s="1"/>
  <c r="AO483" i="80"/>
  <c r="BE483" i="80"/>
  <c r="BV484" i="80"/>
  <c r="AF483" i="80"/>
  <c r="AS483" i="80" l="1"/>
  <c r="AH483" i="80"/>
  <c r="AI483" i="80" s="1"/>
  <c r="AJ483" i="80" s="1"/>
  <c r="AG483" i="80"/>
  <c r="AX483" i="80" l="1"/>
  <c r="BD483" i="80"/>
  <c r="AK483" i="80"/>
  <c r="AL483" i="80" s="1"/>
  <c r="AT483" i="80"/>
  <c r="AM483" i="80" l="1"/>
  <c r="AV483" i="80" s="1"/>
  <c r="AN483" i="80"/>
  <c r="BW484" i="80"/>
  <c r="AW483" i="80"/>
  <c r="AY483" i="80" l="1"/>
  <c r="BA483" i="80" s="1"/>
  <c r="AZ483" i="80" l="1"/>
  <c r="BB483" i="80"/>
  <c r="BF483" i="80"/>
  <c r="BG483" i="80" l="1"/>
  <c r="BH483" i="80" s="1"/>
  <c r="BI483" i="80" l="1"/>
  <c r="BJ483" i="80" l="1"/>
  <c r="BK483" i="80" s="1"/>
  <c r="BL483" i="80" s="1"/>
  <c r="BN483" i="80"/>
  <c r="Q483" i="80" s="1"/>
  <c r="BQ483" i="80" l="1"/>
  <c r="BO483" i="80"/>
  <c r="BR483" i="80" l="1"/>
  <c r="BS483" i="80" s="1"/>
  <c r="BP483" i="80"/>
  <c r="L483" i="80"/>
  <c r="N484" i="80" s="1"/>
  <c r="K483" i="80"/>
  <c r="M484" i="80" s="1"/>
  <c r="BT484" i="80" l="1"/>
  <c r="O484" i="80"/>
  <c r="BU484" i="80"/>
  <c r="S484" i="80" l="1"/>
  <c r="BY484" i="80"/>
  <c r="P484" i="80"/>
  <c r="U484" i="80" s="1"/>
  <c r="T484" i="80" l="1"/>
  <c r="V484" i="80" s="1"/>
  <c r="X484" i="80"/>
  <c r="Y484" i="80" l="1"/>
  <c r="BX484" i="80" s="1"/>
  <c r="AD484" i="80" l="1"/>
  <c r="AE484" i="80" s="1"/>
  <c r="AP484" i="80"/>
  <c r="AQ484" i="80" s="1"/>
  <c r="AC484" i="80"/>
  <c r="AF484" i="80" l="1"/>
  <c r="BE484" i="80"/>
  <c r="AR484" i="80"/>
  <c r="AO484" i="80"/>
  <c r="R484" i="80"/>
  <c r="BV485" i="80"/>
  <c r="AS484" i="80"/>
  <c r="AG484" i="80"/>
  <c r="AH484" i="80"/>
  <c r="AI484" i="80" s="1"/>
  <c r="AJ484" i="80" s="1"/>
  <c r="AK484" i="80" l="1"/>
  <c r="AL484" i="80" s="1"/>
  <c r="BD484" i="80"/>
  <c r="AX484" i="80"/>
  <c r="AT484" i="80"/>
  <c r="AM484" i="80" l="1"/>
  <c r="AV484" i="80" s="1"/>
  <c r="BW485" i="80"/>
  <c r="AN484" i="80"/>
  <c r="AW484" i="80"/>
  <c r="AY484" i="80" l="1"/>
  <c r="BA484" i="80" s="1"/>
  <c r="AZ484" i="80" l="1"/>
  <c r="BB484" i="80"/>
  <c r="BF484" i="80"/>
  <c r="BG484" i="80" l="1"/>
  <c r="BH484" i="80" s="1"/>
  <c r="BI484" i="80" l="1"/>
  <c r="BN484" i="80" l="1"/>
  <c r="Q484" i="80" s="1"/>
  <c r="BJ484" i="80"/>
  <c r="BK484" i="80" s="1"/>
  <c r="BL484" i="80" s="1"/>
  <c r="BQ484" i="80" l="1"/>
  <c r="BO484" i="80"/>
  <c r="BR484" i="80" l="1"/>
  <c r="BS484" i="80" s="1"/>
  <c r="BP484" i="80"/>
  <c r="L484" i="80"/>
  <c r="N485" i="80" s="1"/>
  <c r="K484" i="80"/>
  <c r="M485" i="80" s="1"/>
  <c r="BT485" i="80" l="1"/>
  <c r="O485" i="80"/>
  <c r="BU485" i="80"/>
  <c r="S485" i="80" l="1"/>
  <c r="P485" i="80"/>
  <c r="U485" i="80" s="1"/>
  <c r="BY485" i="80"/>
  <c r="T485" i="80" l="1"/>
  <c r="V485" i="80" s="1"/>
  <c r="X485" i="80"/>
  <c r="Y485" i="80" l="1"/>
  <c r="BX485" i="80" s="1"/>
  <c r="AC485" i="80"/>
  <c r="BE485" i="80" l="1"/>
  <c r="AP485" i="80"/>
  <c r="AQ485" i="80" s="1"/>
  <c r="AR485" i="80" s="1"/>
  <c r="AD485" i="80"/>
  <c r="AF485" i="80" s="1"/>
  <c r="AO485" i="80"/>
  <c r="BV486" i="80"/>
  <c r="R485" i="80"/>
  <c r="AS485" i="80" l="1"/>
  <c r="AE485" i="80"/>
  <c r="AH485" i="80"/>
  <c r="AI485" i="80" s="1"/>
  <c r="AJ485" i="80" s="1"/>
  <c r="AG485" i="80"/>
  <c r="AK485" i="80" l="1"/>
  <c r="AL485" i="80" s="1"/>
  <c r="AX485" i="80"/>
  <c r="BD485" i="80"/>
  <c r="AT485" i="80"/>
  <c r="AM485" i="80" l="1"/>
  <c r="AV485" i="80" s="1"/>
  <c r="AN485" i="80"/>
  <c r="BW486" i="80"/>
  <c r="AW485" i="80"/>
  <c r="AY485" i="80" l="1"/>
  <c r="BA485" i="80" s="1"/>
  <c r="AZ485" i="80" l="1"/>
  <c r="BB485" i="80"/>
  <c r="BF485" i="80"/>
  <c r="BG485" i="80" l="1"/>
  <c r="BH485" i="80" s="1"/>
  <c r="BI485" i="80" l="1"/>
  <c r="BJ485" i="80" l="1"/>
  <c r="BK485" i="80" s="1"/>
  <c r="BL485" i="80" s="1"/>
  <c r="BN485" i="80"/>
  <c r="Q485" i="80" s="1"/>
  <c r="BQ485" i="80" l="1"/>
  <c r="BO485" i="80"/>
  <c r="BR485" i="80" l="1"/>
  <c r="BS485" i="80" s="1"/>
  <c r="BP485" i="80"/>
  <c r="K485" i="80"/>
  <c r="M486" i="80" s="1"/>
  <c r="L485" i="80"/>
  <c r="N486" i="80" s="1"/>
  <c r="BU486" i="80" l="1"/>
  <c r="O486" i="80"/>
  <c r="BT486" i="80"/>
  <c r="BY486" i="80" l="1"/>
  <c r="P486" i="80"/>
  <c r="U486" i="80" s="1"/>
  <c r="S486" i="80"/>
  <c r="T486" i="80" l="1"/>
  <c r="V486" i="80" s="1"/>
  <c r="X486" i="80"/>
  <c r="Y486" i="80" l="1"/>
  <c r="AP486" i="80" s="1"/>
  <c r="AQ486" i="80" s="1"/>
  <c r="AC486" i="80"/>
  <c r="BE486" i="80" l="1"/>
  <c r="AD486" i="80"/>
  <c r="BX486" i="80"/>
  <c r="AO486" i="80"/>
  <c r="BV487" i="80"/>
  <c r="R486" i="80"/>
  <c r="AF486" i="80"/>
  <c r="AE486" i="80"/>
  <c r="AR486" i="80"/>
  <c r="AS486" i="80"/>
  <c r="AH486" i="80" l="1"/>
  <c r="AI486" i="80" s="1"/>
  <c r="AJ486" i="80" s="1"/>
  <c r="AG486" i="80"/>
  <c r="AX486" i="80" l="1"/>
  <c r="AK486" i="80"/>
  <c r="AL486" i="80" s="1"/>
  <c r="BD486" i="80"/>
  <c r="AT486" i="80"/>
  <c r="AM486" i="80" l="1"/>
  <c r="AV486" i="80" s="1"/>
  <c r="BW487" i="80"/>
  <c r="AN486" i="80"/>
  <c r="AW486" i="80"/>
  <c r="AY486" i="80" l="1"/>
  <c r="BA486" i="80" s="1"/>
  <c r="AZ486" i="80" l="1"/>
  <c r="BB486" i="80"/>
  <c r="BF486" i="80"/>
  <c r="BG486" i="80" l="1"/>
  <c r="BH486" i="80" s="1"/>
  <c r="BI486" i="80" l="1"/>
  <c r="BN486" i="80" l="1"/>
  <c r="Q486" i="80" s="1"/>
  <c r="BJ486" i="80"/>
  <c r="BK486" i="80" s="1"/>
  <c r="BL486" i="80" s="1"/>
  <c r="BQ486" i="80" l="1"/>
  <c r="BO486" i="80"/>
  <c r="BR486" i="80" l="1"/>
  <c r="BS486" i="80" s="1"/>
  <c r="BP486" i="80"/>
  <c r="L486" i="80"/>
  <c r="N487" i="80" s="1"/>
  <c r="K486" i="80"/>
  <c r="M487" i="80" s="1"/>
  <c r="O487" i="80" l="1"/>
  <c r="BT487" i="80"/>
  <c r="BU487" i="80"/>
  <c r="BY487" i="80" l="1"/>
  <c r="S487" i="80"/>
  <c r="P487" i="80"/>
  <c r="U487" i="80" s="1"/>
  <c r="T487" i="80" l="1"/>
  <c r="V487" i="80" s="1"/>
  <c r="X487" i="80"/>
  <c r="Y487" i="80" l="1"/>
  <c r="AD487" i="80" s="1"/>
  <c r="AC487" i="80"/>
  <c r="BE487" i="80" l="1"/>
  <c r="BX487" i="80"/>
  <c r="AP487" i="80"/>
  <c r="AQ487" i="80" s="1"/>
  <c r="AR487" i="80" s="1"/>
  <c r="AO487" i="80"/>
  <c r="BV488" i="80"/>
  <c r="R487" i="80"/>
  <c r="AF487" i="80"/>
  <c r="AE487" i="80"/>
  <c r="AS487" i="80" l="1"/>
  <c r="AG487" i="80"/>
  <c r="AH487" i="80"/>
  <c r="AI487" i="80" s="1"/>
  <c r="AJ487" i="80" s="1"/>
  <c r="AX487" i="80" l="1"/>
  <c r="BD487" i="80"/>
  <c r="AK487" i="80"/>
  <c r="AL487" i="80" s="1"/>
  <c r="AT487" i="80"/>
  <c r="AM487" i="80" l="1"/>
  <c r="AV487" i="80" s="1"/>
  <c r="AN487" i="80"/>
  <c r="BW488" i="80"/>
  <c r="AW487" i="80"/>
  <c r="AY487" i="80" l="1"/>
  <c r="BA487" i="80" s="1"/>
  <c r="AZ487" i="80" l="1"/>
  <c r="BB487" i="80"/>
  <c r="BF487" i="80"/>
  <c r="BG487" i="80" l="1"/>
  <c r="BH487" i="80" s="1"/>
  <c r="BI487" i="80" l="1"/>
  <c r="BN487" i="80" l="1"/>
  <c r="Q487" i="80" s="1"/>
  <c r="BJ487" i="80"/>
  <c r="BK487" i="80" s="1"/>
  <c r="BL487" i="80" s="1"/>
  <c r="BQ487" i="80" l="1"/>
  <c r="BO487" i="80"/>
  <c r="BR487" i="80" l="1"/>
  <c r="BS487" i="80" s="1"/>
  <c r="BP487" i="80"/>
  <c r="L487" i="80"/>
  <c r="N488" i="80" s="1"/>
  <c r="K487" i="80"/>
  <c r="M488" i="80" s="1"/>
  <c r="O488" i="80" l="1"/>
  <c r="BT488" i="80"/>
  <c r="BU488" i="80"/>
  <c r="S488" i="80" l="1"/>
  <c r="BY488" i="80"/>
  <c r="P488" i="80"/>
  <c r="U488" i="80" s="1"/>
  <c r="T488" i="80" l="1"/>
  <c r="V488" i="80" s="1"/>
  <c r="X488" i="80"/>
  <c r="Y488" i="80" l="1"/>
  <c r="BX488" i="80" s="1"/>
  <c r="AC488" i="80"/>
  <c r="BE488" i="80" l="1"/>
  <c r="AD488" i="80"/>
  <c r="AP488" i="80"/>
  <c r="AQ488" i="80" s="1"/>
  <c r="AR488" i="80" s="1"/>
  <c r="AO488" i="80"/>
  <c r="BV489" i="80"/>
  <c r="R488" i="80"/>
  <c r="AE488" i="80"/>
  <c r="AF488" i="80"/>
  <c r="AS488" i="80" l="1"/>
  <c r="AH488" i="80"/>
  <c r="AI488" i="80" s="1"/>
  <c r="AJ488" i="80" s="1"/>
  <c r="AG488" i="80"/>
  <c r="AK488" i="80" l="1"/>
  <c r="AL488" i="80" s="1"/>
  <c r="AX488" i="80"/>
  <c r="BD488" i="80"/>
  <c r="AT488" i="80"/>
  <c r="AM488" i="80" l="1"/>
  <c r="AV488" i="80" s="1"/>
  <c r="BW489" i="80"/>
  <c r="AN488" i="80"/>
  <c r="AW488" i="80"/>
  <c r="AY488" i="80" l="1"/>
  <c r="BA488" i="80" s="1"/>
  <c r="AZ488" i="80" l="1"/>
  <c r="BB488" i="80"/>
  <c r="BF488" i="80"/>
  <c r="BG488" i="80" l="1"/>
  <c r="BH488" i="80" s="1"/>
  <c r="BI488" i="80" l="1"/>
  <c r="BJ488" i="80" l="1"/>
  <c r="BK488" i="80" s="1"/>
  <c r="BL488" i="80" s="1"/>
  <c r="BN488" i="80"/>
  <c r="Q488" i="80" s="1"/>
  <c r="BQ488" i="80" l="1"/>
  <c r="BO488" i="80"/>
  <c r="BR488" i="80" l="1"/>
  <c r="BS488" i="80" s="1"/>
  <c r="BP488" i="80"/>
  <c r="K488" i="80"/>
  <c r="M489" i="80" s="1"/>
  <c r="L488" i="80"/>
  <c r="N489" i="80" s="1"/>
  <c r="BU489" i="80" l="1"/>
  <c r="O489" i="80"/>
  <c r="BT489" i="80"/>
  <c r="S489" i="80" l="1"/>
  <c r="P489" i="80"/>
  <c r="U489" i="80" s="1"/>
  <c r="BY489" i="80"/>
  <c r="T489" i="80" l="1"/>
  <c r="V489" i="80" s="1"/>
  <c r="X489" i="80"/>
  <c r="Y489" i="80" l="1"/>
  <c r="AD489" i="80" s="1"/>
  <c r="AC489" i="80"/>
  <c r="R489" i="80" l="1"/>
  <c r="BX489" i="80"/>
  <c r="AP489" i="80"/>
  <c r="AQ489" i="80" s="1"/>
  <c r="AR489" i="80" s="1"/>
  <c r="AO489" i="80"/>
  <c r="BV490" i="80"/>
  <c r="BE489" i="80"/>
  <c r="AE489" i="80"/>
  <c r="AF489" i="80"/>
  <c r="AS489" i="80" l="1"/>
  <c r="AG489" i="80"/>
  <c r="AH489" i="80"/>
  <c r="AI489" i="80" s="1"/>
  <c r="AJ489" i="80" s="1"/>
  <c r="AX489" i="80" l="1"/>
  <c r="BD489" i="80"/>
  <c r="AK489" i="80"/>
  <c r="AL489" i="80" s="1"/>
  <c r="AT489" i="80"/>
  <c r="AM489" i="80" l="1"/>
  <c r="AV489" i="80" s="1"/>
  <c r="BW490" i="80"/>
  <c r="AN489" i="80"/>
  <c r="AW489" i="80"/>
  <c r="AY489" i="80" l="1"/>
  <c r="BA489" i="80" s="1"/>
  <c r="AZ489" i="80" l="1"/>
  <c r="BB489" i="80"/>
  <c r="BF489" i="80"/>
  <c r="BG489" i="80" l="1"/>
  <c r="BH489" i="80" s="1"/>
  <c r="BI489" i="80" l="1"/>
  <c r="BN489" i="80" l="1"/>
  <c r="Q489" i="80" s="1"/>
  <c r="BJ489" i="80"/>
  <c r="BK489" i="80" s="1"/>
  <c r="BL489" i="80" s="1"/>
  <c r="BQ489" i="80" l="1"/>
  <c r="BO489" i="80"/>
  <c r="BR489" i="80" l="1"/>
  <c r="BS489" i="80" s="1"/>
  <c r="BP489" i="80"/>
  <c r="L489" i="80"/>
  <c r="N490" i="80" s="1"/>
  <c r="K489" i="80"/>
  <c r="M490" i="80" s="1"/>
  <c r="O490" i="80" l="1"/>
  <c r="BT490" i="80"/>
  <c r="BU490" i="80"/>
  <c r="P490" i="80" l="1"/>
  <c r="U490" i="80" s="1"/>
  <c r="S490" i="80"/>
  <c r="BY490" i="80"/>
  <c r="T490" i="80" l="1"/>
  <c r="V490" i="80" s="1"/>
  <c r="X490" i="80"/>
  <c r="Y490" i="80" l="1"/>
  <c r="AP490" i="80" s="1"/>
  <c r="AQ490" i="80" s="1"/>
  <c r="AC490" i="80" l="1"/>
  <c r="AD490" i="80"/>
  <c r="BX490" i="80"/>
  <c r="BE490" i="80"/>
  <c r="AO490" i="80"/>
  <c r="BV491" i="80"/>
  <c r="R490" i="80"/>
  <c r="AR490" i="80"/>
  <c r="AS490" i="80"/>
  <c r="AE490" i="80"/>
  <c r="AF490" i="80"/>
  <c r="AG490" i="80" l="1"/>
  <c r="AH490" i="80"/>
  <c r="AI490" i="80" s="1"/>
  <c r="AJ490" i="80" s="1"/>
  <c r="AK490" i="80" l="1"/>
  <c r="AL490" i="80" s="1"/>
  <c r="AX490" i="80"/>
  <c r="BD490" i="80"/>
  <c r="AT490" i="80"/>
  <c r="AM490" i="80" l="1"/>
  <c r="AV490" i="80" s="1"/>
  <c r="AN490" i="80"/>
  <c r="BW491" i="80"/>
  <c r="AW490" i="80"/>
  <c r="AY490" i="80" l="1"/>
  <c r="BA490" i="80" s="1"/>
  <c r="AZ490" i="80" l="1"/>
  <c r="BB490" i="80"/>
  <c r="BF490" i="80"/>
  <c r="BG490" i="80" l="1"/>
  <c r="BH490" i="80" s="1"/>
  <c r="BI490" i="80" l="1"/>
  <c r="BN490" i="80" l="1"/>
  <c r="Q490" i="80" s="1"/>
  <c r="BJ490" i="80"/>
  <c r="BK490" i="80" s="1"/>
  <c r="BL490" i="80" s="1"/>
  <c r="BQ490" i="80" l="1"/>
  <c r="BO490" i="80"/>
  <c r="BR490" i="80" l="1"/>
  <c r="BS490" i="80" s="1"/>
  <c r="BP490" i="80"/>
  <c r="K490" i="80"/>
  <c r="M491" i="80" s="1"/>
  <c r="L490" i="80"/>
  <c r="N491" i="80" s="1"/>
  <c r="BU491" i="80" l="1"/>
  <c r="O491" i="80"/>
  <c r="BT491" i="80"/>
  <c r="BY491" i="80" l="1"/>
  <c r="P491" i="80"/>
  <c r="U491" i="80" s="1"/>
  <c r="S491" i="80"/>
  <c r="T491" i="80" l="1"/>
  <c r="V491" i="80" s="1"/>
  <c r="X491" i="80"/>
  <c r="Y491" i="80" l="1"/>
  <c r="AP491" i="80" s="1"/>
  <c r="AQ491" i="80" s="1"/>
  <c r="AC491" i="80"/>
  <c r="R491" i="80" l="1"/>
  <c r="BX491" i="80"/>
  <c r="AD491" i="80"/>
  <c r="AO491" i="80"/>
  <c r="BV492" i="80"/>
  <c r="BE491" i="80"/>
  <c r="AF491" i="80"/>
  <c r="AE491" i="80"/>
  <c r="AR491" i="80"/>
  <c r="AS491" i="80"/>
  <c r="AG491" i="80" l="1"/>
  <c r="AH491" i="80"/>
  <c r="AI491" i="80" s="1"/>
  <c r="AJ491" i="80" s="1"/>
  <c r="BD491" i="80" l="1"/>
  <c r="AK491" i="80"/>
  <c r="AL491" i="80" s="1"/>
  <c r="AX491" i="80"/>
  <c r="AT491" i="80"/>
  <c r="AM491" i="80" l="1"/>
  <c r="AV491" i="80" s="1"/>
  <c r="BW492" i="80"/>
  <c r="AN491" i="80"/>
  <c r="AW491" i="80"/>
  <c r="AY491" i="80" l="1"/>
  <c r="BA491" i="80" s="1"/>
  <c r="AZ491" i="80" l="1"/>
  <c r="BB491" i="80"/>
  <c r="BF491" i="80"/>
  <c r="BG491" i="80" l="1"/>
  <c r="BH491" i="80" s="1"/>
  <c r="BI491" i="80" l="1"/>
  <c r="BJ491" i="80" l="1"/>
  <c r="BK491" i="80" s="1"/>
  <c r="BL491" i="80" s="1"/>
  <c r="BN491" i="80"/>
  <c r="Q491" i="80" s="1"/>
  <c r="BQ491" i="80" l="1"/>
  <c r="BO491" i="80"/>
  <c r="BR491" i="80" l="1"/>
  <c r="BS491" i="80" s="1"/>
  <c r="BP491" i="80"/>
  <c r="L491" i="80"/>
  <c r="N492" i="80" s="1"/>
  <c r="K491" i="80"/>
  <c r="M492" i="80" s="1"/>
  <c r="O492" i="80" l="1"/>
  <c r="BT492" i="80"/>
  <c r="BU492" i="80"/>
  <c r="P492" i="80" l="1"/>
  <c r="U492" i="80" s="1"/>
  <c r="S492" i="80"/>
  <c r="BY492" i="80"/>
  <c r="T492" i="80" l="1"/>
  <c r="V492" i="80" s="1"/>
  <c r="X492" i="80"/>
  <c r="Y492" i="80" l="1"/>
  <c r="AD492" i="80" s="1"/>
  <c r="AC492" i="80"/>
  <c r="AP492" i="80" l="1"/>
  <c r="AQ492" i="80" s="1"/>
  <c r="AS492" i="80" s="1"/>
  <c r="BX492" i="80"/>
  <c r="BE492" i="80"/>
  <c r="R492" i="80"/>
  <c r="BV493" i="80"/>
  <c r="AO492" i="80"/>
  <c r="AF492" i="80"/>
  <c r="AE492" i="80"/>
  <c r="AR492" i="80" l="1"/>
  <c r="AG492" i="80"/>
  <c r="AH492" i="80"/>
  <c r="AI492" i="80" s="1"/>
  <c r="AJ492" i="80" s="1"/>
  <c r="AK492" i="80" l="1"/>
  <c r="AL492" i="80" s="1"/>
  <c r="BD492" i="80"/>
  <c r="AX492" i="80"/>
  <c r="AT492" i="80"/>
  <c r="AM492" i="80" l="1"/>
  <c r="AV492" i="80" s="1"/>
  <c r="AN492" i="80"/>
  <c r="BW493" i="80"/>
  <c r="AW492" i="80"/>
  <c r="AY492" i="80" l="1"/>
  <c r="BA492" i="80" s="1"/>
  <c r="AZ492" i="80" l="1"/>
  <c r="BB492" i="80"/>
  <c r="BF492" i="80"/>
  <c r="BG492" i="80" l="1"/>
  <c r="BH492" i="80" s="1"/>
  <c r="BI492" i="80" l="1"/>
  <c r="BN492" i="80" l="1"/>
  <c r="Q492" i="80" s="1"/>
  <c r="BJ492" i="80"/>
  <c r="BK492" i="80" s="1"/>
  <c r="BL492" i="80" s="1"/>
  <c r="BQ492" i="80" l="1"/>
  <c r="BO492" i="80"/>
  <c r="BR492" i="80" l="1"/>
  <c r="BS492" i="80" s="1"/>
  <c r="BP492" i="80"/>
  <c r="K492" i="80"/>
  <c r="M493" i="80" s="1"/>
  <c r="L492" i="80"/>
  <c r="N493" i="80" s="1"/>
  <c r="BU493" i="80" l="1"/>
  <c r="O493" i="80"/>
  <c r="BT493" i="80"/>
  <c r="S493" i="80" l="1"/>
  <c r="P493" i="80"/>
  <c r="U493" i="80" s="1"/>
  <c r="BY493" i="80"/>
  <c r="T493" i="80" l="1"/>
  <c r="V493" i="80" s="1"/>
  <c r="X493" i="80"/>
  <c r="Y493" i="80" l="1"/>
  <c r="AD493" i="80" s="1"/>
  <c r="AP493" i="80" l="1"/>
  <c r="AQ493" i="80" s="1"/>
  <c r="BX493" i="80"/>
  <c r="AF493" i="80"/>
  <c r="AE493" i="80"/>
  <c r="AC493" i="80"/>
  <c r="R493" i="80" l="1"/>
  <c r="BV494" i="80"/>
  <c r="AO493" i="80"/>
  <c r="BE493" i="80"/>
  <c r="AR493" i="80"/>
  <c r="AS493" i="80"/>
  <c r="AG493" i="80"/>
  <c r="AH493" i="80"/>
  <c r="AI493" i="80" s="1"/>
  <c r="AJ493" i="80" s="1"/>
  <c r="AX493" i="80" l="1"/>
  <c r="AK493" i="80"/>
  <c r="AL493" i="80" s="1"/>
  <c r="BD493" i="80"/>
  <c r="AT493" i="80"/>
  <c r="AM493" i="80" l="1"/>
  <c r="AV493" i="80" s="1"/>
  <c r="BW494" i="80"/>
  <c r="AN493" i="80"/>
  <c r="AW493" i="80"/>
  <c r="AY493" i="80" l="1"/>
  <c r="BA493" i="80" s="1"/>
  <c r="AZ493" i="80" l="1"/>
  <c r="BB493" i="80"/>
  <c r="BF493" i="80"/>
  <c r="BG493" i="80" l="1"/>
  <c r="BH493" i="80" s="1"/>
  <c r="BI493" i="80" l="1"/>
  <c r="BJ493" i="80" l="1"/>
  <c r="BK493" i="80" s="1"/>
  <c r="BL493" i="80" s="1"/>
  <c r="BN493" i="80"/>
  <c r="Q493" i="80" s="1"/>
  <c r="BQ493" i="80" l="1"/>
  <c r="BO493" i="80"/>
  <c r="BR493" i="80" l="1"/>
  <c r="BS493" i="80" s="1"/>
  <c r="BP493" i="80"/>
  <c r="L493" i="80"/>
  <c r="N494" i="80" s="1"/>
  <c r="K493" i="80"/>
  <c r="M494" i="80" s="1"/>
  <c r="O494" i="80" l="1"/>
  <c r="BT494" i="80"/>
  <c r="BU494" i="80"/>
  <c r="P494" i="80" l="1"/>
  <c r="U494" i="80" s="1"/>
  <c r="S494" i="80"/>
  <c r="BY494" i="80"/>
  <c r="T494" i="80" l="1"/>
  <c r="X494" i="80"/>
  <c r="V494" i="80" l="1"/>
  <c r="Y494" i="80" l="1"/>
  <c r="AD494" i="80" s="1"/>
  <c r="AC494" i="80"/>
  <c r="R494" i="80" l="1"/>
  <c r="BE494" i="80"/>
  <c r="BV495" i="80"/>
  <c r="AP494" i="80"/>
  <c r="AQ494" i="80" s="1"/>
  <c r="AS494" i="80" s="1"/>
  <c r="AO494" i="80"/>
  <c r="BX494" i="80"/>
  <c r="AE494" i="80"/>
  <c r="AF494" i="80"/>
  <c r="AR494" i="80" l="1"/>
  <c r="AH494" i="80"/>
  <c r="AI494" i="80" s="1"/>
  <c r="AJ494" i="80" s="1"/>
  <c r="AG494" i="80"/>
  <c r="BD494" i="80" l="1"/>
  <c r="AK494" i="80"/>
  <c r="AL494" i="80" s="1"/>
  <c r="AX494" i="80"/>
  <c r="AT494" i="80"/>
  <c r="AM494" i="80" l="1"/>
  <c r="AV494" i="80" s="1"/>
  <c r="BW495" i="80"/>
  <c r="AN494" i="80"/>
  <c r="AW494" i="80"/>
  <c r="AY494" i="80" l="1"/>
  <c r="BA494" i="80" s="1"/>
  <c r="AZ494" i="80" l="1"/>
  <c r="BB494" i="80"/>
  <c r="BF494" i="80"/>
  <c r="BG494" i="80" l="1"/>
  <c r="BH494" i="80" s="1"/>
  <c r="BI494" i="80" l="1"/>
  <c r="BJ494" i="80" l="1"/>
  <c r="BK494" i="80" s="1"/>
  <c r="BL494" i="80" s="1"/>
  <c r="BN494" i="80"/>
  <c r="Q494" i="80" s="1"/>
  <c r="BQ494" i="80" l="1"/>
  <c r="BO494" i="80"/>
  <c r="K494" i="80" l="1"/>
  <c r="M495" i="80" s="1"/>
  <c r="BT495" i="80" s="1"/>
  <c r="L494" i="80"/>
  <c r="N495" i="80" s="1"/>
  <c r="BR494" i="80"/>
  <c r="BS494" i="80" s="1"/>
  <c r="BP494" i="80"/>
  <c r="O495" i="80" l="1"/>
  <c r="S495" i="80" s="1"/>
  <c r="BU495" i="80"/>
  <c r="P495" i="80" l="1"/>
  <c r="U495" i="80" s="1"/>
  <c r="BY495" i="80"/>
  <c r="T495" i="80"/>
  <c r="X495" i="80"/>
  <c r="V495" i="80" l="1"/>
  <c r="Y495" i="80" l="1"/>
  <c r="AD495" i="80" s="1"/>
  <c r="AC495" i="80"/>
  <c r="AP495" i="80" l="1"/>
  <c r="AQ495" i="80" s="1"/>
  <c r="AS495" i="80" s="1"/>
  <c r="BX495" i="80"/>
  <c r="BE495" i="80"/>
  <c r="R495" i="80"/>
  <c r="AO495" i="80"/>
  <c r="BV496" i="80"/>
  <c r="AE495" i="80"/>
  <c r="AF495" i="80"/>
  <c r="AR495" i="80" l="1"/>
  <c r="AH495" i="80"/>
  <c r="AI495" i="80" s="1"/>
  <c r="AJ495" i="80" s="1"/>
  <c r="AG495" i="80"/>
  <c r="AX495" i="80" l="1"/>
  <c r="AK495" i="80"/>
  <c r="AL495" i="80" s="1"/>
  <c r="BD495" i="80"/>
  <c r="AT495" i="80"/>
  <c r="AM495" i="80" l="1"/>
  <c r="AV495" i="80" s="1"/>
  <c r="AN495" i="80"/>
  <c r="BW496" i="80"/>
  <c r="AW495" i="80"/>
  <c r="AY495" i="80" l="1"/>
  <c r="BA495" i="80" s="1"/>
  <c r="AZ495" i="80" l="1"/>
  <c r="BB495" i="80"/>
  <c r="BF495" i="80"/>
  <c r="BG495" i="80" l="1"/>
  <c r="BH495" i="80" s="1"/>
  <c r="BI495" i="80" l="1"/>
  <c r="BN495" i="80" l="1"/>
  <c r="Q495" i="80" s="1"/>
  <c r="BJ495" i="80"/>
  <c r="BK495" i="80" s="1"/>
  <c r="BL495" i="80" s="1"/>
  <c r="BQ495" i="80" l="1"/>
  <c r="BO495" i="80"/>
  <c r="K495" i="80" l="1"/>
  <c r="M496" i="80" s="1"/>
  <c r="L495" i="80"/>
  <c r="N496" i="80" s="1"/>
  <c r="BR495" i="80"/>
  <c r="BS495" i="80" s="1"/>
  <c r="BP495" i="80"/>
  <c r="O496" i="80" l="1"/>
  <c r="BY496" i="80" s="1"/>
  <c r="BT496" i="80"/>
  <c r="BU496" i="80"/>
  <c r="P496" i="80" l="1"/>
  <c r="U496" i="80" s="1"/>
  <c r="S496" i="80"/>
  <c r="T496" i="80" l="1"/>
  <c r="V496" i="80" s="1"/>
  <c r="X496" i="80"/>
  <c r="Y496" i="80" l="1"/>
  <c r="AD496" i="80" s="1"/>
  <c r="AC496" i="80"/>
  <c r="AP496" i="80" l="1"/>
  <c r="AQ496" i="80" s="1"/>
  <c r="AS496" i="80" s="1"/>
  <c r="BX496" i="80"/>
  <c r="AO496" i="80"/>
  <c r="BE496" i="80"/>
  <c r="R496" i="80"/>
  <c r="BV497" i="80"/>
  <c r="AF496" i="80"/>
  <c r="AE496" i="80"/>
  <c r="AR496" i="80" l="1"/>
  <c r="AH496" i="80"/>
  <c r="AI496" i="80" s="1"/>
  <c r="AJ496" i="80" s="1"/>
  <c r="AG496" i="80"/>
  <c r="AK496" i="80" l="1"/>
  <c r="AL496" i="80" s="1"/>
  <c r="AX496" i="80"/>
  <c r="BD496" i="80"/>
  <c r="AT496" i="80"/>
  <c r="AM496" i="80" l="1"/>
  <c r="AV496" i="80" s="1"/>
  <c r="BW497" i="80"/>
  <c r="AN496" i="80"/>
  <c r="AW496" i="80"/>
  <c r="AY496" i="80" l="1"/>
  <c r="BA496" i="80" s="1"/>
  <c r="AZ496" i="80" l="1"/>
  <c r="BB496" i="80"/>
  <c r="BF496" i="80"/>
  <c r="BG496" i="80" l="1"/>
  <c r="BH496" i="80" s="1"/>
  <c r="BI496" i="80" l="1"/>
  <c r="BJ496" i="80" l="1"/>
  <c r="BK496" i="80" s="1"/>
  <c r="BL496" i="80" s="1"/>
  <c r="BN496" i="80"/>
  <c r="Q496" i="80" s="1"/>
  <c r="BQ496" i="80" l="1"/>
  <c r="BO496" i="80"/>
  <c r="K496" i="80" l="1"/>
  <c r="M497" i="80" s="1"/>
  <c r="BT497" i="80" s="1"/>
  <c r="L496" i="80"/>
  <c r="N497" i="80" s="1"/>
  <c r="BR496" i="80"/>
  <c r="BS496" i="80" s="1"/>
  <c r="BP496" i="80"/>
  <c r="O497" i="80" l="1"/>
  <c r="S497" i="80" s="1"/>
  <c r="BU497" i="80"/>
  <c r="BY497" i="80" l="1"/>
  <c r="P497" i="80"/>
  <c r="U497" i="80" s="1"/>
  <c r="T497" i="80"/>
  <c r="X497" i="80"/>
  <c r="V497" i="80" l="1"/>
  <c r="Y497" i="80" l="1"/>
  <c r="BX497" i="80" s="1"/>
  <c r="AD497" i="80" l="1"/>
  <c r="AF497" i="80" s="1"/>
  <c r="AP497" i="80"/>
  <c r="AQ497" i="80" s="1"/>
  <c r="AC497" i="80"/>
  <c r="BE497" i="80" l="1"/>
  <c r="AR497" i="80"/>
  <c r="AO497" i="80"/>
  <c r="BV498" i="80"/>
  <c r="R497" i="80"/>
  <c r="AE497" i="80"/>
  <c r="AS497" i="80"/>
  <c r="AG497" i="80"/>
  <c r="AH497" i="80"/>
  <c r="AI497" i="80" s="1"/>
  <c r="AJ497" i="80" s="1"/>
  <c r="BD497" i="80" l="1"/>
  <c r="AK497" i="80"/>
  <c r="AL497" i="80" s="1"/>
  <c r="AX497" i="80"/>
  <c r="AT497" i="80"/>
  <c r="AM497" i="80" l="1"/>
  <c r="AV497" i="80" s="1"/>
  <c r="BW498" i="80"/>
  <c r="AN497" i="80"/>
  <c r="AW497" i="80"/>
  <c r="AY497" i="80" l="1"/>
  <c r="BA497" i="80" s="1"/>
  <c r="AZ497" i="80" l="1"/>
  <c r="BB497" i="80"/>
  <c r="BF497" i="80"/>
  <c r="BG497" i="80" l="1"/>
  <c r="BH497" i="80" s="1"/>
  <c r="BI497" i="80" l="1"/>
  <c r="BN497" i="80" l="1"/>
  <c r="Q497" i="80" s="1"/>
  <c r="BJ497" i="80"/>
  <c r="BK497" i="80" s="1"/>
  <c r="BL497" i="80" s="1"/>
  <c r="BQ497" i="80" l="1"/>
  <c r="BO497" i="80"/>
  <c r="K497" i="80" l="1"/>
  <c r="M498" i="80" s="1"/>
  <c r="L497" i="80"/>
  <c r="N498" i="80" s="1"/>
  <c r="BR497" i="80"/>
  <c r="BS497" i="80" s="1"/>
  <c r="BP497" i="80"/>
  <c r="O498" i="80" l="1"/>
  <c r="BY498" i="80" s="1"/>
  <c r="BT498" i="80"/>
  <c r="BU498" i="80"/>
  <c r="S498" i="80"/>
  <c r="P498" i="80" l="1"/>
  <c r="U498" i="80" s="1"/>
  <c r="T498" i="80"/>
  <c r="X498" i="80"/>
  <c r="V498" i="80" l="1"/>
  <c r="Y498" i="80" l="1"/>
  <c r="AP498" i="80" s="1"/>
  <c r="AQ498" i="80" s="1"/>
  <c r="BX498" i="80" l="1"/>
  <c r="AD498" i="80"/>
  <c r="AF498" i="80" s="1"/>
  <c r="AS498" i="80"/>
  <c r="AC498" i="80"/>
  <c r="R498" i="80" l="1"/>
  <c r="AR498" i="80"/>
  <c r="AO498" i="80"/>
  <c r="BV499" i="80"/>
  <c r="BE498" i="80"/>
  <c r="AE498" i="80"/>
  <c r="AG498" i="80"/>
  <c r="AH498" i="80"/>
  <c r="AI498" i="80" s="1"/>
  <c r="AJ498" i="80" s="1"/>
  <c r="AX498" i="80" l="1"/>
  <c r="AK498" i="80"/>
  <c r="AL498" i="80" s="1"/>
  <c r="BD498" i="80"/>
  <c r="AT498" i="80"/>
  <c r="AM498" i="80" l="1"/>
  <c r="AV498" i="80" s="1"/>
  <c r="BW499" i="80"/>
  <c r="AN498" i="80"/>
  <c r="AW498" i="80"/>
  <c r="AY498" i="80" l="1"/>
  <c r="BA498" i="80" s="1"/>
  <c r="AZ498" i="80" l="1"/>
  <c r="BB498" i="80"/>
  <c r="BF498" i="80"/>
  <c r="BG498" i="80" l="1"/>
  <c r="BH498" i="80" s="1"/>
  <c r="BI498" i="80" l="1"/>
  <c r="BN498" i="80" l="1"/>
  <c r="Q498" i="80" s="1"/>
  <c r="BJ498" i="80"/>
  <c r="BK498" i="80" s="1"/>
  <c r="BL498" i="80" s="1"/>
  <c r="BQ498" i="80" l="1"/>
  <c r="BO498" i="80"/>
  <c r="K498" i="80" l="1"/>
  <c r="M499" i="80" s="1"/>
  <c r="BT499" i="80" s="1"/>
  <c r="L498" i="80"/>
  <c r="N499" i="80" s="1"/>
  <c r="BR498" i="80"/>
  <c r="BS498" i="80" s="1"/>
  <c r="BP498" i="80"/>
  <c r="O499" i="80" l="1"/>
  <c r="P499" i="80" s="1"/>
  <c r="U499" i="80" s="1"/>
  <c r="BU499" i="80"/>
  <c r="BY499" i="80" l="1"/>
  <c r="S499" i="80"/>
  <c r="T499" i="80" l="1"/>
  <c r="V499" i="80" s="1"/>
  <c r="X499" i="80"/>
  <c r="Y499" i="80" l="1"/>
  <c r="AD499" i="80" s="1"/>
  <c r="AC499" i="80"/>
  <c r="BX499" i="80" l="1"/>
  <c r="AP499" i="80"/>
  <c r="AQ499" i="80" s="1"/>
  <c r="AR499" i="80" s="1"/>
  <c r="R499" i="80"/>
  <c r="BE499" i="80"/>
  <c r="BV500" i="80"/>
  <c r="AO499" i="80"/>
  <c r="AF499" i="80"/>
  <c r="AE499" i="80"/>
  <c r="AS499" i="80" l="1"/>
  <c r="AG499" i="80"/>
  <c r="AH499" i="80"/>
  <c r="AI499" i="80" s="1"/>
  <c r="AJ499" i="80" s="1"/>
  <c r="AX499" i="80" l="1"/>
  <c r="AK499" i="80"/>
  <c r="AL499" i="80" s="1"/>
  <c r="BD499" i="80"/>
  <c r="AT499" i="80"/>
  <c r="AM499" i="80" l="1"/>
  <c r="AV499" i="80" s="1"/>
  <c r="AN499" i="80"/>
  <c r="BW500" i="80"/>
  <c r="AW499" i="80"/>
  <c r="AY499" i="80" l="1"/>
  <c r="BA499" i="80" s="1"/>
  <c r="AZ499" i="80" l="1"/>
  <c r="BB499" i="80"/>
  <c r="BF499" i="80"/>
  <c r="BG499" i="80" l="1"/>
  <c r="BH499" i="80" s="1"/>
  <c r="BI499" i="80" l="1"/>
  <c r="BN499" i="80" l="1"/>
  <c r="Q499" i="80" s="1"/>
  <c r="BJ499" i="80"/>
  <c r="BK499" i="80" s="1"/>
  <c r="BL499" i="80" s="1"/>
  <c r="BQ499" i="80" l="1"/>
  <c r="BO499" i="80"/>
  <c r="K499" i="80" l="1"/>
  <c r="M500" i="80" s="1"/>
  <c r="L499" i="80"/>
  <c r="N500" i="80" s="1"/>
  <c r="BR499" i="80"/>
  <c r="BS499" i="80" s="1"/>
  <c r="BP499" i="80"/>
  <c r="O500" i="80" l="1"/>
  <c r="BY500" i="80" s="1"/>
  <c r="BT500" i="80"/>
  <c r="BU500" i="80"/>
  <c r="P500" i="80" l="1"/>
  <c r="U500" i="80" s="1"/>
  <c r="S500" i="80"/>
  <c r="T500" i="80" l="1"/>
  <c r="V500" i="80" s="1"/>
  <c r="X500" i="80"/>
  <c r="Y500" i="80" l="1"/>
  <c r="AP500" i="80" s="1"/>
  <c r="AQ500" i="80" s="1"/>
  <c r="BX500" i="80" l="1"/>
  <c r="AD500" i="80"/>
  <c r="AE500" i="80" s="1"/>
  <c r="AS500" i="80"/>
  <c r="AC500" i="80"/>
  <c r="R500" i="80" l="1"/>
  <c r="AO500" i="80"/>
  <c r="AR500" i="80"/>
  <c r="BV501" i="80"/>
  <c r="BE500" i="80"/>
  <c r="AF500" i="80"/>
  <c r="AH500" i="80" s="1"/>
  <c r="AI500" i="80" s="1"/>
  <c r="AJ500" i="80" s="1"/>
  <c r="AG500" i="80" l="1"/>
  <c r="AX500" i="80" s="1"/>
  <c r="AT500" i="80" l="1"/>
  <c r="BD500" i="80"/>
  <c r="AK500" i="80"/>
  <c r="AL500" i="80" s="1"/>
  <c r="AM500" i="80" s="1"/>
  <c r="AV500" i="80" l="1"/>
  <c r="BW501" i="80"/>
  <c r="AN500" i="80"/>
  <c r="AW500" i="80"/>
  <c r="AY500" i="80" l="1"/>
  <c r="BA500" i="80" s="1"/>
  <c r="BB500" i="80" s="1"/>
  <c r="BF500" i="80"/>
  <c r="AZ500" i="80" l="1"/>
  <c r="BG500" i="80"/>
  <c r="BH500" i="80" s="1"/>
  <c r="BI500" i="80" l="1"/>
  <c r="BJ500" i="80" l="1"/>
  <c r="BK500" i="80" s="1"/>
  <c r="BL500" i="80" s="1"/>
  <c r="BN500" i="80"/>
  <c r="Q500" i="80" s="1"/>
  <c r="BQ500" i="80" l="1"/>
  <c r="BO500" i="80"/>
  <c r="L500" i="80" l="1"/>
  <c r="N501" i="80" s="1"/>
  <c r="BU501" i="80" s="1"/>
  <c r="K500" i="80"/>
  <c r="M501" i="80" s="1"/>
  <c r="BR500" i="80"/>
  <c r="BS500" i="80" s="1"/>
  <c r="BP500" i="80"/>
  <c r="O501" i="80" l="1"/>
  <c r="S501" i="80" s="1"/>
  <c r="BT501" i="80"/>
  <c r="P501" i="80" l="1"/>
  <c r="U501" i="80" s="1"/>
  <c r="BY501" i="80"/>
  <c r="T501" i="80"/>
  <c r="V501" i="80" s="1"/>
  <c r="X501" i="80"/>
  <c r="Y501" i="80" l="1"/>
  <c r="AC501" i="80"/>
  <c r="R501" i="80" l="1"/>
  <c r="BX501" i="80"/>
  <c r="AP501" i="80"/>
  <c r="AQ501" i="80" s="1"/>
  <c r="AR501" i="80" s="1"/>
  <c r="AD501" i="80"/>
  <c r="AE501" i="80" s="1"/>
  <c r="AO501" i="80"/>
  <c r="BV502" i="80"/>
  <c r="BE501" i="80"/>
  <c r="AF501" i="80" l="1"/>
  <c r="AH501" i="80" s="1"/>
  <c r="AI501" i="80" s="1"/>
  <c r="AJ501" i="80" s="1"/>
  <c r="AS501" i="80"/>
  <c r="AG501" i="80" l="1"/>
  <c r="AK501" i="80"/>
  <c r="AL501" i="80" s="1"/>
  <c r="AX501" i="80"/>
  <c r="BD501" i="80"/>
  <c r="AT501" i="80"/>
  <c r="AN501" i="80" l="1"/>
  <c r="AM501" i="80"/>
  <c r="AV501" i="80" s="1"/>
  <c r="BW502" i="80"/>
  <c r="AW501" i="80"/>
  <c r="AY501" i="80" l="1"/>
  <c r="BA501" i="80" s="1"/>
  <c r="BB501" i="80" l="1"/>
  <c r="AZ501" i="80"/>
  <c r="BF501" i="80"/>
  <c r="BG501" i="80" l="1"/>
  <c r="BH501" i="80" s="1"/>
  <c r="BI501" i="80" l="1"/>
  <c r="BN501" i="80" l="1"/>
  <c r="Q501" i="80" s="1"/>
  <c r="BJ501" i="80"/>
  <c r="BK501" i="80" s="1"/>
  <c r="BL501" i="80" s="1"/>
  <c r="BQ501" i="80" l="1"/>
  <c r="BO501" i="80"/>
  <c r="K501" i="80" l="1"/>
  <c r="M502" i="80" s="1"/>
  <c r="L501" i="80"/>
  <c r="N502" i="80" s="1"/>
  <c r="BR501" i="80"/>
  <c r="BS501" i="80" s="1"/>
  <c r="BP501" i="80"/>
  <c r="O502" i="80" l="1"/>
  <c r="P502" i="80" s="1"/>
  <c r="U502" i="80" s="1"/>
  <c r="BT502" i="80"/>
  <c r="BU502" i="80"/>
  <c r="S502" i="80" l="1"/>
  <c r="BY502" i="80"/>
  <c r="X502" i="80" l="1"/>
  <c r="T502" i="80"/>
  <c r="V502" i="80" s="1"/>
  <c r="Y502" i="80" l="1"/>
  <c r="AC502" i="80"/>
  <c r="R502" i="80" l="1"/>
  <c r="BX502" i="80"/>
  <c r="AD502" i="80"/>
  <c r="AF502" i="80" s="1"/>
  <c r="AG502" i="80" s="1"/>
  <c r="AK502" i="80" s="1"/>
  <c r="AL502" i="80" s="1"/>
  <c r="AP502" i="80"/>
  <c r="AQ502" i="80" s="1"/>
  <c r="AS502" i="80" s="1"/>
  <c r="AO502" i="80"/>
  <c r="BE502" i="80"/>
  <c r="BV503" i="80"/>
  <c r="AE502" i="80"/>
  <c r="AX502" i="80" s="1"/>
  <c r="AH502" i="80" l="1"/>
  <c r="AI502" i="80" s="1"/>
  <c r="AJ502" i="80" s="1"/>
  <c r="BD502" i="80"/>
  <c r="AR502" i="80"/>
  <c r="AT502" i="80"/>
  <c r="AM502" i="80"/>
  <c r="AN502" i="80"/>
  <c r="BW503" i="80"/>
  <c r="AV502" i="80" l="1"/>
  <c r="AW502" i="80"/>
  <c r="AY502" i="80" l="1"/>
  <c r="BA502" i="80" s="1"/>
  <c r="BB502" i="80" s="1"/>
  <c r="BF502" i="80"/>
  <c r="AZ502" i="80" l="1"/>
  <c r="BG502" i="80"/>
  <c r="BH502" i="80" s="1"/>
  <c r="BI502" i="80" l="1"/>
  <c r="BN502" i="80" l="1"/>
  <c r="Q502" i="80" s="1"/>
  <c r="BJ502" i="80"/>
  <c r="BK502" i="80" s="1"/>
  <c r="BL502" i="80" s="1"/>
  <c r="BQ502" i="80" l="1"/>
  <c r="BO502" i="80"/>
  <c r="BR502" i="80" l="1"/>
  <c r="BS502" i="80" s="1"/>
  <c r="BP502" i="80"/>
  <c r="K502" i="80"/>
  <c r="M503" i="80" s="1"/>
  <c r="L502" i="80"/>
  <c r="N503" i="80" s="1"/>
  <c r="BU503" i="80" l="1"/>
  <c r="O503" i="80"/>
  <c r="BT503" i="80"/>
  <c r="S503" i="80" l="1"/>
  <c r="BY503" i="80"/>
  <c r="P503" i="80"/>
  <c r="U503" i="80" s="1"/>
  <c r="T503" i="80" l="1"/>
  <c r="V503" i="80" s="1"/>
  <c r="X503" i="80"/>
  <c r="Y503" i="80" l="1"/>
  <c r="BX503" i="80" s="1"/>
  <c r="AC503" i="80"/>
  <c r="AP503" i="80" l="1"/>
  <c r="AQ503" i="80" s="1"/>
  <c r="AR503" i="80" s="1"/>
  <c r="BE503" i="80"/>
  <c r="R503" i="80"/>
  <c r="BV504" i="80"/>
  <c r="AO503" i="80"/>
  <c r="AD503" i="80"/>
  <c r="AF503" i="80" s="1"/>
  <c r="AS503" i="80" l="1"/>
  <c r="AE503" i="80"/>
  <c r="AH503" i="80"/>
  <c r="AI503" i="80" s="1"/>
  <c r="AJ503" i="80" s="1"/>
  <c r="AG503" i="80"/>
  <c r="AX503" i="80" l="1"/>
  <c r="BD503" i="80"/>
  <c r="AK503" i="80"/>
  <c r="AL503" i="80" s="1"/>
  <c r="AT503" i="80"/>
  <c r="BW504" i="80" l="1"/>
  <c r="AM503" i="80"/>
  <c r="AV503" i="80" s="1"/>
  <c r="AN503" i="80"/>
  <c r="AW503" i="80"/>
  <c r="AY503" i="80" l="1"/>
  <c r="BA503" i="80" s="1"/>
  <c r="AZ503" i="80" l="1"/>
  <c r="BB503" i="80"/>
  <c r="BF503" i="80"/>
  <c r="BG503" i="80" l="1"/>
  <c r="BH503" i="80" s="1"/>
  <c r="BI503" i="80" l="1"/>
  <c r="BJ503" i="80" l="1"/>
  <c r="BK503" i="80" s="1"/>
  <c r="BL503" i="80" s="1"/>
  <c r="BN503" i="80"/>
  <c r="Q503" i="80" s="1"/>
  <c r="BQ503" i="80" l="1"/>
  <c r="BO503" i="80"/>
  <c r="BR503" i="80" l="1"/>
  <c r="BS503" i="80" s="1"/>
  <c r="BP503" i="80"/>
  <c r="K503" i="80"/>
  <c r="M504" i="80" s="1"/>
  <c r="L503" i="80"/>
  <c r="N504" i="80" s="1"/>
  <c r="BT504" i="80" l="1"/>
  <c r="O504" i="80"/>
  <c r="BU504" i="80"/>
  <c r="S504" i="80" l="1"/>
  <c r="P504" i="80"/>
  <c r="U504" i="80" s="1"/>
  <c r="BY504" i="80"/>
  <c r="T504" i="80" l="1"/>
  <c r="V504" i="80" s="1"/>
  <c r="X504" i="80"/>
  <c r="Y504" i="80" l="1"/>
  <c r="AP504" i="80" s="1"/>
  <c r="AQ504" i="80" s="1"/>
  <c r="AD504" i="80" l="1"/>
  <c r="AE504" i="80" s="1"/>
  <c r="BX504" i="80"/>
  <c r="AS504" i="80"/>
  <c r="AC504" i="80"/>
  <c r="BE504" i="80" l="1"/>
  <c r="AR504" i="80"/>
  <c r="R504" i="80"/>
  <c r="AO504" i="80"/>
  <c r="BV505" i="80"/>
  <c r="AF504" i="80"/>
  <c r="AG504" i="80" s="1"/>
  <c r="AH504" i="80" l="1"/>
  <c r="AI504" i="80" s="1"/>
  <c r="AJ504" i="80" s="1"/>
  <c r="AX504" i="80"/>
  <c r="AK504" i="80"/>
  <c r="AL504" i="80" s="1"/>
  <c r="BD504" i="80"/>
  <c r="AT504" i="80"/>
  <c r="AM504" i="80" l="1"/>
  <c r="AV504" i="80" s="1"/>
  <c r="AN504" i="80"/>
  <c r="BW505" i="80"/>
  <c r="AW504" i="80"/>
  <c r="AY504" i="80" l="1"/>
  <c r="BA504" i="80" s="1"/>
  <c r="AZ504" i="80" l="1"/>
  <c r="BB504" i="80"/>
  <c r="BF504" i="80"/>
  <c r="BG504" i="80" l="1"/>
  <c r="BH504" i="80" s="1"/>
  <c r="BI504" i="80" l="1"/>
  <c r="BJ504" i="80" l="1"/>
  <c r="BK504" i="80" s="1"/>
  <c r="BL504" i="80" s="1"/>
  <c r="BN504" i="80"/>
  <c r="Q504" i="80" s="1"/>
  <c r="BQ504" i="80" l="1"/>
  <c r="BO504" i="80"/>
  <c r="BR504" i="80" l="1"/>
  <c r="BS504" i="80" s="1"/>
  <c r="BP504" i="80"/>
  <c r="L504" i="80"/>
  <c r="N505" i="80" s="1"/>
  <c r="K504" i="80"/>
  <c r="M505" i="80" s="1"/>
  <c r="BU505" i="80" l="1"/>
  <c r="O505" i="80"/>
  <c r="BT505" i="80"/>
  <c r="S505" i="80" l="1"/>
  <c r="BY505" i="80"/>
  <c r="P505" i="80"/>
  <c r="U505" i="80" s="1"/>
  <c r="T505" i="80" l="1"/>
  <c r="V505" i="80" s="1"/>
  <c r="X505" i="80"/>
  <c r="Y505" i="80" l="1"/>
  <c r="BX505" i="80" s="1"/>
  <c r="AC505" i="80"/>
  <c r="AP505" i="80" l="1"/>
  <c r="AQ505" i="80" s="1"/>
  <c r="AS505" i="80" s="1"/>
  <c r="AD505" i="80"/>
  <c r="AF505" i="80" s="1"/>
  <c r="BV506" i="80"/>
  <c r="R505" i="80"/>
  <c r="BE505" i="80"/>
  <c r="AO505" i="80"/>
  <c r="AR505" i="80" l="1"/>
  <c r="AE505" i="80"/>
  <c r="AH505" i="80"/>
  <c r="AI505" i="80" s="1"/>
  <c r="AJ505" i="80" s="1"/>
  <c r="AG505" i="80"/>
  <c r="BD505" i="80" l="1"/>
  <c r="AX505" i="80"/>
  <c r="AK505" i="80"/>
  <c r="AL505" i="80" s="1"/>
  <c r="AT505" i="80"/>
  <c r="AM505" i="80" l="1"/>
  <c r="AV505" i="80" s="1"/>
  <c r="BW506" i="80"/>
  <c r="AN505" i="80"/>
  <c r="AW505" i="80"/>
  <c r="AY505" i="80" l="1"/>
  <c r="BA505" i="80" s="1"/>
  <c r="AZ505" i="80" l="1"/>
  <c r="BB505" i="80"/>
  <c r="BF505" i="80"/>
  <c r="BG505" i="80" l="1"/>
  <c r="BH505" i="80" s="1"/>
  <c r="BI505" i="80" l="1"/>
  <c r="BJ505" i="80" l="1"/>
  <c r="BK505" i="80" s="1"/>
  <c r="BL505" i="80" s="1"/>
  <c r="BN505" i="80"/>
  <c r="Q505" i="80" s="1"/>
  <c r="BQ505" i="80" l="1"/>
  <c r="BO505" i="80"/>
  <c r="BR505" i="80" l="1"/>
  <c r="BS505" i="80" s="1"/>
  <c r="BP505" i="80"/>
  <c r="L505" i="80"/>
  <c r="N506" i="80" s="1"/>
  <c r="K505" i="80"/>
  <c r="M506" i="80" s="1"/>
  <c r="O506" i="80" l="1"/>
  <c r="BT506" i="80"/>
  <c r="BU506" i="80"/>
  <c r="P506" i="80" l="1"/>
  <c r="U506" i="80" s="1"/>
  <c r="BY506" i="80"/>
  <c r="S506" i="80"/>
  <c r="T506" i="80" l="1"/>
  <c r="V506" i="80" s="1"/>
  <c r="X506" i="80"/>
  <c r="Y506" i="80" l="1"/>
  <c r="AD506" i="80" s="1"/>
  <c r="AC506" i="80"/>
  <c r="AP506" i="80" l="1"/>
  <c r="AQ506" i="80" s="1"/>
  <c r="AS506" i="80" s="1"/>
  <c r="BX506" i="80"/>
  <c r="R506" i="80"/>
  <c r="BV507" i="80"/>
  <c r="BE506" i="80"/>
  <c r="AO506" i="80"/>
  <c r="AF506" i="80"/>
  <c r="AE506" i="80"/>
  <c r="AR506" i="80" l="1"/>
  <c r="AG506" i="80"/>
  <c r="AH506" i="80"/>
  <c r="AI506" i="80" s="1"/>
  <c r="AJ506" i="80" s="1"/>
  <c r="AK506" i="80" l="1"/>
  <c r="AL506" i="80" s="1"/>
  <c r="AX506" i="80"/>
  <c r="BD506" i="80"/>
  <c r="AT506" i="80"/>
  <c r="AM506" i="80" l="1"/>
  <c r="AV506" i="80" s="1"/>
  <c r="AN506" i="80"/>
  <c r="BW507" i="80"/>
  <c r="AW506" i="80"/>
  <c r="AY506" i="80" l="1"/>
  <c r="BA506" i="80" s="1"/>
  <c r="AZ506" i="80" l="1"/>
  <c r="BB506" i="80"/>
  <c r="BF506" i="80"/>
  <c r="BG506" i="80" l="1"/>
  <c r="BH506" i="80" s="1"/>
  <c r="BI506" i="80" l="1"/>
  <c r="BN506" i="80" l="1"/>
  <c r="Q506" i="80" s="1"/>
  <c r="BJ506" i="80"/>
  <c r="BK506" i="80" s="1"/>
  <c r="BL506" i="80" s="1"/>
  <c r="BQ506" i="80" l="1"/>
  <c r="BO506" i="80"/>
  <c r="BR506" i="80" l="1"/>
  <c r="BS506" i="80" s="1"/>
  <c r="BP506" i="80"/>
  <c r="K506" i="80"/>
  <c r="M507" i="80" s="1"/>
  <c r="L506" i="80"/>
  <c r="N507" i="80" s="1"/>
  <c r="BT507" i="80" l="1"/>
  <c r="O507" i="80"/>
  <c r="BU507" i="80"/>
  <c r="BY507" i="80" l="1"/>
  <c r="S507" i="80"/>
  <c r="P507" i="80"/>
  <c r="U507" i="80" s="1"/>
  <c r="T507" i="80" l="1"/>
  <c r="V507" i="80" s="1"/>
  <c r="X507" i="80"/>
  <c r="Y507" i="80" l="1"/>
  <c r="AP507" i="80" s="1"/>
  <c r="AQ507" i="80" s="1"/>
  <c r="AC507" i="80"/>
  <c r="BX507" i="80" l="1"/>
  <c r="AD507" i="80"/>
  <c r="AE507" i="80" s="1"/>
  <c r="R507" i="80"/>
  <c r="BE507" i="80"/>
  <c r="BV508" i="80"/>
  <c r="AO507" i="80"/>
  <c r="AS507" i="80"/>
  <c r="AR507" i="80"/>
  <c r="AF507" i="80" l="1"/>
  <c r="AH507" i="80" s="1"/>
  <c r="AI507" i="80" s="1"/>
  <c r="AJ507" i="80" s="1"/>
  <c r="AG507" i="80" l="1"/>
  <c r="BD507" i="80" s="1"/>
  <c r="AT507" i="80" l="1"/>
  <c r="AK507" i="80"/>
  <c r="AL507" i="80" s="1"/>
  <c r="AM507" i="80" s="1"/>
  <c r="AX507" i="80"/>
  <c r="BW508" i="80" l="1"/>
  <c r="AN507" i="80"/>
  <c r="AV507" i="80"/>
  <c r="AW507" i="80"/>
  <c r="AY507" i="80" l="1"/>
  <c r="BA507" i="80" s="1"/>
  <c r="BB507" i="80" s="1"/>
  <c r="BF507" i="80"/>
  <c r="AZ507" i="80" l="1"/>
  <c r="BG507" i="80"/>
  <c r="BH507" i="80" s="1"/>
  <c r="BI507" i="80" l="1"/>
  <c r="BN507" i="80" l="1"/>
  <c r="Q507" i="80" s="1"/>
  <c r="BJ507" i="80"/>
  <c r="BK507" i="80" s="1"/>
  <c r="BL507" i="80" s="1"/>
  <c r="BQ507" i="80" l="1"/>
  <c r="BO507" i="80"/>
  <c r="BR507" i="80" l="1"/>
  <c r="BS507" i="80" s="1"/>
  <c r="BP507" i="80"/>
  <c r="K507" i="80"/>
  <c r="M508" i="80" s="1"/>
  <c r="L507" i="80"/>
  <c r="N508" i="80" s="1"/>
  <c r="BU508" i="80" l="1"/>
  <c r="BT508" i="80"/>
  <c r="O508" i="80"/>
  <c r="P508" i="80" l="1"/>
  <c r="U508" i="80" s="1"/>
  <c r="BY508" i="80"/>
  <c r="S508" i="80"/>
  <c r="T508" i="80" l="1"/>
  <c r="V508" i="80" s="1"/>
  <c r="X508" i="80"/>
  <c r="Y508" i="80" l="1"/>
  <c r="BX508" i="80" s="1"/>
  <c r="AC508" i="80"/>
  <c r="AD508" i="80" l="1"/>
  <c r="AF508" i="80" s="1"/>
  <c r="AP508" i="80"/>
  <c r="AQ508" i="80" s="1"/>
  <c r="AR508" i="80" s="1"/>
  <c r="R508" i="80"/>
  <c r="BV509" i="80"/>
  <c r="AO508" i="80"/>
  <c r="BE508" i="80"/>
  <c r="AE508" i="80" l="1"/>
  <c r="AS508" i="80"/>
  <c r="AG508" i="80"/>
  <c r="AH508" i="80"/>
  <c r="AI508" i="80" s="1"/>
  <c r="AJ508" i="80" s="1"/>
  <c r="AK508" i="80" l="1"/>
  <c r="AL508" i="80" s="1"/>
  <c r="AX508" i="80"/>
  <c r="BD508" i="80"/>
  <c r="AT508" i="80"/>
  <c r="AM508" i="80" l="1"/>
  <c r="AV508" i="80" s="1"/>
  <c r="BW509" i="80"/>
  <c r="AN508" i="80"/>
  <c r="AW508" i="80"/>
  <c r="AY508" i="80" l="1"/>
  <c r="BA508" i="80" s="1"/>
  <c r="AZ508" i="80" l="1"/>
  <c r="BB508" i="80"/>
  <c r="BF508" i="80"/>
  <c r="BG508" i="80" l="1"/>
  <c r="BH508" i="80" s="1"/>
  <c r="BI508" i="80" l="1"/>
  <c r="BJ508" i="80" l="1"/>
  <c r="BK508" i="80" s="1"/>
  <c r="BL508" i="80" s="1"/>
  <c r="BN508" i="80"/>
  <c r="Q508" i="80" s="1"/>
  <c r="BQ508" i="80" l="1"/>
  <c r="BO508" i="80"/>
  <c r="BR508" i="80" l="1"/>
  <c r="BS508" i="80" s="1"/>
  <c r="BP508" i="80"/>
  <c r="K508" i="80"/>
  <c r="M509" i="80" s="1"/>
  <c r="L508" i="80"/>
  <c r="N509" i="80" s="1"/>
  <c r="BT509" i="80" l="1"/>
  <c r="O509" i="80"/>
  <c r="BU509" i="80"/>
  <c r="P509" i="80" l="1"/>
  <c r="U509" i="80" s="1"/>
  <c r="BY509" i="80"/>
  <c r="S509" i="80"/>
  <c r="T509" i="80" l="1"/>
  <c r="V509" i="80" s="1"/>
  <c r="X509" i="80"/>
  <c r="Y509" i="80" l="1"/>
  <c r="AP509" i="80" s="1"/>
  <c r="AQ509" i="80" s="1"/>
  <c r="AC509" i="80"/>
  <c r="AD509" i="80" l="1"/>
  <c r="AF509" i="80" s="1"/>
  <c r="BX509" i="80"/>
  <c r="BE509" i="80"/>
  <c r="BV510" i="80"/>
  <c r="AO509" i="80"/>
  <c r="R509" i="80"/>
  <c r="AR509" i="80"/>
  <c r="AS509" i="80"/>
  <c r="AE509" i="80" l="1"/>
  <c r="AH509" i="80"/>
  <c r="AI509" i="80" s="1"/>
  <c r="AJ509" i="80" s="1"/>
  <c r="AG509" i="80"/>
  <c r="BD509" i="80" l="1"/>
  <c r="AX509" i="80"/>
  <c r="AK509" i="80"/>
  <c r="AL509" i="80" s="1"/>
  <c r="AT509" i="80"/>
  <c r="AM509" i="80" l="1"/>
  <c r="AV509" i="80" s="1"/>
  <c r="AN509" i="80"/>
  <c r="BW510" i="80"/>
  <c r="AW509" i="80"/>
  <c r="AY509" i="80" l="1"/>
  <c r="BA509" i="80" s="1"/>
  <c r="AZ509" i="80" l="1"/>
  <c r="BB509" i="80"/>
  <c r="BF509" i="80"/>
  <c r="BG509" i="80" l="1"/>
  <c r="BH509" i="80" s="1"/>
  <c r="BI509" i="80" l="1"/>
  <c r="BN509" i="80" l="1"/>
  <c r="Q509" i="80" s="1"/>
  <c r="BJ509" i="80"/>
  <c r="BK509" i="80" s="1"/>
  <c r="BL509" i="80" s="1"/>
  <c r="BQ509" i="80" l="1"/>
  <c r="BO509" i="80"/>
  <c r="BR509" i="80" l="1"/>
  <c r="BS509" i="80" s="1"/>
  <c r="BP509" i="80"/>
  <c r="K509" i="80"/>
  <c r="M510" i="80" s="1"/>
  <c r="L509" i="80"/>
  <c r="N510" i="80" s="1"/>
  <c r="BU510" i="80" l="1"/>
  <c r="O510" i="80"/>
  <c r="BT510" i="80"/>
  <c r="P510" i="80" l="1"/>
  <c r="U510" i="80" s="1"/>
  <c r="S510" i="80"/>
  <c r="BY510" i="80"/>
  <c r="T510" i="80" l="1"/>
  <c r="V510" i="80" s="1"/>
  <c r="X510" i="80"/>
  <c r="Y510" i="80" l="1"/>
  <c r="AP510" i="80" s="1"/>
  <c r="AQ510" i="80" s="1"/>
  <c r="BX510" i="80" l="1"/>
  <c r="AD510" i="80"/>
  <c r="AF510" i="80" s="1"/>
  <c r="AS510" i="80"/>
  <c r="AC510" i="80"/>
  <c r="AO510" i="80" l="1"/>
  <c r="AR510" i="80"/>
  <c r="R510" i="80"/>
  <c r="BV511" i="80"/>
  <c r="BE510" i="80"/>
  <c r="AE510" i="80"/>
  <c r="AG510" i="80"/>
  <c r="AH510" i="80"/>
  <c r="AI510" i="80" s="1"/>
  <c r="AJ510" i="80" s="1"/>
  <c r="BD510" i="80" l="1"/>
  <c r="AX510" i="80"/>
  <c r="AK510" i="80"/>
  <c r="AL510" i="80" s="1"/>
  <c r="AT510" i="80"/>
  <c r="AM510" i="80" l="1"/>
  <c r="AV510" i="80" s="1"/>
  <c r="BW511" i="80"/>
  <c r="AN510" i="80"/>
  <c r="AW510" i="80"/>
  <c r="AY510" i="80" l="1"/>
  <c r="BA510" i="80" s="1"/>
  <c r="AZ510" i="80" l="1"/>
  <c r="BB510" i="80"/>
  <c r="BF510" i="80"/>
  <c r="BG510" i="80" l="1"/>
  <c r="BH510" i="80" s="1"/>
  <c r="BI510" i="80" l="1"/>
  <c r="BJ510" i="80" l="1"/>
  <c r="BK510" i="80" s="1"/>
  <c r="BL510" i="80" s="1"/>
  <c r="BN510" i="80"/>
  <c r="Q510" i="80" s="1"/>
  <c r="BQ510" i="80" l="1"/>
  <c r="BO510" i="80"/>
  <c r="BR510" i="80" l="1"/>
  <c r="BS510" i="80" s="1"/>
  <c r="BP510" i="80"/>
  <c r="L510" i="80"/>
  <c r="N511" i="80" s="1"/>
  <c r="K510" i="80"/>
  <c r="M511" i="80" s="1"/>
  <c r="O511" i="80" l="1"/>
  <c r="BT511" i="80"/>
  <c r="BU511" i="80"/>
  <c r="BY511" i="80" l="1"/>
  <c r="P511" i="80"/>
  <c r="U511" i="80" s="1"/>
  <c r="S511" i="80"/>
  <c r="T511" i="80" l="1"/>
  <c r="V511" i="80" s="1"/>
  <c r="X511" i="80"/>
  <c r="Y511" i="80" l="1"/>
  <c r="BX511" i="80" s="1"/>
  <c r="AC511" i="80"/>
  <c r="AD511" i="80" l="1"/>
  <c r="AE511" i="80" s="1"/>
  <c r="AP511" i="80"/>
  <c r="AQ511" i="80" s="1"/>
  <c r="AR511" i="80" s="1"/>
  <c r="BV512" i="80"/>
  <c r="R511" i="80"/>
  <c r="BE511" i="80"/>
  <c r="AO511" i="80"/>
  <c r="AF511" i="80" l="1"/>
  <c r="AG511" i="80" s="1"/>
  <c r="AS511" i="80"/>
  <c r="AH511" i="80" l="1"/>
  <c r="AI511" i="80" s="1"/>
  <c r="AJ511" i="80" s="1"/>
  <c r="AK511" i="80"/>
  <c r="AL511" i="80" s="1"/>
  <c r="BD511" i="80"/>
  <c r="AX511" i="80"/>
  <c r="AT511" i="80"/>
  <c r="AM511" i="80" l="1"/>
  <c r="AV511" i="80" s="1"/>
  <c r="BW512" i="80"/>
  <c r="AN511" i="80"/>
  <c r="AW511" i="80"/>
  <c r="AY511" i="80" l="1"/>
  <c r="BA511" i="80" s="1"/>
  <c r="AZ511" i="80" l="1"/>
  <c r="BB511" i="80"/>
  <c r="BF511" i="80"/>
  <c r="BG511" i="80" l="1"/>
  <c r="BH511" i="80" s="1"/>
  <c r="BI511" i="80" l="1"/>
  <c r="BJ511" i="80" l="1"/>
  <c r="BK511" i="80" s="1"/>
  <c r="BL511" i="80" s="1"/>
  <c r="BN511" i="80"/>
  <c r="Q511" i="80" s="1"/>
  <c r="BQ511" i="80" l="1"/>
  <c r="BO511" i="80"/>
  <c r="BR511" i="80" l="1"/>
  <c r="BS511" i="80" s="1"/>
  <c r="BP511" i="80"/>
  <c r="K511" i="80"/>
  <c r="M512" i="80" s="1"/>
  <c r="L511" i="80"/>
  <c r="N512" i="80" s="1"/>
  <c r="BU512" i="80" l="1"/>
  <c r="O512" i="80"/>
  <c r="BT512" i="80"/>
  <c r="S512" i="80" l="1"/>
  <c r="P512" i="80"/>
  <c r="U512" i="80" s="1"/>
  <c r="BY512" i="80"/>
  <c r="T512" i="80" l="1"/>
  <c r="V512" i="80" s="1"/>
  <c r="X512" i="80"/>
  <c r="Y512" i="80" l="1"/>
  <c r="AD512" i="80" s="1"/>
  <c r="AP512" i="80" l="1"/>
  <c r="AQ512" i="80" s="1"/>
  <c r="AS512" i="80" s="1"/>
  <c r="BX512" i="80"/>
  <c r="AE512" i="80"/>
  <c r="AF512" i="80"/>
  <c r="AC512" i="80"/>
  <c r="R512" i="80" l="1"/>
  <c r="BV513" i="80"/>
  <c r="BE512" i="80"/>
  <c r="AO512" i="80"/>
  <c r="AR512" i="80"/>
  <c r="AG512" i="80"/>
  <c r="AH512" i="80"/>
  <c r="AI512" i="80" s="1"/>
  <c r="AJ512" i="80" s="1"/>
  <c r="AX512" i="80" l="1"/>
  <c r="AK512" i="80"/>
  <c r="AL512" i="80" s="1"/>
  <c r="BD512" i="80"/>
  <c r="AT512" i="80"/>
  <c r="AM512" i="80" l="1"/>
  <c r="AV512" i="80" s="1"/>
  <c r="AN512" i="80"/>
  <c r="BW513" i="80"/>
  <c r="AW512" i="80"/>
  <c r="AY512" i="80" l="1"/>
  <c r="BA512" i="80" s="1"/>
  <c r="AZ512" i="80" l="1"/>
  <c r="BB512" i="80"/>
  <c r="BF512" i="80"/>
  <c r="BG512" i="80" l="1"/>
  <c r="BH512" i="80" s="1"/>
  <c r="BI512" i="80" l="1"/>
  <c r="BN512" i="80" l="1"/>
  <c r="Q512" i="80" s="1"/>
  <c r="BJ512" i="80"/>
  <c r="BK512" i="80" s="1"/>
  <c r="BL512" i="80" s="1"/>
  <c r="BQ512" i="80" l="1"/>
  <c r="BO512" i="80"/>
  <c r="BR512" i="80" l="1"/>
  <c r="BS512" i="80" s="1"/>
  <c r="BP512" i="80"/>
  <c r="L512" i="80"/>
  <c r="N513" i="80" s="1"/>
  <c r="K512" i="80"/>
  <c r="M513" i="80" s="1"/>
  <c r="O513" i="80" l="1"/>
  <c r="BT513" i="80"/>
  <c r="BU513" i="80"/>
  <c r="P513" i="80" l="1"/>
  <c r="U513" i="80" s="1"/>
  <c r="BY513" i="80"/>
  <c r="S513" i="80"/>
  <c r="T513" i="80" l="1"/>
  <c r="V513" i="80" s="1"/>
  <c r="X513" i="80"/>
  <c r="Y513" i="80" l="1"/>
  <c r="BX513" i="80" s="1"/>
  <c r="AP513" i="80" l="1"/>
  <c r="AQ513" i="80" s="1"/>
  <c r="AD513" i="80"/>
  <c r="AF513" i="80" s="1"/>
  <c r="AC513" i="80"/>
  <c r="BV514" i="80" l="1"/>
  <c r="R513" i="80"/>
  <c r="AO513" i="80"/>
  <c r="BE513" i="80"/>
  <c r="AR513" i="80"/>
  <c r="AS513" i="80"/>
  <c r="AE513" i="80"/>
  <c r="AH513" i="80"/>
  <c r="AI513" i="80" s="1"/>
  <c r="AJ513" i="80" s="1"/>
  <c r="AG513" i="80"/>
  <c r="AX513" i="80" l="1"/>
  <c r="AK513" i="80"/>
  <c r="AL513" i="80" s="1"/>
  <c r="BD513" i="80"/>
  <c r="AT513" i="80"/>
  <c r="AM513" i="80" l="1"/>
  <c r="AV513" i="80" s="1"/>
  <c r="AN513" i="80"/>
  <c r="BW514" i="80"/>
  <c r="AW513" i="80"/>
  <c r="AY513" i="80" l="1"/>
  <c r="BA513" i="80" s="1"/>
  <c r="AZ513" i="80" l="1"/>
  <c r="BB513" i="80"/>
  <c r="BF513" i="80"/>
  <c r="BG513" i="80" l="1"/>
  <c r="BH513" i="80" s="1"/>
  <c r="BI513" i="80" l="1"/>
  <c r="BJ513" i="80" l="1"/>
  <c r="BK513" i="80" s="1"/>
  <c r="BL513" i="80" s="1"/>
  <c r="BN513" i="80"/>
  <c r="Q513" i="80" s="1"/>
  <c r="BQ513" i="80" l="1"/>
  <c r="BO513" i="80"/>
  <c r="BR513" i="80" l="1"/>
  <c r="BS513" i="80" s="1"/>
  <c r="BP513" i="80"/>
  <c r="K513" i="80"/>
  <c r="M514" i="80" s="1"/>
  <c r="L513" i="80"/>
  <c r="N514" i="80" s="1"/>
  <c r="BU514" i="80" l="1"/>
  <c r="O514" i="80"/>
  <c r="BT514" i="80"/>
  <c r="S514" i="80" l="1"/>
  <c r="P514" i="80"/>
  <c r="U514" i="80" s="1"/>
  <c r="BY514" i="80"/>
  <c r="T514" i="80" l="1"/>
  <c r="V514" i="80" s="1"/>
  <c r="X514" i="80"/>
  <c r="Y514" i="80" l="1"/>
  <c r="AP514" i="80" s="1"/>
  <c r="AQ514" i="80" s="1"/>
  <c r="AC514" i="80"/>
  <c r="BX514" i="80" l="1"/>
  <c r="AD514" i="80"/>
  <c r="AF514" i="80" s="1"/>
  <c r="BE514" i="80"/>
  <c r="R514" i="80"/>
  <c r="BV515" i="80"/>
  <c r="AO514" i="80"/>
  <c r="AR514" i="80"/>
  <c r="AS514" i="80"/>
  <c r="AE514" i="80" l="1"/>
  <c r="AG514" i="80"/>
  <c r="AH514" i="80"/>
  <c r="AI514" i="80" s="1"/>
  <c r="AJ514" i="80" s="1"/>
  <c r="AX514" i="80" l="1"/>
  <c r="BD514" i="80"/>
  <c r="AK514" i="80"/>
  <c r="AL514" i="80" s="1"/>
  <c r="AT514" i="80"/>
  <c r="AM514" i="80" l="1"/>
  <c r="AV514" i="80" s="1"/>
  <c r="AN514" i="80"/>
  <c r="BW515" i="80"/>
  <c r="AW514" i="80"/>
  <c r="AY514" i="80" l="1"/>
  <c r="BA514" i="80" s="1"/>
  <c r="AZ514" i="80" l="1"/>
  <c r="BB514" i="80"/>
  <c r="BF514" i="80"/>
  <c r="BG514" i="80" l="1"/>
  <c r="BH514" i="80" s="1"/>
  <c r="BI514" i="80" l="1"/>
  <c r="BJ514" i="80" l="1"/>
  <c r="BK514" i="80" s="1"/>
  <c r="BL514" i="80" s="1"/>
  <c r="BN514" i="80"/>
  <c r="Q514" i="80" s="1"/>
  <c r="BQ514" i="80" l="1"/>
  <c r="BO514" i="80"/>
  <c r="BR514" i="80" l="1"/>
  <c r="BS514" i="80" s="1"/>
  <c r="BP514" i="80"/>
  <c r="L514" i="80"/>
  <c r="N515" i="80" s="1"/>
  <c r="K514" i="80"/>
  <c r="M515" i="80" s="1"/>
  <c r="BU515" i="80" l="1"/>
  <c r="O515" i="80"/>
  <c r="BT515" i="80"/>
  <c r="P515" i="80" l="1"/>
  <c r="U515" i="80" s="1"/>
  <c r="S515" i="80"/>
  <c r="BY515" i="80"/>
  <c r="T515" i="80" l="1"/>
  <c r="V515" i="80" s="1"/>
  <c r="X515" i="80"/>
  <c r="Y515" i="80" l="1"/>
  <c r="AP515" i="80" s="1"/>
  <c r="AQ515" i="80" s="1"/>
  <c r="BX515" i="80" l="1"/>
  <c r="AD515" i="80"/>
  <c r="AF515" i="80" s="1"/>
  <c r="AS515" i="80"/>
  <c r="AC515" i="80"/>
  <c r="BE515" i="80" l="1"/>
  <c r="AR515" i="80"/>
  <c r="AO515" i="80"/>
  <c r="BV516" i="80"/>
  <c r="R515" i="80"/>
  <c r="AE515" i="80"/>
  <c r="AH515" i="80"/>
  <c r="AI515" i="80" s="1"/>
  <c r="AJ515" i="80" s="1"/>
  <c r="AG515" i="80"/>
  <c r="AX515" i="80" l="1"/>
  <c r="AK515" i="80"/>
  <c r="AL515" i="80" s="1"/>
  <c r="BD515" i="80"/>
  <c r="AT515" i="80"/>
  <c r="AM515" i="80" l="1"/>
  <c r="AV515" i="80" s="1"/>
  <c r="AN515" i="80"/>
  <c r="BW516" i="80"/>
  <c r="AW515" i="80"/>
  <c r="AY515" i="80" l="1"/>
  <c r="BA515" i="80" s="1"/>
  <c r="AZ515" i="80" l="1"/>
  <c r="BB515" i="80"/>
  <c r="BF515" i="80"/>
  <c r="BG515" i="80" l="1"/>
  <c r="BH515" i="80" s="1"/>
  <c r="BI515" i="80" l="1"/>
  <c r="BJ515" i="80" l="1"/>
  <c r="BK515" i="80" s="1"/>
  <c r="BL515" i="80" s="1"/>
  <c r="BN515" i="80"/>
  <c r="Q515" i="80" s="1"/>
  <c r="BQ515" i="80" l="1"/>
  <c r="BO515" i="80"/>
  <c r="BR515" i="80" l="1"/>
  <c r="BS515" i="80" s="1"/>
  <c r="BP515" i="80"/>
  <c r="L515" i="80"/>
  <c r="N516" i="80" s="1"/>
  <c r="K515" i="80"/>
  <c r="M516" i="80" s="1"/>
  <c r="BU516" i="80" l="1"/>
  <c r="BT516" i="80"/>
  <c r="O516" i="80"/>
  <c r="S516" i="80" l="1"/>
  <c r="BY516" i="80"/>
  <c r="P516" i="80"/>
  <c r="U516" i="80" s="1"/>
  <c r="T516" i="80" l="1"/>
  <c r="V516" i="80" s="1"/>
  <c r="X516" i="80"/>
  <c r="Y516" i="80" l="1"/>
  <c r="AC516" i="80"/>
  <c r="R516" i="80" l="1"/>
  <c r="BE516" i="80"/>
  <c r="BV517" i="80"/>
  <c r="AO516" i="80"/>
  <c r="AP516" i="80"/>
  <c r="AQ516" i="80" s="1"/>
  <c r="AR516" i="80" s="1"/>
  <c r="BX516" i="80"/>
  <c r="AD516" i="80"/>
  <c r="AE516" i="80" s="1"/>
  <c r="AF516" i="80" l="1"/>
  <c r="AG516" i="80" s="1"/>
  <c r="AS516" i="80"/>
  <c r="AH516" i="80" l="1"/>
  <c r="AI516" i="80" s="1"/>
  <c r="AJ516" i="80" s="1"/>
  <c r="BD516" i="80"/>
  <c r="AX516" i="80"/>
  <c r="AK516" i="80"/>
  <c r="AL516" i="80" s="1"/>
  <c r="AT516" i="80"/>
  <c r="AM516" i="80" l="1"/>
  <c r="AV516" i="80" s="1"/>
  <c r="AN516" i="80"/>
  <c r="BW517" i="80"/>
  <c r="AW516" i="80"/>
  <c r="AY516" i="80" l="1"/>
  <c r="BA516" i="80" s="1"/>
  <c r="AZ516" i="80" l="1"/>
  <c r="BB516" i="80"/>
  <c r="BF516" i="80"/>
  <c r="BG516" i="80" l="1"/>
  <c r="BH516" i="80" s="1"/>
  <c r="BI516" i="80" l="1"/>
  <c r="BN516" i="80" l="1"/>
  <c r="Q516" i="80" s="1"/>
  <c r="BJ516" i="80"/>
  <c r="BK516" i="80" s="1"/>
  <c r="BL516" i="80" s="1"/>
  <c r="BQ516" i="80" l="1"/>
  <c r="BO516" i="80"/>
  <c r="BR516" i="80" l="1"/>
  <c r="BS516" i="80" s="1"/>
  <c r="BP516" i="80"/>
  <c r="L516" i="80"/>
  <c r="N517" i="80" s="1"/>
  <c r="K516" i="80"/>
  <c r="M517" i="80" s="1"/>
  <c r="O517" i="80" l="1"/>
  <c r="BT517" i="80"/>
  <c r="BU517" i="80"/>
  <c r="BY517" i="80" l="1"/>
  <c r="S517" i="80"/>
  <c r="P517" i="80"/>
  <c r="U517" i="80" s="1"/>
  <c r="T517" i="80" l="1"/>
  <c r="V517" i="80" s="1"/>
  <c r="X517" i="80"/>
  <c r="Y517" i="80" l="1"/>
  <c r="AD517" i="80" s="1"/>
  <c r="AC517" i="80"/>
  <c r="BE517" i="80" l="1"/>
  <c r="R517" i="80"/>
  <c r="AO517" i="80"/>
  <c r="BV518" i="80"/>
  <c r="BX517" i="80"/>
  <c r="AP517" i="80"/>
  <c r="AQ517" i="80" s="1"/>
  <c r="AR517" i="80" s="1"/>
  <c r="AF517" i="80"/>
  <c r="AE517" i="80"/>
  <c r="AS517" i="80" l="1"/>
  <c r="AH517" i="80"/>
  <c r="AI517" i="80" s="1"/>
  <c r="AJ517" i="80" s="1"/>
  <c r="AG517" i="80"/>
  <c r="AK517" i="80" l="1"/>
  <c r="AL517" i="80" s="1"/>
  <c r="BD517" i="80"/>
  <c r="AX517" i="80"/>
  <c r="AT517" i="80"/>
  <c r="AM517" i="80" l="1"/>
  <c r="AV517" i="80" s="1"/>
  <c r="BW518" i="80"/>
  <c r="AN517" i="80"/>
  <c r="AW517" i="80"/>
  <c r="AY517" i="80" l="1"/>
  <c r="BA517" i="80" s="1"/>
  <c r="AZ517" i="80" l="1"/>
  <c r="BB517" i="80"/>
  <c r="BF517" i="80"/>
  <c r="BG517" i="80" l="1"/>
  <c r="BH517" i="80" s="1"/>
  <c r="BI517" i="80" l="1"/>
  <c r="BJ517" i="80" l="1"/>
  <c r="BK517" i="80" s="1"/>
  <c r="BL517" i="80" s="1"/>
  <c r="BN517" i="80"/>
  <c r="Q517" i="80" s="1"/>
  <c r="BQ517" i="80" l="1"/>
  <c r="BO517" i="80"/>
  <c r="BR517" i="80" l="1"/>
  <c r="BS517" i="80" s="1"/>
  <c r="BP517" i="80"/>
  <c r="K517" i="80"/>
  <c r="M518" i="80" s="1"/>
  <c r="L517" i="80"/>
  <c r="N518" i="80" s="1"/>
  <c r="BU518" i="80" l="1"/>
  <c r="BT518" i="80"/>
  <c r="O518" i="80"/>
  <c r="BY518" i="80" l="1"/>
  <c r="S518" i="80"/>
  <c r="P518" i="80"/>
  <c r="U518" i="80" s="1"/>
  <c r="T518" i="80" l="1"/>
  <c r="V518" i="80" s="1"/>
  <c r="X518" i="80"/>
  <c r="Y518" i="80" l="1"/>
  <c r="AD518" i="80" s="1"/>
  <c r="AC518" i="80"/>
  <c r="BX518" i="80" l="1"/>
  <c r="AP518" i="80"/>
  <c r="AQ518" i="80" s="1"/>
  <c r="AS518" i="80" s="1"/>
  <c r="R518" i="80"/>
  <c r="BE518" i="80"/>
  <c r="BV519" i="80"/>
  <c r="AO518" i="80"/>
  <c r="AE518" i="80"/>
  <c r="AF518" i="80"/>
  <c r="AR518" i="80" l="1"/>
  <c r="AH518" i="80"/>
  <c r="AI518" i="80" s="1"/>
  <c r="AJ518" i="80" s="1"/>
  <c r="AG518" i="80"/>
  <c r="BD518" i="80" l="1"/>
  <c r="AX518" i="80"/>
  <c r="AK518" i="80"/>
  <c r="AL518" i="80" s="1"/>
  <c r="AT518" i="80"/>
  <c r="AM518" i="80" l="1"/>
  <c r="AV518" i="80" s="1"/>
  <c r="BW519" i="80"/>
  <c r="AN518" i="80"/>
  <c r="AW518" i="80"/>
  <c r="AY518" i="80" l="1"/>
  <c r="BA518" i="80" s="1"/>
  <c r="AZ518" i="80" l="1"/>
  <c r="BB518" i="80"/>
  <c r="BF518" i="80"/>
  <c r="BG518" i="80" l="1"/>
  <c r="BH518" i="80" s="1"/>
  <c r="BI518" i="80" l="1"/>
  <c r="BJ518" i="80" l="1"/>
  <c r="BK518" i="80" s="1"/>
  <c r="BL518" i="80" s="1"/>
  <c r="BN518" i="80"/>
  <c r="Q518" i="80" s="1"/>
  <c r="BQ518" i="80" l="1"/>
  <c r="BO518" i="80"/>
  <c r="BR518" i="80" l="1"/>
  <c r="BS518" i="80" s="1"/>
  <c r="BP518" i="80"/>
  <c r="L518" i="80"/>
  <c r="N519" i="80" s="1"/>
  <c r="K518" i="80"/>
  <c r="M519" i="80" s="1"/>
  <c r="BT519" i="80" l="1"/>
  <c r="O519" i="80"/>
  <c r="BU519" i="80"/>
  <c r="P519" i="80" l="1"/>
  <c r="U519" i="80" s="1"/>
  <c r="BY519" i="80"/>
  <c r="S519" i="80"/>
  <c r="T519" i="80" l="1"/>
  <c r="V519" i="80" s="1"/>
  <c r="X519" i="80"/>
  <c r="Y519" i="80" l="1"/>
  <c r="BX519" i="80" s="1"/>
  <c r="AD519" i="80" l="1"/>
  <c r="AF519" i="80" s="1"/>
  <c r="AP519" i="80"/>
  <c r="AQ519" i="80" s="1"/>
  <c r="AS519" i="80" s="1"/>
  <c r="AC519" i="80"/>
  <c r="BE519" i="80" l="1"/>
  <c r="AO519" i="80"/>
  <c r="R519" i="80"/>
  <c r="BV520" i="80"/>
  <c r="AR519" i="80"/>
  <c r="AE519" i="80"/>
  <c r="AG519" i="80"/>
  <c r="AH519" i="80"/>
  <c r="AI519" i="80" s="1"/>
  <c r="AJ519" i="80" s="1"/>
  <c r="BD519" i="80" l="1"/>
  <c r="AK519" i="80"/>
  <c r="AL519" i="80" s="1"/>
  <c r="AX519" i="80"/>
  <c r="AT519" i="80"/>
  <c r="AM519" i="80" l="1"/>
  <c r="AV519" i="80" s="1"/>
  <c r="AN519" i="80"/>
  <c r="BW520" i="80"/>
  <c r="AW519" i="80"/>
  <c r="AY519" i="80" l="1"/>
  <c r="BA519" i="80" s="1"/>
  <c r="AZ519" i="80" l="1"/>
  <c r="BB519" i="80"/>
  <c r="BF519" i="80"/>
  <c r="BG519" i="80" l="1"/>
  <c r="BH519" i="80" s="1"/>
  <c r="BI519" i="80" l="1"/>
  <c r="BN519" i="80" l="1"/>
  <c r="Q519" i="80" s="1"/>
  <c r="BJ519" i="80"/>
  <c r="BK519" i="80" s="1"/>
  <c r="BL519" i="80" s="1"/>
  <c r="BQ519" i="80" l="1"/>
  <c r="BO519" i="80"/>
  <c r="K519" i="80" l="1"/>
  <c r="M520" i="80" s="1"/>
  <c r="L519" i="80"/>
  <c r="N520" i="80" s="1"/>
  <c r="BR519" i="80"/>
  <c r="BS519" i="80" s="1"/>
  <c r="BP519" i="80"/>
  <c r="BU520" i="80" l="1"/>
  <c r="O520" i="80"/>
  <c r="BT520" i="80"/>
  <c r="BY520" i="80" l="1"/>
  <c r="S520" i="80"/>
  <c r="P520" i="80"/>
  <c r="U520" i="80" s="1"/>
  <c r="T520" i="80" l="1"/>
  <c r="V520" i="80" s="1"/>
  <c r="X520" i="80"/>
  <c r="Y520" i="80" l="1"/>
  <c r="AP520" i="80" s="1"/>
  <c r="AQ520" i="80" s="1"/>
  <c r="AC520" i="80"/>
  <c r="BE520" i="80" l="1"/>
  <c r="AO520" i="80"/>
  <c r="R520" i="80"/>
  <c r="BV521" i="80"/>
  <c r="AD520" i="80"/>
  <c r="AF520" i="80" s="1"/>
  <c r="BX520" i="80"/>
  <c r="AR520" i="80"/>
  <c r="AS520" i="80"/>
  <c r="AE520" i="80" l="1"/>
  <c r="AG520" i="80"/>
  <c r="AH520" i="80"/>
  <c r="AI520" i="80" s="1"/>
  <c r="AJ520" i="80" s="1"/>
  <c r="BD520" i="80" l="1"/>
  <c r="AX520" i="80"/>
  <c r="AK520" i="80"/>
  <c r="AL520" i="80" s="1"/>
  <c r="AT520" i="80"/>
  <c r="AM520" i="80" l="1"/>
  <c r="AV520" i="80" s="1"/>
  <c r="AN520" i="80"/>
  <c r="BW521" i="80"/>
  <c r="AW520" i="80"/>
  <c r="AY520" i="80" l="1"/>
  <c r="BA520" i="80" s="1"/>
  <c r="AZ520" i="80" l="1"/>
  <c r="BB520" i="80"/>
  <c r="BF520" i="80"/>
  <c r="BG520" i="80" l="1"/>
  <c r="BH520" i="80" s="1"/>
  <c r="BI520" i="80" l="1"/>
  <c r="BN520" i="80" l="1"/>
  <c r="Q520" i="80" s="1"/>
  <c r="BJ520" i="80"/>
  <c r="BK520" i="80" s="1"/>
  <c r="BL520" i="80" s="1"/>
  <c r="BQ520" i="80" l="1"/>
  <c r="BO520" i="80"/>
  <c r="K520" i="80" l="1"/>
  <c r="M521" i="80" s="1"/>
  <c r="L520" i="80"/>
  <c r="N521" i="80" s="1"/>
  <c r="BR520" i="80"/>
  <c r="BS520" i="80" s="1"/>
  <c r="BP520" i="80"/>
  <c r="BU521" i="80" l="1"/>
  <c r="BT521" i="80"/>
  <c r="O521" i="80"/>
  <c r="BY521" i="80" l="1"/>
  <c r="P521" i="80"/>
  <c r="U521" i="80" s="1"/>
  <c r="S521" i="80"/>
  <c r="T521" i="80" l="1"/>
  <c r="V521" i="80" s="1"/>
  <c r="X521" i="80"/>
  <c r="Y521" i="80" l="1"/>
  <c r="BX521" i="80" s="1"/>
  <c r="AC521" i="80"/>
  <c r="AP521" i="80" l="1"/>
  <c r="AQ521" i="80" s="1"/>
  <c r="AS521" i="80" s="1"/>
  <c r="AD521" i="80"/>
  <c r="AF521" i="80" s="1"/>
  <c r="BE521" i="80"/>
  <c r="R521" i="80"/>
  <c r="BV522" i="80"/>
  <c r="AO521" i="80"/>
  <c r="AR521" i="80" l="1"/>
  <c r="AE521" i="80"/>
  <c r="AH521" i="80"/>
  <c r="AI521" i="80" s="1"/>
  <c r="AJ521" i="80" s="1"/>
  <c r="AG521" i="80"/>
  <c r="AX521" i="80" l="1"/>
  <c r="AK521" i="80"/>
  <c r="AL521" i="80" s="1"/>
  <c r="BD521" i="80"/>
  <c r="AT521" i="80"/>
  <c r="AM521" i="80" l="1"/>
  <c r="AV521" i="80" s="1"/>
  <c r="BW522" i="80"/>
  <c r="AN521" i="80"/>
  <c r="AW521" i="80"/>
  <c r="AY521" i="80" l="1"/>
  <c r="BA521" i="80" s="1"/>
  <c r="AZ521" i="80" l="1"/>
  <c r="BB521" i="80"/>
  <c r="BF521" i="80"/>
  <c r="BG521" i="80" l="1"/>
  <c r="BH521" i="80" s="1"/>
  <c r="BI521" i="80" l="1"/>
  <c r="BN521" i="80" l="1"/>
  <c r="Q521" i="80" s="1"/>
  <c r="BJ521" i="80"/>
  <c r="BK521" i="80" s="1"/>
  <c r="BL521" i="80" s="1"/>
  <c r="BQ521" i="80" l="1"/>
  <c r="BO521" i="80"/>
  <c r="BR521" i="80" l="1"/>
  <c r="BS521" i="80" s="1"/>
  <c r="BP521" i="80"/>
  <c r="L521" i="80"/>
  <c r="N522" i="80" s="1"/>
  <c r="K521" i="80"/>
  <c r="M522" i="80" s="1"/>
  <c r="BT522" i="80" l="1"/>
  <c r="O522" i="80"/>
  <c r="BU522" i="80"/>
  <c r="BY522" i="80" l="1"/>
  <c r="S522" i="80"/>
  <c r="P522" i="80"/>
  <c r="U522" i="80" s="1"/>
  <c r="T522" i="80" l="1"/>
  <c r="V522" i="80" s="1"/>
  <c r="X522" i="80"/>
  <c r="Y522" i="80" l="1"/>
  <c r="BX522" i="80" s="1"/>
  <c r="AC522" i="80" l="1"/>
  <c r="R522" i="80" s="1"/>
  <c r="AP522" i="80"/>
  <c r="AQ522" i="80" s="1"/>
  <c r="AS522" i="80" s="1"/>
  <c r="AD522" i="80"/>
  <c r="AF522" i="80" s="1"/>
  <c r="AO522" i="80" l="1"/>
  <c r="BE522" i="80"/>
  <c r="BV523" i="80"/>
  <c r="AR522" i="80"/>
  <c r="AE522" i="80"/>
  <c r="AH522" i="80"/>
  <c r="AI522" i="80" s="1"/>
  <c r="AJ522" i="80" s="1"/>
  <c r="AG522" i="80"/>
  <c r="AK522" i="80" l="1"/>
  <c r="AL522" i="80" s="1"/>
  <c r="AX522" i="80"/>
  <c r="BD522" i="80"/>
  <c r="AT522" i="80"/>
  <c r="AM522" i="80" l="1"/>
  <c r="AV522" i="80" s="1"/>
  <c r="AN522" i="80"/>
  <c r="BW523" i="80"/>
  <c r="AW522" i="80"/>
  <c r="AY522" i="80" l="1"/>
  <c r="BA522" i="80" s="1"/>
  <c r="AZ522" i="80" l="1"/>
  <c r="BB522" i="80"/>
  <c r="BF522" i="80"/>
  <c r="BG522" i="80" l="1"/>
  <c r="BH522" i="80" s="1"/>
  <c r="BI522" i="80" l="1"/>
  <c r="BN522" i="80" l="1"/>
  <c r="Q522" i="80" s="1"/>
  <c r="BJ522" i="80"/>
  <c r="BK522" i="80" s="1"/>
  <c r="BL522" i="80" s="1"/>
  <c r="BQ522" i="80" l="1"/>
  <c r="BO522" i="80"/>
  <c r="BR522" i="80" l="1"/>
  <c r="BS522" i="80" s="1"/>
  <c r="BP522" i="80"/>
  <c r="K522" i="80"/>
  <c r="M523" i="80" s="1"/>
  <c r="L522" i="80"/>
  <c r="N523" i="80" s="1"/>
  <c r="O523" i="80" l="1"/>
  <c r="BT523" i="80"/>
  <c r="BU523" i="80"/>
  <c r="BY523" i="80" l="1"/>
  <c r="P523" i="80"/>
  <c r="U523" i="80" s="1"/>
  <c r="S523" i="80"/>
  <c r="T523" i="80" l="1"/>
  <c r="V523" i="80" s="1"/>
  <c r="X523" i="80"/>
  <c r="Y523" i="80" l="1"/>
  <c r="AD523" i="80" s="1"/>
  <c r="AC523" i="80"/>
  <c r="BX523" i="80" l="1"/>
  <c r="BE523" i="80"/>
  <c r="R523" i="80"/>
  <c r="BV524" i="80"/>
  <c r="AO523" i="80"/>
  <c r="AP523" i="80"/>
  <c r="AQ523" i="80" s="1"/>
  <c r="AR523" i="80" s="1"/>
  <c r="AE523" i="80"/>
  <c r="AF523" i="80"/>
  <c r="AS523" i="80" l="1"/>
  <c r="AH523" i="80"/>
  <c r="AI523" i="80" s="1"/>
  <c r="AJ523" i="80" s="1"/>
  <c r="AG523" i="80"/>
  <c r="AK523" i="80" l="1"/>
  <c r="AL523" i="80" s="1"/>
  <c r="AX523" i="80"/>
  <c r="BD523" i="80"/>
  <c r="AT523" i="80"/>
  <c r="AM523" i="80" l="1"/>
  <c r="AV523" i="80" s="1"/>
  <c r="BW524" i="80"/>
  <c r="AN523" i="80"/>
  <c r="AW523" i="80"/>
  <c r="AY523" i="80" l="1"/>
  <c r="BA523" i="80" s="1"/>
  <c r="AZ523" i="80" l="1"/>
  <c r="BB523" i="80"/>
  <c r="BF523" i="80"/>
  <c r="BG523" i="80" l="1"/>
  <c r="BH523" i="80" s="1"/>
  <c r="BI523" i="80" l="1"/>
  <c r="BN523" i="80" l="1"/>
  <c r="Q523" i="80" s="1"/>
  <c r="BJ523" i="80"/>
  <c r="BK523" i="80" s="1"/>
  <c r="BL523" i="80" s="1"/>
  <c r="BQ523" i="80" l="1"/>
  <c r="BO523" i="80"/>
  <c r="BR523" i="80" l="1"/>
  <c r="BS523" i="80" s="1"/>
  <c r="BP523" i="80"/>
  <c r="L523" i="80"/>
  <c r="N524" i="80" s="1"/>
  <c r="K523" i="80"/>
  <c r="M524" i="80" s="1"/>
  <c r="BT524" i="80" l="1"/>
  <c r="O524" i="80"/>
  <c r="BU524" i="80"/>
  <c r="BY524" i="80" l="1"/>
  <c r="S524" i="80"/>
  <c r="P524" i="80"/>
  <c r="U524" i="80" s="1"/>
  <c r="T524" i="80" l="1"/>
  <c r="V524" i="80" s="1"/>
  <c r="X524" i="80"/>
  <c r="Y524" i="80" l="1"/>
  <c r="AD524" i="80" s="1"/>
  <c r="AC524" i="80" l="1"/>
  <c r="BE524" i="80" s="1"/>
  <c r="AP524" i="80"/>
  <c r="AQ524" i="80" s="1"/>
  <c r="BX524" i="80"/>
  <c r="AE524" i="80"/>
  <c r="AF524" i="80"/>
  <c r="AO524" i="80" l="1"/>
  <c r="BV525" i="80"/>
  <c r="R524" i="80"/>
  <c r="AR524" i="80"/>
  <c r="AS524" i="80"/>
  <c r="AH524" i="80"/>
  <c r="AI524" i="80" s="1"/>
  <c r="AJ524" i="80" s="1"/>
  <c r="AG524" i="80"/>
  <c r="BD524" i="80" l="1"/>
  <c r="AX524" i="80"/>
  <c r="AK524" i="80"/>
  <c r="AL524" i="80" s="1"/>
  <c r="AT524" i="80"/>
  <c r="AM524" i="80" l="1"/>
  <c r="AV524" i="80" s="1"/>
  <c r="BW525" i="80"/>
  <c r="AN524" i="80"/>
  <c r="AW524" i="80"/>
  <c r="AY524" i="80" l="1"/>
  <c r="BA524" i="80" s="1"/>
  <c r="AZ524" i="80" l="1"/>
  <c r="BB524" i="80"/>
  <c r="BF524" i="80"/>
  <c r="BG524" i="80" l="1"/>
  <c r="BH524" i="80" s="1"/>
  <c r="BI524" i="80" l="1"/>
  <c r="BN524" i="80" l="1"/>
  <c r="Q524" i="80" s="1"/>
  <c r="BJ524" i="80"/>
  <c r="BK524" i="80" s="1"/>
  <c r="BL524" i="80" s="1"/>
  <c r="BQ524" i="80" l="1"/>
  <c r="BO524" i="80"/>
  <c r="BR524" i="80" l="1"/>
  <c r="BS524" i="80" s="1"/>
  <c r="BP524" i="80"/>
  <c r="K524" i="80"/>
  <c r="M525" i="80" s="1"/>
  <c r="L524" i="80"/>
  <c r="N525" i="80" s="1"/>
  <c r="BU525" i="80" l="1"/>
  <c r="BT525" i="80"/>
  <c r="O525" i="80"/>
  <c r="S525" i="80" l="1"/>
  <c r="P525" i="80"/>
  <c r="U525" i="80" s="1"/>
  <c r="BY525" i="80"/>
  <c r="T525" i="80" l="1"/>
  <c r="V525" i="80" s="1"/>
  <c r="X525" i="80"/>
  <c r="Y525" i="80" l="1"/>
  <c r="AP525" i="80" s="1"/>
  <c r="AQ525" i="80" s="1"/>
  <c r="AC525" i="80"/>
  <c r="BX525" i="80" l="1"/>
  <c r="AD525" i="80"/>
  <c r="AF525" i="80" s="1"/>
  <c r="R525" i="80"/>
  <c r="BV526" i="80"/>
  <c r="BE525" i="80"/>
  <c r="AO525" i="80"/>
  <c r="AR525" i="80"/>
  <c r="AS525" i="80"/>
  <c r="AE525" i="80" l="1"/>
  <c r="AG525" i="80"/>
  <c r="AH525" i="80"/>
  <c r="AI525" i="80" s="1"/>
  <c r="AJ525" i="80" s="1"/>
  <c r="BD525" i="80" l="1"/>
  <c r="AK525" i="80"/>
  <c r="AL525" i="80" s="1"/>
  <c r="AX525" i="80"/>
  <c r="AT525" i="80"/>
  <c r="AM525" i="80" l="1"/>
  <c r="AV525" i="80" s="1"/>
  <c r="AN525" i="80"/>
  <c r="BW526" i="80"/>
  <c r="AW525" i="80"/>
  <c r="AY525" i="80" l="1"/>
  <c r="BA525" i="80" s="1"/>
  <c r="AZ525" i="80" l="1"/>
  <c r="BB525" i="80"/>
  <c r="BF525" i="80"/>
  <c r="BG525" i="80" l="1"/>
  <c r="BH525" i="80" s="1"/>
  <c r="BI525" i="80" l="1"/>
  <c r="BN525" i="80" l="1"/>
  <c r="Q525" i="80" s="1"/>
  <c r="BJ525" i="80"/>
  <c r="BK525" i="80" s="1"/>
  <c r="BL525" i="80" s="1"/>
  <c r="BQ525" i="80" l="1"/>
  <c r="BO525" i="80"/>
  <c r="BR525" i="80" l="1"/>
  <c r="BS525" i="80" s="1"/>
  <c r="BP525" i="80"/>
  <c r="L525" i="80"/>
  <c r="N526" i="80" s="1"/>
  <c r="K525" i="80"/>
  <c r="M526" i="80" s="1"/>
  <c r="BU526" i="80" l="1"/>
  <c r="O526" i="80"/>
  <c r="BT526" i="80"/>
  <c r="S526" i="80" l="1"/>
  <c r="P526" i="80"/>
  <c r="U526" i="80" s="1"/>
  <c r="BY526" i="80"/>
  <c r="T526" i="80" l="1"/>
  <c r="V526" i="80" s="1"/>
  <c r="X526" i="80"/>
  <c r="Y526" i="80" l="1"/>
  <c r="AD526" i="80" s="1"/>
  <c r="AC526" i="80" l="1"/>
  <c r="BV527" i="80" s="1"/>
  <c r="BX526" i="80"/>
  <c r="AP526" i="80"/>
  <c r="AQ526" i="80" s="1"/>
  <c r="AF526" i="80"/>
  <c r="AE526" i="80"/>
  <c r="AO526" i="80" l="1"/>
  <c r="BE526" i="80"/>
  <c r="R526" i="80"/>
  <c r="AR526" i="80"/>
  <c r="AS526" i="80"/>
  <c r="AH526" i="80"/>
  <c r="AI526" i="80" s="1"/>
  <c r="AJ526" i="80" s="1"/>
  <c r="AG526" i="80"/>
  <c r="AK526" i="80" l="1"/>
  <c r="AL526" i="80" s="1"/>
  <c r="BD526" i="80"/>
  <c r="AX526" i="80"/>
  <c r="AT526" i="80"/>
  <c r="AM526" i="80" l="1"/>
  <c r="AV526" i="80" s="1"/>
  <c r="AN526" i="80"/>
  <c r="BW527" i="80"/>
  <c r="AW526" i="80"/>
  <c r="AY526" i="80" l="1"/>
  <c r="BA526" i="80" s="1"/>
  <c r="AZ526" i="80" l="1"/>
  <c r="BB526" i="80"/>
  <c r="BF526" i="80"/>
  <c r="BG526" i="80" l="1"/>
  <c r="BH526" i="80" s="1"/>
  <c r="BI526" i="80" l="1"/>
  <c r="BN526" i="80" l="1"/>
  <c r="Q526" i="80" s="1"/>
  <c r="BJ526" i="80"/>
  <c r="BK526" i="80" s="1"/>
  <c r="BL526" i="80" s="1"/>
  <c r="BQ526" i="80" l="1"/>
  <c r="BO526" i="80"/>
  <c r="BR526" i="80" l="1"/>
  <c r="BS526" i="80" s="1"/>
  <c r="BP526" i="80"/>
  <c r="L526" i="80"/>
  <c r="N527" i="80" s="1"/>
  <c r="K526" i="80"/>
  <c r="M527" i="80" s="1"/>
  <c r="O527" i="80" l="1"/>
  <c r="BT527" i="80"/>
  <c r="BU527" i="80"/>
  <c r="P527" i="80" l="1"/>
  <c r="U527" i="80" s="1"/>
  <c r="S527" i="80"/>
  <c r="BY527" i="80"/>
  <c r="T527" i="80" l="1"/>
  <c r="V527" i="80" s="1"/>
  <c r="X527" i="80"/>
  <c r="Y527" i="80" l="1"/>
  <c r="AD527" i="80" s="1"/>
  <c r="AC527" i="80" l="1"/>
  <c r="BX527" i="80"/>
  <c r="AP527" i="80"/>
  <c r="AQ527" i="80" s="1"/>
  <c r="AR527" i="80" s="1"/>
  <c r="AO527" i="80"/>
  <c r="R527" i="80"/>
  <c r="BV528" i="80"/>
  <c r="BE527" i="80"/>
  <c r="AE527" i="80"/>
  <c r="AF527" i="80"/>
  <c r="AS527" i="80" l="1"/>
  <c r="AG527" i="80"/>
  <c r="AH527" i="80"/>
  <c r="AI527" i="80" s="1"/>
  <c r="AJ527" i="80" s="1"/>
  <c r="AK527" i="80" l="1"/>
  <c r="AL527" i="80" s="1"/>
  <c r="BD527" i="80"/>
  <c r="AX527" i="80"/>
  <c r="AT527" i="80"/>
  <c r="AM527" i="80" l="1"/>
  <c r="AV527" i="80" s="1"/>
  <c r="BW528" i="80"/>
  <c r="AN527" i="80"/>
  <c r="AW527" i="80"/>
  <c r="AY527" i="80" l="1"/>
  <c r="BA527" i="80" s="1"/>
  <c r="AZ527" i="80" l="1"/>
  <c r="BB527" i="80"/>
  <c r="BF527" i="80"/>
  <c r="BG527" i="80" l="1"/>
  <c r="BH527" i="80" s="1"/>
  <c r="BI527" i="80" l="1"/>
  <c r="BN527" i="80" l="1"/>
  <c r="Q527" i="80" s="1"/>
  <c r="BJ527" i="80"/>
  <c r="BK527" i="80" s="1"/>
  <c r="BL527" i="80" s="1"/>
  <c r="BQ527" i="80" l="1"/>
  <c r="BO527" i="80"/>
  <c r="BR527" i="80" l="1"/>
  <c r="BS527" i="80" s="1"/>
  <c r="BP527" i="80"/>
  <c r="K527" i="80"/>
  <c r="M528" i="80" s="1"/>
  <c r="L527" i="80"/>
  <c r="N528" i="80" s="1"/>
  <c r="BU528" i="80" l="1"/>
  <c r="BT528" i="80"/>
  <c r="O528" i="80"/>
  <c r="S528" i="80" l="1"/>
  <c r="P528" i="80"/>
  <c r="U528" i="80" s="1"/>
  <c r="BY528" i="80"/>
  <c r="T528" i="80" l="1"/>
  <c r="V528" i="80" s="1"/>
  <c r="X528" i="80"/>
  <c r="Y528" i="80" l="1"/>
  <c r="BX528" i="80" s="1"/>
  <c r="AC528" i="80"/>
  <c r="AD528" i="80" l="1"/>
  <c r="AE528" i="80" s="1"/>
  <c r="AP528" i="80"/>
  <c r="AQ528" i="80" s="1"/>
  <c r="AR528" i="80" s="1"/>
  <c r="BE528" i="80"/>
  <c r="BV529" i="80"/>
  <c r="R528" i="80"/>
  <c r="AO528" i="80"/>
  <c r="AF528" i="80" l="1"/>
  <c r="AH528" i="80" s="1"/>
  <c r="AI528" i="80" s="1"/>
  <c r="AJ528" i="80" s="1"/>
  <c r="AS528" i="80"/>
  <c r="AG528" i="80" l="1"/>
  <c r="AK528" i="80" s="1"/>
  <c r="AL528" i="80" s="1"/>
  <c r="AT528" i="80" l="1"/>
  <c r="AX528" i="80"/>
  <c r="BD528" i="80"/>
  <c r="AM528" i="80"/>
  <c r="AN528" i="80"/>
  <c r="BW529" i="80"/>
  <c r="AV528" i="80" l="1"/>
  <c r="AW528" i="80"/>
  <c r="AY528" i="80" l="1"/>
  <c r="BA528" i="80" s="1"/>
  <c r="BB528" i="80" s="1"/>
  <c r="BF528" i="80"/>
  <c r="AZ528" i="80" l="1"/>
  <c r="BG528" i="80"/>
  <c r="BH528" i="80" s="1"/>
  <c r="BI528" i="80" l="1"/>
  <c r="BN528" i="80" l="1"/>
  <c r="Q528" i="80" s="1"/>
  <c r="BJ528" i="80"/>
  <c r="BK528" i="80" s="1"/>
  <c r="BL528" i="80" s="1"/>
  <c r="BQ528" i="80" l="1"/>
  <c r="BO528" i="80"/>
  <c r="BR528" i="80" l="1"/>
  <c r="BS528" i="80" s="1"/>
  <c r="BP528" i="80"/>
  <c r="L528" i="80"/>
  <c r="N529" i="80" s="1"/>
  <c r="K528" i="80"/>
  <c r="M529" i="80" s="1"/>
  <c r="BT529" i="80" l="1"/>
  <c r="O529" i="80"/>
  <c r="BU529" i="80"/>
  <c r="P529" i="80" l="1"/>
  <c r="U529" i="80" s="1"/>
  <c r="S529" i="80"/>
  <c r="BY529" i="80"/>
  <c r="T529" i="80" l="1"/>
  <c r="V529" i="80" s="1"/>
  <c r="X529" i="80"/>
  <c r="Y529" i="80" l="1"/>
  <c r="AD529" i="80" s="1"/>
  <c r="AC529" i="80"/>
  <c r="BX529" i="80" l="1"/>
  <c r="AP529" i="80"/>
  <c r="AQ529" i="80" s="1"/>
  <c r="AR529" i="80" s="1"/>
  <c r="BV530" i="80"/>
  <c r="R529" i="80"/>
  <c r="BE529" i="80"/>
  <c r="AO529" i="80"/>
  <c r="AE529" i="80"/>
  <c r="AF529" i="80"/>
  <c r="AS529" i="80" l="1"/>
  <c r="AG529" i="80"/>
  <c r="AH529" i="80"/>
  <c r="AI529" i="80" s="1"/>
  <c r="AJ529" i="80" s="1"/>
  <c r="AK529" i="80" l="1"/>
  <c r="AL529" i="80" s="1"/>
  <c r="AX529" i="80"/>
  <c r="BD529" i="80"/>
  <c r="AT529" i="80"/>
  <c r="AM529" i="80" l="1"/>
  <c r="AV529" i="80" s="1"/>
  <c r="AN529" i="80"/>
  <c r="BW530" i="80"/>
  <c r="AW529" i="80"/>
  <c r="AY529" i="80" l="1"/>
  <c r="BA529" i="80" s="1"/>
  <c r="AZ529" i="80" l="1"/>
  <c r="BB529" i="80"/>
  <c r="BF529" i="80"/>
  <c r="BG529" i="80" l="1"/>
  <c r="BH529" i="80" s="1"/>
  <c r="BI529" i="80" l="1"/>
  <c r="BN529" i="80" l="1"/>
  <c r="Q529" i="80" s="1"/>
  <c r="BJ529" i="80"/>
  <c r="BK529" i="80" s="1"/>
  <c r="BL529" i="80" s="1"/>
  <c r="BQ529" i="80" l="1"/>
  <c r="BO529" i="80"/>
  <c r="BR529" i="80" l="1"/>
  <c r="BS529" i="80" s="1"/>
  <c r="BP529" i="80"/>
  <c r="K529" i="80"/>
  <c r="M530" i="80" s="1"/>
  <c r="L529" i="80"/>
  <c r="N530" i="80" s="1"/>
  <c r="BT530" i="80" l="1"/>
  <c r="O530" i="80"/>
  <c r="BU530" i="80"/>
  <c r="BY530" i="80" l="1"/>
  <c r="S530" i="80"/>
  <c r="P530" i="80"/>
  <c r="U530" i="80" s="1"/>
  <c r="T530" i="80" l="1"/>
  <c r="V530" i="80" s="1"/>
  <c r="X530" i="80"/>
  <c r="Y530" i="80" l="1"/>
  <c r="BX530" i="80" s="1"/>
  <c r="AC530" i="80"/>
  <c r="AD530" i="80" l="1"/>
  <c r="AF530" i="80" s="1"/>
  <c r="AP530" i="80"/>
  <c r="AQ530" i="80" s="1"/>
  <c r="AR530" i="80" s="1"/>
  <c r="BE530" i="80"/>
  <c r="BV531" i="80"/>
  <c r="AO530" i="80"/>
  <c r="R530" i="80"/>
  <c r="AE530" i="80" l="1"/>
  <c r="AS530" i="80"/>
  <c r="AH530" i="80"/>
  <c r="AI530" i="80" s="1"/>
  <c r="AJ530" i="80" s="1"/>
  <c r="AG530" i="80"/>
  <c r="AK530" i="80" l="1"/>
  <c r="AL530" i="80" s="1"/>
  <c r="BD530" i="80"/>
  <c r="AX530" i="80"/>
  <c r="AT530" i="80"/>
  <c r="AM530" i="80" l="1"/>
  <c r="AV530" i="80" s="1"/>
  <c r="BW531" i="80"/>
  <c r="AN530" i="80"/>
  <c r="AW530" i="80"/>
  <c r="AY530" i="80" l="1"/>
  <c r="BA530" i="80" s="1"/>
  <c r="AZ530" i="80" l="1"/>
  <c r="BB530" i="80"/>
  <c r="BF530" i="80"/>
  <c r="BG530" i="80" l="1"/>
  <c r="BH530" i="80" s="1"/>
  <c r="BI530" i="80" l="1"/>
  <c r="BN530" i="80" l="1"/>
  <c r="Q530" i="80" s="1"/>
  <c r="BJ530" i="80"/>
  <c r="BK530" i="80" s="1"/>
  <c r="BL530" i="80" s="1"/>
  <c r="BQ530" i="80" l="1"/>
  <c r="BO530" i="80"/>
  <c r="BR530" i="80" l="1"/>
  <c r="BS530" i="80" s="1"/>
  <c r="BP530" i="80"/>
  <c r="K530" i="80"/>
  <c r="M531" i="80" s="1"/>
  <c r="L530" i="80"/>
  <c r="N531" i="80" s="1"/>
  <c r="BU531" i="80" l="1"/>
  <c r="O531" i="80"/>
  <c r="BT531" i="80"/>
  <c r="S531" i="80" l="1"/>
  <c r="BY531" i="80"/>
  <c r="P531" i="80"/>
  <c r="U531" i="80" s="1"/>
  <c r="T531" i="80" l="1"/>
  <c r="V531" i="80" s="1"/>
  <c r="X531" i="80"/>
  <c r="Y531" i="80" l="1"/>
  <c r="BX531" i="80" s="1"/>
  <c r="AC531" i="80" l="1"/>
  <c r="AO531" i="80" s="1"/>
  <c r="AD531" i="80"/>
  <c r="AE531" i="80" s="1"/>
  <c r="AP531" i="80"/>
  <c r="AQ531" i="80" s="1"/>
  <c r="BV532" i="80" l="1"/>
  <c r="R531" i="80"/>
  <c r="BE531" i="80"/>
  <c r="AR531" i="80"/>
  <c r="AF531" i="80"/>
  <c r="AG531" i="80" s="1"/>
  <c r="AS531" i="80"/>
  <c r="AH531" i="80" l="1"/>
  <c r="AI531" i="80" s="1"/>
  <c r="AJ531" i="80" s="1"/>
  <c r="AK531" i="80"/>
  <c r="AL531" i="80" s="1"/>
  <c r="BD531" i="80"/>
  <c r="AX531" i="80"/>
  <c r="AT531" i="80"/>
  <c r="AM531" i="80" l="1"/>
  <c r="AV531" i="80" s="1"/>
  <c r="AN531" i="80"/>
  <c r="BW532" i="80"/>
  <c r="AW531" i="80"/>
  <c r="AY531" i="80" l="1"/>
  <c r="BA531" i="80" s="1"/>
  <c r="AZ531" i="80" l="1"/>
  <c r="BB531" i="80"/>
  <c r="BF531" i="80"/>
  <c r="BG531" i="80" l="1"/>
  <c r="BH531" i="80" s="1"/>
  <c r="BI531" i="80" l="1"/>
  <c r="BN531" i="80" l="1"/>
  <c r="Q531" i="80" s="1"/>
  <c r="BJ531" i="80"/>
  <c r="BK531" i="80" s="1"/>
  <c r="BL531" i="80" s="1"/>
  <c r="BQ531" i="80" l="1"/>
  <c r="BO531" i="80"/>
  <c r="BR531" i="80" l="1"/>
  <c r="BS531" i="80" s="1"/>
  <c r="BP531" i="80"/>
  <c r="L531" i="80"/>
  <c r="N532" i="80" s="1"/>
  <c r="K531" i="80"/>
  <c r="M532" i="80" s="1"/>
  <c r="BT532" i="80" l="1"/>
  <c r="O532" i="80"/>
  <c r="BU532" i="80"/>
  <c r="BY532" i="80" l="1"/>
  <c r="S532" i="80"/>
  <c r="P532" i="80"/>
  <c r="U532" i="80" s="1"/>
  <c r="T532" i="80" l="1"/>
  <c r="V532" i="80" s="1"/>
  <c r="X532" i="80"/>
  <c r="Y532" i="80" l="1"/>
  <c r="AD532" i="80" s="1"/>
  <c r="AC532" i="80"/>
  <c r="BX532" i="80" l="1"/>
  <c r="AP532" i="80"/>
  <c r="AQ532" i="80" s="1"/>
  <c r="AR532" i="80" s="1"/>
  <c r="AO532" i="80"/>
  <c r="BE532" i="80"/>
  <c r="BV533" i="80"/>
  <c r="R532" i="80"/>
  <c r="AF532" i="80"/>
  <c r="AE532" i="80"/>
  <c r="AS532" i="80" l="1"/>
  <c r="AH532" i="80"/>
  <c r="AI532" i="80" s="1"/>
  <c r="AJ532" i="80" s="1"/>
  <c r="AG532" i="80"/>
  <c r="AX532" i="80" l="1"/>
  <c r="AK532" i="80"/>
  <c r="AL532" i="80" s="1"/>
  <c r="BD532" i="80"/>
  <c r="AT532" i="80"/>
  <c r="AM532" i="80" l="1"/>
  <c r="AV532" i="80" s="1"/>
  <c r="BW533" i="80"/>
  <c r="AN532" i="80"/>
  <c r="AW532" i="80"/>
  <c r="AY532" i="80" l="1"/>
  <c r="BA532" i="80" s="1"/>
  <c r="BB532" i="80" l="1"/>
  <c r="AZ532" i="80"/>
  <c r="BF532" i="80"/>
  <c r="BG532" i="80" l="1"/>
  <c r="BH532" i="80" s="1"/>
  <c r="BI532" i="80" l="1"/>
  <c r="BN532" i="80" l="1"/>
  <c r="Q532" i="80" s="1"/>
  <c r="BJ532" i="80"/>
  <c r="BK532" i="80" s="1"/>
  <c r="BL532" i="80" s="1"/>
  <c r="BQ532" i="80" l="1"/>
  <c r="BO532" i="80"/>
  <c r="BR532" i="80" l="1"/>
  <c r="BS532" i="80" s="1"/>
  <c r="BP532" i="80"/>
  <c r="K532" i="80"/>
  <c r="M533" i="80" s="1"/>
  <c r="L532" i="80"/>
  <c r="N533" i="80" s="1"/>
  <c r="BU533" i="80" l="1"/>
  <c r="BT533" i="80"/>
  <c r="O533" i="80"/>
  <c r="S533" i="80" l="1"/>
  <c r="BY533" i="80"/>
  <c r="P533" i="80"/>
  <c r="U533" i="80" s="1"/>
  <c r="T533" i="80" l="1"/>
  <c r="V533" i="80" s="1"/>
  <c r="X533" i="80"/>
  <c r="Y533" i="80" l="1"/>
  <c r="AP533" i="80" s="1"/>
  <c r="AQ533" i="80" s="1"/>
  <c r="AC533" i="80" l="1"/>
  <c r="BV534" i="80" s="1"/>
  <c r="BX533" i="80"/>
  <c r="AD533" i="80"/>
  <c r="AF533" i="80" s="1"/>
  <c r="AS533" i="80"/>
  <c r="BE533" i="80" l="1"/>
  <c r="R533" i="80"/>
  <c r="AR533" i="80"/>
  <c r="AO533" i="80"/>
  <c r="AE533" i="80"/>
  <c r="AH533" i="80"/>
  <c r="AI533" i="80" s="1"/>
  <c r="AJ533" i="80" s="1"/>
  <c r="AG533" i="80"/>
  <c r="AX533" i="80" l="1"/>
  <c r="BD533" i="80"/>
  <c r="AK533" i="80"/>
  <c r="AL533" i="80" s="1"/>
  <c r="AT533" i="80"/>
  <c r="AM533" i="80" l="1"/>
  <c r="AN533" i="80"/>
  <c r="BW534" i="80"/>
  <c r="AV533" i="80"/>
  <c r="AW533" i="80"/>
  <c r="AY533" i="80" l="1"/>
  <c r="BA533" i="80" s="1"/>
  <c r="AZ533" i="80" l="1"/>
  <c r="BB533" i="80"/>
  <c r="BF533" i="80"/>
  <c r="BG533" i="80" l="1"/>
  <c r="BH533" i="80" s="1"/>
  <c r="BI533" i="80" l="1"/>
  <c r="BJ533" i="80" l="1"/>
  <c r="BK533" i="80" s="1"/>
  <c r="BL533" i="80" s="1"/>
  <c r="BN533" i="80"/>
  <c r="Q533" i="80" s="1"/>
  <c r="BQ533" i="80" l="1"/>
  <c r="BO533" i="80"/>
  <c r="BR533" i="80" l="1"/>
  <c r="BS533" i="80" s="1"/>
  <c r="BP533" i="80"/>
  <c r="K533" i="80"/>
  <c r="M534" i="80" s="1"/>
  <c r="L533" i="80"/>
  <c r="N534" i="80" s="1"/>
  <c r="BU534" i="80" l="1"/>
  <c r="BT534" i="80"/>
  <c r="O534" i="80"/>
  <c r="BY534" i="80" l="1"/>
  <c r="P534" i="80"/>
  <c r="U534" i="80" s="1"/>
  <c r="S534" i="80"/>
  <c r="T534" i="80" l="1"/>
  <c r="V534" i="80" s="1"/>
  <c r="X534" i="80"/>
  <c r="Y534" i="80" l="1"/>
  <c r="AP534" i="80" s="1"/>
  <c r="AQ534" i="80" s="1"/>
  <c r="AC534" i="80"/>
  <c r="AD534" i="80" l="1"/>
  <c r="AE534" i="80" s="1"/>
  <c r="BX534" i="80"/>
  <c r="R534" i="80"/>
  <c r="BE534" i="80"/>
  <c r="BV535" i="80"/>
  <c r="AO534" i="80"/>
  <c r="AR534" i="80"/>
  <c r="AS534" i="80"/>
  <c r="AF534" i="80" l="1"/>
  <c r="AG534" i="80" s="1"/>
  <c r="AH534" i="80" l="1"/>
  <c r="AI534" i="80" s="1"/>
  <c r="AJ534" i="80" s="1"/>
  <c r="AK534" i="80"/>
  <c r="AL534" i="80" s="1"/>
  <c r="BD534" i="80"/>
  <c r="AX534" i="80"/>
  <c r="AT534" i="80"/>
  <c r="AM534" i="80" l="1"/>
  <c r="AV534" i="80" s="1"/>
  <c r="BW535" i="80"/>
  <c r="AN534" i="80"/>
  <c r="AW534" i="80"/>
  <c r="AY534" i="80" l="1"/>
  <c r="BA534" i="80" s="1"/>
  <c r="AZ534" i="80" l="1"/>
  <c r="BB534" i="80"/>
  <c r="BF534" i="80"/>
  <c r="BG534" i="80" l="1"/>
  <c r="BH534" i="80" s="1"/>
  <c r="BI534" i="80" l="1"/>
  <c r="BN534" i="80" l="1"/>
  <c r="Q534" i="80" s="1"/>
  <c r="BJ534" i="80"/>
  <c r="BK534" i="80" s="1"/>
  <c r="BL534" i="80" s="1"/>
  <c r="BQ534" i="80" l="1"/>
  <c r="BO534" i="80"/>
  <c r="BR534" i="80" l="1"/>
  <c r="BS534" i="80" s="1"/>
  <c r="BP534" i="80"/>
  <c r="L534" i="80"/>
  <c r="N535" i="80" s="1"/>
  <c r="K534" i="80"/>
  <c r="M535" i="80" s="1"/>
  <c r="BU535" i="80" l="1"/>
  <c r="BT535" i="80"/>
  <c r="O535" i="80"/>
  <c r="P535" i="80" l="1"/>
  <c r="U535" i="80" s="1"/>
  <c r="S535" i="80"/>
  <c r="BY535" i="80"/>
  <c r="T535" i="80" l="1"/>
  <c r="V535" i="80" s="1"/>
  <c r="X535" i="80"/>
  <c r="Y535" i="80" l="1"/>
  <c r="BX535" i="80" s="1"/>
  <c r="AC535" i="80"/>
  <c r="AP535" i="80" l="1"/>
  <c r="AQ535" i="80" s="1"/>
  <c r="AS535" i="80" s="1"/>
  <c r="AD535" i="80"/>
  <c r="AF535" i="80" s="1"/>
  <c r="BE535" i="80"/>
  <c r="R535" i="80"/>
  <c r="BV536" i="80"/>
  <c r="AO535" i="80"/>
  <c r="AE535" i="80" l="1"/>
  <c r="AR535" i="80"/>
  <c r="AH535" i="80"/>
  <c r="AI535" i="80" s="1"/>
  <c r="AJ535" i="80" s="1"/>
  <c r="AG535" i="80"/>
  <c r="AX535" i="80" l="1"/>
  <c r="BD535" i="80"/>
  <c r="AK535" i="80"/>
  <c r="AL535" i="80" s="1"/>
  <c r="AT535" i="80"/>
  <c r="AM535" i="80" l="1"/>
  <c r="AV535" i="80" s="1"/>
  <c r="BW536" i="80"/>
  <c r="AN535" i="80"/>
  <c r="AW535" i="80"/>
  <c r="AY535" i="80" l="1"/>
  <c r="BA535" i="80" s="1"/>
  <c r="AZ535" i="80" l="1"/>
  <c r="BB535" i="80"/>
  <c r="BF535" i="80"/>
  <c r="BG535" i="80" l="1"/>
  <c r="BH535" i="80" s="1"/>
  <c r="BI535" i="80" l="1"/>
  <c r="BN535" i="80" l="1"/>
  <c r="Q535" i="80" s="1"/>
  <c r="BJ535" i="80"/>
  <c r="BK535" i="80" s="1"/>
  <c r="BL535" i="80" s="1"/>
  <c r="BQ535" i="80" l="1"/>
  <c r="BO535" i="80"/>
  <c r="BR535" i="80" l="1"/>
  <c r="BS535" i="80" s="1"/>
  <c r="BP535" i="80"/>
  <c r="L535" i="80"/>
  <c r="N536" i="80" s="1"/>
  <c r="K535" i="80"/>
  <c r="M536" i="80" s="1"/>
  <c r="BT536" i="80" l="1"/>
  <c r="O536" i="80"/>
  <c r="BU536" i="80"/>
  <c r="S536" i="80" l="1"/>
  <c r="BY536" i="80"/>
  <c r="P536" i="80"/>
  <c r="U536" i="80" s="1"/>
  <c r="T536" i="80" l="1"/>
  <c r="V536" i="80" s="1"/>
  <c r="X536" i="80"/>
  <c r="Y536" i="80" l="1"/>
  <c r="AP536" i="80" s="1"/>
  <c r="AQ536" i="80" s="1"/>
  <c r="AC536" i="80"/>
  <c r="BX536" i="80" l="1"/>
  <c r="AD536" i="80"/>
  <c r="AF536" i="80" s="1"/>
  <c r="R536" i="80"/>
  <c r="BE536" i="80"/>
  <c r="BV537" i="80"/>
  <c r="AO536" i="80"/>
  <c r="AR536" i="80"/>
  <c r="AS536" i="80"/>
  <c r="AE536" i="80" l="1"/>
  <c r="AG536" i="80"/>
  <c r="AH536" i="80"/>
  <c r="AI536" i="80" s="1"/>
  <c r="AJ536" i="80" s="1"/>
  <c r="AK536" i="80" l="1"/>
  <c r="AL536" i="80" s="1"/>
  <c r="BD536" i="80"/>
  <c r="AX536" i="80"/>
  <c r="AT536" i="80"/>
  <c r="AM536" i="80" l="1"/>
  <c r="AV536" i="80" s="1"/>
  <c r="BW537" i="80"/>
  <c r="AN536" i="80"/>
  <c r="AW536" i="80"/>
  <c r="AY536" i="80" l="1"/>
  <c r="BA536" i="80" s="1"/>
  <c r="AZ536" i="80" l="1"/>
  <c r="BB536" i="80"/>
  <c r="BF536" i="80"/>
  <c r="BG536" i="80" l="1"/>
  <c r="BH536" i="80" s="1"/>
  <c r="BI536" i="80" l="1"/>
  <c r="BN536" i="80" l="1"/>
  <c r="Q536" i="80" s="1"/>
  <c r="BJ536" i="80"/>
  <c r="BK536" i="80" s="1"/>
  <c r="BL536" i="80" s="1"/>
  <c r="BQ536" i="80" l="1"/>
  <c r="BO536" i="80"/>
  <c r="BR536" i="80" l="1"/>
  <c r="BS536" i="80" s="1"/>
  <c r="BP536" i="80"/>
  <c r="K536" i="80"/>
  <c r="M537" i="80" s="1"/>
  <c r="L536" i="80"/>
  <c r="N537" i="80" s="1"/>
  <c r="BT537" i="80" l="1"/>
  <c r="O537" i="80"/>
  <c r="BU537" i="80"/>
  <c r="P537" i="80" l="1"/>
  <c r="U537" i="80" s="1"/>
  <c r="BY537" i="80"/>
  <c r="S537" i="80"/>
  <c r="T537" i="80" l="1"/>
  <c r="V537" i="80" s="1"/>
  <c r="X537" i="80"/>
  <c r="Y537" i="80" l="1"/>
  <c r="AP537" i="80" s="1"/>
  <c r="AQ537" i="80" s="1"/>
  <c r="AC537" i="80" l="1"/>
  <c r="AO537" i="80" s="1"/>
  <c r="AD537" i="80"/>
  <c r="AE537" i="80" s="1"/>
  <c r="BX537" i="80"/>
  <c r="AS537" i="80"/>
  <c r="AF537" i="80" l="1"/>
  <c r="BV538" i="80"/>
  <c r="R537" i="80"/>
  <c r="AR537" i="80"/>
  <c r="BE537" i="80"/>
  <c r="AH537" i="80"/>
  <c r="AI537" i="80" s="1"/>
  <c r="AJ537" i="80" s="1"/>
  <c r="AG537" i="80"/>
  <c r="BD537" i="80" l="1"/>
  <c r="AX537" i="80"/>
  <c r="AK537" i="80"/>
  <c r="AL537" i="80" s="1"/>
  <c r="AT537" i="80"/>
  <c r="AM537" i="80" l="1"/>
  <c r="AV537" i="80" s="1"/>
  <c r="BW538" i="80"/>
  <c r="AN537" i="80"/>
  <c r="AW537" i="80"/>
  <c r="AY537" i="80" l="1"/>
  <c r="BA537" i="80" s="1"/>
  <c r="AZ537" i="80" l="1"/>
  <c r="BB537" i="80"/>
  <c r="BF537" i="80"/>
  <c r="BG537" i="80" l="1"/>
  <c r="BH537" i="80" s="1"/>
  <c r="BI537" i="80" l="1"/>
  <c r="BN537" i="80" l="1"/>
  <c r="Q537" i="80" s="1"/>
  <c r="BJ537" i="80"/>
  <c r="BK537" i="80" s="1"/>
  <c r="BL537" i="80" s="1"/>
  <c r="BQ537" i="80" l="1"/>
  <c r="BO537" i="80"/>
  <c r="BR537" i="80" l="1"/>
  <c r="BS537" i="80" s="1"/>
  <c r="BP537" i="80"/>
  <c r="K537" i="80"/>
  <c r="M538" i="80" s="1"/>
  <c r="L537" i="80"/>
  <c r="N538" i="80" s="1"/>
  <c r="BT538" i="80" l="1"/>
  <c r="O538" i="80"/>
  <c r="BU538" i="80"/>
  <c r="P538" i="80" l="1"/>
  <c r="U538" i="80" s="1"/>
  <c r="S538" i="80"/>
  <c r="BY538" i="80"/>
  <c r="T538" i="80" l="1"/>
  <c r="V538" i="80" s="1"/>
  <c r="X538" i="80"/>
  <c r="Y538" i="80" l="1"/>
  <c r="AD538" i="80" s="1"/>
  <c r="AC538" i="80" l="1"/>
  <c r="AO538" i="80" s="1"/>
  <c r="AP538" i="80"/>
  <c r="AQ538" i="80" s="1"/>
  <c r="AS538" i="80" s="1"/>
  <c r="BX538" i="80"/>
  <c r="AE538" i="80"/>
  <c r="AF538" i="80"/>
  <c r="R538" i="80" l="1"/>
  <c r="BV539" i="80"/>
  <c r="BE538" i="80"/>
  <c r="AR538" i="80"/>
  <c r="AG538" i="80"/>
  <c r="AH538" i="80"/>
  <c r="AI538" i="80" s="1"/>
  <c r="AJ538" i="80" s="1"/>
  <c r="BD538" i="80" l="1"/>
  <c r="AX538" i="80"/>
  <c r="AK538" i="80"/>
  <c r="AL538" i="80" s="1"/>
  <c r="AT538" i="80"/>
  <c r="AM538" i="80" l="1"/>
  <c r="AV538" i="80" s="1"/>
  <c r="AN538" i="80"/>
  <c r="BW539" i="80"/>
  <c r="AW538" i="80"/>
  <c r="AY538" i="80" l="1"/>
  <c r="BA538" i="80" s="1"/>
  <c r="AZ538" i="80" l="1"/>
  <c r="BB538" i="80"/>
  <c r="BF538" i="80"/>
  <c r="BG538" i="80" l="1"/>
  <c r="BH538" i="80" s="1"/>
  <c r="BI538" i="80" l="1"/>
  <c r="BN538" i="80" l="1"/>
  <c r="Q538" i="80" s="1"/>
  <c r="BJ538" i="80"/>
  <c r="BK538" i="80" s="1"/>
  <c r="BL538" i="80" s="1"/>
  <c r="BQ538" i="80" l="1"/>
  <c r="BO538" i="80"/>
  <c r="BR538" i="80" l="1"/>
  <c r="BS538" i="80" s="1"/>
  <c r="BP538" i="80"/>
  <c r="K538" i="80"/>
  <c r="M539" i="80" s="1"/>
  <c r="L538" i="80"/>
  <c r="N539" i="80" s="1"/>
  <c r="O539" i="80" l="1"/>
  <c r="BT539" i="80"/>
  <c r="BU539" i="80"/>
  <c r="BY539" i="80" l="1"/>
  <c r="P539" i="80"/>
  <c r="U539" i="80" s="1"/>
  <c r="S539" i="80"/>
  <c r="T539" i="80" l="1"/>
  <c r="X539" i="80"/>
  <c r="V539" i="80" l="1"/>
  <c r="Y539" i="80" l="1"/>
  <c r="AD539" i="80" s="1"/>
  <c r="AC539" i="80"/>
  <c r="BX539" i="80" l="1"/>
  <c r="AP539" i="80"/>
  <c r="AQ539" i="80" s="1"/>
  <c r="AR539" i="80" s="1"/>
  <c r="AO539" i="80"/>
  <c r="R539" i="80"/>
  <c r="BE539" i="80"/>
  <c r="BV540" i="80"/>
  <c r="AF539" i="80"/>
  <c r="AE539" i="80"/>
  <c r="AS539" i="80" l="1"/>
  <c r="AH539" i="80"/>
  <c r="AI539" i="80" s="1"/>
  <c r="AJ539" i="80" s="1"/>
  <c r="AG539" i="80"/>
  <c r="AK539" i="80" l="1"/>
  <c r="AL539" i="80" s="1"/>
  <c r="AX539" i="80"/>
  <c r="BD539" i="80"/>
  <c r="AT539" i="80"/>
  <c r="AM539" i="80" l="1"/>
  <c r="AV539" i="80" s="1"/>
  <c r="AN539" i="80"/>
  <c r="BW540" i="80"/>
  <c r="AW539" i="80"/>
  <c r="AY539" i="80" l="1"/>
  <c r="BA539" i="80" s="1"/>
  <c r="AZ539" i="80" l="1"/>
  <c r="BB539" i="80"/>
  <c r="BF539" i="80"/>
  <c r="BG539" i="80" l="1"/>
  <c r="BH539" i="80" s="1"/>
  <c r="BI539" i="80" l="1"/>
  <c r="BN539" i="80" l="1"/>
  <c r="Q539" i="80" s="1"/>
  <c r="BJ539" i="80"/>
  <c r="BK539" i="80" s="1"/>
  <c r="BL539" i="80" s="1"/>
  <c r="BQ539" i="80" l="1"/>
  <c r="BO539" i="80"/>
  <c r="K539" i="80" l="1"/>
  <c r="M540" i="80" s="1"/>
  <c r="L539" i="80"/>
  <c r="N540" i="80" s="1"/>
  <c r="BR539" i="80"/>
  <c r="BS539" i="80" s="1"/>
  <c r="BP539" i="80"/>
  <c r="O540" i="80" l="1"/>
  <c r="BY540" i="80" s="1"/>
  <c r="BT540" i="80"/>
  <c r="BU540" i="80"/>
  <c r="S540" i="80" l="1"/>
  <c r="T540" i="80" s="1"/>
  <c r="P540" i="80"/>
  <c r="U540" i="80" s="1"/>
  <c r="X540" i="80" l="1"/>
  <c r="V540" i="80"/>
  <c r="Y540" i="80" l="1"/>
  <c r="AP540" i="80" s="1"/>
  <c r="AQ540" i="80" s="1"/>
  <c r="AC540" i="80"/>
  <c r="AD540" i="80" l="1"/>
  <c r="AF540" i="80" s="1"/>
  <c r="BX540" i="80"/>
  <c r="AO540" i="80"/>
  <c r="BE540" i="80"/>
  <c r="R540" i="80"/>
  <c r="BV541" i="80"/>
  <c r="AR540" i="80"/>
  <c r="AS540" i="80"/>
  <c r="AE540" i="80" l="1"/>
  <c r="AG540" i="80"/>
  <c r="AH540" i="80"/>
  <c r="AI540" i="80" s="1"/>
  <c r="AJ540" i="80" s="1"/>
  <c r="AK540" i="80" l="1"/>
  <c r="AL540" i="80" s="1"/>
  <c r="BD540" i="80"/>
  <c r="AX540" i="80"/>
  <c r="AT540" i="80"/>
  <c r="AM540" i="80" l="1"/>
  <c r="AV540" i="80" s="1"/>
  <c r="BW541" i="80"/>
  <c r="AN540" i="80"/>
  <c r="AW540" i="80"/>
  <c r="AY540" i="80" l="1"/>
  <c r="BA540" i="80" s="1"/>
  <c r="AZ540" i="80" l="1"/>
  <c r="BB540" i="80"/>
  <c r="BF540" i="80"/>
  <c r="BG540" i="80" l="1"/>
  <c r="BH540" i="80" s="1"/>
  <c r="BI540" i="80" l="1"/>
  <c r="BN540" i="80" l="1"/>
  <c r="Q540" i="80" s="1"/>
  <c r="BJ540" i="80"/>
  <c r="BK540" i="80" s="1"/>
  <c r="BL540" i="80" s="1"/>
  <c r="BQ540" i="80" l="1"/>
  <c r="BO540" i="80"/>
  <c r="K540" i="80" l="1"/>
  <c r="M541" i="80" s="1"/>
  <c r="BT541" i="80" s="1"/>
  <c r="L540" i="80"/>
  <c r="N541" i="80" s="1"/>
  <c r="BR540" i="80"/>
  <c r="BS540" i="80" s="1"/>
  <c r="BP540" i="80"/>
  <c r="O541" i="80" l="1"/>
  <c r="BY541" i="80" s="1"/>
  <c r="BU541" i="80"/>
  <c r="P541" i="80" l="1"/>
  <c r="U541" i="80" s="1"/>
  <c r="S541" i="80"/>
  <c r="T541" i="80" l="1"/>
  <c r="V541" i="80" s="1"/>
  <c r="X541" i="80"/>
  <c r="Y541" i="80" l="1"/>
  <c r="AD541" i="80" s="1"/>
  <c r="AC541" i="80" l="1"/>
  <c r="R541" i="80" s="1"/>
  <c r="AP541" i="80"/>
  <c r="AQ541" i="80" s="1"/>
  <c r="AS541" i="80" s="1"/>
  <c r="BX541" i="80"/>
  <c r="AF541" i="80"/>
  <c r="AE541" i="80"/>
  <c r="BV542" i="80" l="1"/>
  <c r="AO541" i="80"/>
  <c r="BE541" i="80"/>
  <c r="AR541" i="80"/>
  <c r="AH541" i="80"/>
  <c r="AI541" i="80" s="1"/>
  <c r="AJ541" i="80" s="1"/>
  <c r="AG541" i="80"/>
  <c r="BD541" i="80" l="1"/>
  <c r="AK541" i="80"/>
  <c r="AL541" i="80" s="1"/>
  <c r="AX541" i="80"/>
  <c r="AT541" i="80"/>
  <c r="AM541" i="80" l="1"/>
  <c r="AV541" i="80" s="1"/>
  <c r="BW542" i="80"/>
  <c r="AN541" i="80"/>
  <c r="AW541" i="80"/>
  <c r="AY541" i="80" l="1"/>
  <c r="BA541" i="80" s="1"/>
  <c r="AZ541" i="80" l="1"/>
  <c r="BB541" i="80"/>
  <c r="BF541" i="80"/>
  <c r="BG541" i="80" l="1"/>
  <c r="BH541" i="80" s="1"/>
  <c r="BI541" i="80" l="1"/>
  <c r="BN541" i="80" l="1"/>
  <c r="Q541" i="80" s="1"/>
  <c r="BJ541" i="80"/>
  <c r="BK541" i="80" s="1"/>
  <c r="BL541" i="80" s="1"/>
  <c r="BQ541" i="80" l="1"/>
  <c r="BO541" i="80"/>
  <c r="K541" i="80" l="1"/>
  <c r="M542" i="80" s="1"/>
  <c r="BT542" i="80" s="1"/>
  <c r="L541" i="80"/>
  <c r="N542" i="80" s="1"/>
  <c r="BR541" i="80"/>
  <c r="BS541" i="80" s="1"/>
  <c r="BP541" i="80"/>
  <c r="O542" i="80" l="1"/>
  <c r="P542" i="80" s="1"/>
  <c r="U542" i="80" s="1"/>
  <c r="BU542" i="80"/>
  <c r="S542" i="80" l="1"/>
  <c r="T542" i="80" s="1"/>
  <c r="BY542" i="80"/>
  <c r="X542" i="80" l="1"/>
  <c r="V542" i="80"/>
  <c r="Y542" i="80" l="1"/>
  <c r="AP542" i="80" s="1"/>
  <c r="AQ542" i="80" s="1"/>
  <c r="AC542" i="80"/>
  <c r="AD542" i="80" l="1"/>
  <c r="AE542" i="80" s="1"/>
  <c r="BX542" i="80"/>
  <c r="AO542" i="80"/>
  <c r="BE542" i="80"/>
  <c r="R542" i="80"/>
  <c r="BV543" i="80"/>
  <c r="AR542" i="80"/>
  <c r="AS542" i="80"/>
  <c r="AF542" i="80" l="1"/>
  <c r="AG542" i="80" s="1"/>
  <c r="AH542" i="80" l="1"/>
  <c r="AI542" i="80" s="1"/>
  <c r="AJ542" i="80" s="1"/>
  <c r="AX542" i="80"/>
  <c r="BD542" i="80"/>
  <c r="AK542" i="80"/>
  <c r="AL542" i="80" s="1"/>
  <c r="AT542" i="80"/>
  <c r="AM542" i="80" l="1"/>
  <c r="AV542" i="80" s="1"/>
  <c r="BW543" i="80"/>
  <c r="AN542" i="80"/>
  <c r="AW542" i="80"/>
  <c r="AY542" i="80" l="1"/>
  <c r="BA542" i="80" s="1"/>
  <c r="AZ542" i="80" l="1"/>
  <c r="BB542" i="80"/>
  <c r="BF542" i="80"/>
  <c r="BG542" i="80" l="1"/>
  <c r="BH542" i="80" s="1"/>
  <c r="BI542" i="80" l="1"/>
  <c r="BN542" i="80" l="1"/>
  <c r="Q542" i="80" s="1"/>
  <c r="BJ542" i="80"/>
  <c r="BK542" i="80" s="1"/>
  <c r="BL542" i="80" s="1"/>
  <c r="BQ542" i="80" l="1"/>
  <c r="BO542" i="80"/>
  <c r="K542" i="80" l="1"/>
  <c r="M543" i="80" s="1"/>
  <c r="BT543" i="80" s="1"/>
  <c r="L542" i="80"/>
  <c r="N543" i="80" s="1"/>
  <c r="BR542" i="80"/>
  <c r="BS542" i="80" s="1"/>
  <c r="BP542" i="80"/>
  <c r="O543" i="80" l="1"/>
  <c r="S543" i="80" s="1"/>
  <c r="BU543" i="80"/>
  <c r="BY543" i="80" l="1"/>
  <c r="P543" i="80"/>
  <c r="U543" i="80" s="1"/>
  <c r="T543" i="80"/>
  <c r="X543" i="80"/>
  <c r="V543" i="80" l="1"/>
  <c r="Y543" i="80" l="1"/>
  <c r="BX543" i="80" s="1"/>
  <c r="AC543" i="80"/>
  <c r="AP543" i="80" l="1"/>
  <c r="AQ543" i="80" s="1"/>
  <c r="AS543" i="80" s="1"/>
  <c r="AD543" i="80"/>
  <c r="AF543" i="80" s="1"/>
  <c r="AO543" i="80"/>
  <c r="R543" i="80"/>
  <c r="BE543" i="80"/>
  <c r="BV544" i="80"/>
  <c r="AR543" i="80" l="1"/>
  <c r="AE543" i="80"/>
  <c r="AH543" i="80"/>
  <c r="AI543" i="80" s="1"/>
  <c r="AJ543" i="80" s="1"/>
  <c r="AG543" i="80"/>
  <c r="BD543" i="80" l="1"/>
  <c r="AX543" i="80"/>
  <c r="AK543" i="80"/>
  <c r="AL543" i="80" s="1"/>
  <c r="AT543" i="80"/>
  <c r="AM543" i="80" l="1"/>
  <c r="AV543" i="80" s="1"/>
  <c r="AN543" i="80"/>
  <c r="BW544" i="80"/>
  <c r="AW543" i="80"/>
  <c r="AY543" i="80" l="1"/>
  <c r="BA543" i="80" s="1"/>
  <c r="AZ543" i="80" l="1"/>
  <c r="BB543" i="80"/>
  <c r="BF543" i="80"/>
  <c r="BG543" i="80" l="1"/>
  <c r="BH543" i="80" s="1"/>
  <c r="BI543" i="80" l="1"/>
  <c r="BN543" i="80" l="1"/>
  <c r="Q543" i="80" s="1"/>
  <c r="BJ543" i="80"/>
  <c r="BK543" i="80" s="1"/>
  <c r="BL543" i="80" s="1"/>
  <c r="BQ543" i="80" l="1"/>
  <c r="BO543" i="80"/>
  <c r="K543" i="80" l="1"/>
  <c r="M544" i="80" s="1"/>
  <c r="L543" i="80"/>
  <c r="N544" i="80" s="1"/>
  <c r="BR543" i="80"/>
  <c r="BS543" i="80" s="1"/>
  <c r="BP543" i="80"/>
  <c r="O544" i="80" l="1"/>
  <c r="BT544" i="80"/>
  <c r="BU544" i="80"/>
  <c r="S544" i="80"/>
  <c r="P544" i="80"/>
  <c r="U544" i="80" s="1"/>
  <c r="BY544" i="80"/>
  <c r="T544" i="80" l="1"/>
  <c r="X544" i="80"/>
  <c r="V544" i="80" l="1"/>
  <c r="Y544" i="80" l="1"/>
  <c r="BX544" i="80" s="1"/>
  <c r="AC544" i="80"/>
  <c r="AP544" i="80" l="1"/>
  <c r="AQ544" i="80" s="1"/>
  <c r="AR544" i="80" s="1"/>
  <c r="AD544" i="80"/>
  <c r="AE544" i="80" s="1"/>
  <c r="AO544" i="80"/>
  <c r="BE544" i="80"/>
  <c r="BV545" i="80"/>
  <c r="R544" i="80"/>
  <c r="AS544" i="80" l="1"/>
  <c r="AF544" i="80"/>
  <c r="AH544" i="80" s="1"/>
  <c r="AI544" i="80" s="1"/>
  <c r="AJ544" i="80" s="1"/>
  <c r="AG544" i="80" l="1"/>
  <c r="BD544" i="80" s="1"/>
  <c r="AT544" i="80" l="1"/>
  <c r="AX544" i="80"/>
  <c r="AK544" i="80"/>
  <c r="AL544" i="80" s="1"/>
  <c r="AM544" i="80" s="1"/>
  <c r="AV544" i="80" l="1"/>
  <c r="AN544" i="80"/>
  <c r="BW545" i="80"/>
  <c r="AW544" i="80"/>
  <c r="AY544" i="80" l="1"/>
  <c r="BA544" i="80" s="1"/>
  <c r="BB544" i="80" s="1"/>
  <c r="BF544" i="80"/>
  <c r="AZ544" i="80" l="1"/>
  <c r="BG544" i="80"/>
  <c r="BH544" i="80" s="1"/>
  <c r="BI544" i="80" l="1"/>
  <c r="BN544" i="80" l="1"/>
  <c r="Q544" i="80" s="1"/>
  <c r="BJ544" i="80"/>
  <c r="BK544" i="80" s="1"/>
  <c r="BL544" i="80" s="1"/>
  <c r="BQ544" i="80" l="1"/>
  <c r="BO544" i="80"/>
  <c r="K544" i="80" l="1"/>
  <c r="M545" i="80" s="1"/>
  <c r="L544" i="80"/>
  <c r="N545" i="80" s="1"/>
  <c r="BR544" i="80"/>
  <c r="BS544" i="80" s="1"/>
  <c r="BP544" i="80"/>
  <c r="BU545" i="80" l="1"/>
  <c r="BT545" i="80"/>
  <c r="O545" i="80"/>
  <c r="BY545" i="80" l="1"/>
  <c r="S545" i="80"/>
  <c r="P545" i="80"/>
  <c r="U545" i="80" s="1"/>
  <c r="T545" i="80" l="1"/>
  <c r="V545" i="80" s="1"/>
  <c r="X545" i="80"/>
  <c r="Y545" i="80" l="1"/>
  <c r="AC545" i="80" s="1"/>
  <c r="BE545" i="80" l="1"/>
  <c r="R545" i="80"/>
  <c r="BV546" i="80"/>
  <c r="AO545" i="80"/>
  <c r="AP545" i="80"/>
  <c r="AQ545" i="80" s="1"/>
  <c r="AD545" i="80"/>
  <c r="BX545" i="80"/>
  <c r="AR545" i="80" l="1"/>
  <c r="AS545" i="80"/>
  <c r="AE545" i="80"/>
  <c r="AF545" i="80"/>
  <c r="AH545" i="80" l="1"/>
  <c r="AI545" i="80" s="1"/>
  <c r="AJ545" i="80" s="1"/>
  <c r="AG545" i="80"/>
  <c r="AK545" i="80" l="1"/>
  <c r="AL545" i="80" s="1"/>
  <c r="BD545" i="80"/>
  <c r="AX545" i="80"/>
  <c r="AT545" i="80"/>
  <c r="AM545" i="80" l="1"/>
  <c r="AV545" i="80" s="1"/>
  <c r="BW546" i="80"/>
  <c r="AN545" i="80"/>
  <c r="AW545" i="80"/>
  <c r="AY545" i="80" l="1"/>
  <c r="BA545" i="80" s="1"/>
  <c r="AZ545" i="80" l="1"/>
  <c r="BB545" i="80"/>
  <c r="BF545" i="80"/>
  <c r="BG545" i="80" l="1"/>
  <c r="BH545" i="80" s="1"/>
  <c r="BI545" i="80" l="1"/>
  <c r="BN545" i="80" l="1"/>
  <c r="Q545" i="80" s="1"/>
  <c r="BJ545" i="80"/>
  <c r="BK545" i="80" s="1"/>
  <c r="BL545" i="80" s="1"/>
  <c r="BQ545" i="80" l="1"/>
  <c r="BO545" i="80"/>
  <c r="K545" i="80" l="1"/>
  <c r="M546" i="80" s="1"/>
  <c r="L545" i="80"/>
  <c r="N546" i="80" s="1"/>
  <c r="BR545" i="80"/>
  <c r="BS545" i="80" s="1"/>
  <c r="BP545" i="80"/>
  <c r="BU546" i="80" l="1"/>
  <c r="O546" i="80"/>
  <c r="BT546" i="80"/>
  <c r="BY546" i="80" l="1"/>
  <c r="P546" i="80"/>
  <c r="U546" i="80" s="1"/>
  <c r="S546" i="80"/>
  <c r="T546" i="80" l="1"/>
  <c r="V546" i="80" s="1"/>
  <c r="X546" i="80"/>
  <c r="Y546" i="80" l="1"/>
  <c r="AC546" i="80"/>
  <c r="BE546" i="80" l="1"/>
  <c r="AP546" i="80"/>
  <c r="AQ546" i="80" s="1"/>
  <c r="AS546" i="80" s="1"/>
  <c r="BX546" i="80"/>
  <c r="AD546" i="80"/>
  <c r="AF546" i="80" s="1"/>
  <c r="AO546" i="80"/>
  <c r="BV547" i="80"/>
  <c r="R546" i="80"/>
  <c r="AR546" i="80" l="1"/>
  <c r="AE546" i="80"/>
  <c r="AH546" i="80"/>
  <c r="AI546" i="80" s="1"/>
  <c r="AJ546" i="80" s="1"/>
  <c r="AG546" i="80"/>
  <c r="BD546" i="80" l="1"/>
  <c r="AX546" i="80"/>
  <c r="AK546" i="80"/>
  <c r="AL546" i="80" s="1"/>
  <c r="AT546" i="80"/>
  <c r="AM546" i="80" l="1"/>
  <c r="AV546" i="80" s="1"/>
  <c r="AN546" i="80"/>
  <c r="BW547" i="80"/>
  <c r="AW546" i="80"/>
  <c r="AY546" i="80" l="1"/>
  <c r="BA546" i="80" s="1"/>
  <c r="AZ546" i="80" l="1"/>
  <c r="BB546" i="80"/>
  <c r="BF546" i="80"/>
  <c r="BG546" i="80" l="1"/>
  <c r="BH546" i="80" s="1"/>
  <c r="BI546" i="80" l="1"/>
  <c r="BJ546" i="80" l="1"/>
  <c r="BK546" i="80" s="1"/>
  <c r="BL546" i="80" s="1"/>
  <c r="BN546" i="80"/>
  <c r="Q546" i="80" s="1"/>
  <c r="BQ546" i="80" l="1"/>
  <c r="BO546" i="80"/>
  <c r="K546" i="80" l="1"/>
  <c r="M547" i="80" s="1"/>
  <c r="L546" i="80"/>
  <c r="N547" i="80" s="1"/>
  <c r="BR546" i="80"/>
  <c r="BS546" i="80" s="1"/>
  <c r="BP546" i="80"/>
  <c r="BU547" i="80" l="1"/>
  <c r="BT547" i="80"/>
  <c r="O547" i="80"/>
  <c r="BY547" i="80" l="1"/>
  <c r="P547" i="80"/>
  <c r="U547" i="80" s="1"/>
  <c r="S547" i="80"/>
  <c r="T547" i="80" l="1"/>
  <c r="V547" i="80" s="1"/>
  <c r="X547" i="80"/>
  <c r="Y547" i="80" l="1"/>
  <c r="AD547" i="80" s="1"/>
  <c r="AC547" i="80"/>
  <c r="AP547" i="80" l="1"/>
  <c r="AQ547" i="80" s="1"/>
  <c r="AR547" i="80" s="1"/>
  <c r="BX547" i="80"/>
  <c r="BV548" i="80"/>
  <c r="R547" i="80"/>
  <c r="BE547" i="80"/>
  <c r="AO547" i="80"/>
  <c r="AE547" i="80"/>
  <c r="AF547" i="80"/>
  <c r="AS547" i="80" l="1"/>
  <c r="AH547" i="80"/>
  <c r="AI547" i="80" s="1"/>
  <c r="AJ547" i="80" s="1"/>
  <c r="AG547" i="80"/>
  <c r="AK547" i="80" l="1"/>
  <c r="AL547" i="80" s="1"/>
  <c r="BD547" i="80"/>
  <c r="AX547" i="80"/>
  <c r="AT547" i="80"/>
  <c r="AM547" i="80" l="1"/>
  <c r="AV547" i="80" s="1"/>
  <c r="BW548" i="80"/>
  <c r="AN547" i="80"/>
  <c r="AW547" i="80"/>
  <c r="AY547" i="80" l="1"/>
  <c r="BA547" i="80" s="1"/>
  <c r="AZ547" i="80" l="1"/>
  <c r="BB547" i="80"/>
  <c r="BF547" i="80"/>
  <c r="BG547" i="80" l="1"/>
  <c r="BH547" i="80" s="1"/>
  <c r="BI547" i="80" l="1"/>
  <c r="BN547" i="80" l="1"/>
  <c r="Q547" i="80" s="1"/>
  <c r="BJ547" i="80"/>
  <c r="BK547" i="80" s="1"/>
  <c r="BL547" i="80" s="1"/>
  <c r="BQ547" i="80" l="1"/>
  <c r="BO547" i="80"/>
  <c r="K547" i="80" l="1"/>
  <c r="M548" i="80" s="1"/>
  <c r="L547" i="80"/>
  <c r="N548" i="80" s="1"/>
  <c r="BR547" i="80"/>
  <c r="BS547" i="80" s="1"/>
  <c r="BP547" i="80"/>
  <c r="BU548" i="80" l="1"/>
  <c r="O548" i="80"/>
  <c r="BT548" i="80"/>
  <c r="BY548" i="80" l="1"/>
  <c r="S548" i="80"/>
  <c r="P548" i="80"/>
  <c r="U548" i="80" s="1"/>
  <c r="T548" i="80" l="1"/>
  <c r="V548" i="80" s="1"/>
  <c r="X548" i="80"/>
  <c r="Y548" i="80" l="1"/>
  <c r="BX548" i="80" s="1"/>
  <c r="AC548" i="80"/>
  <c r="AD548" i="80" l="1"/>
  <c r="AE548" i="80" s="1"/>
  <c r="AP548" i="80"/>
  <c r="AQ548" i="80" s="1"/>
  <c r="AR548" i="80" s="1"/>
  <c r="R548" i="80"/>
  <c r="AO548" i="80"/>
  <c r="BV549" i="80"/>
  <c r="BE548" i="80"/>
  <c r="AF548" i="80" l="1"/>
  <c r="AH548" i="80" s="1"/>
  <c r="AI548" i="80" s="1"/>
  <c r="AJ548" i="80" s="1"/>
  <c r="AS548" i="80"/>
  <c r="AG548" i="80" l="1"/>
  <c r="BD548" i="80" s="1"/>
  <c r="AT548" i="80" l="1"/>
  <c r="AX548" i="80"/>
  <c r="AK548" i="80"/>
  <c r="AL548" i="80" s="1"/>
  <c r="AM548" i="80" s="1"/>
  <c r="AV548" i="80" s="1"/>
  <c r="AW548" i="80"/>
  <c r="AN548" i="80" l="1"/>
  <c r="BW549" i="80"/>
  <c r="AY548" i="80"/>
  <c r="BA548" i="80" s="1"/>
  <c r="AZ548" i="80" l="1"/>
  <c r="BB548" i="80"/>
  <c r="BF548" i="80"/>
  <c r="BG548" i="80" l="1"/>
  <c r="BH548" i="80" s="1"/>
  <c r="BI548" i="80" l="1"/>
  <c r="BJ548" i="80" l="1"/>
  <c r="BK548" i="80" s="1"/>
  <c r="BL548" i="80" s="1"/>
  <c r="BN548" i="80"/>
  <c r="Q548" i="80" s="1"/>
  <c r="BQ548" i="80" l="1"/>
  <c r="BO548" i="80"/>
  <c r="K548" i="80" l="1"/>
  <c r="M549" i="80" s="1"/>
  <c r="L548" i="80"/>
  <c r="N549" i="80" s="1"/>
  <c r="BR548" i="80"/>
  <c r="BS548" i="80" s="1"/>
  <c r="BP548" i="80"/>
  <c r="BU549" i="80" l="1"/>
  <c r="O549" i="80"/>
  <c r="BT549" i="80"/>
  <c r="BY549" i="80" l="1"/>
  <c r="P549" i="80"/>
  <c r="U549" i="80" s="1"/>
  <c r="S549" i="80"/>
  <c r="X549" i="80" l="1"/>
  <c r="T549" i="80"/>
  <c r="V549" i="80" s="1"/>
  <c r="Y549" i="80" s="1"/>
  <c r="AP549" i="80" l="1"/>
  <c r="AQ549" i="80" s="1"/>
  <c r="AD549" i="80"/>
  <c r="BX549" i="80"/>
  <c r="AC549" i="80"/>
  <c r="R549" i="80" l="1"/>
  <c r="AO549" i="80"/>
  <c r="BV550" i="80"/>
  <c r="BE549" i="80"/>
  <c r="AE549" i="80"/>
  <c r="AF549" i="80"/>
  <c r="AR549" i="80"/>
  <c r="AS549" i="80"/>
  <c r="AG549" i="80" l="1"/>
  <c r="AH549" i="80"/>
  <c r="AI549" i="80" s="1"/>
  <c r="AJ549" i="80" s="1"/>
  <c r="AX549" i="80" l="1"/>
  <c r="AK549" i="80"/>
  <c r="AL549" i="80" s="1"/>
  <c r="BD549" i="80"/>
  <c r="AT549" i="80"/>
  <c r="AM549" i="80" l="1"/>
  <c r="AV549" i="80" s="1"/>
  <c r="AN549" i="80"/>
  <c r="BW550" i="80"/>
  <c r="AW549" i="80"/>
  <c r="AY549" i="80" l="1"/>
  <c r="BA549" i="80" s="1"/>
  <c r="AZ549" i="80" l="1"/>
  <c r="BB549" i="80"/>
  <c r="BF549" i="80"/>
  <c r="BG549" i="80" l="1"/>
  <c r="BH549" i="80" s="1"/>
  <c r="BI549" i="80" l="1"/>
  <c r="BN549" i="80" l="1"/>
  <c r="Q549" i="80" s="1"/>
  <c r="BJ549" i="80"/>
  <c r="BK549" i="80" s="1"/>
  <c r="BL549" i="80" s="1"/>
  <c r="BQ549" i="80" l="1"/>
  <c r="BO549" i="80"/>
  <c r="K549" i="80" l="1"/>
  <c r="M550" i="80" s="1"/>
  <c r="L549" i="80"/>
  <c r="N550" i="80" s="1"/>
  <c r="BR549" i="80"/>
  <c r="BS549" i="80" s="1"/>
  <c r="BP549" i="80"/>
  <c r="BU550" i="80" l="1"/>
  <c r="O550" i="80"/>
  <c r="BT550" i="80"/>
  <c r="S550" i="80" l="1"/>
  <c r="P550" i="80"/>
  <c r="U550" i="80" s="1"/>
  <c r="BY550" i="80"/>
  <c r="X550" i="80" l="1"/>
  <c r="T550" i="80"/>
  <c r="V550" i="80" s="1"/>
  <c r="Y550" i="80" s="1"/>
  <c r="BX550" i="80" l="1"/>
  <c r="AP550" i="80"/>
  <c r="AQ550" i="80" s="1"/>
  <c r="AD550" i="80"/>
  <c r="AC550" i="80"/>
  <c r="R550" i="80" l="1"/>
  <c r="AO550" i="80"/>
  <c r="BV551" i="80"/>
  <c r="BE550" i="80"/>
  <c r="AE550" i="80"/>
  <c r="AF550" i="80"/>
  <c r="AR550" i="80"/>
  <c r="AS550" i="80"/>
  <c r="AG550" i="80" l="1"/>
  <c r="AH550" i="80"/>
  <c r="AI550" i="80" s="1"/>
  <c r="AJ550" i="80" s="1"/>
  <c r="AK550" i="80" l="1"/>
  <c r="AL550" i="80" s="1"/>
  <c r="BD550" i="80"/>
  <c r="AX550" i="80"/>
  <c r="AT550" i="80"/>
  <c r="AM550" i="80" l="1"/>
  <c r="AV550" i="80" s="1"/>
  <c r="AN550" i="80"/>
  <c r="BW551" i="80"/>
  <c r="AW550" i="80"/>
  <c r="AY550" i="80" l="1"/>
  <c r="BA550" i="80" s="1"/>
  <c r="AZ550" i="80" l="1"/>
  <c r="BB550" i="80"/>
  <c r="BF550" i="80"/>
  <c r="BG550" i="80" l="1"/>
  <c r="BH550" i="80" s="1"/>
  <c r="BI550" i="80" l="1"/>
  <c r="BN550" i="80" l="1"/>
  <c r="Q550" i="80" s="1"/>
  <c r="BJ550" i="80"/>
  <c r="BK550" i="80" s="1"/>
  <c r="BL550" i="80" s="1"/>
  <c r="BQ550" i="80" l="1"/>
  <c r="BO550" i="80"/>
  <c r="K550" i="80" l="1"/>
  <c r="M551" i="80" s="1"/>
  <c r="L550" i="80"/>
  <c r="N551" i="80" s="1"/>
  <c r="BR550" i="80"/>
  <c r="BS550" i="80" s="1"/>
  <c r="BP550" i="80"/>
  <c r="BU551" i="80" l="1"/>
  <c r="BT551" i="80"/>
  <c r="O551" i="80"/>
  <c r="BY551" i="80" l="1"/>
  <c r="S551" i="80"/>
  <c r="P551" i="80"/>
  <c r="U551" i="80" s="1"/>
  <c r="T551" i="80" l="1"/>
  <c r="V551" i="80" s="1"/>
  <c r="X551" i="80"/>
  <c r="Y551" i="80" l="1"/>
  <c r="AD551" i="80" s="1"/>
  <c r="AC551" i="80"/>
  <c r="AP551" i="80" l="1"/>
  <c r="AQ551" i="80" s="1"/>
  <c r="AR551" i="80" s="1"/>
  <c r="BX551" i="80"/>
  <c r="BE551" i="80"/>
  <c r="AO551" i="80"/>
  <c r="R551" i="80"/>
  <c r="BV552" i="80"/>
  <c r="AE551" i="80"/>
  <c r="AF551" i="80"/>
  <c r="AS551" i="80" l="1"/>
  <c r="AH551" i="80"/>
  <c r="AI551" i="80" s="1"/>
  <c r="AJ551" i="80" s="1"/>
  <c r="AG551" i="80"/>
  <c r="AX551" i="80" l="1"/>
  <c r="BD551" i="80"/>
  <c r="AK551" i="80"/>
  <c r="AL551" i="80" s="1"/>
  <c r="AT551" i="80"/>
  <c r="AM551" i="80" l="1"/>
  <c r="AV551" i="80" s="1"/>
  <c r="BW552" i="80"/>
  <c r="AN551" i="80"/>
  <c r="AW551" i="80"/>
  <c r="AY551" i="80" l="1"/>
  <c r="BA551" i="80" s="1"/>
  <c r="AZ551" i="80" l="1"/>
  <c r="BB551" i="80"/>
  <c r="BF551" i="80"/>
  <c r="BG551" i="80" l="1"/>
  <c r="BH551" i="80" s="1"/>
  <c r="BI551" i="80" l="1"/>
  <c r="BN551" i="80" l="1"/>
  <c r="Q551" i="80" s="1"/>
  <c r="BJ551" i="80"/>
  <c r="BK551" i="80" s="1"/>
  <c r="BL551" i="80" s="1"/>
  <c r="BQ551" i="80" l="1"/>
  <c r="BO551" i="80"/>
  <c r="K551" i="80" l="1"/>
  <c r="M552" i="80" s="1"/>
  <c r="L551" i="80"/>
  <c r="N552" i="80" s="1"/>
  <c r="BR551" i="80"/>
  <c r="BS551" i="80" s="1"/>
  <c r="BP551" i="80"/>
  <c r="BU552" i="80" l="1"/>
  <c r="BT552" i="80"/>
  <c r="O552" i="80"/>
  <c r="BY552" i="80" l="1"/>
  <c r="P552" i="80"/>
  <c r="U552" i="80" s="1"/>
  <c r="S552" i="80"/>
  <c r="T552" i="80" l="1"/>
  <c r="V552" i="80" s="1"/>
  <c r="X552" i="80"/>
  <c r="Y552" i="80" l="1"/>
  <c r="AC552" i="80"/>
  <c r="BE552" i="80" l="1"/>
  <c r="AD552" i="80"/>
  <c r="AF552" i="80" s="1"/>
  <c r="BX552" i="80"/>
  <c r="BV553" i="80"/>
  <c r="R552" i="80"/>
  <c r="AO552" i="80"/>
  <c r="AP552" i="80"/>
  <c r="AQ552" i="80" s="1"/>
  <c r="AR552" i="80" s="1"/>
  <c r="AE552" i="80" l="1"/>
  <c r="AS552" i="80"/>
  <c r="AG552" i="80"/>
  <c r="AH552" i="80"/>
  <c r="AI552" i="80" s="1"/>
  <c r="AJ552" i="80" s="1"/>
  <c r="AK552" i="80" l="1"/>
  <c r="AL552" i="80" s="1"/>
  <c r="BD552" i="80"/>
  <c r="AX552" i="80"/>
  <c r="AT552" i="80"/>
  <c r="BW553" i="80" l="1"/>
  <c r="AM552" i="80"/>
  <c r="AV552" i="80" s="1"/>
  <c r="AN552" i="80"/>
  <c r="AW552" i="80"/>
  <c r="AY552" i="80" l="1"/>
  <c r="BA552" i="80" s="1"/>
  <c r="AZ552" i="80" l="1"/>
  <c r="BB552" i="80"/>
  <c r="BF552" i="80"/>
  <c r="BG552" i="80" l="1"/>
  <c r="BH552" i="80" s="1"/>
  <c r="BI552" i="80" l="1"/>
  <c r="BN552" i="80" l="1"/>
  <c r="Q552" i="80" s="1"/>
  <c r="BJ552" i="80"/>
  <c r="BK552" i="80" s="1"/>
  <c r="BL552" i="80" s="1"/>
  <c r="BQ552" i="80" l="1"/>
  <c r="BO552" i="80"/>
  <c r="K552" i="80" l="1"/>
  <c r="M553" i="80" s="1"/>
  <c r="L552" i="80"/>
  <c r="N553" i="80" s="1"/>
  <c r="BR552" i="80"/>
  <c r="BS552" i="80" s="1"/>
  <c r="BP552" i="80"/>
  <c r="BU553" i="80" l="1"/>
  <c r="BT553" i="80"/>
  <c r="O553" i="80"/>
  <c r="P553" i="80" l="1"/>
  <c r="U553" i="80" s="1"/>
  <c r="BY553" i="80"/>
  <c r="S553" i="80"/>
  <c r="T553" i="80" l="1"/>
  <c r="V553" i="80" s="1"/>
  <c r="X553" i="80"/>
  <c r="Y553" i="80" l="1"/>
  <c r="AC553" i="80" s="1"/>
  <c r="BE553" i="80" s="1"/>
  <c r="BX553" i="80" l="1"/>
  <c r="AP553" i="80"/>
  <c r="AQ553" i="80" s="1"/>
  <c r="AR553" i="80" s="1"/>
  <c r="AD553" i="80"/>
  <c r="AO553" i="80"/>
  <c r="BV554" i="80"/>
  <c r="R553" i="80"/>
  <c r="AF553" i="80"/>
  <c r="AE553" i="80"/>
  <c r="AS553" i="80" l="1"/>
  <c r="AG553" i="80"/>
  <c r="AH553" i="80"/>
  <c r="AI553" i="80" s="1"/>
  <c r="AJ553" i="80" s="1"/>
  <c r="AX553" i="80" l="1"/>
  <c r="BD553" i="80"/>
  <c r="AK553" i="80"/>
  <c r="AL553" i="80" s="1"/>
  <c r="AT553" i="80"/>
  <c r="AM553" i="80" l="1"/>
  <c r="AV553" i="80" s="1"/>
  <c r="AN553" i="80"/>
  <c r="BW554" i="80"/>
  <c r="AW553" i="80"/>
  <c r="AY553" i="80" l="1"/>
  <c r="BA553" i="80" s="1"/>
  <c r="AZ553" i="80" l="1"/>
  <c r="BB553" i="80"/>
  <c r="BF553" i="80"/>
  <c r="BG553" i="80" l="1"/>
  <c r="BH553" i="80" s="1"/>
  <c r="BI553" i="80" l="1"/>
  <c r="BN553" i="80" l="1"/>
  <c r="Q553" i="80" s="1"/>
  <c r="BJ553" i="80"/>
  <c r="BK553" i="80" s="1"/>
  <c r="BL553" i="80" s="1"/>
  <c r="BQ553" i="80" l="1"/>
  <c r="BO553" i="80"/>
  <c r="K553" i="80" l="1"/>
  <c r="M554" i="80" s="1"/>
  <c r="L553" i="80"/>
  <c r="N554" i="80" s="1"/>
  <c r="BR553" i="80"/>
  <c r="BS553" i="80" s="1"/>
  <c r="BP553" i="80"/>
  <c r="BU554" i="80" l="1"/>
  <c r="O554" i="80"/>
  <c r="BT554" i="80"/>
  <c r="BY554" i="80" l="1"/>
  <c r="P554" i="80"/>
  <c r="U554" i="80" s="1"/>
  <c r="S554" i="80"/>
  <c r="T554" i="80" l="1"/>
  <c r="V554" i="80" s="1"/>
  <c r="X554" i="80"/>
  <c r="Y554" i="80" l="1"/>
  <c r="AD554" i="80" s="1"/>
  <c r="AC554" i="80"/>
  <c r="BX554" i="80" l="1"/>
  <c r="AP554" i="80"/>
  <c r="AQ554" i="80" s="1"/>
  <c r="AS554" i="80" s="1"/>
  <c r="BE554" i="80"/>
  <c r="BV555" i="80"/>
  <c r="R554" i="80"/>
  <c r="AO554" i="80"/>
  <c r="AE554" i="80"/>
  <c r="AF554" i="80"/>
  <c r="AR554" i="80" l="1"/>
  <c r="AG554" i="80"/>
  <c r="AH554" i="80"/>
  <c r="AI554" i="80" s="1"/>
  <c r="AJ554" i="80" s="1"/>
  <c r="BD554" i="80" l="1"/>
  <c r="AK554" i="80"/>
  <c r="AL554" i="80" s="1"/>
  <c r="AX554" i="80"/>
  <c r="AT554" i="80"/>
  <c r="AM554" i="80" l="1"/>
  <c r="AV554" i="80" s="1"/>
  <c r="BW555" i="80"/>
  <c r="AN554" i="80"/>
  <c r="AW554" i="80"/>
  <c r="AY554" i="80" l="1"/>
  <c r="BA554" i="80" s="1"/>
  <c r="AZ554" i="80" l="1"/>
  <c r="BB554" i="80"/>
  <c r="BF554" i="80"/>
  <c r="BG554" i="80" l="1"/>
  <c r="BH554" i="80" s="1"/>
  <c r="BI554" i="80" l="1"/>
  <c r="BN554" i="80" l="1"/>
  <c r="Q554" i="80" s="1"/>
  <c r="BJ554" i="80"/>
  <c r="BK554" i="80" s="1"/>
  <c r="BL554" i="80" s="1"/>
  <c r="BQ554" i="80" l="1"/>
  <c r="BO554" i="80"/>
  <c r="K554" i="80" l="1"/>
  <c r="M555" i="80" s="1"/>
  <c r="L554" i="80"/>
  <c r="N555" i="80" s="1"/>
  <c r="BR554" i="80"/>
  <c r="BS554" i="80" s="1"/>
  <c r="BP554" i="80"/>
  <c r="BU555" i="80" l="1"/>
  <c r="BT555" i="80"/>
  <c r="O555" i="80"/>
  <c r="P555" i="80" l="1"/>
  <c r="U555" i="80" s="1"/>
  <c r="BY555" i="80"/>
  <c r="S555" i="80"/>
  <c r="T555" i="80" l="1"/>
  <c r="V555" i="80" s="1"/>
  <c r="X555" i="80"/>
  <c r="Y555" i="80" l="1"/>
  <c r="AP555" i="80" s="1"/>
  <c r="AQ555" i="80" s="1"/>
  <c r="AC555" i="80"/>
  <c r="BE555" i="80" s="1"/>
  <c r="BX555" i="80" l="1"/>
  <c r="AD555" i="80"/>
  <c r="AF555" i="80" s="1"/>
  <c r="R555" i="80"/>
  <c r="AO555" i="80"/>
  <c r="BV556" i="80"/>
  <c r="AR555" i="80"/>
  <c r="AS555" i="80"/>
  <c r="AE555" i="80" l="1"/>
  <c r="AG555" i="80"/>
  <c r="AH555" i="80"/>
  <c r="AI555" i="80" s="1"/>
  <c r="AJ555" i="80" s="1"/>
  <c r="AK555" i="80" l="1"/>
  <c r="AL555" i="80" s="1"/>
  <c r="AX555" i="80"/>
  <c r="BD555" i="80"/>
  <c r="AT555" i="80"/>
  <c r="AM555" i="80" l="1"/>
  <c r="AV555" i="80" s="1"/>
  <c r="AN555" i="80"/>
  <c r="BW556" i="80"/>
  <c r="AW555" i="80"/>
  <c r="AY555" i="80" l="1"/>
  <c r="BA555" i="80" s="1"/>
  <c r="AZ555" i="80" l="1"/>
  <c r="BB555" i="80"/>
  <c r="BF555" i="80"/>
  <c r="BG555" i="80" l="1"/>
  <c r="BH555" i="80" s="1"/>
  <c r="BI555" i="80" l="1"/>
  <c r="BN555" i="80" l="1"/>
  <c r="Q555" i="80" s="1"/>
  <c r="BJ555" i="80"/>
  <c r="BK555" i="80" s="1"/>
  <c r="BL555" i="80" s="1"/>
  <c r="BQ555" i="80" l="1"/>
  <c r="BO555" i="80"/>
  <c r="K555" i="80" l="1"/>
  <c r="M556" i="80" s="1"/>
  <c r="L555" i="80"/>
  <c r="N556" i="80" s="1"/>
  <c r="BR555" i="80"/>
  <c r="BS555" i="80" s="1"/>
  <c r="BP555" i="80"/>
  <c r="BU556" i="80" l="1"/>
  <c r="BT556" i="80"/>
  <c r="O556" i="80"/>
  <c r="BY556" i="80" l="1"/>
  <c r="S556" i="80"/>
  <c r="P556" i="80"/>
  <c r="U556" i="80" s="1"/>
  <c r="T556" i="80" l="1"/>
  <c r="V556" i="80" s="1"/>
  <c r="Y556" i="80" s="1"/>
  <c r="X556" i="80"/>
  <c r="AC556" i="80" l="1"/>
  <c r="BE556" i="80" s="1"/>
  <c r="AP556" i="80"/>
  <c r="AQ556" i="80" s="1"/>
  <c r="AD556" i="80"/>
  <c r="BX556" i="80"/>
  <c r="BV557" i="80" l="1"/>
  <c r="AO556" i="80"/>
  <c r="R556" i="80"/>
  <c r="AF556" i="80"/>
  <c r="AE556" i="80"/>
  <c r="AR556" i="80"/>
  <c r="AS556" i="80"/>
  <c r="AH556" i="80" l="1"/>
  <c r="AI556" i="80" s="1"/>
  <c r="AJ556" i="80" s="1"/>
  <c r="AG556" i="80"/>
  <c r="AX556" i="80" l="1"/>
  <c r="AK556" i="80"/>
  <c r="AL556" i="80" s="1"/>
  <c r="BD556" i="80"/>
  <c r="AT556" i="80"/>
  <c r="AM556" i="80" l="1"/>
  <c r="AV556" i="80" s="1"/>
  <c r="BW557" i="80"/>
  <c r="AN556" i="80"/>
  <c r="AW556" i="80"/>
  <c r="AY556" i="80" l="1"/>
  <c r="BA556" i="80" s="1"/>
  <c r="AZ556" i="80" l="1"/>
  <c r="BB556" i="80"/>
  <c r="BF556" i="80"/>
  <c r="BG556" i="80" l="1"/>
  <c r="BH556" i="80" s="1"/>
  <c r="BI556" i="80" l="1"/>
  <c r="BJ556" i="80" l="1"/>
  <c r="BK556" i="80" s="1"/>
  <c r="BL556" i="80" s="1"/>
  <c r="BN556" i="80"/>
  <c r="Q556" i="80" s="1"/>
  <c r="BQ556" i="80" l="1"/>
  <c r="BO556" i="80"/>
  <c r="K556" i="80" l="1"/>
  <c r="M557" i="80" s="1"/>
  <c r="L556" i="80"/>
  <c r="N557" i="80" s="1"/>
  <c r="BR556" i="80"/>
  <c r="BS556" i="80" s="1"/>
  <c r="BP556" i="80"/>
  <c r="BU557" i="80" l="1"/>
  <c r="O557" i="80"/>
  <c r="BT557" i="80"/>
  <c r="P557" i="80" l="1"/>
  <c r="U557" i="80" s="1"/>
  <c r="BY557" i="80"/>
  <c r="S557" i="80"/>
  <c r="T557" i="80" l="1"/>
  <c r="X557" i="80"/>
  <c r="V557" i="80" l="1"/>
  <c r="Y557" i="80" l="1"/>
  <c r="BX557" i="80" s="1"/>
  <c r="AC557" i="80"/>
  <c r="AP557" i="80" l="1"/>
  <c r="AQ557" i="80" s="1"/>
  <c r="AR557" i="80" s="1"/>
  <c r="AD557" i="80"/>
  <c r="AE557" i="80" s="1"/>
  <c r="AO557" i="80"/>
  <c r="R557" i="80"/>
  <c r="BE557" i="80"/>
  <c r="BV558" i="80"/>
  <c r="AF557" i="80" l="1"/>
  <c r="AH557" i="80" s="1"/>
  <c r="AI557" i="80" s="1"/>
  <c r="AJ557" i="80" s="1"/>
  <c r="AS557" i="80"/>
  <c r="AG557" i="80" l="1"/>
  <c r="AK557" i="80" s="1"/>
  <c r="AL557" i="80" s="1"/>
  <c r="AT557" i="80" l="1"/>
  <c r="BD557" i="80"/>
  <c r="AX557" i="80"/>
  <c r="AM557" i="80"/>
  <c r="BW558" i="80"/>
  <c r="AN557" i="80"/>
  <c r="AV557" i="80" l="1"/>
  <c r="AW557" i="80"/>
  <c r="AY557" i="80" l="1"/>
  <c r="BA557" i="80" s="1"/>
  <c r="BB557" i="80" s="1"/>
  <c r="BF557" i="80"/>
  <c r="AZ557" i="80" l="1"/>
  <c r="BG557" i="80"/>
  <c r="BH557" i="80" s="1"/>
  <c r="BI557" i="80" l="1"/>
  <c r="BN557" i="80" l="1"/>
  <c r="BJ557" i="80"/>
  <c r="BK557" i="80" s="1"/>
  <c r="BL557" i="80" s="1"/>
  <c r="Q557" i="80" l="1"/>
  <c r="BQ557" i="80"/>
  <c r="BO557" i="80"/>
  <c r="K557" i="80" l="1"/>
  <c r="M558" i="80" s="1"/>
  <c r="BT558" i="80" s="1"/>
  <c r="L557" i="80"/>
  <c r="N558" i="80" s="1"/>
  <c r="BR557" i="80"/>
  <c r="BS557" i="80" s="1"/>
  <c r="BP557" i="80"/>
  <c r="O558" i="80" l="1"/>
  <c r="P558" i="80" s="1"/>
  <c r="U558" i="80" s="1"/>
  <c r="BU558" i="80"/>
  <c r="BY558" i="80" l="1"/>
  <c r="S558" i="80"/>
  <c r="X558" i="80" s="1"/>
  <c r="T558" i="80" l="1"/>
  <c r="V558" i="80" s="1"/>
  <c r="Y558" i="80" s="1"/>
  <c r="AD558" i="80" s="1"/>
  <c r="AE558" i="80" s="1"/>
  <c r="AC558" i="80" l="1"/>
  <c r="R558" i="80" s="1"/>
  <c r="AP558" i="80"/>
  <c r="AQ558" i="80" s="1"/>
  <c r="AS558" i="80" s="1"/>
  <c r="BX558" i="80"/>
  <c r="AF558" i="80"/>
  <c r="AH558" i="80" l="1"/>
  <c r="AI558" i="80" s="1"/>
  <c r="AJ558" i="80" s="1"/>
  <c r="BE558" i="80"/>
  <c r="AO558" i="80"/>
  <c r="BV559" i="80"/>
  <c r="AR558" i="80"/>
  <c r="AG558" i="80"/>
  <c r="AX558" i="80" s="1"/>
  <c r="AT558" i="80" l="1"/>
  <c r="BD558" i="80"/>
  <c r="AK558" i="80"/>
  <c r="AL558" i="80" s="1"/>
  <c r="AN558" i="80" s="1"/>
  <c r="BW559" i="80" l="1"/>
  <c r="AM558" i="80"/>
  <c r="AV558" i="80" s="1"/>
  <c r="AW558" i="80"/>
  <c r="AY558" i="80" l="1"/>
  <c r="BA558" i="80" s="1"/>
  <c r="BB558" i="80" l="1"/>
  <c r="AZ558" i="80"/>
  <c r="BF558" i="80"/>
  <c r="BG558" i="80" l="1"/>
  <c r="BH558" i="80" s="1"/>
  <c r="BI558" i="80" l="1"/>
  <c r="BN558" i="80" s="1"/>
  <c r="Q558" i="80" s="1"/>
  <c r="BJ558" i="80" l="1"/>
  <c r="BK558" i="80" s="1"/>
  <c r="BL558" i="80" s="1"/>
  <c r="K558" i="80"/>
  <c r="M559" i="80" s="1"/>
  <c r="BT559" i="80" s="1"/>
  <c r="L558" i="80"/>
  <c r="N559" i="80" s="1"/>
  <c r="BO558" i="80"/>
  <c r="BQ558" i="80"/>
  <c r="O559" i="80" l="1"/>
  <c r="BY559" i="80" s="1"/>
  <c r="BU559" i="80"/>
  <c r="BR558" i="80"/>
  <c r="BS558" i="80" s="1"/>
  <c r="BP558" i="80"/>
  <c r="S559" i="80" l="1"/>
  <c r="T559" i="80" s="1"/>
  <c r="P559" i="80"/>
  <c r="U559" i="80" s="1"/>
  <c r="X559" i="80" l="1"/>
  <c r="V559" i="80"/>
  <c r="Y559" i="80" l="1"/>
  <c r="AD559" i="80" s="1"/>
  <c r="AC559" i="80"/>
  <c r="BX559" i="80" l="1"/>
  <c r="AP559" i="80"/>
  <c r="AQ559" i="80" s="1"/>
  <c r="AR559" i="80" s="1"/>
  <c r="AO559" i="80"/>
  <c r="BV560" i="80"/>
  <c r="BE559" i="80"/>
  <c r="R559" i="80"/>
  <c r="AE559" i="80"/>
  <c r="AF559" i="80"/>
  <c r="AS559" i="80" l="1"/>
  <c r="AH559" i="80"/>
  <c r="AI559" i="80" s="1"/>
  <c r="AJ559" i="80" s="1"/>
  <c r="AG559" i="80"/>
  <c r="AK559" i="80" l="1"/>
  <c r="AL559" i="80" s="1"/>
  <c r="BD559" i="80"/>
  <c r="AX559" i="80"/>
  <c r="AT559" i="80"/>
  <c r="AN559" i="80" l="1"/>
  <c r="AM559" i="80"/>
  <c r="AV559" i="80" s="1"/>
  <c r="BW560" i="80"/>
  <c r="AW559" i="80"/>
  <c r="AY559" i="80" l="1"/>
  <c r="BA559" i="80" s="1"/>
  <c r="AZ559" i="80" l="1"/>
  <c r="BB559" i="80"/>
  <c r="BF559" i="80"/>
  <c r="BG559" i="80" l="1"/>
  <c r="BH559" i="80" s="1"/>
  <c r="BI559" i="80" l="1"/>
  <c r="BN559" i="80" l="1"/>
  <c r="Q559" i="80" s="1"/>
  <c r="BJ559" i="80"/>
  <c r="BK559" i="80" s="1"/>
  <c r="BL559" i="80" s="1"/>
  <c r="K559" i="80" l="1"/>
  <c r="M560" i="80" s="1"/>
  <c r="L559" i="80"/>
  <c r="N560" i="80" s="1"/>
  <c r="BQ559" i="80"/>
  <c r="BO559" i="80"/>
  <c r="O560" i="80" l="1"/>
  <c r="BY560" i="80" s="1"/>
  <c r="BT560" i="80"/>
  <c r="BU560" i="80"/>
  <c r="BR559" i="80"/>
  <c r="BS559" i="80" s="1"/>
  <c r="BP559" i="80"/>
  <c r="P560" i="80" l="1"/>
  <c r="U560" i="80" s="1"/>
  <c r="S560" i="80"/>
  <c r="T560" i="80" s="1"/>
  <c r="V560" i="80" s="1"/>
  <c r="X560" i="80" l="1"/>
  <c r="Y560" i="80" s="1"/>
  <c r="AP560" i="80" l="1"/>
  <c r="AQ560" i="80" s="1"/>
  <c r="AS560" i="80" s="1"/>
  <c r="AC560" i="80"/>
  <c r="AD560" i="80"/>
  <c r="AE560" i="80" s="1"/>
  <c r="BX560" i="80"/>
  <c r="AR560" i="80" l="1"/>
  <c r="R560" i="80"/>
  <c r="BE560" i="80"/>
  <c r="AO560" i="80"/>
  <c r="BV561" i="80"/>
  <c r="AF560" i="80"/>
  <c r="AG560" i="80" s="1"/>
  <c r="AH560" i="80" l="1"/>
  <c r="AI560" i="80" s="1"/>
  <c r="AJ560" i="80" s="1"/>
  <c r="AK560" i="80"/>
  <c r="AL560" i="80" s="1"/>
  <c r="AX560" i="80"/>
  <c r="BD560" i="80"/>
  <c r="AT560" i="80"/>
  <c r="AM560" i="80" l="1"/>
  <c r="AV560" i="80" s="1"/>
  <c r="BW561" i="80"/>
  <c r="AN560" i="80"/>
  <c r="AW560" i="80"/>
  <c r="AY560" i="80" l="1"/>
  <c r="BA560" i="80" s="1"/>
  <c r="AZ560" i="80" l="1"/>
  <c r="BB560" i="80"/>
  <c r="BF560" i="80"/>
  <c r="BG560" i="80" l="1"/>
  <c r="BH560" i="80" s="1"/>
  <c r="BI560" i="80" l="1"/>
  <c r="BN560" i="80" l="1"/>
  <c r="Q560" i="80" s="1"/>
  <c r="BJ560" i="80"/>
  <c r="BK560" i="80" s="1"/>
  <c r="BL560" i="80" s="1"/>
  <c r="K560" i="80" l="1"/>
  <c r="M561" i="80" s="1"/>
  <c r="BT561" i="80" s="1"/>
  <c r="L560" i="80"/>
  <c r="N561" i="80" s="1"/>
  <c r="BQ560" i="80"/>
  <c r="BO560" i="80"/>
  <c r="O561" i="80" l="1"/>
  <c r="BY561" i="80" s="1"/>
  <c r="BU561" i="80"/>
  <c r="BR560" i="80"/>
  <c r="BS560" i="80" s="1"/>
  <c r="BP560" i="80"/>
  <c r="P561" i="80" l="1"/>
  <c r="U561" i="80" s="1"/>
  <c r="S561" i="80"/>
  <c r="T561" i="80" s="1"/>
  <c r="V561" i="80" s="1"/>
  <c r="X561" i="80" l="1"/>
  <c r="Y561" i="80" s="1"/>
  <c r="BX561" i="80" s="1"/>
  <c r="AC561" i="80" l="1"/>
  <c r="R561" i="80" s="1"/>
  <c r="AP561" i="80"/>
  <c r="AQ561" i="80" s="1"/>
  <c r="AD561" i="80"/>
  <c r="AF561" i="80" s="1"/>
  <c r="AO561" i="80" l="1"/>
  <c r="AR561" i="80"/>
  <c r="BV562" i="80"/>
  <c r="BE561" i="80"/>
  <c r="AS561" i="80"/>
  <c r="AE561" i="80"/>
  <c r="AG561" i="80"/>
  <c r="AH561" i="80"/>
  <c r="AI561" i="80" s="1"/>
  <c r="AJ561" i="80" s="1"/>
  <c r="AK561" i="80" l="1"/>
  <c r="AL561" i="80" s="1"/>
  <c r="AX561" i="80"/>
  <c r="BD561" i="80"/>
  <c r="AT561" i="80"/>
  <c r="AM561" i="80" l="1"/>
  <c r="AV561" i="80" s="1"/>
  <c r="BW562" i="80"/>
  <c r="AN561" i="80"/>
  <c r="AW561" i="80"/>
  <c r="AY561" i="80" l="1"/>
  <c r="BA561" i="80" s="1"/>
  <c r="BB561" i="80" l="1"/>
  <c r="AZ561" i="80"/>
  <c r="BF561" i="80"/>
  <c r="BG561" i="80" l="1"/>
  <c r="BH561" i="80" s="1"/>
  <c r="BI561" i="80" l="1"/>
  <c r="BJ561" i="80" l="1"/>
  <c r="BK561" i="80" s="1"/>
  <c r="BL561" i="80" s="1"/>
  <c r="BN561" i="80"/>
  <c r="Q561" i="80" l="1"/>
  <c r="BQ561" i="80"/>
  <c r="BO561" i="80"/>
  <c r="K561" i="80" l="1"/>
  <c r="M562" i="80" s="1"/>
  <c r="L561" i="80"/>
  <c r="N562" i="80" s="1"/>
  <c r="BP561" i="80"/>
  <c r="BR561" i="80"/>
  <c r="BS561" i="80" s="1"/>
  <c r="O562" i="80" l="1"/>
  <c r="BT562" i="80"/>
  <c r="BU562" i="80"/>
  <c r="S562" i="80"/>
  <c r="BY562" i="80"/>
  <c r="P562" i="80"/>
  <c r="U562" i="80" s="1"/>
  <c r="X562" i="80" l="1"/>
  <c r="T562" i="80"/>
  <c r="V562" i="80" l="1"/>
  <c r="Y562" i="80" s="1"/>
  <c r="BX562" i="80" s="1"/>
  <c r="AD562" i="80" l="1"/>
  <c r="AF562" i="80" s="1"/>
  <c r="AP562" i="80"/>
  <c r="AQ562" i="80" s="1"/>
  <c r="AC562" i="80"/>
  <c r="AE562" i="80" l="1"/>
  <c r="R562" i="80"/>
  <c r="AO562" i="80"/>
  <c r="BV563" i="80"/>
  <c r="BE562" i="80"/>
  <c r="AR562" i="80"/>
  <c r="AS562" i="80"/>
  <c r="AH562" i="80"/>
  <c r="AI562" i="80" s="1"/>
  <c r="AJ562" i="80" s="1"/>
  <c r="AG562" i="80"/>
  <c r="AK562" i="80" l="1"/>
  <c r="AL562" i="80" s="1"/>
  <c r="AX562" i="80"/>
  <c r="BD562" i="80"/>
  <c r="AT562" i="80"/>
  <c r="BW563" i="80" l="1"/>
  <c r="AM562" i="80"/>
  <c r="AV562" i="80" s="1"/>
  <c r="AN562" i="80"/>
  <c r="AW562" i="80"/>
  <c r="AY562" i="80" l="1"/>
  <c r="BA562" i="80" s="1"/>
  <c r="AZ562" i="80" l="1"/>
  <c r="BB562" i="80"/>
  <c r="BF562" i="80"/>
  <c r="BG562" i="80" l="1"/>
  <c r="BH562" i="80" s="1"/>
  <c r="BI562" i="80" l="1"/>
  <c r="BN562" i="80" l="1"/>
  <c r="BJ562" i="80"/>
  <c r="BK562" i="80" s="1"/>
  <c r="BL562" i="80" s="1"/>
  <c r="Q562" i="80" l="1"/>
  <c r="BQ562" i="80"/>
  <c r="BO562" i="80"/>
  <c r="K562" i="80" l="1"/>
  <c r="M563" i="80" s="1"/>
  <c r="BT563" i="80" s="1"/>
  <c r="L562" i="80"/>
  <c r="N563" i="80" s="1"/>
  <c r="BR562" i="80"/>
  <c r="BS562" i="80" s="1"/>
  <c r="BP562" i="80"/>
  <c r="O563" i="80" l="1"/>
  <c r="S563" i="80" s="1"/>
  <c r="BU563" i="80"/>
  <c r="BY563" i="80" l="1"/>
  <c r="P563" i="80"/>
  <c r="U563" i="80" s="1"/>
  <c r="X563" i="80"/>
  <c r="T563" i="80"/>
  <c r="V563" i="80" l="1"/>
  <c r="Y563" i="80" s="1"/>
  <c r="BX563" i="80" s="1"/>
  <c r="AC563" i="80"/>
  <c r="AD563" i="80" l="1"/>
  <c r="AF563" i="80" s="1"/>
  <c r="AP563" i="80"/>
  <c r="AQ563" i="80" s="1"/>
  <c r="AR563" i="80" s="1"/>
  <c r="BE563" i="80"/>
  <c r="R563" i="80"/>
  <c r="BV564" i="80"/>
  <c r="AO563" i="80"/>
  <c r="AE563" i="80" l="1"/>
  <c r="AS563" i="80"/>
  <c r="AG563" i="80"/>
  <c r="AH563" i="80"/>
  <c r="AI563" i="80" s="1"/>
  <c r="AJ563" i="80" s="1"/>
  <c r="AK563" i="80" l="1"/>
  <c r="AL563" i="80" s="1"/>
  <c r="AX563" i="80"/>
  <c r="BD563" i="80"/>
  <c r="AT563" i="80"/>
  <c r="AM563" i="80" l="1"/>
  <c r="AV563" i="80" s="1"/>
  <c r="BW564" i="80"/>
  <c r="AN563" i="80"/>
  <c r="AW563" i="80"/>
  <c r="AY563" i="80" l="1"/>
  <c r="BA563" i="80" s="1"/>
  <c r="AZ563" i="80" l="1"/>
  <c r="BB563" i="80"/>
  <c r="BF563" i="80"/>
  <c r="BG563" i="80" l="1"/>
  <c r="BH563" i="80" s="1"/>
  <c r="BI563" i="80" l="1"/>
  <c r="BN563" i="80" l="1"/>
  <c r="BJ563" i="80"/>
  <c r="BK563" i="80" s="1"/>
  <c r="BL563" i="80" s="1"/>
  <c r="Q563" i="80" l="1"/>
  <c r="BQ563" i="80"/>
  <c r="BO563" i="80"/>
  <c r="K563" i="80" l="1"/>
  <c r="M564" i="80" s="1"/>
  <c r="BT564" i="80" s="1"/>
  <c r="L563" i="80"/>
  <c r="N564" i="80" s="1"/>
  <c r="BR563" i="80"/>
  <c r="BS563" i="80" s="1"/>
  <c r="BP563" i="80"/>
  <c r="O564" i="80" l="1"/>
  <c r="P564" i="80" s="1"/>
  <c r="U564" i="80" s="1"/>
  <c r="BU564" i="80"/>
  <c r="BY564" i="80" l="1"/>
  <c r="S564" i="80"/>
  <c r="X564" i="80" s="1"/>
  <c r="T564" i="80" l="1"/>
  <c r="V564" i="80" s="1"/>
  <c r="Y564" i="80" s="1"/>
  <c r="BX564" i="80" s="1"/>
  <c r="AC564" i="80" l="1"/>
  <c r="R564" i="80" s="1"/>
  <c r="AD564" i="80"/>
  <c r="AE564" i="80" s="1"/>
  <c r="AP564" i="80"/>
  <c r="AQ564" i="80" s="1"/>
  <c r="AO564" i="80" l="1"/>
  <c r="BE564" i="80"/>
  <c r="AR564" i="80"/>
  <c r="BV565" i="80"/>
  <c r="AF564" i="80"/>
  <c r="AH564" i="80" s="1"/>
  <c r="AI564" i="80" s="1"/>
  <c r="AJ564" i="80" s="1"/>
  <c r="AS564" i="80"/>
  <c r="AG564" i="80" l="1"/>
  <c r="AX564" i="80" s="1"/>
  <c r="AT564" i="80" l="1"/>
  <c r="BD564" i="80"/>
  <c r="AK564" i="80"/>
  <c r="AL564" i="80" s="1"/>
  <c r="AM564" i="80" s="1"/>
  <c r="AV564" i="80" s="1"/>
  <c r="AW564" i="80"/>
  <c r="BW565" i="80" l="1"/>
  <c r="AN564" i="80"/>
  <c r="AY564" i="80"/>
  <c r="BA564" i="80" s="1"/>
  <c r="AZ564" i="80" l="1"/>
  <c r="BB564" i="80"/>
  <c r="BF564" i="80"/>
  <c r="BG564" i="80" l="1"/>
  <c r="BH564" i="80" s="1"/>
  <c r="BI564" i="80" l="1"/>
  <c r="BN564" i="80" l="1"/>
  <c r="BJ564" i="80"/>
  <c r="BK564" i="80" s="1"/>
  <c r="BL564" i="80" s="1"/>
  <c r="Q564" i="80" l="1"/>
  <c r="BQ564" i="80"/>
  <c r="BO564" i="80"/>
  <c r="K564" i="80" l="1"/>
  <c r="M565" i="80" s="1"/>
  <c r="L564" i="80"/>
  <c r="N565" i="80" s="1"/>
  <c r="BR564" i="80"/>
  <c r="BS564" i="80" s="1"/>
  <c r="BP564" i="80"/>
  <c r="O565" i="80" l="1"/>
  <c r="S565" i="80" s="1"/>
  <c r="BT565" i="80"/>
  <c r="BU565" i="80"/>
  <c r="P565" i="80"/>
  <c r="U565" i="80" s="1"/>
  <c r="BY565" i="80"/>
  <c r="X565" i="80" l="1"/>
  <c r="T565" i="80"/>
  <c r="V565" i="80" s="1"/>
  <c r="Y565" i="80" l="1"/>
  <c r="AP565" i="80" s="1"/>
  <c r="AQ565" i="80" s="1"/>
  <c r="AC565" i="80"/>
  <c r="AD565" i="80" l="1"/>
  <c r="AE565" i="80" s="1"/>
  <c r="BX565" i="80"/>
  <c r="AO565" i="80"/>
  <c r="R565" i="80"/>
  <c r="BE565" i="80"/>
  <c r="BV566" i="80"/>
  <c r="AR565" i="80"/>
  <c r="AS565" i="80"/>
  <c r="AF565" i="80" l="1"/>
  <c r="AH565" i="80" s="1"/>
  <c r="AI565" i="80" s="1"/>
  <c r="AJ565" i="80" s="1"/>
  <c r="AG565" i="80" l="1"/>
  <c r="BD565" i="80" s="1"/>
  <c r="AK565" i="80" l="1"/>
  <c r="AL565" i="80" s="1"/>
  <c r="AM565" i="80" s="1"/>
  <c r="AT565" i="80"/>
  <c r="AX565" i="80"/>
  <c r="AN565" i="80" l="1"/>
  <c r="BW566" i="80"/>
  <c r="AV565" i="80"/>
  <c r="AW565" i="80"/>
  <c r="AY565" i="80" l="1"/>
  <c r="BA565" i="80" s="1"/>
  <c r="BB565" i="80" s="1"/>
  <c r="BF565" i="80"/>
  <c r="AZ565" i="80" l="1"/>
  <c r="BG565" i="80"/>
  <c r="BH565" i="80" s="1"/>
  <c r="BI565" i="80" l="1"/>
  <c r="BN565" i="80" l="1"/>
  <c r="BJ565" i="80"/>
  <c r="BK565" i="80" s="1"/>
  <c r="BL565" i="80" s="1"/>
  <c r="Q565" i="80" l="1"/>
  <c r="BQ565" i="80"/>
  <c r="BO565" i="80"/>
  <c r="K565" i="80" l="1"/>
  <c r="M566" i="80" s="1"/>
  <c r="BT566" i="80" s="1"/>
  <c r="L565" i="80"/>
  <c r="N566" i="80" s="1"/>
  <c r="BR565" i="80"/>
  <c r="BS565" i="80" s="1"/>
  <c r="BP565" i="80"/>
  <c r="O566" i="80" l="1"/>
  <c r="S566" i="80" s="1"/>
  <c r="BU566" i="80"/>
  <c r="BY566" i="80"/>
  <c r="P566" i="80" l="1"/>
  <c r="U566" i="80" s="1"/>
  <c r="X566" i="80"/>
  <c r="T566" i="80"/>
  <c r="V566" i="80" s="1"/>
  <c r="Y566" i="80" l="1"/>
  <c r="AD566" i="80" s="1"/>
  <c r="AC566" i="80"/>
  <c r="AP566" i="80" l="1"/>
  <c r="AQ566" i="80" s="1"/>
  <c r="AS566" i="80" s="1"/>
  <c r="BX566" i="80"/>
  <c r="BE566" i="80"/>
  <c r="AO566" i="80"/>
  <c r="BV567" i="80"/>
  <c r="R566" i="80"/>
  <c r="AE566" i="80"/>
  <c r="AF566" i="80"/>
  <c r="AR566" i="80" l="1"/>
  <c r="AH566" i="80"/>
  <c r="AI566" i="80" s="1"/>
  <c r="AJ566" i="80" s="1"/>
  <c r="AG566" i="80"/>
  <c r="BD566" i="80" l="1"/>
  <c r="AX566" i="80"/>
  <c r="AK566" i="80"/>
  <c r="AL566" i="80" s="1"/>
  <c r="AT566" i="80"/>
  <c r="AM566" i="80" l="1"/>
  <c r="AV566" i="80" s="1"/>
  <c r="BW567" i="80"/>
  <c r="AN566" i="80"/>
  <c r="AW566" i="80"/>
  <c r="AY566" i="80" l="1"/>
  <c r="BA566" i="80" s="1"/>
  <c r="AZ566" i="80" l="1"/>
  <c r="BB566" i="80"/>
  <c r="BF566" i="80"/>
  <c r="BG566" i="80" l="1"/>
  <c r="BH566" i="80" s="1"/>
  <c r="BI566" i="80" l="1"/>
  <c r="BN566" i="80" l="1"/>
  <c r="BJ566" i="80"/>
  <c r="BK566" i="80" s="1"/>
  <c r="BL566" i="80" s="1"/>
  <c r="Q566" i="80" l="1"/>
  <c r="BQ566" i="80"/>
  <c r="BO566" i="80"/>
  <c r="K566" i="80" l="1"/>
  <c r="M567" i="80" s="1"/>
  <c r="L566" i="80"/>
  <c r="N567" i="80" s="1"/>
  <c r="BR566" i="80"/>
  <c r="BS566" i="80" s="1"/>
  <c r="BP566" i="80"/>
  <c r="O567" i="80" l="1"/>
  <c r="P567" i="80" s="1"/>
  <c r="U567" i="80" s="1"/>
  <c r="BT567" i="80"/>
  <c r="BU567" i="80"/>
  <c r="BY567" i="80" l="1"/>
  <c r="S567" i="80"/>
  <c r="X567" i="80" s="1"/>
  <c r="T567" i="80" l="1"/>
  <c r="V567" i="80" s="1"/>
  <c r="Y567" i="80" s="1"/>
  <c r="AP567" i="80" s="1"/>
  <c r="AQ567" i="80" s="1"/>
  <c r="AC567" i="80" l="1"/>
  <c r="BE567" i="80" s="1"/>
  <c r="BX567" i="80"/>
  <c r="AD567" i="80"/>
  <c r="AE567" i="80" s="1"/>
  <c r="AS567" i="80"/>
  <c r="BV568" i="80" l="1"/>
  <c r="AR567" i="80"/>
  <c r="AO567" i="80"/>
  <c r="R567" i="80"/>
  <c r="AF567" i="80"/>
  <c r="AG567" i="80" s="1"/>
  <c r="AH567" i="80" l="1"/>
  <c r="AI567" i="80" s="1"/>
  <c r="AJ567" i="80" s="1"/>
  <c r="AX567" i="80"/>
  <c r="AK567" i="80"/>
  <c r="AL567" i="80" s="1"/>
  <c r="BD567" i="80"/>
  <c r="AT567" i="80"/>
  <c r="AM567" i="80" l="1"/>
  <c r="AV567" i="80" s="1"/>
  <c r="AN567" i="80"/>
  <c r="BW568" i="80"/>
  <c r="AW567" i="80"/>
  <c r="AY567" i="80" l="1"/>
  <c r="BA567" i="80" s="1"/>
  <c r="AZ567" i="80" l="1"/>
  <c r="BB567" i="80"/>
  <c r="BF567" i="80"/>
  <c r="BG567" i="80" l="1"/>
  <c r="BH567" i="80"/>
  <c r="BI567" i="80" l="1"/>
  <c r="BN567" i="80" l="1"/>
  <c r="Q567" i="80" s="1"/>
  <c r="BJ567" i="80"/>
  <c r="BK567" i="80" s="1"/>
  <c r="BL567" i="80" s="1"/>
  <c r="K567" i="80" l="1"/>
  <c r="M568" i="80" s="1"/>
  <c r="L567" i="80"/>
  <c r="N568" i="80" s="1"/>
  <c r="BQ567" i="80"/>
  <c r="BO567" i="80"/>
  <c r="BU568" i="80" l="1"/>
  <c r="BT568" i="80"/>
  <c r="O568" i="80"/>
  <c r="BR567" i="80"/>
  <c r="BS567" i="80" s="1"/>
  <c r="BP567" i="80"/>
  <c r="S568" i="80" l="1"/>
  <c r="BY568" i="80"/>
  <c r="P568" i="80"/>
  <c r="U568" i="80" s="1"/>
  <c r="X568" i="80" l="1"/>
  <c r="T568" i="80"/>
  <c r="V568" i="80" s="1"/>
  <c r="Y568" i="80" s="1"/>
  <c r="BX568" i="80" l="1"/>
  <c r="AD568" i="80"/>
  <c r="AP568" i="80"/>
  <c r="AQ568" i="80" s="1"/>
  <c r="AC568" i="80"/>
  <c r="R568" i="80" l="1"/>
  <c r="AO568" i="80"/>
  <c r="BE568" i="80"/>
  <c r="BV569" i="80"/>
  <c r="AR568" i="80"/>
  <c r="AS568" i="80"/>
  <c r="AF568" i="80"/>
  <c r="AE568" i="80"/>
  <c r="AH568" i="80" l="1"/>
  <c r="AI568" i="80" s="1"/>
  <c r="AJ568" i="80" s="1"/>
  <c r="AG568" i="80"/>
  <c r="AX568" i="80" l="1"/>
  <c r="AK568" i="80"/>
  <c r="AL568" i="80" s="1"/>
  <c r="BD568" i="80"/>
  <c r="AT568" i="80"/>
  <c r="AM568" i="80" l="1"/>
  <c r="AV568" i="80" s="1"/>
  <c r="BW569" i="80"/>
  <c r="AN568" i="80"/>
  <c r="AW568" i="80"/>
  <c r="AY568" i="80" l="1"/>
  <c r="BA568" i="80" s="1"/>
  <c r="AZ568" i="80" l="1"/>
  <c r="BB568" i="80"/>
  <c r="BF568" i="80"/>
  <c r="BG568" i="80" l="1"/>
  <c r="BH568" i="80" s="1"/>
  <c r="BI568" i="80" l="1"/>
  <c r="BN568" i="80" l="1"/>
  <c r="BJ568" i="80"/>
  <c r="BK568" i="80" s="1"/>
  <c r="BL568" i="80" s="1"/>
  <c r="BO568" i="80" l="1"/>
  <c r="BQ568" i="80"/>
  <c r="Q568" i="80"/>
  <c r="K568" i="80" l="1"/>
  <c r="M569" i="80" s="1"/>
  <c r="L568" i="80"/>
  <c r="N569" i="80" s="1"/>
  <c r="BR568" i="80"/>
  <c r="BS568" i="80" s="1"/>
  <c r="BP568" i="80"/>
  <c r="BU569" i="80" l="1"/>
  <c r="BT569" i="80"/>
  <c r="O569" i="80"/>
  <c r="P569" i="80" l="1"/>
  <c r="U569" i="80" s="1"/>
  <c r="S569" i="80"/>
  <c r="BY569" i="80"/>
  <c r="T569" i="80" l="1"/>
  <c r="V569" i="80" s="1"/>
  <c r="X569" i="80"/>
  <c r="Y569" i="80" l="1"/>
  <c r="AD569" i="80" s="1"/>
  <c r="AC569" i="80"/>
  <c r="AP569" i="80" l="1"/>
  <c r="AQ569" i="80" s="1"/>
  <c r="AR569" i="80" s="1"/>
  <c r="R569" i="80"/>
  <c r="BE569" i="80"/>
  <c r="BV570" i="80"/>
  <c r="BX569" i="80"/>
  <c r="AO569" i="80"/>
  <c r="AE569" i="80"/>
  <c r="AF569" i="80"/>
  <c r="AS569" i="80" l="1"/>
  <c r="AG569" i="80"/>
  <c r="AH569" i="80"/>
  <c r="AI569" i="80" s="1"/>
  <c r="AJ569" i="80" s="1"/>
  <c r="BD569" i="80" l="1"/>
  <c r="AX569" i="80"/>
  <c r="AK569" i="80"/>
  <c r="AL569" i="80" s="1"/>
  <c r="AT569" i="80"/>
  <c r="AM569" i="80" l="1"/>
  <c r="AV569" i="80" s="1"/>
  <c r="BW570" i="80"/>
  <c r="AN569" i="80"/>
  <c r="AW569" i="80"/>
  <c r="AY569" i="80" l="1"/>
  <c r="BA569" i="80" s="1"/>
  <c r="AZ569" i="80" l="1"/>
  <c r="BB569" i="80"/>
  <c r="BF569" i="80"/>
  <c r="BG569" i="80" l="1"/>
  <c r="BH569" i="80" s="1"/>
  <c r="BI569" i="80" l="1"/>
  <c r="BJ569" i="80" l="1"/>
  <c r="BK569" i="80" s="1"/>
  <c r="BL569" i="80" s="1"/>
  <c r="BN569" i="80"/>
  <c r="BQ569" i="80" l="1"/>
  <c r="BO569" i="80"/>
  <c r="Q569" i="80"/>
  <c r="K569" i="80" l="1"/>
  <c r="M570" i="80" s="1"/>
  <c r="L569" i="80"/>
  <c r="N570" i="80" s="1"/>
  <c r="BR569" i="80"/>
  <c r="BS569" i="80" s="1"/>
  <c r="BP569" i="80"/>
  <c r="BU570" i="80" l="1"/>
  <c r="O570" i="80"/>
  <c r="BT570" i="80"/>
  <c r="BY570" i="80" l="1"/>
  <c r="P570" i="80"/>
  <c r="U570" i="80" s="1"/>
  <c r="S570" i="80"/>
  <c r="T570" i="80" l="1"/>
  <c r="V570" i="80" s="1"/>
  <c r="X570" i="80"/>
  <c r="Y570" i="80" l="1"/>
  <c r="AC570" i="80"/>
  <c r="R570" i="80" l="1"/>
  <c r="AP570" i="80"/>
  <c r="AQ570" i="80" s="1"/>
  <c r="AS570" i="80" s="1"/>
  <c r="BX570" i="80"/>
  <c r="AD570" i="80"/>
  <c r="AF570" i="80" s="1"/>
  <c r="BV571" i="80"/>
  <c r="AO570" i="80"/>
  <c r="BE570" i="80"/>
  <c r="AE570" i="80" l="1"/>
  <c r="AR570" i="80"/>
  <c r="AH570" i="80"/>
  <c r="AI570" i="80" s="1"/>
  <c r="AJ570" i="80" s="1"/>
  <c r="AG570" i="80"/>
  <c r="AX570" i="80" l="1"/>
  <c r="AK570" i="80"/>
  <c r="AL570" i="80" s="1"/>
  <c r="BD570" i="80"/>
  <c r="AT570" i="80"/>
  <c r="AM570" i="80" l="1"/>
  <c r="AV570" i="80" s="1"/>
  <c r="AN570" i="80"/>
  <c r="BW571" i="80"/>
  <c r="AW570" i="80"/>
  <c r="AY570" i="80" l="1"/>
  <c r="BA570" i="80" s="1"/>
  <c r="AZ570" i="80" l="1"/>
  <c r="BB570" i="80"/>
  <c r="BF570" i="80"/>
  <c r="BG570" i="80" l="1"/>
  <c r="BH570" i="80" s="1"/>
  <c r="BI570" i="80" l="1"/>
  <c r="BN570" i="80" l="1"/>
  <c r="BJ570" i="80"/>
  <c r="BK570" i="80" s="1"/>
  <c r="BL570" i="80" s="1"/>
  <c r="BQ570" i="80" l="1"/>
  <c r="BO570" i="80"/>
  <c r="Q570" i="80"/>
  <c r="K570" i="80" l="1"/>
  <c r="M571" i="80" s="1"/>
  <c r="L570" i="80"/>
  <c r="N571" i="80" s="1"/>
  <c r="BR570" i="80"/>
  <c r="BS570" i="80" s="1"/>
  <c r="BP570" i="80"/>
  <c r="BU571" i="80" l="1"/>
  <c r="O571" i="80"/>
  <c r="BT571" i="80"/>
  <c r="S571" i="80" l="1"/>
  <c r="P571" i="80"/>
  <c r="U571" i="80" s="1"/>
  <c r="BY571" i="80"/>
  <c r="T571" i="80" l="1"/>
  <c r="V571" i="80" s="1"/>
  <c r="X571" i="80"/>
  <c r="Y571" i="80" l="1"/>
  <c r="BX571" i="80" s="1"/>
  <c r="AC571" i="80"/>
  <c r="BE571" i="80" l="1"/>
  <c r="R571" i="80"/>
  <c r="BV572" i="80"/>
  <c r="AO571" i="80"/>
  <c r="AD571" i="80"/>
  <c r="AE571" i="80" s="1"/>
  <c r="AP571" i="80"/>
  <c r="AQ571" i="80" s="1"/>
  <c r="AR571" i="80" s="1"/>
  <c r="AF571" i="80" l="1"/>
  <c r="AG571" i="80" s="1"/>
  <c r="AS571" i="80"/>
  <c r="AH571" i="80" l="1"/>
  <c r="AI571" i="80" s="1"/>
  <c r="AJ571" i="80" s="1"/>
  <c r="BD571" i="80"/>
  <c r="AX571" i="80"/>
  <c r="AK571" i="80"/>
  <c r="AL571" i="80" s="1"/>
  <c r="AT571" i="80"/>
  <c r="AM571" i="80" l="1"/>
  <c r="AV571" i="80" s="1"/>
  <c r="AN571" i="80"/>
  <c r="BW572" i="80"/>
  <c r="AW571" i="80"/>
  <c r="AY571" i="80" l="1"/>
  <c r="BA571" i="80" s="1"/>
  <c r="AZ571" i="80" l="1"/>
  <c r="BB571" i="80"/>
  <c r="BF571" i="80"/>
  <c r="BG571" i="80" l="1"/>
  <c r="BH571" i="80" s="1"/>
  <c r="BI571" i="80" l="1"/>
  <c r="BN571" i="80" l="1"/>
  <c r="BJ571" i="80"/>
  <c r="BK571" i="80" s="1"/>
  <c r="BL571" i="80" s="1"/>
  <c r="BQ571" i="80" l="1"/>
  <c r="BO571" i="80"/>
  <c r="Q571" i="80"/>
  <c r="BR571" i="80" l="1"/>
  <c r="BS571" i="80" s="1"/>
  <c r="BP571" i="80"/>
  <c r="K571" i="80"/>
  <c r="M572" i="80" s="1"/>
  <c r="L571" i="80"/>
  <c r="N572" i="80" s="1"/>
  <c r="BU572" i="80" l="1"/>
  <c r="BT572" i="80"/>
  <c r="O572" i="80"/>
  <c r="S572" i="80" l="1"/>
  <c r="P572" i="80"/>
  <c r="U572" i="80" s="1"/>
  <c r="BY572" i="80"/>
  <c r="T572" i="80" l="1"/>
  <c r="V572" i="80" s="1"/>
  <c r="X572" i="80"/>
  <c r="Y572" i="80" l="1"/>
  <c r="AC572" i="80"/>
  <c r="BE572" i="80" l="1"/>
  <c r="AD572" i="80"/>
  <c r="AE572" i="80" s="1"/>
  <c r="BX572" i="80"/>
  <c r="AP572" i="80"/>
  <c r="AQ572" i="80" s="1"/>
  <c r="AS572" i="80" s="1"/>
  <c r="AO572" i="80"/>
  <c r="BV573" i="80"/>
  <c r="R572" i="80"/>
  <c r="AF572" i="80" l="1"/>
  <c r="AH572" i="80" s="1"/>
  <c r="AI572" i="80" s="1"/>
  <c r="AJ572" i="80" s="1"/>
  <c r="AR572" i="80"/>
  <c r="AG572" i="80" l="1"/>
  <c r="AX572" i="80" s="1"/>
  <c r="AK572" i="80" l="1"/>
  <c r="AL572" i="80" s="1"/>
  <c r="BW573" i="80" s="1"/>
  <c r="AT572" i="80"/>
  <c r="BD572" i="80"/>
  <c r="AN572" i="80"/>
  <c r="AM572" i="80" l="1"/>
  <c r="AV572" i="80" s="1"/>
  <c r="AW572" i="80"/>
  <c r="AY572" i="80" l="1"/>
  <c r="BA572" i="80" s="1"/>
  <c r="BB572" i="80" s="1"/>
  <c r="BF572" i="80"/>
  <c r="AZ572" i="80" l="1"/>
  <c r="BG572" i="80"/>
  <c r="BH572" i="80" s="1"/>
  <c r="BI572" i="80" l="1"/>
  <c r="BN572" i="80" l="1"/>
  <c r="BJ572" i="80"/>
  <c r="BK572" i="80" s="1"/>
  <c r="BL572" i="80" s="1"/>
  <c r="BQ572" i="80" l="1"/>
  <c r="BO572" i="80"/>
  <c r="Q572" i="80"/>
  <c r="K572" i="80" l="1"/>
  <c r="M573" i="80" s="1"/>
  <c r="L572" i="80"/>
  <c r="N573" i="80" s="1"/>
  <c r="BR572" i="80"/>
  <c r="BS572" i="80" s="1"/>
  <c r="BP572" i="80"/>
  <c r="BU573" i="80" l="1"/>
  <c r="O573" i="80"/>
  <c r="BT573" i="80"/>
  <c r="P573" i="80" l="1"/>
  <c r="U573" i="80" s="1"/>
  <c r="S573" i="80"/>
  <c r="BY573" i="80"/>
  <c r="T573" i="80" l="1"/>
  <c r="V573" i="80" s="1"/>
  <c r="Y573" i="80" s="1"/>
  <c r="X573" i="80"/>
  <c r="AC573" i="80" l="1"/>
  <c r="R573" i="80" s="1"/>
  <c r="AD573" i="80"/>
  <c r="BX573" i="80"/>
  <c r="AP573" i="80"/>
  <c r="AQ573" i="80" s="1"/>
  <c r="BE573" i="80" l="1"/>
  <c r="AO573" i="80"/>
  <c r="BV574" i="80"/>
  <c r="AE573" i="80"/>
  <c r="AF573" i="80"/>
  <c r="AR573" i="80"/>
  <c r="AS573" i="80"/>
  <c r="AG573" i="80" l="1"/>
  <c r="AH573" i="80"/>
  <c r="AI573" i="80" s="1"/>
  <c r="AJ573" i="80" s="1"/>
  <c r="BD573" i="80" l="1"/>
  <c r="AK573" i="80"/>
  <c r="AL573" i="80" s="1"/>
  <c r="AX573" i="80"/>
  <c r="AT573" i="80"/>
  <c r="AM573" i="80" l="1"/>
  <c r="AV573" i="80" s="1"/>
  <c r="AN573" i="80"/>
  <c r="BW574" i="80"/>
  <c r="AW573" i="80"/>
  <c r="AY573" i="80" l="1"/>
  <c r="BA573" i="80" s="1"/>
  <c r="AZ573" i="80" l="1"/>
  <c r="BB573" i="80"/>
  <c r="BF573" i="80"/>
  <c r="BG573" i="80" l="1"/>
  <c r="BH573" i="80" s="1"/>
  <c r="BI573" i="80" l="1"/>
  <c r="BN573" i="80" l="1"/>
  <c r="BJ573" i="80"/>
  <c r="BK573" i="80" s="1"/>
  <c r="BL573" i="80" s="1"/>
  <c r="BQ573" i="80" l="1"/>
  <c r="BO573" i="80"/>
  <c r="Q573" i="80"/>
  <c r="K573" i="80" l="1"/>
  <c r="M574" i="80" s="1"/>
  <c r="L573" i="80"/>
  <c r="N574" i="80" s="1"/>
  <c r="BR573" i="80"/>
  <c r="BS573" i="80" s="1"/>
  <c r="BP573" i="80"/>
  <c r="BU574" i="80" l="1"/>
  <c r="O574" i="80"/>
  <c r="BT574" i="80"/>
  <c r="BY574" i="80" l="1"/>
  <c r="P574" i="80"/>
  <c r="U574" i="80" s="1"/>
  <c r="S574" i="80"/>
  <c r="T574" i="80" l="1"/>
  <c r="V574" i="80" s="1"/>
  <c r="Y574" i="80" s="1"/>
  <c r="AC574" i="80" s="1"/>
  <c r="X574" i="80"/>
  <c r="BE574" i="80" l="1"/>
  <c r="R574" i="80"/>
  <c r="BV575" i="80"/>
  <c r="BX574" i="80"/>
  <c r="AP574" i="80"/>
  <c r="AQ574" i="80" s="1"/>
  <c r="AO574" i="80"/>
  <c r="AD574" i="80"/>
  <c r="AE574" i="80" l="1"/>
  <c r="AF574" i="80"/>
  <c r="AR574" i="80"/>
  <c r="AS574" i="80"/>
  <c r="AG574" i="80" l="1"/>
  <c r="AH574" i="80"/>
  <c r="AI574" i="80" s="1"/>
  <c r="AJ574" i="80" s="1"/>
  <c r="AK574" i="80" l="1"/>
  <c r="AL574" i="80" s="1"/>
  <c r="AX574" i="80"/>
  <c r="BD574" i="80"/>
  <c r="AT574" i="80"/>
  <c r="AM574" i="80" l="1"/>
  <c r="AV574" i="80" s="1"/>
  <c r="BW575" i="80"/>
  <c r="AN574" i="80"/>
  <c r="AW574" i="80"/>
  <c r="AY574" i="80" l="1"/>
  <c r="BA574" i="80" s="1"/>
  <c r="AZ574" i="80" l="1"/>
  <c r="BB574" i="80"/>
  <c r="BF574" i="80"/>
  <c r="BG574" i="80" l="1"/>
  <c r="BH574" i="80" s="1"/>
  <c r="BI574" i="80" l="1"/>
  <c r="BN574" i="80" l="1"/>
  <c r="BJ574" i="80"/>
  <c r="BK574" i="80" s="1"/>
  <c r="BL574" i="80" s="1"/>
  <c r="BQ574" i="80" l="1"/>
  <c r="BO574" i="80"/>
  <c r="Q574" i="80"/>
  <c r="K574" i="80" l="1"/>
  <c r="M575" i="80" s="1"/>
  <c r="L574" i="80"/>
  <c r="N575" i="80" s="1"/>
  <c r="BR574" i="80"/>
  <c r="BS574" i="80" s="1"/>
  <c r="BP574" i="80"/>
  <c r="BU575" i="80" l="1"/>
  <c r="O575" i="80"/>
  <c r="BT575" i="80"/>
  <c r="P575" i="80" l="1"/>
  <c r="U575" i="80" s="1"/>
  <c r="BY575" i="80"/>
  <c r="S575" i="80"/>
  <c r="T575" i="80" l="1"/>
  <c r="V575" i="80" s="1"/>
  <c r="Y575" i="80" s="1"/>
  <c r="AC575" i="80" s="1"/>
  <c r="X575" i="80"/>
  <c r="BE575" i="80" l="1"/>
  <c r="R575" i="80"/>
  <c r="BV576" i="80"/>
  <c r="BX575" i="80"/>
  <c r="AP575" i="80"/>
  <c r="AQ575" i="80" s="1"/>
  <c r="AD575" i="80"/>
  <c r="AO575" i="80"/>
  <c r="AF575" i="80" l="1"/>
  <c r="AE575" i="80"/>
  <c r="AR575" i="80"/>
  <c r="AS575" i="80"/>
  <c r="AG575" i="80" l="1"/>
  <c r="AH575" i="80"/>
  <c r="AI575" i="80" s="1"/>
  <c r="AJ575" i="80" s="1"/>
  <c r="AX575" i="80" l="1"/>
  <c r="BD575" i="80"/>
  <c r="AK575" i="80"/>
  <c r="AL575" i="80" s="1"/>
  <c r="AT575" i="80"/>
  <c r="AM575" i="80" l="1"/>
  <c r="AV575" i="80" s="1"/>
  <c r="AN575" i="80"/>
  <c r="BW576" i="80"/>
  <c r="AW575" i="80"/>
  <c r="AY575" i="80" l="1"/>
  <c r="BA575" i="80" s="1"/>
  <c r="AZ575" i="80" l="1"/>
  <c r="BB575" i="80"/>
  <c r="BF575" i="80"/>
  <c r="BG575" i="80" l="1"/>
  <c r="BH575" i="80" s="1"/>
  <c r="BI575" i="80" l="1"/>
  <c r="BN575" i="80" l="1"/>
  <c r="BJ575" i="80"/>
  <c r="BK575" i="80" s="1"/>
  <c r="BL575" i="80" s="1"/>
  <c r="BQ575" i="80" l="1"/>
  <c r="BO575" i="80"/>
  <c r="Q575" i="80"/>
  <c r="K575" i="80" l="1"/>
  <c r="M576" i="80" s="1"/>
  <c r="L575" i="80"/>
  <c r="N576" i="80" s="1"/>
  <c r="BR575" i="80"/>
  <c r="BS575" i="80" s="1"/>
  <c r="BP575" i="80"/>
  <c r="BU576" i="80" l="1"/>
  <c r="O576" i="80"/>
  <c r="BT576" i="80"/>
  <c r="S576" i="80" l="1"/>
  <c r="P576" i="80"/>
  <c r="U576" i="80" s="1"/>
  <c r="BY576" i="80"/>
  <c r="T576" i="80" l="1"/>
  <c r="V576" i="80" s="1"/>
  <c r="Y576" i="80" s="1"/>
  <c r="X576" i="80"/>
  <c r="AC576" i="80" l="1"/>
  <c r="BE576" i="80" s="1"/>
  <c r="BX576" i="80"/>
  <c r="AD576" i="80"/>
  <c r="AP576" i="80"/>
  <c r="AQ576" i="80" s="1"/>
  <c r="AO576" i="80" l="1"/>
  <c r="BV577" i="80"/>
  <c r="R576" i="80"/>
  <c r="AF576" i="80"/>
  <c r="AE576" i="80"/>
  <c r="AR576" i="80"/>
  <c r="AS576" i="80"/>
  <c r="AH576" i="80" l="1"/>
  <c r="AI576" i="80" s="1"/>
  <c r="AJ576" i="80" s="1"/>
  <c r="AG576" i="80"/>
  <c r="AK576" i="80" l="1"/>
  <c r="AL576" i="80" s="1"/>
  <c r="BD576" i="80"/>
  <c r="AX576" i="80"/>
  <c r="AT576" i="80"/>
  <c r="AM576" i="80" l="1"/>
  <c r="AV576" i="80" s="1"/>
  <c r="BW577" i="80"/>
  <c r="AN576" i="80"/>
  <c r="AW576" i="80"/>
  <c r="AY576" i="80" l="1"/>
  <c r="BA576" i="80" s="1"/>
  <c r="AZ576" i="80" l="1"/>
  <c r="BB576" i="80"/>
  <c r="BF576" i="80"/>
  <c r="BG576" i="80" l="1"/>
  <c r="BH576" i="80" s="1"/>
  <c r="BI576" i="80" l="1"/>
  <c r="BJ576" i="80" l="1"/>
  <c r="BK576" i="80" s="1"/>
  <c r="BL576" i="80" s="1"/>
  <c r="BN576" i="80"/>
  <c r="BQ576" i="80" l="1"/>
  <c r="BO576" i="80"/>
  <c r="Q576" i="80"/>
  <c r="BR576" i="80" l="1"/>
  <c r="BS576" i="80" s="1"/>
  <c r="BP576" i="80"/>
  <c r="K576" i="80"/>
  <c r="M577" i="80" s="1"/>
  <c r="L576" i="80"/>
  <c r="N577" i="80" s="1"/>
  <c r="BU577" i="80" l="1"/>
  <c r="BT577" i="80"/>
  <c r="O577" i="80"/>
  <c r="P577" i="80" l="1"/>
  <c r="U577" i="80" s="1"/>
  <c r="BY577" i="80"/>
  <c r="S577" i="80"/>
  <c r="T577" i="80" l="1"/>
  <c r="V577" i="80" s="1"/>
  <c r="Y577" i="80" s="1"/>
  <c r="X577" i="80"/>
  <c r="AC577" i="80" l="1"/>
  <c r="R577" i="80" s="1"/>
  <c r="BX577" i="80"/>
  <c r="AD577" i="80"/>
  <c r="AP577" i="80"/>
  <c r="AQ577" i="80" s="1"/>
  <c r="AO577" i="80" l="1"/>
  <c r="BE577" i="80"/>
  <c r="BV578" i="80"/>
  <c r="AR577" i="80"/>
  <c r="AS577" i="80"/>
  <c r="AF577" i="80"/>
  <c r="AE577" i="80"/>
  <c r="AH577" i="80" l="1"/>
  <c r="AI577" i="80" s="1"/>
  <c r="AJ577" i="80" s="1"/>
  <c r="AG577" i="80"/>
  <c r="AX577" i="80" l="1"/>
  <c r="AK577" i="80"/>
  <c r="AL577" i="80" s="1"/>
  <c r="BD577" i="80"/>
  <c r="AT577" i="80"/>
  <c r="AM577" i="80" l="1"/>
  <c r="AV577" i="80" s="1"/>
  <c r="AN577" i="80"/>
  <c r="BW578" i="80"/>
  <c r="AW577" i="80"/>
  <c r="AY577" i="80" l="1"/>
  <c r="BA577" i="80" s="1"/>
  <c r="AZ577" i="80" l="1"/>
  <c r="BB577" i="80"/>
  <c r="BF577" i="80"/>
  <c r="BG577" i="80" l="1"/>
  <c r="BH577" i="80" s="1"/>
  <c r="BI577" i="80" l="1"/>
  <c r="BJ577" i="80" l="1"/>
  <c r="BK577" i="80" s="1"/>
  <c r="BL577" i="80" s="1"/>
  <c r="BN577" i="80"/>
  <c r="BQ577" i="80" l="1"/>
  <c r="BO577" i="80"/>
  <c r="Q577" i="80"/>
  <c r="BR577" i="80" l="1"/>
  <c r="BS577" i="80" s="1"/>
  <c r="BP577" i="80"/>
  <c r="K577" i="80"/>
  <c r="M578" i="80" s="1"/>
  <c r="L577" i="80"/>
  <c r="N578" i="80" s="1"/>
  <c r="O578" i="80" l="1"/>
  <c r="BT578" i="80"/>
  <c r="BU578" i="80"/>
  <c r="P578" i="80" l="1"/>
  <c r="U578" i="80" s="1"/>
  <c r="S578" i="80"/>
  <c r="BY578" i="80"/>
  <c r="T578" i="80" l="1"/>
  <c r="V578" i="80" s="1"/>
  <c r="Y578" i="80" s="1"/>
  <c r="AC578" i="80" s="1"/>
  <c r="X578" i="80"/>
  <c r="R578" i="80" l="1"/>
  <c r="BE578" i="80"/>
  <c r="BV579" i="80"/>
  <c r="AD578" i="80"/>
  <c r="AP578" i="80"/>
  <c r="AQ578" i="80" s="1"/>
  <c r="AO578" i="80"/>
  <c r="BX578" i="80"/>
  <c r="AE578" i="80" l="1"/>
  <c r="AF578" i="80"/>
  <c r="AR578" i="80"/>
  <c r="AS578" i="80"/>
  <c r="AG578" i="80" l="1"/>
  <c r="AH578" i="80"/>
  <c r="AI578" i="80" s="1"/>
  <c r="AJ578" i="80" s="1"/>
  <c r="AX578" i="80" l="1"/>
  <c r="BD578" i="80"/>
  <c r="AK578" i="80"/>
  <c r="AL578" i="80" s="1"/>
  <c r="AT578" i="80"/>
  <c r="AM578" i="80" l="1"/>
  <c r="AV578" i="80" s="1"/>
  <c r="BW579" i="80"/>
  <c r="AN578" i="80"/>
  <c r="AW578" i="80"/>
  <c r="AY578" i="80" l="1"/>
  <c r="BA578" i="80" s="1"/>
  <c r="AZ578" i="80" l="1"/>
  <c r="BB578" i="80"/>
  <c r="BF578" i="80"/>
  <c r="BG578" i="80" l="1"/>
  <c r="BH578" i="80" s="1"/>
  <c r="BI578" i="80" l="1"/>
  <c r="BN578" i="80" l="1"/>
  <c r="BJ578" i="80"/>
  <c r="BK578" i="80" s="1"/>
  <c r="BL578" i="80" s="1"/>
  <c r="BQ578" i="80" l="1"/>
  <c r="BO578" i="80"/>
  <c r="Q578" i="80"/>
  <c r="K578" i="80" l="1"/>
  <c r="M579" i="80" s="1"/>
  <c r="L578" i="80"/>
  <c r="N579" i="80" s="1"/>
  <c r="BR578" i="80"/>
  <c r="BS578" i="80" s="1"/>
  <c r="BP578" i="80"/>
  <c r="BU579" i="80" l="1"/>
  <c r="BT579" i="80"/>
  <c r="O579" i="80"/>
  <c r="BY579" i="80" l="1"/>
  <c r="S579" i="80"/>
  <c r="P579" i="80"/>
  <c r="U579" i="80" s="1"/>
  <c r="T579" i="80" l="1"/>
  <c r="V579" i="80" s="1"/>
  <c r="Y579" i="80" s="1"/>
  <c r="X579" i="80"/>
  <c r="AC579" i="80" l="1"/>
  <c r="BE579" i="80" s="1"/>
  <c r="AP579" i="80"/>
  <c r="AQ579" i="80" s="1"/>
  <c r="AD579" i="80"/>
  <c r="BX579" i="80"/>
  <c r="AO579" i="80" l="1"/>
  <c r="R579" i="80"/>
  <c r="BV580" i="80"/>
  <c r="AR579" i="80"/>
  <c r="AS579" i="80"/>
  <c r="AE579" i="80"/>
  <c r="AF579" i="80"/>
  <c r="AG579" i="80" l="1"/>
  <c r="AH579" i="80"/>
  <c r="AI579" i="80" s="1"/>
  <c r="AJ579" i="80" s="1"/>
  <c r="AX579" i="80" l="1"/>
  <c r="BD579" i="80"/>
  <c r="AK579" i="80"/>
  <c r="AL579" i="80" s="1"/>
  <c r="AT579" i="80"/>
  <c r="AM579" i="80" l="1"/>
  <c r="AV579" i="80" s="1"/>
  <c r="AN579" i="80"/>
  <c r="BW580" i="80"/>
  <c r="AW579" i="80"/>
  <c r="AY579" i="80" l="1"/>
  <c r="BA579" i="80" s="1"/>
  <c r="AZ579" i="80" l="1"/>
  <c r="BB579" i="80"/>
  <c r="BF579" i="80"/>
  <c r="BG579" i="80" l="1"/>
  <c r="BH579" i="80" s="1"/>
  <c r="BI579" i="80" l="1"/>
  <c r="BN579" i="80" l="1"/>
  <c r="BJ579" i="80"/>
  <c r="BK579" i="80" s="1"/>
  <c r="BL579" i="80" s="1"/>
  <c r="BQ579" i="80" l="1"/>
  <c r="BO579" i="80"/>
  <c r="Q579" i="80"/>
  <c r="K579" i="80" l="1"/>
  <c r="M580" i="80" s="1"/>
  <c r="L579" i="80"/>
  <c r="N580" i="80" s="1"/>
  <c r="BR579" i="80"/>
  <c r="BS579" i="80" s="1"/>
  <c r="BP579" i="80"/>
  <c r="BU580" i="80" l="1"/>
  <c r="BT580" i="80"/>
  <c r="O580" i="80"/>
  <c r="BY580" i="80" l="1"/>
  <c r="P580" i="80"/>
  <c r="U580" i="80" s="1"/>
  <c r="S580" i="80"/>
  <c r="T580" i="80" l="1"/>
  <c r="V580" i="80" s="1"/>
  <c r="Y580" i="80" s="1"/>
  <c r="AC580" i="80" s="1"/>
  <c r="X580" i="80"/>
  <c r="R580" i="80" l="1"/>
  <c r="BE580" i="80"/>
  <c r="BV581" i="80"/>
  <c r="BX580" i="80"/>
  <c r="AO580" i="80"/>
  <c r="AP580" i="80"/>
  <c r="AQ580" i="80" s="1"/>
  <c r="AD580" i="80"/>
  <c r="AF580" i="80" l="1"/>
  <c r="AE580" i="80"/>
  <c r="AR580" i="80"/>
  <c r="AS580" i="80"/>
  <c r="AG580" i="80" l="1"/>
  <c r="AH580" i="80"/>
  <c r="AI580" i="80" s="1"/>
  <c r="AJ580" i="80" s="1"/>
  <c r="BD580" i="80" l="1"/>
  <c r="AX580" i="80"/>
  <c r="AK580" i="80"/>
  <c r="AL580" i="80" s="1"/>
  <c r="AT580" i="80"/>
  <c r="AM580" i="80" l="1"/>
  <c r="AV580" i="80" s="1"/>
  <c r="BW581" i="80"/>
  <c r="AN580" i="80"/>
  <c r="AW580" i="80"/>
  <c r="AY580" i="80" l="1"/>
  <c r="BA580" i="80" s="1"/>
  <c r="AZ580" i="80" l="1"/>
  <c r="BB580" i="80"/>
  <c r="BF580" i="80"/>
  <c r="BG580" i="80" l="1"/>
  <c r="BH580" i="80" s="1"/>
  <c r="BI580" i="80" l="1"/>
  <c r="BJ580" i="80" l="1"/>
  <c r="BK580" i="80" s="1"/>
  <c r="BL580" i="80" s="1"/>
  <c r="BN580" i="80"/>
  <c r="BQ580" i="80" l="1"/>
  <c r="BO580" i="80"/>
  <c r="Q580" i="80"/>
  <c r="K580" i="80" l="1"/>
  <c r="M581" i="80" s="1"/>
  <c r="L580" i="80"/>
  <c r="N581" i="80" s="1"/>
  <c r="BR580" i="80"/>
  <c r="BS580" i="80" s="1"/>
  <c r="BP580" i="80"/>
  <c r="BU581" i="80" l="1"/>
  <c r="BT581" i="80"/>
  <c r="O581" i="80"/>
  <c r="P581" i="80" l="1"/>
  <c r="U581" i="80" s="1"/>
  <c r="BY581" i="80"/>
  <c r="S581" i="80"/>
  <c r="T581" i="80" l="1"/>
  <c r="V581" i="80" s="1"/>
  <c r="Y581" i="80" s="1"/>
  <c r="X581" i="80"/>
  <c r="AC581" i="80" l="1"/>
  <c r="R581" i="80" s="1"/>
  <c r="AD581" i="80"/>
  <c r="BX581" i="80"/>
  <c r="AP581" i="80"/>
  <c r="AQ581" i="80" s="1"/>
  <c r="AO581" i="80" l="1"/>
  <c r="BV582" i="80"/>
  <c r="BE581" i="80"/>
  <c r="AR581" i="80"/>
  <c r="AS581" i="80"/>
  <c r="AF581" i="80"/>
  <c r="AE581" i="80"/>
  <c r="AH581" i="80" l="1"/>
  <c r="AI581" i="80" s="1"/>
  <c r="AJ581" i="80" s="1"/>
  <c r="AG581" i="80"/>
  <c r="AX581" i="80" l="1"/>
  <c r="AK581" i="80"/>
  <c r="AL581" i="80" s="1"/>
  <c r="BD581" i="80"/>
  <c r="AT581" i="80"/>
  <c r="AM581" i="80" l="1"/>
  <c r="AV581" i="80" s="1"/>
  <c r="BW582" i="80"/>
  <c r="AN581" i="80"/>
  <c r="AW581" i="80"/>
  <c r="AY581" i="80" l="1"/>
  <c r="BA581" i="80" s="1"/>
  <c r="AZ581" i="80" l="1"/>
  <c r="BB581" i="80"/>
  <c r="BF581" i="80"/>
  <c r="BG581" i="80" l="1"/>
  <c r="BH581" i="80" s="1"/>
  <c r="BI581" i="80" l="1"/>
  <c r="BN581" i="80" l="1"/>
  <c r="BJ581" i="80"/>
  <c r="BK581" i="80" s="1"/>
  <c r="BL581" i="80" s="1"/>
  <c r="BQ581" i="80" l="1"/>
  <c r="BO581" i="80"/>
  <c r="Q581" i="80"/>
  <c r="K581" i="80" l="1"/>
  <c r="M582" i="80" s="1"/>
  <c r="BT582" i="80" s="1"/>
  <c r="L581" i="80"/>
  <c r="N582" i="80" s="1"/>
  <c r="BR581" i="80"/>
  <c r="BS581" i="80" s="1"/>
  <c r="BP581" i="80"/>
  <c r="O582" i="80" l="1"/>
  <c r="BU582" i="80"/>
  <c r="S582" i="80" l="1"/>
  <c r="BY582" i="80"/>
  <c r="P582" i="80"/>
  <c r="U582" i="80" s="1"/>
  <c r="T582" i="80" l="1"/>
  <c r="V582" i="80" s="1"/>
  <c r="Y582" i="80" s="1"/>
  <c r="X582" i="80"/>
  <c r="AC582" i="80" l="1"/>
  <c r="BE582" i="80" s="1"/>
  <c r="AD582" i="80"/>
  <c r="AP582" i="80"/>
  <c r="AQ582" i="80" s="1"/>
  <c r="BX582" i="80"/>
  <c r="AO582" i="80" l="1"/>
  <c r="R582" i="80"/>
  <c r="BV583" i="80"/>
  <c r="AE582" i="80"/>
  <c r="AF582" i="80"/>
  <c r="AR582" i="80"/>
  <c r="AS582" i="80"/>
  <c r="AH582" i="80" l="1"/>
  <c r="AI582" i="80" s="1"/>
  <c r="AJ582" i="80" s="1"/>
  <c r="AG582" i="80"/>
  <c r="AK582" i="80" l="1"/>
  <c r="AL582" i="80" s="1"/>
  <c r="AX582" i="80"/>
  <c r="BD582" i="80"/>
  <c r="AT582" i="80"/>
  <c r="AM582" i="80" l="1"/>
  <c r="AV582" i="80" s="1"/>
  <c r="AN582" i="80"/>
  <c r="BW583" i="80"/>
  <c r="AW582" i="80"/>
  <c r="AY582" i="80" l="1"/>
  <c r="BA582" i="80" s="1"/>
  <c r="AZ582" i="80" l="1"/>
  <c r="BB582" i="80"/>
  <c r="BF582" i="80"/>
  <c r="BG582" i="80" l="1"/>
  <c r="BH582" i="80" s="1"/>
  <c r="BI582" i="80" l="1"/>
  <c r="BN582" i="80" l="1"/>
  <c r="BJ582" i="80"/>
  <c r="BK582" i="80" s="1"/>
  <c r="BL582" i="80" s="1"/>
  <c r="BQ582" i="80" l="1"/>
  <c r="BO582" i="80"/>
  <c r="Q582" i="80"/>
  <c r="K582" i="80" l="1"/>
  <c r="M583" i="80" s="1"/>
  <c r="L582" i="80"/>
  <c r="N583" i="80" s="1"/>
  <c r="BR582" i="80"/>
  <c r="BS582" i="80" s="1"/>
  <c r="BP582" i="80"/>
  <c r="BU583" i="80" l="1"/>
  <c r="BT583" i="80"/>
  <c r="O583" i="80"/>
  <c r="S583" i="80" l="1"/>
  <c r="P583" i="80"/>
  <c r="U583" i="80" s="1"/>
  <c r="BY583" i="80"/>
  <c r="T583" i="80" l="1"/>
  <c r="V583" i="80" s="1"/>
  <c r="Y583" i="80" s="1"/>
  <c r="X583" i="80"/>
  <c r="AC583" i="80" l="1"/>
  <c r="BE583" i="80" s="1"/>
  <c r="AP583" i="80"/>
  <c r="AQ583" i="80" s="1"/>
  <c r="BX583" i="80"/>
  <c r="AD583" i="80"/>
  <c r="AO583" i="80" l="1"/>
  <c r="BV584" i="80"/>
  <c r="R583" i="80"/>
  <c r="AR583" i="80"/>
  <c r="AS583" i="80"/>
  <c r="AE583" i="80"/>
  <c r="AF583" i="80"/>
  <c r="AG583" i="80" l="1"/>
  <c r="AH583" i="80"/>
  <c r="AI583" i="80" s="1"/>
  <c r="AJ583" i="80" s="1"/>
  <c r="AX583" i="80" l="1"/>
  <c r="BD583" i="80"/>
  <c r="AK583" i="80"/>
  <c r="AL583" i="80" s="1"/>
  <c r="AT583" i="80"/>
  <c r="AM583" i="80" l="1"/>
  <c r="AV583" i="80" s="1"/>
  <c r="BW584" i="80"/>
  <c r="AN583" i="80"/>
  <c r="AW583" i="80"/>
  <c r="AY583" i="80" l="1"/>
  <c r="BA583" i="80" s="1"/>
  <c r="AZ583" i="80" l="1"/>
  <c r="BB583" i="80"/>
  <c r="BF583" i="80"/>
  <c r="BG583" i="80" l="1"/>
  <c r="BH583" i="80" s="1"/>
  <c r="BI583" i="80" l="1"/>
  <c r="BN583" i="80" l="1"/>
  <c r="BJ583" i="80"/>
  <c r="BK583" i="80" s="1"/>
  <c r="BL583" i="80" s="1"/>
  <c r="BQ583" i="80" l="1"/>
  <c r="BO583" i="80"/>
  <c r="Q583" i="80"/>
  <c r="K583" i="80" l="1"/>
  <c r="M584" i="80" s="1"/>
  <c r="L583" i="80"/>
  <c r="N584" i="80" s="1"/>
  <c r="BR583" i="80"/>
  <c r="BS583" i="80" s="1"/>
  <c r="BP583" i="80"/>
  <c r="BU584" i="80" l="1"/>
  <c r="BT584" i="80"/>
  <c r="O584" i="80"/>
  <c r="S584" i="80" l="1"/>
  <c r="BY584" i="80"/>
  <c r="P584" i="80"/>
  <c r="U584" i="80" s="1"/>
  <c r="T584" i="80" l="1"/>
  <c r="V584" i="80" s="1"/>
  <c r="Y584" i="80" s="1"/>
  <c r="X584" i="80"/>
  <c r="AC584" i="80" l="1"/>
  <c r="BE584" i="80" s="1"/>
  <c r="AD584" i="80"/>
  <c r="BX584" i="80"/>
  <c r="AP584" i="80"/>
  <c r="AQ584" i="80" s="1"/>
  <c r="R584" i="80" l="1"/>
  <c r="AO584" i="80"/>
  <c r="BV585" i="80"/>
  <c r="AR584" i="80"/>
  <c r="AS584" i="80"/>
  <c r="AE584" i="80"/>
  <c r="AF584" i="80"/>
  <c r="AH584" i="80" l="1"/>
  <c r="AI584" i="80" s="1"/>
  <c r="AJ584" i="80" s="1"/>
  <c r="AG584" i="80"/>
  <c r="BD584" i="80" l="1"/>
  <c r="AK584" i="80"/>
  <c r="AL584" i="80" s="1"/>
  <c r="AX584" i="80"/>
  <c r="AT584" i="80"/>
  <c r="AM584" i="80" l="1"/>
  <c r="AV584" i="80" s="1"/>
  <c r="AN584" i="80"/>
  <c r="BW585" i="80"/>
  <c r="AW584" i="80"/>
  <c r="AY584" i="80" l="1"/>
  <c r="BA584" i="80" s="1"/>
  <c r="AZ584" i="80" l="1"/>
  <c r="BB584" i="80"/>
  <c r="BF584" i="80"/>
  <c r="BG584" i="80" l="1"/>
  <c r="BH584" i="80" s="1"/>
  <c r="BI584" i="80" l="1"/>
  <c r="BN584" i="80" l="1"/>
  <c r="BJ584" i="80"/>
  <c r="BK584" i="80" s="1"/>
  <c r="BL584" i="80" s="1"/>
  <c r="BQ584" i="80" l="1"/>
  <c r="BO584" i="80"/>
  <c r="Q584" i="80"/>
  <c r="K584" i="80" l="1"/>
  <c r="M585" i="80" s="1"/>
  <c r="L584" i="80"/>
  <c r="N585" i="80" s="1"/>
  <c r="BR584" i="80"/>
  <c r="BS584" i="80" s="1"/>
  <c r="BP584" i="80"/>
  <c r="BU585" i="80" l="1"/>
  <c r="O585" i="80"/>
  <c r="BT585" i="80"/>
  <c r="BY585" i="80" l="1"/>
  <c r="S585" i="80"/>
  <c r="P585" i="80"/>
  <c r="U585" i="80" s="1"/>
  <c r="T585" i="80" l="1"/>
  <c r="V585" i="80" s="1"/>
  <c r="Y585" i="80" s="1"/>
  <c r="X585" i="80"/>
  <c r="AC585" i="80"/>
  <c r="BE585" i="80" l="1"/>
  <c r="R585" i="80"/>
  <c r="BV586" i="80"/>
  <c r="AO585" i="80"/>
  <c r="BX585" i="80"/>
  <c r="AD585" i="80"/>
  <c r="AP585" i="80"/>
  <c r="AQ585" i="80" s="1"/>
  <c r="AR585" i="80" l="1"/>
  <c r="AS585" i="80"/>
  <c r="AF585" i="80"/>
  <c r="AE585" i="80"/>
  <c r="AG585" i="80" l="1"/>
  <c r="AH585" i="80"/>
  <c r="AI585" i="80" s="1"/>
  <c r="AJ585" i="80" s="1"/>
  <c r="AX585" i="80" l="1"/>
  <c r="AK585" i="80"/>
  <c r="AL585" i="80" s="1"/>
  <c r="BD585" i="80"/>
  <c r="AT585" i="80"/>
  <c r="AM585" i="80" l="1"/>
  <c r="AV585" i="80" s="1"/>
  <c r="BW586" i="80"/>
  <c r="AN585" i="80"/>
  <c r="AW585" i="80"/>
  <c r="AY585" i="80" l="1"/>
  <c r="BA585" i="80" s="1"/>
  <c r="AZ585" i="80" l="1"/>
  <c r="BB585" i="80"/>
  <c r="BF585" i="80"/>
  <c r="BG585" i="80" l="1"/>
  <c r="BH585" i="80"/>
  <c r="BI585" i="80" l="1"/>
  <c r="BN585" i="80" l="1"/>
  <c r="BJ585" i="80"/>
  <c r="BK585" i="80" s="1"/>
  <c r="BL585" i="80" s="1"/>
  <c r="BQ585" i="80" l="1"/>
  <c r="BO585" i="80"/>
  <c r="Q585" i="80"/>
  <c r="K585" i="80" l="1"/>
  <c r="M586" i="80" s="1"/>
  <c r="L585" i="80"/>
  <c r="N586" i="80" s="1"/>
  <c r="BR585" i="80"/>
  <c r="BS585" i="80" s="1"/>
  <c r="BP585" i="80"/>
  <c r="BU586" i="80" l="1"/>
  <c r="BT586" i="80"/>
  <c r="O586" i="80"/>
  <c r="S586" i="80" l="1"/>
  <c r="BY586" i="80"/>
  <c r="P586" i="80"/>
  <c r="U586" i="80" s="1"/>
  <c r="T586" i="80" l="1"/>
  <c r="V586" i="80" s="1"/>
  <c r="Y586" i="80" s="1"/>
  <c r="AC586" i="80" s="1"/>
  <c r="X586" i="80"/>
  <c r="R586" i="80" l="1"/>
  <c r="BE586" i="80"/>
  <c r="BV587" i="80"/>
  <c r="AP586" i="80"/>
  <c r="AQ586" i="80" s="1"/>
  <c r="AO586" i="80"/>
  <c r="AD586" i="80"/>
  <c r="BX586" i="80"/>
  <c r="AE586" i="80" l="1"/>
  <c r="AF586" i="80"/>
  <c r="AR586" i="80"/>
  <c r="AS586" i="80"/>
  <c r="AH586" i="80" l="1"/>
  <c r="AI586" i="80" s="1"/>
  <c r="AJ586" i="80" s="1"/>
  <c r="AG586" i="80"/>
  <c r="AX586" i="80" l="1"/>
  <c r="BD586" i="80"/>
  <c r="AK586" i="80"/>
  <c r="AL586" i="80" s="1"/>
  <c r="AT586" i="80"/>
  <c r="AM586" i="80" l="1"/>
  <c r="AV586" i="80" s="1"/>
  <c r="AN586" i="80"/>
  <c r="BW587" i="80"/>
  <c r="AW586" i="80"/>
  <c r="AY586" i="80" l="1"/>
  <c r="BA586" i="80" s="1"/>
  <c r="AZ586" i="80" l="1"/>
  <c r="BB586" i="80"/>
  <c r="BF586" i="80"/>
  <c r="BG586" i="80" l="1"/>
  <c r="BH586" i="80" s="1"/>
  <c r="BI586" i="80" l="1"/>
  <c r="BN586" i="80" l="1"/>
  <c r="BJ586" i="80"/>
  <c r="BK586" i="80" s="1"/>
  <c r="BL586" i="80" s="1"/>
  <c r="BQ586" i="80" l="1"/>
  <c r="BO586" i="80"/>
  <c r="Q586" i="80"/>
  <c r="K586" i="80" l="1"/>
  <c r="M587" i="80" s="1"/>
  <c r="L586" i="80"/>
  <c r="N587" i="80" s="1"/>
  <c r="BR586" i="80"/>
  <c r="BS586" i="80" s="1"/>
  <c r="BP586" i="80"/>
  <c r="BU587" i="80" l="1"/>
  <c r="O587" i="80"/>
  <c r="BT587" i="80"/>
  <c r="BY587" i="80" l="1"/>
  <c r="S587" i="80"/>
  <c r="P587" i="80"/>
  <c r="U587" i="80" s="1"/>
  <c r="T587" i="80" l="1"/>
  <c r="V587" i="80" s="1"/>
  <c r="Y587" i="80" s="1"/>
  <c r="X587" i="80"/>
  <c r="AC587" i="80" l="1"/>
  <c r="BE587" i="80" s="1"/>
  <c r="BX587" i="80"/>
  <c r="AP587" i="80"/>
  <c r="AQ587" i="80" s="1"/>
  <c r="AD587" i="80"/>
  <c r="AO587" i="80" l="1"/>
  <c r="BV588" i="80"/>
  <c r="R587" i="80"/>
  <c r="AR587" i="80"/>
  <c r="AS587" i="80"/>
  <c r="AF587" i="80"/>
  <c r="AE587" i="80"/>
  <c r="AH587" i="80" l="1"/>
  <c r="AI587" i="80" s="1"/>
  <c r="AJ587" i="80" s="1"/>
  <c r="AG587" i="80"/>
  <c r="AK587" i="80" l="1"/>
  <c r="AL587" i="80" s="1"/>
  <c r="BD587" i="80"/>
  <c r="AX587" i="80"/>
  <c r="AT587" i="80"/>
  <c r="AM587" i="80" l="1"/>
  <c r="AV587" i="80" s="1"/>
  <c r="BW588" i="80"/>
  <c r="AN587" i="80"/>
  <c r="AW587" i="80"/>
  <c r="AY587" i="80" l="1"/>
  <c r="BA587" i="80" s="1"/>
  <c r="AZ587" i="80" l="1"/>
  <c r="BB587" i="80"/>
  <c r="BF587" i="80"/>
  <c r="BG587" i="80" l="1"/>
  <c r="BH587" i="80" s="1"/>
  <c r="BI587" i="80" l="1"/>
  <c r="BJ587" i="80" l="1"/>
  <c r="BK587" i="80" s="1"/>
  <c r="BL587" i="80" s="1"/>
  <c r="BN587" i="80"/>
  <c r="BQ587" i="80" l="1"/>
  <c r="BO587" i="80"/>
  <c r="Q587" i="80"/>
  <c r="BR587" i="80" l="1"/>
  <c r="BS587" i="80" s="1"/>
  <c r="BP587" i="80"/>
  <c r="K587" i="80"/>
  <c r="M588" i="80" s="1"/>
  <c r="L587" i="80"/>
  <c r="N588" i="80" s="1"/>
  <c r="BU588" i="80" l="1"/>
  <c r="BT588" i="80"/>
  <c r="O588" i="80"/>
  <c r="P588" i="80" l="1"/>
  <c r="U588" i="80" s="1"/>
  <c r="S588" i="80"/>
  <c r="BY588" i="80"/>
  <c r="T588" i="80" l="1"/>
  <c r="V588" i="80" s="1"/>
  <c r="Y588" i="80" s="1"/>
  <c r="X588" i="80"/>
  <c r="AC588" i="80" l="1"/>
  <c r="BE588" i="80" s="1"/>
  <c r="BX588" i="80"/>
  <c r="AD588" i="80"/>
  <c r="AP588" i="80"/>
  <c r="AQ588" i="80" s="1"/>
  <c r="AO588" i="80" l="1"/>
  <c r="BV589" i="80"/>
  <c r="R588" i="80"/>
  <c r="AF588" i="80"/>
  <c r="AE588" i="80"/>
  <c r="AR588" i="80"/>
  <c r="AS588" i="80"/>
  <c r="AG588" i="80" l="1"/>
  <c r="AH588" i="80"/>
  <c r="AI588" i="80" s="1"/>
  <c r="AJ588" i="80" s="1"/>
  <c r="BD588" i="80" l="1"/>
  <c r="AK588" i="80"/>
  <c r="AL588" i="80" s="1"/>
  <c r="AX588" i="80"/>
  <c r="AT588" i="80"/>
  <c r="AM588" i="80" l="1"/>
  <c r="AV588" i="80" s="1"/>
  <c r="AN588" i="80"/>
  <c r="BW589" i="80"/>
  <c r="AW588" i="80"/>
  <c r="AY588" i="80" l="1"/>
  <c r="BA588" i="80" s="1"/>
  <c r="AZ588" i="80" l="1"/>
  <c r="BB588" i="80"/>
  <c r="BF588" i="80"/>
  <c r="BG588" i="80" l="1"/>
  <c r="BH588" i="80" s="1"/>
  <c r="BI588" i="80" l="1"/>
  <c r="BN588" i="80" l="1"/>
  <c r="BJ588" i="80"/>
  <c r="BK588" i="80" s="1"/>
  <c r="BL588" i="80" s="1"/>
  <c r="BQ588" i="80" l="1"/>
  <c r="BO588" i="80"/>
  <c r="Q588" i="80"/>
  <c r="BR588" i="80" l="1"/>
  <c r="BS588" i="80" s="1"/>
  <c r="BP588" i="80"/>
  <c r="K588" i="80"/>
  <c r="M589" i="80" s="1"/>
  <c r="L588" i="80"/>
  <c r="N589" i="80" s="1"/>
  <c r="BT589" i="80" l="1"/>
  <c r="O589" i="80"/>
  <c r="BU589" i="80"/>
  <c r="S589" i="80" l="1"/>
  <c r="BY589" i="80"/>
  <c r="P589" i="80"/>
  <c r="U589" i="80" s="1"/>
  <c r="T589" i="80" l="1"/>
  <c r="V589" i="80" s="1"/>
  <c r="Y589" i="80" s="1"/>
  <c r="X589" i="80"/>
  <c r="AP589" i="80" l="1"/>
  <c r="AQ589" i="80" s="1"/>
  <c r="AD589" i="80"/>
  <c r="BX589" i="80"/>
  <c r="AC589" i="80"/>
  <c r="R589" i="80" l="1"/>
  <c r="BE589" i="80"/>
  <c r="AO589" i="80"/>
  <c r="BV590" i="80"/>
  <c r="AR589" i="80"/>
  <c r="AS589" i="80"/>
  <c r="AE589" i="80"/>
  <c r="AF589" i="80"/>
  <c r="AG589" i="80" l="1"/>
  <c r="AH589" i="80"/>
  <c r="AI589" i="80" s="1"/>
  <c r="AJ589" i="80" s="1"/>
  <c r="BD589" i="80" l="1"/>
  <c r="AX589" i="80"/>
  <c r="AK589" i="80"/>
  <c r="AL589" i="80" s="1"/>
  <c r="AT589" i="80"/>
  <c r="AM589" i="80" l="1"/>
  <c r="AV589" i="80" s="1"/>
  <c r="AN589" i="80"/>
  <c r="BW590" i="80"/>
  <c r="AW589" i="80"/>
  <c r="AY589" i="80" l="1"/>
  <c r="BA589" i="80" s="1"/>
  <c r="AZ589" i="80" l="1"/>
  <c r="BB589" i="80"/>
  <c r="BF589" i="80"/>
  <c r="BG589" i="80" l="1"/>
  <c r="BH589" i="80" s="1"/>
  <c r="BI589" i="80" l="1"/>
  <c r="BJ589" i="80" l="1"/>
  <c r="BK589" i="80" s="1"/>
  <c r="BL589" i="80" s="1"/>
  <c r="BN589" i="80"/>
  <c r="BQ589" i="80" l="1"/>
  <c r="BO589" i="80"/>
  <c r="Q589" i="80"/>
  <c r="BR589" i="80" l="1"/>
  <c r="BS589" i="80" s="1"/>
  <c r="BP589" i="80"/>
  <c r="K589" i="80"/>
  <c r="M590" i="80" s="1"/>
  <c r="L589" i="80"/>
  <c r="N590" i="80" s="1"/>
  <c r="O590" i="80" l="1"/>
  <c r="BT590" i="80"/>
  <c r="BU590" i="80"/>
  <c r="S590" i="80" l="1"/>
  <c r="BY590" i="80"/>
  <c r="P590" i="80"/>
  <c r="U590" i="80" s="1"/>
  <c r="T590" i="80" l="1"/>
  <c r="V590" i="80" s="1"/>
  <c r="Y590" i="80" s="1"/>
  <c r="X590" i="80"/>
  <c r="AC590" i="80" l="1"/>
  <c r="R590" i="80" s="1"/>
  <c r="BX590" i="80"/>
  <c r="AD590" i="80"/>
  <c r="AP590" i="80"/>
  <c r="AQ590" i="80" s="1"/>
  <c r="BE590" i="80" l="1"/>
  <c r="AO590" i="80"/>
  <c r="BV591" i="80"/>
  <c r="AR590" i="80"/>
  <c r="AS590" i="80"/>
  <c r="AF590" i="80"/>
  <c r="AE590" i="80"/>
  <c r="AG590" i="80" l="1"/>
  <c r="AH590" i="80"/>
  <c r="AI590" i="80" s="1"/>
  <c r="AJ590" i="80" s="1"/>
  <c r="BD590" i="80" l="1"/>
  <c r="AX590" i="80"/>
  <c r="AK590" i="80"/>
  <c r="AL590" i="80" s="1"/>
  <c r="AT590" i="80"/>
  <c r="AM590" i="80" l="1"/>
  <c r="AV590" i="80" s="1"/>
  <c r="AN590" i="80"/>
  <c r="BW591" i="80"/>
  <c r="AW590" i="80"/>
  <c r="AY590" i="80" l="1"/>
  <c r="BA590" i="80" s="1"/>
  <c r="AZ590" i="80" l="1"/>
  <c r="BB590" i="80"/>
  <c r="BF590" i="80"/>
  <c r="BG590" i="80" l="1"/>
  <c r="BH590" i="80" s="1"/>
  <c r="BI590" i="80" l="1"/>
  <c r="BJ590" i="80" l="1"/>
  <c r="BK590" i="80" s="1"/>
  <c r="BL590" i="80" s="1"/>
  <c r="BN590" i="80"/>
  <c r="Q590" i="80" l="1"/>
  <c r="BQ590" i="80"/>
  <c r="BO590" i="80"/>
  <c r="BR590" i="80" l="1"/>
  <c r="BS590" i="80" s="1"/>
  <c r="BP590" i="80"/>
  <c r="K590" i="80"/>
  <c r="M591" i="80" s="1"/>
  <c r="L590" i="80"/>
  <c r="N591" i="80" s="1"/>
  <c r="O591" i="80" l="1"/>
  <c r="BT591" i="80"/>
  <c r="BU591" i="80"/>
  <c r="P591" i="80" l="1"/>
  <c r="U591" i="80" s="1"/>
  <c r="S591" i="80"/>
  <c r="BY591" i="80"/>
  <c r="T591" i="80" l="1"/>
  <c r="V591" i="80" s="1"/>
  <c r="Y591" i="80" s="1"/>
  <c r="X591" i="80"/>
  <c r="AC591" i="80" l="1"/>
  <c r="BE591" i="80" s="1"/>
  <c r="AD591" i="80"/>
  <c r="AP591" i="80"/>
  <c r="AQ591" i="80" s="1"/>
  <c r="BX591" i="80"/>
  <c r="AO591" i="80" l="1"/>
  <c r="R591" i="80"/>
  <c r="BV592" i="80"/>
  <c r="AR591" i="80"/>
  <c r="AS591" i="80"/>
  <c r="AF591" i="80"/>
  <c r="AE591" i="80"/>
  <c r="AH591" i="80" l="1"/>
  <c r="AI591" i="80" s="1"/>
  <c r="AJ591" i="80" s="1"/>
  <c r="AG591" i="80"/>
  <c r="AK591" i="80" l="1"/>
  <c r="AL591" i="80" s="1"/>
  <c r="BD591" i="80"/>
  <c r="AX591" i="80"/>
  <c r="AT591" i="80"/>
  <c r="AM591" i="80" l="1"/>
  <c r="AV591" i="80" s="1"/>
  <c r="AN591" i="80"/>
  <c r="BW592" i="80"/>
  <c r="AW591" i="80"/>
  <c r="AY591" i="80" l="1"/>
  <c r="BA591" i="80" s="1"/>
  <c r="AZ591" i="80" l="1"/>
  <c r="BB591" i="80"/>
  <c r="BF591" i="80"/>
  <c r="BG591" i="80" l="1"/>
  <c r="BH591" i="80" s="1"/>
  <c r="BI591" i="80" l="1"/>
  <c r="BN591" i="80" l="1"/>
  <c r="BJ591" i="80"/>
  <c r="BK591" i="80" s="1"/>
  <c r="BL591" i="80" s="1"/>
  <c r="BQ591" i="80" l="1"/>
  <c r="BO591" i="80"/>
  <c r="Q591" i="80"/>
  <c r="K591" i="80" l="1"/>
  <c r="M592" i="80" s="1"/>
  <c r="L591" i="80"/>
  <c r="N592" i="80" s="1"/>
  <c r="BR591" i="80"/>
  <c r="BS591" i="80" s="1"/>
  <c r="BP591" i="80"/>
  <c r="BU592" i="80" l="1"/>
  <c r="BT592" i="80"/>
  <c r="O592" i="80"/>
  <c r="P592" i="80" l="1"/>
  <c r="U592" i="80" s="1"/>
  <c r="S592" i="80"/>
  <c r="BY592" i="80"/>
  <c r="T592" i="80" l="1"/>
  <c r="V592" i="80" s="1"/>
  <c r="Y592" i="80" s="1"/>
  <c r="AC592" i="80" s="1"/>
  <c r="X592" i="80"/>
  <c r="BE592" i="80" l="1"/>
  <c r="R592" i="80"/>
  <c r="BV593" i="80"/>
  <c r="AP592" i="80"/>
  <c r="AQ592" i="80" s="1"/>
  <c r="AD592" i="80"/>
  <c r="BX592" i="80"/>
  <c r="AO592" i="80"/>
  <c r="AR592" i="80" l="1"/>
  <c r="AS592" i="80"/>
  <c r="AE592" i="80"/>
  <c r="AF592" i="80"/>
  <c r="AG592" i="80" l="1"/>
  <c r="AH592" i="80"/>
  <c r="AI592" i="80" s="1"/>
  <c r="AJ592" i="80" s="1"/>
  <c r="AK592" i="80" l="1"/>
  <c r="AL592" i="80" s="1"/>
  <c r="BD592" i="80"/>
  <c r="AX592" i="80"/>
  <c r="AT592" i="80"/>
  <c r="AM592" i="80" l="1"/>
  <c r="AV592" i="80" s="1"/>
  <c r="BW593" i="80"/>
  <c r="AN592" i="80"/>
  <c r="AW592" i="80"/>
  <c r="AY592" i="80" l="1"/>
  <c r="BA592" i="80" s="1"/>
  <c r="AZ592" i="80" l="1"/>
  <c r="BB592" i="80"/>
  <c r="BF592" i="80"/>
  <c r="BG592" i="80" l="1"/>
  <c r="BH592" i="80" s="1"/>
  <c r="BI592" i="80" l="1"/>
  <c r="BN592" i="80" l="1"/>
  <c r="BJ592" i="80"/>
  <c r="BK592" i="80" s="1"/>
  <c r="BL592" i="80" s="1"/>
  <c r="BQ592" i="80" l="1"/>
  <c r="BO592" i="80"/>
  <c r="Q592" i="80"/>
  <c r="K592" i="80" l="1"/>
  <c r="M593" i="80" s="1"/>
  <c r="L592" i="80"/>
  <c r="N593" i="80" s="1"/>
  <c r="BR592" i="80"/>
  <c r="BS592" i="80" s="1"/>
  <c r="BP592" i="80"/>
  <c r="BU593" i="80" l="1"/>
  <c r="O593" i="80"/>
  <c r="BT593" i="80"/>
  <c r="S593" i="80" l="1"/>
  <c r="BY593" i="80"/>
  <c r="P593" i="80"/>
  <c r="U593" i="80" s="1"/>
  <c r="T593" i="80" l="1"/>
  <c r="V593" i="80" s="1"/>
  <c r="X593" i="80"/>
  <c r="Y593" i="80" l="1"/>
  <c r="AD593" i="80" s="1"/>
  <c r="AC593" i="80"/>
  <c r="BX593" i="80" l="1"/>
  <c r="AP593" i="80"/>
  <c r="AQ593" i="80" s="1"/>
  <c r="AR593" i="80" s="1"/>
  <c r="BE593" i="80"/>
  <c r="AO593" i="80"/>
  <c r="R593" i="80"/>
  <c r="BV594" i="80"/>
  <c r="AE593" i="80"/>
  <c r="AF593" i="80"/>
  <c r="AS593" i="80" l="1"/>
  <c r="AG593" i="80"/>
  <c r="AH593" i="80"/>
  <c r="AI593" i="80" s="1"/>
  <c r="AJ593" i="80" s="1"/>
  <c r="AK593" i="80" l="1"/>
  <c r="AL593" i="80" s="1"/>
  <c r="BD593" i="80"/>
  <c r="AX593" i="80"/>
  <c r="AT593" i="80"/>
  <c r="AM593" i="80" l="1"/>
  <c r="AV593" i="80" s="1"/>
  <c r="BW594" i="80"/>
  <c r="AN593" i="80"/>
  <c r="AW593" i="80"/>
  <c r="AY593" i="80" l="1"/>
  <c r="BA593" i="80" s="1"/>
  <c r="AZ593" i="80" l="1"/>
  <c r="BB593" i="80"/>
  <c r="BF593" i="80"/>
  <c r="BG593" i="80" l="1"/>
  <c r="BH593" i="80" s="1"/>
  <c r="BI593" i="80" l="1"/>
  <c r="BN593" i="80" l="1"/>
  <c r="BJ593" i="80"/>
  <c r="BK593" i="80" s="1"/>
  <c r="BL593" i="80" s="1"/>
  <c r="BQ593" i="80" l="1"/>
  <c r="BO593" i="80"/>
  <c r="Q593" i="80"/>
  <c r="K593" i="80" l="1"/>
  <c r="M594" i="80" s="1"/>
  <c r="L593" i="80"/>
  <c r="N594" i="80" s="1"/>
  <c r="BR593" i="80"/>
  <c r="BS593" i="80" s="1"/>
  <c r="BP593" i="80"/>
  <c r="BU594" i="80" l="1"/>
  <c r="BT594" i="80"/>
  <c r="O594" i="80"/>
  <c r="BY594" i="80" l="1"/>
  <c r="S594" i="80"/>
  <c r="P594" i="80"/>
  <c r="U594" i="80" s="1"/>
  <c r="T594" i="80" l="1"/>
  <c r="V594" i="80" s="1"/>
  <c r="Y594" i="80" s="1"/>
  <c r="X594" i="80"/>
  <c r="AP594" i="80" l="1"/>
  <c r="AQ594" i="80" s="1"/>
  <c r="BX594" i="80"/>
  <c r="AD594" i="80"/>
  <c r="AC594" i="80"/>
  <c r="BE594" i="80" l="1"/>
  <c r="AO594" i="80"/>
  <c r="R594" i="80"/>
  <c r="BV595" i="80"/>
  <c r="AE594" i="80"/>
  <c r="AF594" i="80"/>
  <c r="AR594" i="80"/>
  <c r="AS594" i="80"/>
  <c r="AH594" i="80" l="1"/>
  <c r="AI594" i="80" s="1"/>
  <c r="AJ594" i="80" s="1"/>
  <c r="AG594" i="80"/>
  <c r="BD594" i="80" l="1"/>
  <c r="AX594" i="80"/>
  <c r="AK594" i="80"/>
  <c r="AL594" i="80" s="1"/>
  <c r="AT594" i="80"/>
  <c r="AM594" i="80" l="1"/>
  <c r="AV594" i="80" s="1"/>
  <c r="AN594" i="80"/>
  <c r="BW595" i="80"/>
  <c r="AW594" i="80"/>
  <c r="AY594" i="80" l="1"/>
  <c r="BA594" i="80" s="1"/>
  <c r="AZ594" i="80" l="1"/>
  <c r="BB594" i="80"/>
  <c r="BF594" i="80"/>
  <c r="BG594" i="80" l="1"/>
  <c r="BH594" i="80" s="1"/>
  <c r="BI594" i="80" l="1"/>
  <c r="BN594" i="80" l="1"/>
  <c r="BJ594" i="80"/>
  <c r="BK594" i="80" s="1"/>
  <c r="BL594" i="80" s="1"/>
  <c r="BQ594" i="80" l="1"/>
  <c r="BO594" i="80"/>
  <c r="Q594" i="80"/>
  <c r="BR594" i="80" l="1"/>
  <c r="BS594" i="80" s="1"/>
  <c r="BP594" i="80"/>
  <c r="K594" i="80"/>
  <c r="M595" i="80" s="1"/>
  <c r="L594" i="80"/>
  <c r="N595" i="80" s="1"/>
  <c r="BT595" i="80" l="1"/>
  <c r="O595" i="80"/>
  <c r="BU595" i="80"/>
  <c r="BY595" i="80" l="1"/>
  <c r="P595" i="80"/>
  <c r="U595" i="80" s="1"/>
  <c r="S595" i="80"/>
  <c r="T595" i="80" l="1"/>
  <c r="V595" i="80" s="1"/>
  <c r="X595" i="80"/>
  <c r="Y595" i="80" l="1"/>
  <c r="AC595" i="80"/>
  <c r="BE595" i="80" l="1"/>
  <c r="AP595" i="80"/>
  <c r="AQ595" i="80" s="1"/>
  <c r="AR595" i="80" s="1"/>
  <c r="BX595" i="80"/>
  <c r="AD595" i="80"/>
  <c r="AF595" i="80" s="1"/>
  <c r="AO595" i="80"/>
  <c r="BV596" i="80"/>
  <c r="R595" i="80"/>
  <c r="AS595" i="80" l="1"/>
  <c r="AE595" i="80"/>
  <c r="AG595" i="80"/>
  <c r="AH595" i="80"/>
  <c r="AI595" i="80" s="1"/>
  <c r="AJ595" i="80" s="1"/>
  <c r="AK595" i="80" l="1"/>
  <c r="AL595" i="80" s="1"/>
  <c r="AX595" i="80"/>
  <c r="BD595" i="80"/>
  <c r="AT595" i="80"/>
  <c r="AM595" i="80" l="1"/>
  <c r="AV595" i="80" s="1"/>
  <c r="AN595" i="80"/>
  <c r="BW596" i="80"/>
  <c r="AW595" i="80"/>
  <c r="AY595" i="80" l="1"/>
  <c r="BA595" i="80" s="1"/>
  <c r="AZ595" i="80" l="1"/>
  <c r="BB595" i="80"/>
  <c r="BF595" i="80"/>
  <c r="BG595" i="80" l="1"/>
  <c r="BH595" i="80" s="1"/>
  <c r="BI595" i="80" l="1"/>
  <c r="BJ595" i="80" l="1"/>
  <c r="BK595" i="80" s="1"/>
  <c r="BL595" i="80" s="1"/>
  <c r="BN595" i="80"/>
  <c r="BQ595" i="80" l="1"/>
  <c r="BO595" i="80"/>
  <c r="Q595" i="80"/>
  <c r="K595" i="80" l="1"/>
  <c r="M596" i="80" s="1"/>
  <c r="L595" i="80"/>
  <c r="N596" i="80" s="1"/>
  <c r="BR595" i="80"/>
  <c r="BS595" i="80" s="1"/>
  <c r="BP595" i="80"/>
  <c r="BU596" i="80" l="1"/>
  <c r="BT596" i="80"/>
  <c r="O596" i="80"/>
  <c r="BY596" i="80" l="1"/>
  <c r="S596" i="80"/>
  <c r="P596" i="80"/>
  <c r="U596" i="80" s="1"/>
  <c r="T596" i="80" l="1"/>
  <c r="V596" i="80" s="1"/>
  <c r="X596" i="80"/>
  <c r="Y596" i="80" l="1"/>
  <c r="AC596" i="80"/>
  <c r="BE596" i="80" l="1"/>
  <c r="AP596" i="80"/>
  <c r="AQ596" i="80" s="1"/>
  <c r="AS596" i="80" s="1"/>
  <c r="BX596" i="80"/>
  <c r="AD596" i="80"/>
  <c r="AE596" i="80" s="1"/>
  <c r="AO596" i="80"/>
  <c r="R596" i="80"/>
  <c r="BV597" i="80"/>
  <c r="AR596" i="80" l="1"/>
  <c r="AF596" i="80"/>
  <c r="AG596" i="80" s="1"/>
  <c r="AH596" i="80" l="1"/>
  <c r="AI596" i="80" s="1"/>
  <c r="AJ596" i="80" s="1"/>
  <c r="BD596" i="80"/>
  <c r="AX596" i="80"/>
  <c r="AK596" i="80"/>
  <c r="AL596" i="80" s="1"/>
  <c r="AT596" i="80"/>
  <c r="AM596" i="80" l="1"/>
  <c r="AN596" i="80"/>
  <c r="BW597" i="80"/>
  <c r="AV596" i="80"/>
  <c r="AW596" i="80"/>
  <c r="AY596" i="80" l="1"/>
  <c r="BA596" i="80" s="1"/>
  <c r="AZ596" i="80" l="1"/>
  <c r="BB596" i="80"/>
  <c r="BF596" i="80"/>
  <c r="BG596" i="80" l="1"/>
  <c r="BH596" i="80" s="1"/>
  <c r="BI596" i="80" l="1"/>
  <c r="BN596" i="80" l="1"/>
  <c r="BJ596" i="80"/>
  <c r="BK596" i="80" s="1"/>
  <c r="BL596" i="80" s="1"/>
  <c r="BQ596" i="80" l="1"/>
  <c r="BO596" i="80"/>
  <c r="Q596" i="80"/>
  <c r="BR596" i="80" l="1"/>
  <c r="BS596" i="80" s="1"/>
  <c r="BP596" i="80"/>
  <c r="K596" i="80"/>
  <c r="M597" i="80" s="1"/>
  <c r="L596" i="80"/>
  <c r="N597" i="80" s="1"/>
  <c r="BU597" i="80" l="1"/>
  <c r="BT597" i="80"/>
  <c r="O597" i="80"/>
  <c r="BY597" i="80" l="1"/>
  <c r="S597" i="80"/>
  <c r="P597" i="80"/>
  <c r="U597" i="80" s="1"/>
  <c r="T597" i="80" l="1"/>
  <c r="V597" i="80" s="1"/>
  <c r="X597" i="80"/>
  <c r="Y597" i="80" l="1"/>
  <c r="BX597" i="80" s="1"/>
  <c r="AC597" i="80"/>
  <c r="BE597" i="80" l="1"/>
  <c r="AP597" i="80"/>
  <c r="AQ597" i="80" s="1"/>
  <c r="AR597" i="80" s="1"/>
  <c r="AD597" i="80"/>
  <c r="AF597" i="80" s="1"/>
  <c r="AO597" i="80"/>
  <c r="BV598" i="80"/>
  <c r="R597" i="80"/>
  <c r="AE597" i="80" l="1"/>
  <c r="AS597" i="80"/>
  <c r="AH597" i="80"/>
  <c r="AI597" i="80" s="1"/>
  <c r="AJ597" i="80" s="1"/>
  <c r="AG597" i="80"/>
  <c r="BD597" i="80" l="1"/>
  <c r="AK597" i="80"/>
  <c r="AL597" i="80" s="1"/>
  <c r="AX597" i="80"/>
  <c r="AT597" i="80"/>
  <c r="AM597" i="80" l="1"/>
  <c r="AV597" i="80" s="1"/>
  <c r="AN597" i="80"/>
  <c r="BW598" i="80"/>
  <c r="AW597" i="80"/>
  <c r="AY597" i="80" l="1"/>
  <c r="BA597" i="80" s="1"/>
  <c r="AZ597" i="80" l="1"/>
  <c r="BB597" i="80"/>
  <c r="BF597" i="80"/>
  <c r="BG597" i="80" l="1"/>
  <c r="BH597" i="80" s="1"/>
  <c r="BI597" i="80" l="1"/>
  <c r="BN597" i="80" l="1"/>
  <c r="BJ597" i="80"/>
  <c r="BK597" i="80" s="1"/>
  <c r="BL597" i="80" s="1"/>
  <c r="BQ597" i="80" l="1"/>
  <c r="BO597" i="80"/>
  <c r="Q597" i="80"/>
  <c r="BR597" i="80" l="1"/>
  <c r="BS597" i="80" s="1"/>
  <c r="BP597" i="80"/>
  <c r="K597" i="80"/>
  <c r="M598" i="80" s="1"/>
  <c r="L597" i="80"/>
  <c r="N598" i="80" s="1"/>
  <c r="BU598" i="80" l="1"/>
  <c r="O598" i="80"/>
  <c r="BT598" i="80"/>
  <c r="S598" i="80" l="1"/>
  <c r="BY598" i="80"/>
  <c r="P598" i="80"/>
  <c r="U598" i="80" s="1"/>
  <c r="T598" i="80" l="1"/>
  <c r="V598" i="80" s="1"/>
  <c r="X598" i="80"/>
  <c r="Y598" i="80" l="1"/>
  <c r="AP598" i="80" s="1"/>
  <c r="AQ598" i="80" s="1"/>
  <c r="AC598" i="80"/>
  <c r="AD598" i="80" l="1"/>
  <c r="AF598" i="80" s="1"/>
  <c r="BX598" i="80"/>
  <c r="R598" i="80"/>
  <c r="AO598" i="80"/>
  <c r="BV599" i="80"/>
  <c r="BE598" i="80"/>
  <c r="AR598" i="80"/>
  <c r="AS598" i="80"/>
  <c r="AE598" i="80" l="1"/>
  <c r="AG598" i="80"/>
  <c r="AH598" i="80"/>
  <c r="AI598" i="80" s="1"/>
  <c r="AJ598" i="80" s="1"/>
  <c r="AK598" i="80" l="1"/>
  <c r="AL598" i="80" s="1"/>
  <c r="BD598" i="80"/>
  <c r="AX598" i="80"/>
  <c r="AT598" i="80"/>
  <c r="AM598" i="80" l="1"/>
  <c r="AV598" i="80" s="1"/>
  <c r="AN598" i="80"/>
  <c r="BW599" i="80"/>
  <c r="AW598" i="80"/>
  <c r="AY598" i="80" l="1"/>
  <c r="BA598" i="80" s="1"/>
  <c r="AZ598" i="80" l="1"/>
  <c r="BB598" i="80"/>
  <c r="BF598" i="80"/>
  <c r="BG598" i="80" l="1"/>
  <c r="BH598" i="80" s="1"/>
  <c r="BI598" i="80" l="1"/>
  <c r="BJ598" i="80" l="1"/>
  <c r="BK598" i="80" s="1"/>
  <c r="BL598" i="80" s="1"/>
  <c r="BN598" i="80"/>
  <c r="BQ598" i="80" l="1"/>
  <c r="BO598" i="80"/>
  <c r="Q598" i="80"/>
  <c r="BR598" i="80" l="1"/>
  <c r="BS598" i="80" s="1"/>
  <c r="BP598" i="80"/>
  <c r="K598" i="80"/>
  <c r="M599" i="80" s="1"/>
  <c r="L598" i="80"/>
  <c r="N599" i="80" s="1"/>
  <c r="BU599" i="80" l="1"/>
  <c r="BT599" i="80"/>
  <c r="O599" i="80"/>
  <c r="BY599" i="80" l="1"/>
  <c r="P599" i="80"/>
  <c r="U599" i="80" s="1"/>
  <c r="S599" i="80"/>
  <c r="T599" i="80" l="1"/>
  <c r="V599" i="80" s="1"/>
  <c r="X599" i="80"/>
  <c r="Y599" i="80" l="1"/>
  <c r="AP599" i="80" s="1"/>
  <c r="AQ599" i="80" s="1"/>
  <c r="AC599" i="80"/>
  <c r="AD599" i="80" l="1"/>
  <c r="AE599" i="80" s="1"/>
  <c r="R599" i="80"/>
  <c r="BX599" i="80"/>
  <c r="AO599" i="80"/>
  <c r="BV600" i="80"/>
  <c r="BE599" i="80"/>
  <c r="AR599" i="80"/>
  <c r="AS599" i="80"/>
  <c r="AF599" i="80" l="1"/>
  <c r="AG599" i="80" s="1"/>
  <c r="AH599" i="80" l="1"/>
  <c r="AI599" i="80" s="1"/>
  <c r="AJ599" i="80" s="1"/>
  <c r="AK599" i="80"/>
  <c r="AL599" i="80" s="1"/>
  <c r="AX599" i="80"/>
  <c r="BD599" i="80"/>
  <c r="AT599" i="80"/>
  <c r="AM599" i="80" l="1"/>
  <c r="AV599" i="80" s="1"/>
  <c r="AN599" i="80"/>
  <c r="BW600" i="80"/>
  <c r="AW599" i="80"/>
  <c r="AY599" i="80" l="1"/>
  <c r="BA599" i="80" s="1"/>
  <c r="AZ599" i="80" l="1"/>
  <c r="BB599" i="80"/>
  <c r="BF599" i="80"/>
  <c r="BG599" i="80" l="1"/>
  <c r="BH599" i="80" s="1"/>
  <c r="BI599" i="80" l="1"/>
  <c r="BJ599" i="80" l="1"/>
  <c r="BK599" i="80" s="1"/>
  <c r="BL599" i="80" s="1"/>
  <c r="BN599" i="80"/>
  <c r="BQ599" i="80" l="1"/>
  <c r="BO599" i="80"/>
  <c r="Q599" i="80"/>
  <c r="K599" i="80" l="1"/>
  <c r="M600" i="80" s="1"/>
  <c r="L599" i="80"/>
  <c r="N600" i="80" s="1"/>
  <c r="BR599" i="80"/>
  <c r="BS599" i="80" s="1"/>
  <c r="BP599" i="80"/>
  <c r="BU600" i="80" l="1"/>
  <c r="BT600" i="80"/>
  <c r="O600" i="80"/>
  <c r="P600" i="80" l="1"/>
  <c r="U600" i="80" s="1"/>
  <c r="BY600" i="80"/>
  <c r="S600" i="80"/>
  <c r="T600" i="80" l="1"/>
  <c r="V600" i="80" s="1"/>
  <c r="X600" i="80"/>
  <c r="Y600" i="80" l="1"/>
  <c r="AC600" i="80"/>
  <c r="BE600" i="80" l="1"/>
  <c r="AP600" i="80"/>
  <c r="AQ600" i="80" s="1"/>
  <c r="AS600" i="80" s="1"/>
  <c r="AD600" i="80"/>
  <c r="AE600" i="80" s="1"/>
  <c r="BX600" i="80"/>
  <c r="R600" i="80"/>
  <c r="AO600" i="80"/>
  <c r="BV601" i="80"/>
  <c r="AF600" i="80" l="1"/>
  <c r="AG600" i="80" s="1"/>
  <c r="AR600" i="80"/>
  <c r="AH600" i="80" l="1"/>
  <c r="AI600" i="80" s="1"/>
  <c r="AJ600" i="80" s="1"/>
  <c r="BD600" i="80"/>
  <c r="AX600" i="80"/>
  <c r="AK600" i="80"/>
  <c r="AL600" i="80" s="1"/>
  <c r="AT600" i="80"/>
  <c r="AM600" i="80" l="1"/>
  <c r="AV600" i="80" s="1"/>
  <c r="AN600" i="80"/>
  <c r="BW601" i="80"/>
  <c r="AW600" i="80"/>
  <c r="AY600" i="80" l="1"/>
  <c r="BA600" i="80" s="1"/>
  <c r="AZ600" i="80" l="1"/>
  <c r="BB600" i="80"/>
  <c r="BF600" i="80"/>
  <c r="BG600" i="80" l="1"/>
  <c r="BH600" i="80" s="1"/>
  <c r="BI600" i="80" l="1"/>
  <c r="BN600" i="80" l="1"/>
  <c r="BJ600" i="80"/>
  <c r="BK600" i="80" s="1"/>
  <c r="BL600" i="80" s="1"/>
  <c r="BQ600" i="80" l="1"/>
  <c r="BO600" i="80"/>
  <c r="Q600" i="80"/>
  <c r="BR600" i="80" l="1"/>
  <c r="BS600" i="80" s="1"/>
  <c r="BP600" i="80"/>
  <c r="K600" i="80"/>
  <c r="M601" i="80" s="1"/>
  <c r="L600" i="80"/>
  <c r="N601" i="80" s="1"/>
  <c r="BU601" i="80" l="1"/>
  <c r="BT601" i="80"/>
  <c r="O601" i="80"/>
  <c r="BY601" i="80" l="1"/>
  <c r="S601" i="80"/>
  <c r="P601" i="80"/>
  <c r="U601" i="80" s="1"/>
  <c r="T601" i="80" l="1"/>
  <c r="V601" i="80" s="1"/>
  <c r="X601" i="80"/>
  <c r="Y601" i="80" l="1"/>
  <c r="AC601" i="80"/>
  <c r="BE601" i="80" l="1"/>
  <c r="BX601" i="80"/>
  <c r="AP601" i="80"/>
  <c r="AQ601" i="80" s="1"/>
  <c r="AR601" i="80" s="1"/>
  <c r="AD601" i="80"/>
  <c r="AF601" i="80" s="1"/>
  <c r="AO601" i="80"/>
  <c r="R601" i="80"/>
  <c r="BV602" i="80"/>
  <c r="AS601" i="80" l="1"/>
  <c r="AE601" i="80"/>
  <c r="AG601" i="80"/>
  <c r="AH601" i="80"/>
  <c r="AI601" i="80" s="1"/>
  <c r="AJ601" i="80" s="1"/>
  <c r="AK601" i="80" l="1"/>
  <c r="AL601" i="80" s="1"/>
  <c r="BD601" i="80"/>
  <c r="AX601" i="80"/>
  <c r="AT601" i="80"/>
  <c r="AM601" i="80" l="1"/>
  <c r="AV601" i="80" s="1"/>
  <c r="AN601" i="80"/>
  <c r="BW602" i="80"/>
  <c r="AW601" i="80"/>
  <c r="AY601" i="80" l="1"/>
  <c r="BA601" i="80" s="1"/>
  <c r="AZ601" i="80" l="1"/>
  <c r="BB601" i="80"/>
  <c r="BF601" i="80"/>
  <c r="BG601" i="80" l="1"/>
  <c r="BH601" i="80" s="1"/>
  <c r="BI601" i="80" l="1"/>
  <c r="BJ601" i="80" l="1"/>
  <c r="BK601" i="80" s="1"/>
  <c r="BL601" i="80" s="1"/>
  <c r="BN601" i="80"/>
  <c r="BQ601" i="80" l="1"/>
  <c r="BO601" i="80"/>
  <c r="Q601" i="80"/>
  <c r="BR601" i="80" l="1"/>
  <c r="BS601" i="80" s="1"/>
  <c r="BP601" i="80"/>
  <c r="K601" i="80"/>
  <c r="M602" i="80" s="1"/>
  <c r="L601" i="80"/>
  <c r="N602" i="80" s="1"/>
  <c r="BU602" i="80" l="1"/>
  <c r="O602" i="80"/>
  <c r="BT602" i="80"/>
  <c r="P602" i="80" l="1"/>
  <c r="U602" i="80" s="1"/>
  <c r="BY602" i="80"/>
  <c r="S602" i="80"/>
  <c r="T602" i="80" l="1"/>
  <c r="V602" i="80" s="1"/>
  <c r="X602" i="80"/>
  <c r="Y602" i="80" l="1"/>
  <c r="AC602" i="80"/>
  <c r="BE602" i="80" l="1"/>
  <c r="AP602" i="80"/>
  <c r="AQ602" i="80" s="1"/>
  <c r="AS602" i="80" s="1"/>
  <c r="BX602" i="80"/>
  <c r="AD602" i="80"/>
  <c r="AE602" i="80" s="1"/>
  <c r="AO602" i="80"/>
  <c r="R602" i="80"/>
  <c r="BV603" i="80"/>
  <c r="AR602" i="80" l="1"/>
  <c r="AF602" i="80"/>
  <c r="AH602" i="80" s="1"/>
  <c r="AI602" i="80" s="1"/>
  <c r="AJ602" i="80" s="1"/>
  <c r="AG602" i="80" l="1"/>
  <c r="AK602" i="80" s="1"/>
  <c r="AL602" i="80" s="1"/>
  <c r="AT602" i="80" l="1"/>
  <c r="BD602" i="80"/>
  <c r="AX602" i="80"/>
  <c r="AM602" i="80"/>
  <c r="BW603" i="80"/>
  <c r="AN602" i="80"/>
  <c r="AV602" i="80" l="1"/>
  <c r="AW602" i="80"/>
  <c r="AY602" i="80" l="1"/>
  <c r="BA602" i="80" s="1"/>
  <c r="BB602" i="80" s="1"/>
  <c r="BF602" i="80"/>
  <c r="AZ602" i="80" l="1"/>
  <c r="BG602" i="80"/>
  <c r="BH602" i="80" s="1"/>
  <c r="BI602" i="80" l="1"/>
  <c r="BN602" i="80" l="1"/>
  <c r="BJ602" i="80"/>
  <c r="BK602" i="80" s="1"/>
  <c r="BL602" i="80" s="1"/>
  <c r="BQ602" i="80" l="1"/>
  <c r="BO602" i="80"/>
  <c r="Q602" i="80"/>
  <c r="BR602" i="80" l="1"/>
  <c r="BS602" i="80" s="1"/>
  <c r="BP602" i="80"/>
  <c r="K602" i="80"/>
  <c r="M603" i="80" s="1"/>
  <c r="L602" i="80"/>
  <c r="N603" i="80" s="1"/>
  <c r="O603" i="80" l="1"/>
  <c r="BT603" i="80"/>
  <c r="BU603" i="80"/>
  <c r="S603" i="80" l="1"/>
  <c r="BY603" i="80"/>
  <c r="P603" i="80"/>
  <c r="U603" i="80" s="1"/>
  <c r="T603" i="80" l="1"/>
  <c r="V603" i="80" s="1"/>
  <c r="Y603" i="80" s="1"/>
  <c r="AC603" i="80" s="1"/>
  <c r="X603" i="80"/>
  <c r="BE603" i="80" l="1"/>
  <c r="R603" i="80"/>
  <c r="BV604" i="80"/>
  <c r="AD603" i="80"/>
  <c r="BX603" i="80"/>
  <c r="AP603" i="80"/>
  <c r="AQ603" i="80" s="1"/>
  <c r="AO603" i="80"/>
  <c r="AF603" i="80" l="1"/>
  <c r="AE603" i="80"/>
  <c r="AR603" i="80"/>
  <c r="AS603" i="80"/>
  <c r="AG603" i="80" l="1"/>
  <c r="AH603" i="80"/>
  <c r="AI603" i="80" s="1"/>
  <c r="AJ603" i="80" s="1"/>
  <c r="BD603" i="80" l="1"/>
  <c r="AX603" i="80"/>
  <c r="AK603" i="80"/>
  <c r="AL603" i="80" s="1"/>
  <c r="AT603" i="80"/>
  <c r="AM603" i="80" l="1"/>
  <c r="AV603" i="80" s="1"/>
  <c r="AN603" i="80"/>
  <c r="BW604" i="80"/>
  <c r="AW603" i="80"/>
  <c r="AY603" i="80" l="1"/>
  <c r="BA603" i="80" s="1"/>
  <c r="AZ603" i="80" l="1"/>
  <c r="BB603" i="80"/>
  <c r="BF603" i="80"/>
  <c r="BG603" i="80" l="1"/>
  <c r="BH603" i="80" s="1"/>
  <c r="BI603" i="80" l="1"/>
  <c r="BN603" i="80" l="1"/>
  <c r="BJ603" i="80"/>
  <c r="BK603" i="80" s="1"/>
  <c r="BL603" i="80" s="1"/>
  <c r="BQ603" i="80" l="1"/>
  <c r="BO603" i="80"/>
  <c r="Q603" i="80"/>
  <c r="K603" i="80" l="1"/>
  <c r="M604" i="80" s="1"/>
  <c r="L603" i="80"/>
  <c r="N604" i="80" s="1"/>
  <c r="BR603" i="80"/>
  <c r="BS603" i="80" s="1"/>
  <c r="BP603" i="80"/>
  <c r="BU604" i="80" l="1"/>
  <c r="BT604" i="80"/>
  <c r="O604" i="80"/>
  <c r="BY604" i="80" l="1"/>
  <c r="S604" i="80"/>
  <c r="P604" i="80"/>
  <c r="U604" i="80" s="1"/>
  <c r="T604" i="80" l="1"/>
  <c r="V604" i="80" s="1"/>
  <c r="X604" i="80"/>
  <c r="Y604" i="80" l="1"/>
  <c r="AC604" i="80"/>
  <c r="BE604" i="80" l="1"/>
  <c r="AD604" i="80"/>
  <c r="AE604" i="80" s="1"/>
  <c r="AO604" i="80"/>
  <c r="BX604" i="80"/>
  <c r="AP604" i="80"/>
  <c r="AQ604" i="80" s="1"/>
  <c r="AS604" i="80" s="1"/>
  <c r="BV605" i="80"/>
  <c r="R604" i="80"/>
  <c r="AF604" i="80" l="1"/>
  <c r="AH604" i="80" s="1"/>
  <c r="AI604" i="80" s="1"/>
  <c r="AJ604" i="80" s="1"/>
  <c r="AR604" i="80"/>
  <c r="AG604" i="80" l="1"/>
  <c r="BD604" i="80" s="1"/>
  <c r="AT604" i="80"/>
  <c r="AK604" i="80" l="1"/>
  <c r="AL604" i="80" s="1"/>
  <c r="AM604" i="80" s="1"/>
  <c r="AV604" i="80" s="1"/>
  <c r="AX604" i="80"/>
  <c r="BW605" i="80"/>
  <c r="AN604" i="80"/>
  <c r="AW604" i="80"/>
  <c r="AY604" i="80" l="1"/>
  <c r="BA604" i="80" s="1"/>
  <c r="AZ604" i="80" l="1"/>
  <c r="BB604" i="80"/>
  <c r="BF604" i="80"/>
  <c r="BG604" i="80" l="1"/>
  <c r="BH604" i="80" s="1"/>
  <c r="BI604" i="80" l="1"/>
  <c r="BN604" i="80" l="1"/>
  <c r="BJ604" i="80"/>
  <c r="BK604" i="80" s="1"/>
  <c r="BL604" i="80" s="1"/>
  <c r="BQ604" i="80" l="1"/>
  <c r="BO604" i="80"/>
  <c r="Q604" i="80"/>
  <c r="K604" i="80" l="1"/>
  <c r="M605" i="80" s="1"/>
  <c r="L604" i="80"/>
  <c r="N605" i="80" s="1"/>
  <c r="BR604" i="80"/>
  <c r="BS604" i="80" s="1"/>
  <c r="BP604" i="80"/>
  <c r="BU605" i="80" l="1"/>
  <c r="BT605" i="80"/>
  <c r="O605" i="80"/>
  <c r="P605" i="80" l="1"/>
  <c r="U605" i="80" s="1"/>
  <c r="BY605" i="80"/>
  <c r="S605" i="80"/>
  <c r="T605" i="80" l="1"/>
  <c r="V605" i="80" s="1"/>
  <c r="X605" i="80"/>
  <c r="Y605" i="80" l="1"/>
  <c r="AD605" i="80" s="1"/>
  <c r="AC605" i="80"/>
  <c r="AP605" i="80" l="1"/>
  <c r="AQ605" i="80" s="1"/>
  <c r="AS605" i="80" s="1"/>
  <c r="BX605" i="80"/>
  <c r="BE605" i="80"/>
  <c r="AO605" i="80"/>
  <c r="BV606" i="80"/>
  <c r="R605" i="80"/>
  <c r="AE605" i="80"/>
  <c r="AF605" i="80"/>
  <c r="AR605" i="80" l="1"/>
  <c r="AG605" i="80"/>
  <c r="AH605" i="80"/>
  <c r="AI605" i="80" s="1"/>
  <c r="AJ605" i="80" s="1"/>
  <c r="AK605" i="80" l="1"/>
  <c r="AL605" i="80" s="1"/>
  <c r="AX605" i="80"/>
  <c r="BD605" i="80"/>
  <c r="AT605" i="80"/>
  <c r="AM605" i="80" l="1"/>
  <c r="AV605" i="80" s="1"/>
  <c r="AN605" i="80"/>
  <c r="BW606" i="80"/>
  <c r="AW605" i="80"/>
  <c r="AY605" i="80" l="1"/>
  <c r="BA605" i="80" s="1"/>
  <c r="AZ605" i="80" l="1"/>
  <c r="BB605" i="80"/>
  <c r="BF605" i="80"/>
  <c r="BG605" i="80" l="1"/>
  <c r="BH605" i="80" s="1"/>
  <c r="BI605" i="80" l="1"/>
  <c r="BJ605" i="80" l="1"/>
  <c r="BK605" i="80" s="1"/>
  <c r="BL605" i="80" s="1"/>
  <c r="BN605" i="80"/>
  <c r="BQ605" i="80" l="1"/>
  <c r="BO605" i="80"/>
  <c r="Q605" i="80"/>
  <c r="K605" i="80" l="1"/>
  <c r="M606" i="80" s="1"/>
  <c r="L605" i="80"/>
  <c r="N606" i="80" s="1"/>
  <c r="BR605" i="80"/>
  <c r="BS605" i="80" s="1"/>
  <c r="BP605" i="80"/>
  <c r="BU606" i="80" l="1"/>
  <c r="O606" i="80"/>
  <c r="BT606" i="80"/>
  <c r="S606" i="80" l="1"/>
  <c r="P606" i="80"/>
  <c r="U606" i="80" s="1"/>
  <c r="BY606" i="80"/>
  <c r="T606" i="80" l="1"/>
  <c r="V606" i="80" s="1"/>
  <c r="X606" i="80"/>
  <c r="Y606" i="80" l="1"/>
  <c r="AP606" i="80" s="1"/>
  <c r="AQ606" i="80" s="1"/>
  <c r="AC606" i="80"/>
  <c r="AD606" i="80" l="1"/>
  <c r="AF606" i="80" s="1"/>
  <c r="BX606" i="80"/>
  <c r="R606" i="80"/>
  <c r="AO606" i="80"/>
  <c r="BV607" i="80"/>
  <c r="BE606" i="80"/>
  <c r="AR606" i="80"/>
  <c r="AS606" i="80"/>
  <c r="AE606" i="80" l="1"/>
  <c r="AH606" i="80"/>
  <c r="AI606" i="80" s="1"/>
  <c r="AJ606" i="80" s="1"/>
  <c r="AG606" i="80"/>
  <c r="BD606" i="80" l="1"/>
  <c r="AX606" i="80"/>
  <c r="AK606" i="80"/>
  <c r="AL606" i="80" s="1"/>
  <c r="AT606" i="80"/>
  <c r="AM606" i="80" l="1"/>
  <c r="AV606" i="80" s="1"/>
  <c r="BW607" i="80"/>
  <c r="AN606" i="80"/>
  <c r="AW606" i="80"/>
  <c r="AY606" i="80" l="1"/>
  <c r="BA606" i="80" s="1"/>
  <c r="AZ606" i="80" l="1"/>
  <c r="BB606" i="80"/>
  <c r="BF606" i="80"/>
  <c r="BG606" i="80" l="1"/>
  <c r="BH606" i="80" s="1"/>
  <c r="BI606" i="80" l="1"/>
  <c r="BJ606" i="80" l="1"/>
  <c r="BK606" i="80" s="1"/>
  <c r="BL606" i="80" s="1"/>
  <c r="BN606" i="80"/>
  <c r="BQ606" i="80" l="1"/>
  <c r="BO606" i="80"/>
  <c r="Q606" i="80"/>
  <c r="BR606" i="80" l="1"/>
  <c r="BS606" i="80" s="1"/>
  <c r="BP606" i="80"/>
  <c r="K606" i="80"/>
  <c r="M607" i="80" s="1"/>
  <c r="L606" i="80"/>
  <c r="N607" i="80" s="1"/>
  <c r="BU607" i="80" l="1"/>
  <c r="O607" i="80"/>
  <c r="BT607" i="80"/>
  <c r="S607" i="80" l="1"/>
  <c r="BY607" i="80"/>
  <c r="P607" i="80"/>
  <c r="U607" i="80" s="1"/>
  <c r="T607" i="80" l="1"/>
  <c r="V607" i="80" s="1"/>
  <c r="Y607" i="80" s="1"/>
  <c r="X607" i="80"/>
  <c r="AC607" i="80" l="1"/>
  <c r="R607" i="80" s="1"/>
  <c r="AP607" i="80"/>
  <c r="AQ607" i="80" s="1"/>
  <c r="AD607" i="80"/>
  <c r="BX607" i="80"/>
  <c r="AO607" i="80" l="1"/>
  <c r="BE607" i="80"/>
  <c r="BV608" i="80"/>
  <c r="AE607" i="80"/>
  <c r="AF607" i="80"/>
  <c r="AR607" i="80"/>
  <c r="AS607" i="80"/>
  <c r="AH607" i="80" l="1"/>
  <c r="AI607" i="80" s="1"/>
  <c r="AJ607" i="80" s="1"/>
  <c r="AG607" i="80"/>
  <c r="AX607" i="80" l="1"/>
  <c r="AK607" i="80"/>
  <c r="AL607" i="80" s="1"/>
  <c r="BD607" i="80"/>
  <c r="AT607" i="80"/>
  <c r="AM607" i="80" l="1"/>
  <c r="AV607" i="80" s="1"/>
  <c r="AN607" i="80"/>
  <c r="BW608" i="80"/>
  <c r="AW607" i="80"/>
  <c r="AY607" i="80" l="1"/>
  <c r="BA607" i="80" s="1"/>
  <c r="AZ607" i="80" l="1"/>
  <c r="BB607" i="80"/>
  <c r="BF607" i="80"/>
  <c r="BG607" i="80" l="1"/>
  <c r="BH607" i="80" s="1"/>
  <c r="BI607" i="80" l="1"/>
  <c r="BJ607" i="80" l="1"/>
  <c r="BK607" i="80" s="1"/>
  <c r="BL607" i="80" s="1"/>
  <c r="BN607" i="80"/>
  <c r="BQ607" i="80" l="1"/>
  <c r="BO607" i="80"/>
  <c r="Q607" i="80"/>
  <c r="K607" i="80" l="1"/>
  <c r="M608" i="80" s="1"/>
  <c r="L607" i="80"/>
  <c r="N608" i="80" s="1"/>
  <c r="BR607" i="80"/>
  <c r="BS607" i="80" s="1"/>
  <c r="BP607" i="80"/>
  <c r="BU608" i="80" l="1"/>
  <c r="O608" i="80"/>
  <c r="BT608" i="80"/>
  <c r="P608" i="80" l="1"/>
  <c r="U608" i="80" s="1"/>
  <c r="BY608" i="80"/>
  <c r="S608" i="80"/>
  <c r="T608" i="80" l="1"/>
  <c r="V608" i="80" s="1"/>
  <c r="Y608" i="80" s="1"/>
  <c r="X608" i="80"/>
  <c r="AC608" i="80" l="1"/>
  <c r="BE608" i="80" s="1"/>
  <c r="BX608" i="80"/>
  <c r="AD608" i="80"/>
  <c r="AP608" i="80"/>
  <c r="AQ608" i="80" s="1"/>
  <c r="R608" i="80" l="1"/>
  <c r="AO608" i="80"/>
  <c r="BV609" i="80"/>
  <c r="AF608" i="80"/>
  <c r="AE608" i="80"/>
  <c r="AR608" i="80"/>
  <c r="AS608" i="80"/>
  <c r="AG608" i="80" l="1"/>
  <c r="AH608" i="80"/>
  <c r="AI608" i="80" s="1"/>
  <c r="AJ608" i="80" s="1"/>
  <c r="AK608" i="80" l="1"/>
  <c r="AL608" i="80" s="1"/>
  <c r="BD608" i="80"/>
  <c r="AX608" i="80"/>
  <c r="AT608" i="80"/>
  <c r="AM608" i="80" l="1"/>
  <c r="AV608" i="80" s="1"/>
  <c r="BW609" i="80"/>
  <c r="AN608" i="80"/>
  <c r="AW608" i="80"/>
  <c r="AY608" i="80" l="1"/>
  <c r="BA608" i="80" s="1"/>
  <c r="AZ608" i="80" l="1"/>
  <c r="BB608" i="80"/>
  <c r="BF608" i="80"/>
  <c r="BG608" i="80" l="1"/>
  <c r="BH608" i="80" s="1"/>
  <c r="BI608" i="80" l="1"/>
  <c r="BJ608" i="80" l="1"/>
  <c r="BK608" i="80" s="1"/>
  <c r="BL608" i="80" s="1"/>
  <c r="BN608" i="80"/>
  <c r="BQ608" i="80" l="1"/>
  <c r="BO608" i="80"/>
  <c r="Q608" i="80"/>
  <c r="K608" i="80" l="1"/>
  <c r="M609" i="80" s="1"/>
  <c r="L608" i="80"/>
  <c r="N609" i="80" s="1"/>
  <c r="BR608" i="80"/>
  <c r="BS608" i="80" s="1"/>
  <c r="BP608" i="80"/>
  <c r="BU609" i="80" l="1"/>
  <c r="BT609" i="80"/>
  <c r="O609" i="80"/>
  <c r="P609" i="80" l="1"/>
  <c r="U609" i="80" s="1"/>
  <c r="S609" i="80"/>
  <c r="BY609" i="80"/>
  <c r="T609" i="80" l="1"/>
  <c r="V609" i="80" s="1"/>
  <c r="Y609" i="80" s="1"/>
  <c r="AC609" i="80" s="1"/>
  <c r="X609" i="80"/>
  <c r="BE609" i="80" l="1"/>
  <c r="R609" i="80"/>
  <c r="BV610" i="80"/>
  <c r="AD609" i="80"/>
  <c r="AO609" i="80"/>
  <c r="BX609" i="80"/>
  <c r="AP609" i="80"/>
  <c r="AQ609" i="80" s="1"/>
  <c r="AR609" i="80" l="1"/>
  <c r="AS609" i="80"/>
  <c r="AE609" i="80"/>
  <c r="AF609" i="80"/>
  <c r="AH609" i="80" l="1"/>
  <c r="AI609" i="80" s="1"/>
  <c r="AJ609" i="80" s="1"/>
  <c r="AG609" i="80"/>
  <c r="BD609" i="80" l="1"/>
  <c r="AX609" i="80"/>
  <c r="AK609" i="80"/>
  <c r="AL609" i="80" s="1"/>
  <c r="AT609" i="80"/>
  <c r="AM609" i="80" l="1"/>
  <c r="AV609" i="80" s="1"/>
  <c r="AN609" i="80"/>
  <c r="BW610" i="80"/>
  <c r="AW609" i="80"/>
  <c r="AY609" i="80" l="1"/>
  <c r="BA609" i="80" s="1"/>
  <c r="AZ609" i="80" l="1"/>
  <c r="BB609" i="80"/>
  <c r="BF609" i="80"/>
  <c r="BG609" i="80" l="1"/>
  <c r="BH609" i="80" s="1"/>
  <c r="BI609" i="80" l="1"/>
  <c r="BN609" i="80" l="1"/>
  <c r="BJ609" i="80"/>
  <c r="BK609" i="80" s="1"/>
  <c r="BL609" i="80" s="1"/>
  <c r="BQ609" i="80" l="1"/>
  <c r="BO609" i="80"/>
  <c r="Q609" i="80"/>
  <c r="BR609" i="80" l="1"/>
  <c r="BS609" i="80" s="1"/>
  <c r="BP609" i="80"/>
  <c r="K609" i="80"/>
  <c r="M610" i="80" s="1"/>
  <c r="L609" i="80"/>
  <c r="N610" i="80" s="1"/>
  <c r="O610" i="80" l="1"/>
  <c r="BT610" i="80"/>
  <c r="BU610" i="80"/>
  <c r="S610" i="80" l="1"/>
  <c r="BY610" i="80"/>
  <c r="P610" i="80"/>
  <c r="U610" i="80" s="1"/>
  <c r="T610" i="80" l="1"/>
  <c r="V610" i="80" s="1"/>
  <c r="Y610" i="80" s="1"/>
  <c r="X610" i="80"/>
  <c r="BX610" i="80" l="1"/>
  <c r="AP610" i="80"/>
  <c r="AQ610" i="80" s="1"/>
  <c r="AD610" i="80"/>
  <c r="AC610" i="80"/>
  <c r="BE610" i="80" l="1"/>
  <c r="AO610" i="80"/>
  <c r="R610" i="80"/>
  <c r="BV611" i="80"/>
  <c r="AR610" i="80"/>
  <c r="AS610" i="80"/>
  <c r="AF610" i="80"/>
  <c r="AE610" i="80"/>
  <c r="AG610" i="80" l="1"/>
  <c r="AH610" i="80"/>
  <c r="AI610" i="80" s="1"/>
  <c r="AJ610" i="80" s="1"/>
  <c r="AX610" i="80" l="1"/>
  <c r="BD610" i="80"/>
  <c r="AK610" i="80"/>
  <c r="AL610" i="80" s="1"/>
  <c r="AT610" i="80"/>
  <c r="AM610" i="80" l="1"/>
  <c r="AV610" i="80" s="1"/>
  <c r="AN610" i="80"/>
  <c r="BW611" i="80"/>
  <c r="AW610" i="80"/>
  <c r="AY610" i="80" l="1"/>
  <c r="BA610" i="80" s="1"/>
  <c r="AZ610" i="80" l="1"/>
  <c r="BB610" i="80"/>
  <c r="BF610" i="80"/>
  <c r="BG610" i="80" l="1"/>
  <c r="BH610" i="80" s="1"/>
  <c r="BI610" i="80" l="1"/>
  <c r="BN610" i="80" l="1"/>
  <c r="BJ610" i="80"/>
  <c r="BK610" i="80" s="1"/>
  <c r="BL610" i="80" s="1"/>
  <c r="BQ610" i="80" l="1"/>
  <c r="BO610" i="80"/>
  <c r="Q610" i="80"/>
  <c r="K610" i="80" l="1"/>
  <c r="M611" i="80" s="1"/>
  <c r="L610" i="80"/>
  <c r="N611" i="80" s="1"/>
  <c r="BR610" i="80"/>
  <c r="BS610" i="80" s="1"/>
  <c r="BP610" i="80"/>
  <c r="BU611" i="80" l="1"/>
  <c r="BT611" i="80"/>
  <c r="O611" i="80"/>
  <c r="BY611" i="80" l="1"/>
  <c r="P611" i="80"/>
  <c r="U611" i="80" s="1"/>
  <c r="S611" i="80"/>
  <c r="T611" i="80" l="1"/>
  <c r="V611" i="80" s="1"/>
  <c r="Y611" i="80" s="1"/>
  <c r="X611" i="80"/>
  <c r="AC611" i="80" l="1"/>
  <c r="BE611" i="80" s="1"/>
  <c r="AD611" i="80"/>
  <c r="BX611" i="80"/>
  <c r="AP611" i="80"/>
  <c r="AQ611" i="80" s="1"/>
  <c r="AO611" i="80" l="1"/>
  <c r="R611" i="80"/>
  <c r="BV612" i="80"/>
  <c r="AR611" i="80"/>
  <c r="AS611" i="80"/>
  <c r="AF611" i="80"/>
  <c r="AE611" i="80"/>
  <c r="AG611" i="80" l="1"/>
  <c r="AH611" i="80"/>
  <c r="AI611" i="80" s="1"/>
  <c r="AJ611" i="80" s="1"/>
  <c r="BD611" i="80" l="1"/>
  <c r="AX611" i="80"/>
  <c r="AK611" i="80"/>
  <c r="AL611" i="80" s="1"/>
  <c r="AT611" i="80"/>
  <c r="AM611" i="80" l="1"/>
  <c r="AV611" i="80" s="1"/>
  <c r="AN611" i="80"/>
  <c r="BW612" i="80"/>
  <c r="AW611" i="80"/>
  <c r="AY611" i="80" l="1"/>
  <c r="BA611" i="80" s="1"/>
  <c r="AZ611" i="80" l="1"/>
  <c r="BB611" i="80"/>
  <c r="BF611" i="80"/>
  <c r="BG611" i="80" l="1"/>
  <c r="BH611" i="80" s="1"/>
  <c r="BI611" i="80" l="1"/>
  <c r="BJ611" i="80" l="1"/>
  <c r="BK611" i="80" s="1"/>
  <c r="BL611" i="80" s="1"/>
  <c r="BN611" i="80"/>
  <c r="BQ611" i="80" l="1"/>
  <c r="BO611" i="80"/>
  <c r="Q611" i="80"/>
  <c r="K611" i="80" l="1"/>
  <c r="M612" i="80" s="1"/>
  <c r="L611" i="80"/>
  <c r="N612" i="80" s="1"/>
  <c r="BR611" i="80"/>
  <c r="BS611" i="80" s="1"/>
  <c r="BP611" i="80"/>
  <c r="BU612" i="80" l="1"/>
  <c r="O612" i="80"/>
  <c r="BT612" i="80"/>
  <c r="P612" i="80" l="1"/>
  <c r="U612" i="80" s="1"/>
  <c r="S612" i="80"/>
  <c r="BY612" i="80"/>
  <c r="T612" i="80" l="1"/>
  <c r="V612" i="80" s="1"/>
  <c r="X612" i="80"/>
  <c r="Y612" i="80" l="1"/>
  <c r="AP612" i="80" s="1"/>
  <c r="AQ612" i="80" s="1"/>
  <c r="AC612" i="80"/>
  <c r="R612" i="80" l="1"/>
  <c r="BX612" i="80"/>
  <c r="AD612" i="80"/>
  <c r="AE612" i="80" s="1"/>
  <c r="AO612" i="80"/>
  <c r="BV613" i="80"/>
  <c r="BE612" i="80"/>
  <c r="AR612" i="80"/>
  <c r="AS612" i="80"/>
  <c r="AF612" i="80" l="1"/>
  <c r="AH612" i="80" s="1"/>
  <c r="AI612" i="80" s="1"/>
  <c r="AJ612" i="80" s="1"/>
  <c r="AG612" i="80" l="1"/>
  <c r="AX612" i="80" s="1"/>
  <c r="AT612" i="80" l="1"/>
  <c r="BD612" i="80"/>
  <c r="AK612" i="80"/>
  <c r="AL612" i="80" s="1"/>
  <c r="AM612" i="80" s="1"/>
  <c r="AV612" i="80" s="1"/>
  <c r="AW612" i="80"/>
  <c r="AN612" i="80" l="1"/>
  <c r="BW613" i="80"/>
  <c r="AY612" i="80"/>
  <c r="BA612" i="80" s="1"/>
  <c r="AZ612" i="80" l="1"/>
  <c r="BB612" i="80"/>
  <c r="BF612" i="80"/>
  <c r="BG612" i="80" l="1"/>
  <c r="BH612" i="80" s="1"/>
  <c r="BI612" i="80" l="1"/>
  <c r="BJ612" i="80" l="1"/>
  <c r="BK612" i="80" s="1"/>
  <c r="BL612" i="80" s="1"/>
  <c r="BN612" i="80"/>
  <c r="BQ612" i="80" l="1"/>
  <c r="BO612" i="80"/>
  <c r="Q612" i="80"/>
  <c r="K612" i="80" l="1"/>
  <c r="M613" i="80" s="1"/>
  <c r="L612" i="80"/>
  <c r="N613" i="80" s="1"/>
  <c r="BR612" i="80"/>
  <c r="BS612" i="80" s="1"/>
  <c r="BP612" i="80"/>
  <c r="BU613" i="80" l="1"/>
  <c r="BT613" i="80"/>
  <c r="O613" i="80"/>
  <c r="S613" i="80" l="1"/>
  <c r="P613" i="80"/>
  <c r="U613" i="80" s="1"/>
  <c r="BY613" i="80"/>
  <c r="T613" i="80" l="1"/>
  <c r="V613" i="80" s="1"/>
  <c r="X613" i="80"/>
  <c r="Y613" i="80" l="1"/>
  <c r="AD613" i="80" s="1"/>
  <c r="AC613" i="80"/>
  <c r="AP613" i="80" l="1"/>
  <c r="AQ613" i="80" s="1"/>
  <c r="AS613" i="80" s="1"/>
  <c r="BX613" i="80"/>
  <c r="BV614" i="80"/>
  <c r="BE613" i="80"/>
  <c r="AO613" i="80"/>
  <c r="R613" i="80"/>
  <c r="AE613" i="80"/>
  <c r="AF613" i="80"/>
  <c r="AR613" i="80" l="1"/>
  <c r="AH613" i="80"/>
  <c r="AI613" i="80" s="1"/>
  <c r="AJ613" i="80" s="1"/>
  <c r="AG613" i="80"/>
  <c r="AX613" i="80" l="1"/>
  <c r="BD613" i="80"/>
  <c r="AK613" i="80"/>
  <c r="AL613" i="80" s="1"/>
  <c r="AT613" i="80"/>
  <c r="AM613" i="80" l="1"/>
  <c r="AV613" i="80" s="1"/>
  <c r="BW614" i="80"/>
  <c r="AN613" i="80"/>
  <c r="AW613" i="80"/>
  <c r="AY613" i="80" l="1"/>
  <c r="BA613" i="80" s="1"/>
  <c r="AZ613" i="80" l="1"/>
  <c r="BB613" i="80"/>
  <c r="BF613" i="80"/>
  <c r="BG613" i="80" l="1"/>
  <c r="BH613" i="80" s="1"/>
  <c r="BI613" i="80" l="1"/>
  <c r="BN613" i="80" l="1"/>
  <c r="BJ613" i="80"/>
  <c r="BK613" i="80" s="1"/>
  <c r="BL613" i="80" s="1"/>
  <c r="BQ613" i="80" l="1"/>
  <c r="BO613" i="80"/>
  <c r="Q613" i="80"/>
  <c r="K613" i="80" l="1"/>
  <c r="M614" i="80" s="1"/>
  <c r="L613" i="80"/>
  <c r="N614" i="80" s="1"/>
  <c r="BR613" i="80"/>
  <c r="BS613" i="80" s="1"/>
  <c r="BP613" i="80"/>
  <c r="BU614" i="80" l="1"/>
  <c r="BT614" i="80"/>
  <c r="O614" i="80"/>
  <c r="BY614" i="80" l="1"/>
  <c r="S614" i="80"/>
  <c r="P614" i="80"/>
  <c r="U614" i="80" s="1"/>
  <c r="T614" i="80" l="1"/>
  <c r="V614" i="80" s="1"/>
  <c r="X614" i="80"/>
  <c r="Y614" i="80" l="1"/>
  <c r="AD614" i="80" s="1"/>
  <c r="AC614" i="80"/>
  <c r="BX614" i="80" l="1"/>
  <c r="AP614" i="80"/>
  <c r="AQ614" i="80" s="1"/>
  <c r="AR614" i="80" s="1"/>
  <c r="BE614" i="80"/>
  <c r="AO614" i="80"/>
  <c r="R614" i="80"/>
  <c r="BV615" i="80"/>
  <c r="AF614" i="80"/>
  <c r="AE614" i="80"/>
  <c r="AS614" i="80" l="1"/>
  <c r="AH614" i="80"/>
  <c r="AI614" i="80" s="1"/>
  <c r="AJ614" i="80" s="1"/>
  <c r="AG614" i="80"/>
  <c r="AX614" i="80" l="1"/>
  <c r="BD614" i="80"/>
  <c r="AK614" i="80"/>
  <c r="AL614" i="80" s="1"/>
  <c r="AT614" i="80"/>
  <c r="AM614" i="80" l="1"/>
  <c r="AV614" i="80" s="1"/>
  <c r="AN614" i="80"/>
  <c r="BW615" i="80"/>
  <c r="AW614" i="80"/>
  <c r="AY614" i="80" l="1"/>
  <c r="BA614" i="80" s="1"/>
  <c r="AZ614" i="80" l="1"/>
  <c r="BB614" i="80"/>
  <c r="BF614" i="80"/>
  <c r="BG614" i="80" l="1"/>
  <c r="BH614" i="80" s="1"/>
  <c r="BI614" i="80" l="1"/>
  <c r="BN614" i="80" l="1"/>
  <c r="BJ614" i="80"/>
  <c r="BK614" i="80" s="1"/>
  <c r="BL614" i="80" s="1"/>
  <c r="BQ614" i="80" l="1"/>
  <c r="BO614" i="80"/>
  <c r="Q614" i="80"/>
  <c r="K614" i="80" l="1"/>
  <c r="M615" i="80" s="1"/>
  <c r="L614" i="80"/>
  <c r="N615" i="80" s="1"/>
  <c r="BR614" i="80"/>
  <c r="BS614" i="80" s="1"/>
  <c r="BP614" i="80"/>
  <c r="BU615" i="80" l="1"/>
  <c r="O615" i="80"/>
  <c r="BT615" i="80"/>
  <c r="BY615" i="80" l="1"/>
  <c r="P615" i="80"/>
  <c r="U615" i="80" s="1"/>
  <c r="S615" i="80"/>
  <c r="T615" i="80" l="1"/>
  <c r="V615" i="80" s="1"/>
  <c r="X615" i="80"/>
  <c r="Y615" i="80" l="1"/>
  <c r="BX615" i="80" s="1"/>
  <c r="AC615" i="80"/>
  <c r="AD615" i="80" l="1"/>
  <c r="AE615" i="80" s="1"/>
  <c r="AP615" i="80"/>
  <c r="AQ615" i="80" s="1"/>
  <c r="AR615" i="80" s="1"/>
  <c r="R615" i="80"/>
  <c r="AO615" i="80"/>
  <c r="BE615" i="80"/>
  <c r="BV616" i="80"/>
  <c r="AF615" i="80" l="1"/>
  <c r="AH615" i="80" s="1"/>
  <c r="AI615" i="80" s="1"/>
  <c r="AJ615" i="80" s="1"/>
  <c r="AS615" i="80"/>
  <c r="AG615" i="80" l="1"/>
  <c r="BD615" i="80" s="1"/>
  <c r="AT615" i="80" l="1"/>
  <c r="AX615" i="80"/>
  <c r="AK615" i="80"/>
  <c r="AL615" i="80" s="1"/>
  <c r="AM615" i="80" s="1"/>
  <c r="AV615" i="80" s="1"/>
  <c r="AW615" i="80"/>
  <c r="AN615" i="80" l="1"/>
  <c r="BW616" i="80"/>
  <c r="AY615" i="80"/>
  <c r="BA615" i="80" s="1"/>
  <c r="AZ615" i="80" l="1"/>
  <c r="BB615" i="80"/>
  <c r="BF615" i="80"/>
  <c r="BG615" i="80" l="1"/>
  <c r="BH615" i="80" s="1"/>
  <c r="BI615" i="80" l="1"/>
  <c r="BN615" i="80" l="1"/>
  <c r="BJ615" i="80"/>
  <c r="BK615" i="80" s="1"/>
  <c r="BL615" i="80" s="1"/>
  <c r="BQ615" i="80" l="1"/>
  <c r="BO615" i="80"/>
  <c r="Q615" i="80"/>
  <c r="BR615" i="80" l="1"/>
  <c r="BS615" i="80" s="1"/>
  <c r="BP615" i="80"/>
  <c r="K615" i="80"/>
  <c r="M616" i="80" s="1"/>
  <c r="L615" i="80"/>
  <c r="N616" i="80" s="1"/>
  <c r="BU616" i="80" l="1"/>
  <c r="O616" i="80"/>
  <c r="BT616" i="80"/>
  <c r="BY616" i="80" l="1"/>
  <c r="S616" i="80"/>
  <c r="P616" i="80"/>
  <c r="U616" i="80" s="1"/>
  <c r="T616" i="80" l="1"/>
  <c r="V616" i="80" s="1"/>
  <c r="X616" i="80"/>
  <c r="Y616" i="80" l="1"/>
  <c r="AD616" i="80" s="1"/>
  <c r="AC616" i="80"/>
  <c r="AP616" i="80" l="1"/>
  <c r="AQ616" i="80" s="1"/>
  <c r="AS616" i="80" s="1"/>
  <c r="BX616" i="80"/>
  <c r="AO616" i="80"/>
  <c r="R616" i="80"/>
  <c r="BE616" i="80"/>
  <c r="BV617" i="80"/>
  <c r="AF616" i="80"/>
  <c r="AE616" i="80"/>
  <c r="AR616" i="80" l="1"/>
  <c r="AG616" i="80"/>
  <c r="AH616" i="80"/>
  <c r="AI616" i="80" s="1"/>
  <c r="AJ616" i="80" s="1"/>
  <c r="AK616" i="80" l="1"/>
  <c r="AL616" i="80" s="1"/>
  <c r="AX616" i="80"/>
  <c r="BD616" i="80"/>
  <c r="AT616" i="80"/>
  <c r="AM616" i="80" l="1"/>
  <c r="AV616" i="80" s="1"/>
  <c r="AN616" i="80"/>
  <c r="BW617" i="80"/>
  <c r="AW616" i="80"/>
  <c r="AY616" i="80" l="1"/>
  <c r="BA616" i="80" s="1"/>
  <c r="AZ616" i="80" l="1"/>
  <c r="BB616" i="80"/>
  <c r="BF616" i="80"/>
  <c r="BG616" i="80" l="1"/>
  <c r="BH616" i="80" s="1"/>
  <c r="BI616" i="80" l="1"/>
  <c r="BJ616" i="80" l="1"/>
  <c r="BK616" i="80" s="1"/>
  <c r="BL616" i="80" s="1"/>
  <c r="BN616" i="80"/>
  <c r="BQ616" i="80" l="1"/>
  <c r="BO616" i="80"/>
  <c r="Q616" i="80"/>
  <c r="BR616" i="80" l="1"/>
  <c r="BS616" i="80" s="1"/>
  <c r="BP616" i="80"/>
  <c r="K616" i="80"/>
  <c r="M617" i="80" s="1"/>
  <c r="L616" i="80"/>
  <c r="N617" i="80" s="1"/>
  <c r="BU617" i="80" l="1"/>
  <c r="O617" i="80"/>
  <c r="BT617" i="80"/>
  <c r="BY617" i="80" l="1"/>
  <c r="P617" i="80"/>
  <c r="U617" i="80" s="1"/>
  <c r="S617" i="80"/>
  <c r="T617" i="80" l="1"/>
  <c r="V617" i="80" s="1"/>
  <c r="X617" i="80"/>
  <c r="Y617" i="80" l="1"/>
  <c r="AP617" i="80" s="1"/>
  <c r="AQ617" i="80" s="1"/>
  <c r="AC617" i="80"/>
  <c r="R617" i="80" l="1"/>
  <c r="AD617" i="80"/>
  <c r="AF617" i="80" s="1"/>
  <c r="BX617" i="80"/>
  <c r="BE617" i="80"/>
  <c r="AO617" i="80"/>
  <c r="BV618" i="80"/>
  <c r="AR617" i="80"/>
  <c r="AS617" i="80"/>
  <c r="AE617" i="80" l="1"/>
  <c r="AG617" i="80"/>
  <c r="AH617" i="80"/>
  <c r="AI617" i="80" s="1"/>
  <c r="AJ617" i="80" s="1"/>
  <c r="AX617" i="80" l="1"/>
  <c r="BD617" i="80"/>
  <c r="AK617" i="80"/>
  <c r="AL617" i="80" s="1"/>
  <c r="AT617" i="80"/>
  <c r="AM617" i="80" l="1"/>
  <c r="AV617" i="80" s="1"/>
  <c r="BW618" i="80"/>
  <c r="AN617" i="80"/>
  <c r="AW617" i="80"/>
  <c r="AY617" i="80" l="1"/>
  <c r="BA617" i="80" s="1"/>
  <c r="AZ617" i="80" l="1"/>
  <c r="BB617" i="80"/>
  <c r="BF617" i="80"/>
  <c r="BG617" i="80" l="1"/>
  <c r="BH617" i="80" s="1"/>
  <c r="BI617" i="80" l="1"/>
  <c r="BN617" i="80" l="1"/>
  <c r="BJ617" i="80"/>
  <c r="BK617" i="80" s="1"/>
  <c r="BL617" i="80" s="1"/>
  <c r="BQ617" i="80" l="1"/>
  <c r="BO617" i="80"/>
  <c r="Q617" i="80"/>
  <c r="K617" i="80" l="1"/>
  <c r="M618" i="80" s="1"/>
  <c r="L617" i="80"/>
  <c r="N618" i="80" s="1"/>
  <c r="BR617" i="80"/>
  <c r="BS617" i="80" s="1"/>
  <c r="BP617" i="80"/>
  <c r="BU618" i="80" l="1"/>
  <c r="O618" i="80"/>
  <c r="BT618" i="80"/>
  <c r="P618" i="80" l="1"/>
  <c r="U618" i="80" s="1"/>
  <c r="BY618" i="80"/>
  <c r="S618" i="80"/>
  <c r="T618" i="80" l="1"/>
  <c r="V618" i="80" s="1"/>
  <c r="X618" i="80"/>
  <c r="Y618" i="80" l="1"/>
  <c r="BX618" i="80" s="1"/>
  <c r="AC618" i="80"/>
  <c r="AP618" i="80" l="1"/>
  <c r="AQ618" i="80" s="1"/>
  <c r="AR618" i="80" s="1"/>
  <c r="BE618" i="80"/>
  <c r="AD618" i="80"/>
  <c r="AF618" i="80" s="1"/>
  <c r="AO618" i="80"/>
  <c r="BV619" i="80"/>
  <c r="R618" i="80"/>
  <c r="AS618" i="80" l="1"/>
  <c r="AE618" i="80"/>
  <c r="AG618" i="80"/>
  <c r="AH618" i="80"/>
  <c r="AI618" i="80" s="1"/>
  <c r="AJ618" i="80" s="1"/>
  <c r="BD618" i="80" l="1"/>
  <c r="AX618" i="80"/>
  <c r="AK618" i="80"/>
  <c r="AL618" i="80" s="1"/>
  <c r="AT618" i="80"/>
  <c r="AM618" i="80" l="1"/>
  <c r="AV618" i="80" s="1"/>
  <c r="AN618" i="80"/>
  <c r="BW619" i="80"/>
  <c r="AW618" i="80"/>
  <c r="AY618" i="80" l="1"/>
  <c r="BA618" i="80" s="1"/>
  <c r="AZ618" i="80" l="1"/>
  <c r="BB618" i="80"/>
  <c r="BF618" i="80"/>
  <c r="BG618" i="80" l="1"/>
  <c r="BH618" i="80" s="1"/>
  <c r="BI618" i="80" l="1"/>
  <c r="BN618" i="80" l="1"/>
  <c r="BJ618" i="80"/>
  <c r="BK618" i="80" s="1"/>
  <c r="BL618" i="80" s="1"/>
  <c r="BQ618" i="80" l="1"/>
  <c r="BO618" i="80"/>
  <c r="Q618" i="80"/>
  <c r="K618" i="80" l="1"/>
  <c r="M619" i="80" s="1"/>
  <c r="L618" i="80"/>
  <c r="N619" i="80" s="1"/>
  <c r="BR618" i="80"/>
  <c r="BS618" i="80" s="1"/>
  <c r="BP618" i="80"/>
  <c r="BU619" i="80" l="1"/>
  <c r="BT619" i="80"/>
  <c r="O619" i="80"/>
  <c r="P619" i="80" l="1"/>
  <c r="U619" i="80" s="1"/>
  <c r="BY619" i="80"/>
  <c r="S619" i="80"/>
  <c r="T619" i="80" l="1"/>
  <c r="V619" i="80" s="1"/>
  <c r="Y619" i="80" s="1"/>
  <c r="X619" i="80"/>
  <c r="AC619" i="80" l="1"/>
  <c r="BE619" i="80" s="1"/>
  <c r="AD619" i="80"/>
  <c r="BX619" i="80"/>
  <c r="AP619" i="80"/>
  <c r="AQ619" i="80" s="1"/>
  <c r="AO619" i="80" l="1"/>
  <c r="BV620" i="80"/>
  <c r="R619" i="80"/>
  <c r="AE619" i="80"/>
  <c r="AF619" i="80"/>
  <c r="AR619" i="80"/>
  <c r="AS619" i="80"/>
  <c r="AH619" i="80" l="1"/>
  <c r="AI619" i="80" s="1"/>
  <c r="AJ619" i="80" s="1"/>
  <c r="AG619" i="80"/>
  <c r="AX619" i="80" l="1"/>
  <c r="BD619" i="80"/>
  <c r="AK619" i="80"/>
  <c r="AL619" i="80" s="1"/>
  <c r="AT619" i="80"/>
  <c r="AM619" i="80" l="1"/>
  <c r="AV619" i="80" s="1"/>
  <c r="BW620" i="80"/>
  <c r="AN619" i="80"/>
  <c r="AW619" i="80"/>
  <c r="AY619" i="80" l="1"/>
  <c r="BA619" i="80" s="1"/>
  <c r="AZ619" i="80" l="1"/>
  <c r="BB619" i="80"/>
  <c r="BF619" i="80"/>
  <c r="BG619" i="80" l="1"/>
  <c r="BH619" i="80" s="1"/>
  <c r="BI619" i="80" l="1"/>
  <c r="BN619" i="80" l="1"/>
  <c r="BJ619" i="80"/>
  <c r="BK619" i="80" s="1"/>
  <c r="BL619" i="80" s="1"/>
  <c r="BQ619" i="80" l="1"/>
  <c r="BO619" i="80"/>
  <c r="Q619" i="80"/>
  <c r="K619" i="80" l="1"/>
  <c r="M620" i="80" s="1"/>
  <c r="L619" i="80"/>
  <c r="N620" i="80" s="1"/>
  <c r="BR619" i="80"/>
  <c r="BS619" i="80" s="1"/>
  <c r="BP619" i="80"/>
  <c r="BU620" i="80" l="1"/>
  <c r="O620" i="80"/>
  <c r="BT620" i="80"/>
  <c r="P620" i="80" l="1"/>
  <c r="U620" i="80" s="1"/>
  <c r="BY620" i="80"/>
  <c r="S620" i="80"/>
  <c r="T620" i="80" l="1"/>
  <c r="V620" i="80" s="1"/>
  <c r="Y620" i="80" s="1"/>
  <c r="AC620" i="80" s="1"/>
  <c r="X620" i="80"/>
  <c r="BE620" i="80" l="1"/>
  <c r="R620" i="80"/>
  <c r="BV621" i="80"/>
  <c r="AP620" i="80"/>
  <c r="AQ620" i="80" s="1"/>
  <c r="AO620" i="80"/>
  <c r="AD620" i="80"/>
  <c r="BX620" i="80"/>
  <c r="AR620" i="80" l="1"/>
  <c r="AS620" i="80"/>
  <c r="AE620" i="80"/>
  <c r="AF620" i="80"/>
  <c r="AH620" i="80" l="1"/>
  <c r="AI620" i="80" s="1"/>
  <c r="AJ620" i="80" s="1"/>
  <c r="AG620" i="80"/>
  <c r="BD620" i="80" l="1"/>
  <c r="AK620" i="80"/>
  <c r="AL620" i="80" s="1"/>
  <c r="AX620" i="80"/>
  <c r="AT620" i="80"/>
  <c r="AM620" i="80" l="1"/>
  <c r="AV620" i="80" s="1"/>
  <c r="BW621" i="80"/>
  <c r="AN620" i="80"/>
  <c r="AW620" i="80"/>
  <c r="AY620" i="80" l="1"/>
  <c r="BA620" i="80" s="1"/>
  <c r="AZ620" i="80" l="1"/>
  <c r="BB620" i="80"/>
  <c r="BF620" i="80"/>
  <c r="BG620" i="80" l="1"/>
  <c r="BH620" i="80" s="1"/>
  <c r="BI620" i="80" l="1"/>
  <c r="BN620" i="80" l="1"/>
  <c r="BJ620" i="80"/>
  <c r="BK620" i="80" s="1"/>
  <c r="BL620" i="80" s="1"/>
  <c r="BQ620" i="80" l="1"/>
  <c r="BO620" i="80"/>
  <c r="Q620" i="80"/>
  <c r="K620" i="80" l="1"/>
  <c r="M621" i="80" s="1"/>
  <c r="L620" i="80"/>
  <c r="N621" i="80" s="1"/>
  <c r="BR620" i="80"/>
  <c r="BS620" i="80" s="1"/>
  <c r="BP620" i="80"/>
  <c r="BU621" i="80" l="1"/>
  <c r="O621" i="80"/>
  <c r="BT621" i="80"/>
  <c r="S621" i="80" l="1"/>
  <c r="P621" i="80"/>
  <c r="U621" i="80" s="1"/>
  <c r="BY621" i="80"/>
  <c r="T621" i="80" l="1"/>
  <c r="V621" i="80" s="1"/>
  <c r="Y621" i="80" s="1"/>
  <c r="X621" i="80"/>
  <c r="AP621" i="80" l="1"/>
  <c r="AQ621" i="80" s="1"/>
  <c r="BX621" i="80"/>
  <c r="AD621" i="80"/>
  <c r="AC621" i="80"/>
  <c r="R621" i="80" l="1"/>
  <c r="AO621" i="80"/>
  <c r="BV622" i="80"/>
  <c r="BE621" i="80"/>
  <c r="AE621" i="80"/>
  <c r="AF621" i="80"/>
  <c r="AR621" i="80"/>
  <c r="AS621" i="80"/>
  <c r="AH621" i="80" l="1"/>
  <c r="AI621" i="80" s="1"/>
  <c r="AJ621" i="80" s="1"/>
  <c r="AG621" i="80"/>
  <c r="BD621" i="80" l="1"/>
  <c r="AK621" i="80"/>
  <c r="AL621" i="80" s="1"/>
  <c r="AX621" i="80"/>
  <c r="AT621" i="80"/>
  <c r="AM621" i="80" l="1"/>
  <c r="AV621" i="80" s="1"/>
  <c r="AN621" i="80"/>
  <c r="BW622" i="80"/>
  <c r="AW621" i="80"/>
  <c r="AY621" i="80" l="1"/>
  <c r="BA621" i="80" s="1"/>
  <c r="AZ621" i="80" l="1"/>
  <c r="BB621" i="80"/>
  <c r="BF621" i="80"/>
  <c r="BG621" i="80" l="1"/>
  <c r="BH621" i="80" s="1"/>
  <c r="BI621" i="80" l="1"/>
  <c r="BN621" i="80" l="1"/>
  <c r="BJ621" i="80"/>
  <c r="BK621" i="80" s="1"/>
  <c r="BL621" i="80" s="1"/>
  <c r="BQ621" i="80" l="1"/>
  <c r="BO621" i="80"/>
  <c r="Q621" i="80"/>
  <c r="K621" i="80" l="1"/>
  <c r="M622" i="80" s="1"/>
  <c r="L621" i="80"/>
  <c r="N622" i="80" s="1"/>
  <c r="BR621" i="80"/>
  <c r="BS621" i="80" s="1"/>
  <c r="BP621" i="80"/>
  <c r="BU622" i="80" l="1"/>
  <c r="O622" i="80"/>
  <c r="BT622" i="80"/>
  <c r="BY622" i="80" l="1"/>
  <c r="P622" i="80"/>
  <c r="U622" i="80" s="1"/>
  <c r="S622" i="80"/>
  <c r="T622" i="80" l="1"/>
  <c r="V622" i="80" s="1"/>
  <c r="X622" i="80"/>
  <c r="Y622" i="80" l="1"/>
  <c r="AP622" i="80" s="1"/>
  <c r="AQ622" i="80" s="1"/>
  <c r="AC622" i="80"/>
  <c r="BX622" i="80" l="1"/>
  <c r="AD622" i="80"/>
  <c r="AF622" i="80" s="1"/>
  <c r="BE622" i="80"/>
  <c r="R622" i="80"/>
  <c r="AO622" i="80"/>
  <c r="BV623" i="80"/>
  <c r="AR622" i="80"/>
  <c r="AS622" i="80"/>
  <c r="AE622" i="80" l="1"/>
  <c r="AH622" i="80"/>
  <c r="AI622" i="80" s="1"/>
  <c r="AJ622" i="80" s="1"/>
  <c r="AG622" i="80"/>
  <c r="AX622" i="80" l="1"/>
  <c r="AK622" i="80"/>
  <c r="AL622" i="80" s="1"/>
  <c r="BD622" i="80"/>
  <c r="AT622" i="80"/>
  <c r="AM622" i="80" l="1"/>
  <c r="AV622" i="80" s="1"/>
  <c r="AN622" i="80"/>
  <c r="BW623" i="80"/>
  <c r="AW622" i="80"/>
  <c r="AY622" i="80" l="1"/>
  <c r="BA622" i="80" s="1"/>
  <c r="AZ622" i="80" l="1"/>
  <c r="BB622" i="80"/>
  <c r="BF622" i="80"/>
  <c r="BG622" i="80" l="1"/>
  <c r="BH622" i="80" s="1"/>
  <c r="BI622" i="80" l="1"/>
  <c r="BN622" i="80" l="1"/>
  <c r="BJ622" i="80"/>
  <c r="BK622" i="80" s="1"/>
  <c r="BL622" i="80" s="1"/>
  <c r="BQ622" i="80" l="1"/>
  <c r="BO622" i="80"/>
  <c r="Q622" i="80"/>
  <c r="K622" i="80" l="1"/>
  <c r="M623" i="80" s="1"/>
  <c r="L622" i="80"/>
  <c r="N623" i="80" s="1"/>
  <c r="BR622" i="80"/>
  <c r="BS622" i="80" s="1"/>
  <c r="BP622" i="80"/>
  <c r="BU623" i="80" l="1"/>
  <c r="BT623" i="80"/>
  <c r="O623" i="80"/>
  <c r="S623" i="80" l="1"/>
  <c r="BY623" i="80"/>
  <c r="P623" i="80"/>
  <c r="U623" i="80" s="1"/>
  <c r="T623" i="80" l="1"/>
  <c r="V623" i="80" s="1"/>
  <c r="X623" i="80"/>
  <c r="Y623" i="80" l="1"/>
  <c r="AC623" i="80"/>
  <c r="BE623" i="80" l="1"/>
  <c r="BX623" i="80"/>
  <c r="AP623" i="80"/>
  <c r="AQ623" i="80" s="1"/>
  <c r="AS623" i="80" s="1"/>
  <c r="AD623" i="80"/>
  <c r="AE623" i="80" s="1"/>
  <c r="AO623" i="80"/>
  <c r="BV624" i="80"/>
  <c r="R623" i="80"/>
  <c r="AR623" i="80" l="1"/>
  <c r="AF623" i="80"/>
  <c r="AG623" i="80" s="1"/>
  <c r="AH623" i="80" l="1"/>
  <c r="AI623" i="80" s="1"/>
  <c r="AJ623" i="80" s="1"/>
  <c r="BD623" i="80"/>
  <c r="AX623" i="80"/>
  <c r="AK623" i="80"/>
  <c r="AL623" i="80" s="1"/>
  <c r="AT623" i="80"/>
  <c r="AM623" i="80" l="1"/>
  <c r="AV623" i="80" s="1"/>
  <c r="BW624" i="80"/>
  <c r="AN623" i="80"/>
  <c r="AW623" i="80"/>
  <c r="AY623" i="80" l="1"/>
  <c r="BA623" i="80" s="1"/>
  <c r="AZ623" i="80" l="1"/>
  <c r="BB623" i="80"/>
  <c r="BF623" i="80"/>
  <c r="BG623" i="80" l="1"/>
  <c r="BH623" i="80" s="1"/>
  <c r="BI623" i="80" l="1"/>
  <c r="BN623" i="80" l="1"/>
  <c r="BJ623" i="80"/>
  <c r="BK623" i="80" s="1"/>
  <c r="BL623" i="80" s="1"/>
  <c r="Q623" i="80" l="1"/>
  <c r="BQ623" i="80"/>
  <c r="BO623" i="80"/>
  <c r="BR623" i="80" l="1"/>
  <c r="BS623" i="80" s="1"/>
  <c r="BP623" i="80"/>
  <c r="K623" i="80"/>
  <c r="M624" i="80" s="1"/>
  <c r="L623" i="80"/>
  <c r="N624" i="80" s="1"/>
  <c r="BU624" i="80" l="1"/>
  <c r="O624" i="80"/>
  <c r="BT624" i="80"/>
  <c r="S624" i="80" l="1"/>
  <c r="P624" i="80"/>
  <c r="U624" i="80" s="1"/>
  <c r="BY624" i="80"/>
  <c r="T624" i="80" l="1"/>
  <c r="V624" i="80" s="1"/>
  <c r="X624" i="80"/>
  <c r="Y624" i="80" l="1"/>
  <c r="AP624" i="80" s="1"/>
  <c r="AQ624" i="80" s="1"/>
  <c r="AC624" i="80"/>
  <c r="BX624" i="80" l="1"/>
  <c r="AD624" i="80"/>
  <c r="AF624" i="80" s="1"/>
  <c r="R624" i="80"/>
  <c r="AO624" i="80"/>
  <c r="BV625" i="80"/>
  <c r="BE624" i="80"/>
  <c r="AR624" i="80"/>
  <c r="AS624" i="80"/>
  <c r="AE624" i="80" l="1"/>
  <c r="AH624" i="80"/>
  <c r="AI624" i="80" s="1"/>
  <c r="AJ624" i="80" s="1"/>
  <c r="AG624" i="80"/>
  <c r="BD624" i="80" l="1"/>
  <c r="AK624" i="80"/>
  <c r="AL624" i="80" s="1"/>
  <c r="AX624" i="80"/>
  <c r="AT624" i="80"/>
  <c r="AM624" i="80" l="1"/>
  <c r="AV624" i="80" s="1"/>
  <c r="AN624" i="80"/>
  <c r="BW625" i="80"/>
  <c r="AW624" i="80"/>
  <c r="AY624" i="80" l="1"/>
  <c r="BA624" i="80" s="1"/>
  <c r="AZ624" i="80" l="1"/>
  <c r="BB624" i="80"/>
  <c r="BF624" i="80"/>
  <c r="BG624" i="80" l="1"/>
  <c r="BH624" i="80" s="1"/>
  <c r="BI624" i="80" l="1"/>
  <c r="BN624" i="80" l="1"/>
  <c r="BJ624" i="80"/>
  <c r="BK624" i="80" s="1"/>
  <c r="BL624" i="80" s="1"/>
  <c r="BQ624" i="80" l="1"/>
  <c r="BO624" i="80"/>
  <c r="Q624" i="80"/>
  <c r="K624" i="80" l="1"/>
  <c r="M625" i="80" s="1"/>
  <c r="L624" i="80"/>
  <c r="N625" i="80" s="1"/>
  <c r="BR624" i="80"/>
  <c r="BS624" i="80" s="1"/>
  <c r="BP624" i="80"/>
  <c r="BU625" i="80" l="1"/>
  <c r="BT625" i="80"/>
  <c r="O625" i="80"/>
  <c r="P625" i="80" l="1"/>
  <c r="U625" i="80" s="1"/>
  <c r="S625" i="80"/>
  <c r="BY625" i="80"/>
  <c r="T625" i="80" l="1"/>
  <c r="V625" i="80" s="1"/>
  <c r="Y625" i="80" s="1"/>
  <c r="X625" i="80"/>
  <c r="BX625" i="80" l="1"/>
  <c r="AP625" i="80"/>
  <c r="AQ625" i="80" s="1"/>
  <c r="AD625" i="80"/>
  <c r="AC625" i="80"/>
  <c r="R625" i="80" l="1"/>
  <c r="AO625" i="80"/>
  <c r="BE625" i="80"/>
  <c r="BV626" i="80"/>
  <c r="AE625" i="80"/>
  <c r="AF625" i="80"/>
  <c r="AR625" i="80"/>
  <c r="AS625" i="80"/>
  <c r="AG625" i="80" l="1"/>
  <c r="AH625" i="80"/>
  <c r="AI625" i="80" s="1"/>
  <c r="AJ625" i="80" s="1"/>
  <c r="AX625" i="80" l="1"/>
  <c r="BD625" i="80"/>
  <c r="AK625" i="80"/>
  <c r="AL625" i="80" s="1"/>
  <c r="AT625" i="80"/>
  <c r="AM625" i="80" l="1"/>
  <c r="AV625" i="80" s="1"/>
  <c r="AN625" i="80"/>
  <c r="BW626" i="80"/>
  <c r="AW625" i="80"/>
  <c r="AY625" i="80" l="1"/>
  <c r="BA625" i="80" s="1"/>
  <c r="AZ625" i="80" l="1"/>
  <c r="BB625" i="80"/>
  <c r="BF625" i="80"/>
  <c r="BG625" i="80" l="1"/>
  <c r="BH625" i="80" s="1"/>
  <c r="BI625" i="80" l="1"/>
  <c r="BN625" i="80" l="1"/>
  <c r="BJ625" i="80"/>
  <c r="BK625" i="80" s="1"/>
  <c r="BL625" i="80" s="1"/>
  <c r="BQ625" i="80" l="1"/>
  <c r="BO625" i="80"/>
  <c r="Q625" i="80"/>
  <c r="K625" i="80" l="1"/>
  <c r="M626" i="80" s="1"/>
  <c r="L625" i="80"/>
  <c r="N626" i="80" s="1"/>
  <c r="BR625" i="80"/>
  <c r="BS625" i="80" s="1"/>
  <c r="BP625" i="80"/>
  <c r="BU626" i="80" l="1"/>
  <c r="BT626" i="80"/>
  <c r="O626" i="80"/>
  <c r="BY626" i="80" l="1"/>
  <c r="P626" i="80"/>
  <c r="U626" i="80" s="1"/>
  <c r="S626" i="80"/>
  <c r="T626" i="80" l="1"/>
  <c r="V626" i="80" s="1"/>
  <c r="Y626" i="80" s="1"/>
  <c r="AC626" i="80" s="1"/>
  <c r="X626" i="80"/>
  <c r="BE626" i="80" l="1"/>
  <c r="R626" i="80"/>
  <c r="BV627" i="80"/>
  <c r="AD626" i="80"/>
  <c r="AO626" i="80"/>
  <c r="AP626" i="80"/>
  <c r="AQ626" i="80" s="1"/>
  <c r="BX626" i="80"/>
  <c r="AF626" i="80" l="1"/>
  <c r="AE626" i="80"/>
  <c r="AR626" i="80"/>
  <c r="AS626" i="80"/>
  <c r="AG626" i="80" l="1"/>
  <c r="AH626" i="80"/>
  <c r="AI626" i="80" s="1"/>
  <c r="AJ626" i="80" s="1"/>
  <c r="BD626" i="80" l="1"/>
  <c r="AK626" i="80"/>
  <c r="AL626" i="80" s="1"/>
  <c r="AX626" i="80"/>
  <c r="AT626" i="80"/>
  <c r="AM626" i="80" l="1"/>
  <c r="AV626" i="80" s="1"/>
  <c r="BW627" i="80"/>
  <c r="AN626" i="80"/>
  <c r="AW626" i="80"/>
  <c r="AY626" i="80" l="1"/>
  <c r="BA626" i="80" s="1"/>
  <c r="AZ626" i="80" l="1"/>
  <c r="BB626" i="80"/>
  <c r="BF626" i="80"/>
  <c r="BG626" i="80" l="1"/>
  <c r="BH626" i="80" s="1"/>
  <c r="BI626" i="80" l="1"/>
  <c r="BN626" i="80" l="1"/>
  <c r="BJ626" i="80"/>
  <c r="BK626" i="80" s="1"/>
  <c r="BL626" i="80" s="1"/>
  <c r="BQ626" i="80" l="1"/>
  <c r="BO626" i="80"/>
  <c r="Q626" i="80"/>
  <c r="K626" i="80" l="1"/>
  <c r="M627" i="80" s="1"/>
  <c r="L626" i="80"/>
  <c r="N627" i="80" s="1"/>
  <c r="BR626" i="80"/>
  <c r="BS626" i="80" s="1"/>
  <c r="BP626" i="80"/>
  <c r="BU627" i="80" l="1"/>
  <c r="BT627" i="80"/>
  <c r="O627" i="80"/>
  <c r="BY627" i="80" l="1"/>
  <c r="P627" i="80"/>
  <c r="U627" i="80" s="1"/>
  <c r="S627" i="80"/>
  <c r="T627" i="80" l="1"/>
  <c r="V627" i="80" s="1"/>
  <c r="Y627" i="80" s="1"/>
  <c r="AC627" i="80" s="1"/>
  <c r="X627" i="80"/>
  <c r="R627" i="80" l="1"/>
  <c r="BE627" i="80"/>
  <c r="BV628" i="80"/>
  <c r="BX627" i="80"/>
  <c r="AO627" i="80"/>
  <c r="AP627" i="80"/>
  <c r="AQ627" i="80" s="1"/>
  <c r="AD627" i="80"/>
  <c r="AF627" i="80" l="1"/>
  <c r="AE627" i="80"/>
  <c r="AR627" i="80"/>
  <c r="AS627" i="80"/>
  <c r="AG627" i="80" l="1"/>
  <c r="AH627" i="80"/>
  <c r="AI627" i="80" s="1"/>
  <c r="AJ627" i="80" s="1"/>
  <c r="BD627" i="80" l="1"/>
  <c r="AK627" i="80"/>
  <c r="AL627" i="80" s="1"/>
  <c r="AX627" i="80"/>
  <c r="AT627" i="80"/>
  <c r="AM627" i="80" l="1"/>
  <c r="AV627" i="80" s="1"/>
  <c r="BW628" i="80"/>
  <c r="AN627" i="80"/>
  <c r="AW627" i="80"/>
  <c r="AY627" i="80" l="1"/>
  <c r="BA627" i="80" s="1"/>
  <c r="AZ627" i="80" l="1"/>
  <c r="BB627" i="80"/>
  <c r="BF627" i="80"/>
  <c r="BG627" i="80" l="1"/>
  <c r="BH627" i="80" s="1"/>
  <c r="BI627" i="80" l="1"/>
  <c r="BN627" i="80" l="1"/>
  <c r="BJ627" i="80"/>
  <c r="BK627" i="80" s="1"/>
  <c r="BL627" i="80" s="1"/>
  <c r="BQ627" i="80" l="1"/>
  <c r="BO627" i="80"/>
  <c r="Q627" i="80"/>
  <c r="K627" i="80" l="1"/>
  <c r="M628" i="80" s="1"/>
  <c r="L627" i="80"/>
  <c r="N628" i="80" s="1"/>
  <c r="BR627" i="80"/>
  <c r="BS627" i="80" s="1"/>
  <c r="BP627" i="80"/>
  <c r="BU628" i="80" l="1"/>
  <c r="BT628" i="80"/>
  <c r="O628" i="80"/>
  <c r="S628" i="80" l="1"/>
  <c r="BY628" i="80"/>
  <c r="P628" i="80"/>
  <c r="U628" i="80" s="1"/>
  <c r="T628" i="80" l="1"/>
  <c r="V628" i="80" s="1"/>
  <c r="Y628" i="80" s="1"/>
  <c r="X628" i="80"/>
  <c r="AC628" i="80" l="1"/>
  <c r="BE628" i="80" s="1"/>
  <c r="BX628" i="80"/>
  <c r="AD628" i="80"/>
  <c r="AP628" i="80"/>
  <c r="AQ628" i="80" s="1"/>
  <c r="AO628" i="80" l="1"/>
  <c r="BV629" i="80"/>
  <c r="R628" i="80"/>
  <c r="AR628" i="80"/>
  <c r="AS628" i="80"/>
  <c r="AF628" i="80"/>
  <c r="AE628" i="80"/>
  <c r="AG628" i="80" l="1"/>
  <c r="AH628" i="80"/>
  <c r="AI628" i="80" s="1"/>
  <c r="AJ628" i="80" s="1"/>
  <c r="AK628" i="80" l="1"/>
  <c r="AL628" i="80" s="1"/>
  <c r="AX628" i="80"/>
  <c r="BD628" i="80"/>
  <c r="AT628" i="80"/>
  <c r="AM628" i="80" l="1"/>
  <c r="AV628" i="80" s="1"/>
  <c r="BW629" i="80"/>
  <c r="AN628" i="80"/>
  <c r="AW628" i="80"/>
  <c r="AY628" i="80" l="1"/>
  <c r="BA628" i="80" s="1"/>
  <c r="AZ628" i="80" l="1"/>
  <c r="BB628" i="80"/>
  <c r="BF628" i="80"/>
  <c r="BG628" i="80" l="1"/>
  <c r="BH628" i="80" s="1"/>
  <c r="BI628" i="80" l="1"/>
  <c r="BN628" i="80" l="1"/>
  <c r="BJ628" i="80"/>
  <c r="BK628" i="80" s="1"/>
  <c r="BL628" i="80" s="1"/>
  <c r="BQ628" i="80" l="1"/>
  <c r="BO628" i="80"/>
  <c r="Q628" i="80"/>
  <c r="K628" i="80" l="1"/>
  <c r="M629" i="80" s="1"/>
  <c r="L628" i="80"/>
  <c r="N629" i="80" s="1"/>
  <c r="BR628" i="80"/>
  <c r="BS628" i="80" s="1"/>
  <c r="BP628" i="80"/>
  <c r="BU629" i="80" l="1"/>
  <c r="O629" i="80"/>
  <c r="BT629" i="80"/>
  <c r="S629" i="80" l="1"/>
  <c r="P629" i="80"/>
  <c r="U629" i="80" s="1"/>
  <c r="BY629" i="80"/>
  <c r="T629" i="80" l="1"/>
  <c r="V629" i="80" s="1"/>
  <c r="X629" i="80"/>
  <c r="Y629" i="80" l="1"/>
  <c r="BX629" i="80" s="1"/>
  <c r="AC629" i="80"/>
  <c r="AP629" i="80" l="1"/>
  <c r="AQ629" i="80" s="1"/>
  <c r="AS629" i="80" s="1"/>
  <c r="AD629" i="80"/>
  <c r="AE629" i="80" s="1"/>
  <c r="R629" i="80"/>
  <c r="AO629" i="80"/>
  <c r="BE629" i="80"/>
  <c r="BV630" i="80"/>
  <c r="AF629" i="80" l="1"/>
  <c r="AR629" i="80"/>
  <c r="AG629" i="80"/>
  <c r="AH629" i="80"/>
  <c r="AI629" i="80" s="1"/>
  <c r="AJ629" i="80" s="1"/>
  <c r="BD629" i="80" l="1"/>
  <c r="AK629" i="80"/>
  <c r="AL629" i="80" s="1"/>
  <c r="AX629" i="80"/>
  <c r="AT629" i="80"/>
  <c r="AM629" i="80" l="1"/>
  <c r="AV629" i="80" s="1"/>
  <c r="AN629" i="80"/>
  <c r="BW630" i="80"/>
  <c r="AW629" i="80"/>
  <c r="AY629" i="80" l="1"/>
  <c r="BA629" i="80" s="1"/>
  <c r="AZ629" i="80" l="1"/>
  <c r="BB629" i="80"/>
  <c r="BF629" i="80"/>
  <c r="BG629" i="80" l="1"/>
  <c r="BH629" i="80" s="1"/>
  <c r="BI629" i="80" l="1"/>
  <c r="BN629" i="80" l="1"/>
  <c r="BJ629" i="80"/>
  <c r="BK629" i="80" s="1"/>
  <c r="BL629" i="80" s="1"/>
  <c r="BQ629" i="80" l="1"/>
  <c r="BO629" i="80"/>
  <c r="Q629" i="80"/>
  <c r="K629" i="80" l="1"/>
  <c r="M630" i="80" s="1"/>
  <c r="L629" i="80"/>
  <c r="N630" i="80" s="1"/>
  <c r="BR629" i="80"/>
  <c r="BS629" i="80" s="1"/>
  <c r="BP629" i="80"/>
  <c r="BU630" i="80" l="1"/>
  <c r="BT630" i="80"/>
  <c r="O630" i="80"/>
  <c r="P630" i="80" l="1"/>
  <c r="U630" i="80" s="1"/>
  <c r="S630" i="80"/>
  <c r="BY630" i="80"/>
  <c r="T630" i="80" l="1"/>
  <c r="V630" i="80" s="1"/>
  <c r="X630" i="80"/>
  <c r="Y630" i="80" l="1"/>
  <c r="AD630" i="80" s="1"/>
  <c r="AC630" i="80"/>
  <c r="AP630" i="80" l="1"/>
  <c r="AQ630" i="80" s="1"/>
  <c r="AS630" i="80" s="1"/>
  <c r="BX630" i="80"/>
  <c r="R630" i="80"/>
  <c r="AO630" i="80"/>
  <c r="BV631" i="80"/>
  <c r="BE630" i="80"/>
  <c r="AF630" i="80"/>
  <c r="AE630" i="80"/>
  <c r="AR630" i="80"/>
  <c r="AH630" i="80" l="1"/>
  <c r="AI630" i="80" s="1"/>
  <c r="AJ630" i="80" s="1"/>
  <c r="AG630" i="80"/>
  <c r="BD630" i="80" l="1"/>
  <c r="AK630" i="80"/>
  <c r="AL630" i="80" s="1"/>
  <c r="AX630" i="80"/>
  <c r="AT630" i="80"/>
  <c r="AM630" i="80" l="1"/>
  <c r="AV630" i="80" s="1"/>
  <c r="BW631" i="80"/>
  <c r="AN630" i="80"/>
  <c r="AW630" i="80"/>
  <c r="AY630" i="80" l="1"/>
  <c r="BA630" i="80" s="1"/>
  <c r="BB630" i="80" l="1"/>
  <c r="AZ630" i="80"/>
  <c r="BF630" i="80"/>
  <c r="BG630" i="80" l="1"/>
  <c r="BH630" i="80" s="1"/>
  <c r="BI630" i="80" l="1"/>
  <c r="BN630" i="80" l="1"/>
  <c r="BJ630" i="80"/>
  <c r="BK630" i="80" s="1"/>
  <c r="BL630" i="80" s="1"/>
  <c r="BQ630" i="80" l="1"/>
  <c r="BO630" i="80"/>
  <c r="Q630" i="80"/>
  <c r="K630" i="80" l="1"/>
  <c r="M631" i="80" s="1"/>
  <c r="L630" i="80"/>
  <c r="N631" i="80" s="1"/>
  <c r="BR630" i="80"/>
  <c r="BS630" i="80" s="1"/>
  <c r="BP630" i="80"/>
  <c r="BU631" i="80" l="1"/>
  <c r="O631" i="80"/>
  <c r="BT631" i="80"/>
  <c r="BY631" i="80" l="1"/>
  <c r="S631" i="80"/>
  <c r="P631" i="80"/>
  <c r="U631" i="80" s="1"/>
  <c r="T631" i="80" l="1"/>
  <c r="V631" i="80" s="1"/>
  <c r="Y631" i="80" s="1"/>
  <c r="X631" i="80"/>
  <c r="AD631" i="80" l="1"/>
  <c r="AP631" i="80"/>
  <c r="AQ631" i="80" s="1"/>
  <c r="BX631" i="80"/>
  <c r="AC631" i="80"/>
  <c r="BE631" i="80" l="1"/>
  <c r="AO631" i="80"/>
  <c r="R631" i="80"/>
  <c r="BV632" i="80"/>
  <c r="AF631" i="80"/>
  <c r="AE631" i="80"/>
  <c r="AR631" i="80"/>
  <c r="AS631" i="80"/>
  <c r="AH631" i="80" l="1"/>
  <c r="AI631" i="80" s="1"/>
  <c r="AJ631" i="80" s="1"/>
  <c r="AG631" i="80"/>
  <c r="BD631" i="80" l="1"/>
  <c r="AK631" i="80"/>
  <c r="AL631" i="80" s="1"/>
  <c r="AX631" i="80"/>
  <c r="AT631" i="80"/>
  <c r="AM631" i="80" l="1"/>
  <c r="AV631" i="80" s="1"/>
  <c r="AN631" i="80"/>
  <c r="BW632" i="80"/>
  <c r="AW631" i="80"/>
  <c r="AY631" i="80" l="1"/>
  <c r="BA631" i="80" s="1"/>
  <c r="AZ631" i="80" l="1"/>
  <c r="BB631" i="80"/>
  <c r="BF631" i="80"/>
  <c r="BG631" i="80" l="1"/>
  <c r="BH631" i="80" s="1"/>
  <c r="BI631" i="80" l="1"/>
  <c r="BJ631" i="80" l="1"/>
  <c r="BK631" i="80" s="1"/>
  <c r="BL631" i="80" s="1"/>
  <c r="BN631" i="80"/>
  <c r="BQ631" i="80" l="1"/>
  <c r="BO631" i="80"/>
  <c r="Q631" i="80"/>
  <c r="K631" i="80" l="1"/>
  <c r="M632" i="80" s="1"/>
  <c r="L631" i="80"/>
  <c r="N632" i="80" s="1"/>
  <c r="BR631" i="80"/>
  <c r="BS631" i="80" s="1"/>
  <c r="BP631" i="80"/>
  <c r="BU632" i="80" l="1"/>
  <c r="O632" i="80"/>
  <c r="BT632" i="80"/>
  <c r="S632" i="80" l="1"/>
  <c r="BY632" i="80"/>
  <c r="P632" i="80"/>
  <c r="U632" i="80" s="1"/>
  <c r="T632" i="80" l="1"/>
  <c r="V632" i="80" s="1"/>
  <c r="Y632" i="80" s="1"/>
  <c r="X632" i="80"/>
  <c r="AC632" i="80" l="1"/>
  <c r="R632" i="80" s="1"/>
  <c r="AP632" i="80"/>
  <c r="AQ632" i="80" s="1"/>
  <c r="AD632" i="80"/>
  <c r="BX632" i="80"/>
  <c r="AO632" i="80" l="1"/>
  <c r="BV633" i="80"/>
  <c r="BE632" i="80"/>
  <c r="AE632" i="80"/>
  <c r="AF632" i="80"/>
  <c r="AR632" i="80"/>
  <c r="AS632" i="80"/>
  <c r="AH632" i="80" l="1"/>
  <c r="AI632" i="80" s="1"/>
  <c r="AJ632" i="80" s="1"/>
  <c r="AG632" i="80"/>
  <c r="AX632" i="80" l="1"/>
  <c r="AK632" i="80"/>
  <c r="AL632" i="80" s="1"/>
  <c r="BD632" i="80"/>
  <c r="AT632" i="80"/>
  <c r="AM632" i="80" l="1"/>
  <c r="AV632" i="80" s="1"/>
  <c r="BW633" i="80"/>
  <c r="AN632" i="80"/>
  <c r="AW632" i="80"/>
  <c r="AY632" i="80" l="1"/>
  <c r="BA632" i="80" s="1"/>
  <c r="AZ632" i="80" l="1"/>
  <c r="BB632" i="80"/>
  <c r="BF632" i="80"/>
  <c r="BG632" i="80" l="1"/>
  <c r="BH632" i="80"/>
  <c r="BI632" i="80" l="1"/>
  <c r="BN632" i="80" l="1"/>
  <c r="BJ632" i="80"/>
  <c r="BK632" i="80" s="1"/>
  <c r="BL632" i="80" s="1"/>
  <c r="BQ632" i="80" l="1"/>
  <c r="BO632" i="80"/>
  <c r="Q632" i="80"/>
  <c r="K632" i="80" l="1"/>
  <c r="M633" i="80" s="1"/>
  <c r="L632" i="80"/>
  <c r="N633" i="80" s="1"/>
  <c r="BR632" i="80"/>
  <c r="BS632" i="80" s="1"/>
  <c r="BP632" i="80"/>
  <c r="BU633" i="80" l="1"/>
  <c r="O633" i="80"/>
  <c r="BT633" i="80"/>
  <c r="S633" i="80" l="1"/>
  <c r="P633" i="80"/>
  <c r="U633" i="80" s="1"/>
  <c r="BY633" i="80"/>
  <c r="T633" i="80" l="1"/>
  <c r="V633" i="80" s="1"/>
  <c r="X633" i="80"/>
  <c r="Y633" i="80" l="1"/>
  <c r="BX633" i="80" s="1"/>
  <c r="AC633" i="80"/>
  <c r="AD633" i="80" l="1"/>
  <c r="AE633" i="80" s="1"/>
  <c r="AP633" i="80"/>
  <c r="AQ633" i="80" s="1"/>
  <c r="AR633" i="80" s="1"/>
  <c r="BE633" i="80"/>
  <c r="AO633" i="80"/>
  <c r="R633" i="80"/>
  <c r="BV634" i="80"/>
  <c r="AF633" i="80" l="1"/>
  <c r="AG633" i="80" s="1"/>
  <c r="AS633" i="80"/>
  <c r="AH633" i="80" l="1"/>
  <c r="AI633" i="80" s="1"/>
  <c r="AJ633" i="80" s="1"/>
  <c r="AX633" i="80"/>
  <c r="BD633" i="80"/>
  <c r="AK633" i="80"/>
  <c r="AL633" i="80" s="1"/>
  <c r="AT633" i="80"/>
  <c r="AM633" i="80" l="1"/>
  <c r="AV633" i="80" s="1"/>
  <c r="BW634" i="80"/>
  <c r="AN633" i="80"/>
  <c r="AW633" i="80"/>
  <c r="AY633" i="80" l="1"/>
  <c r="BA633" i="80" s="1"/>
  <c r="AZ633" i="80" l="1"/>
  <c r="BB633" i="80"/>
  <c r="BF633" i="80"/>
  <c r="BG633" i="80" l="1"/>
  <c r="BH633" i="80" s="1"/>
  <c r="BI633" i="80" l="1"/>
  <c r="BJ633" i="80" l="1"/>
  <c r="BK633" i="80" s="1"/>
  <c r="BL633" i="80" s="1"/>
  <c r="BN633" i="80"/>
  <c r="BQ633" i="80" l="1"/>
  <c r="BO633" i="80"/>
  <c r="Q633" i="80"/>
  <c r="BR633" i="80" l="1"/>
  <c r="BS633" i="80" s="1"/>
  <c r="BP633" i="80"/>
  <c r="K633" i="80"/>
  <c r="M634" i="80" s="1"/>
  <c r="L633" i="80"/>
  <c r="N634" i="80" s="1"/>
  <c r="BU634" i="80" l="1"/>
  <c r="O634" i="80"/>
  <c r="BT634" i="80"/>
  <c r="BY634" i="80" l="1"/>
  <c r="P634" i="80"/>
  <c r="U634" i="80" s="1"/>
  <c r="S634" i="80"/>
  <c r="T634" i="80" l="1"/>
  <c r="V634" i="80" s="1"/>
  <c r="Y634" i="80" s="1"/>
  <c r="AC634" i="80" s="1"/>
  <c r="X634" i="80"/>
  <c r="R634" i="80" l="1"/>
  <c r="BE634" i="80"/>
  <c r="BV635" i="80"/>
  <c r="AP634" i="80"/>
  <c r="AQ634" i="80" s="1"/>
  <c r="AO634" i="80"/>
  <c r="AD634" i="80"/>
  <c r="BX634" i="80"/>
  <c r="AR634" i="80" l="1"/>
  <c r="AS634" i="80"/>
  <c r="AF634" i="80"/>
  <c r="AE634" i="80"/>
  <c r="AG634" i="80" l="1"/>
  <c r="AH634" i="80"/>
  <c r="AI634" i="80" s="1"/>
  <c r="AJ634" i="80" s="1"/>
  <c r="AX634" i="80" l="1"/>
  <c r="BD634" i="80"/>
  <c r="AK634" i="80"/>
  <c r="AL634" i="80" s="1"/>
  <c r="AT634" i="80"/>
  <c r="AM634" i="80" l="1"/>
  <c r="AV634" i="80" s="1"/>
  <c r="AN634" i="80"/>
  <c r="BW635" i="80"/>
  <c r="AW634" i="80"/>
  <c r="AY634" i="80" l="1"/>
  <c r="BA634" i="80" s="1"/>
  <c r="AZ634" i="80" l="1"/>
  <c r="BB634" i="80"/>
  <c r="BF634" i="80"/>
  <c r="BG634" i="80" l="1"/>
  <c r="BH634" i="80" s="1"/>
  <c r="BI634" i="80" l="1"/>
  <c r="BJ634" i="80" l="1"/>
  <c r="BK634" i="80" s="1"/>
  <c r="BL634" i="80" s="1"/>
  <c r="BN634" i="80"/>
  <c r="BQ634" i="80" l="1"/>
  <c r="BO634" i="80"/>
  <c r="Q634" i="80"/>
  <c r="BR634" i="80" l="1"/>
  <c r="BS634" i="80" s="1"/>
  <c r="BP634" i="80"/>
  <c r="K634" i="80"/>
  <c r="M635" i="80" s="1"/>
  <c r="L634" i="80"/>
  <c r="N635" i="80" s="1"/>
  <c r="BU635" i="80" l="1"/>
  <c r="O635" i="80"/>
  <c r="BT635" i="80"/>
  <c r="S635" i="80" l="1"/>
  <c r="P635" i="80"/>
  <c r="U635" i="80" s="1"/>
  <c r="BY635" i="80"/>
  <c r="T635" i="80" l="1"/>
  <c r="V635" i="80" s="1"/>
  <c r="Y635" i="80" s="1"/>
  <c r="AC635" i="80" s="1"/>
  <c r="X635" i="80"/>
  <c r="R635" i="80" l="1"/>
  <c r="BE635" i="80"/>
  <c r="BV636" i="80"/>
  <c r="BX635" i="80"/>
  <c r="AD635" i="80"/>
  <c r="AP635" i="80"/>
  <c r="AQ635" i="80" s="1"/>
  <c r="AO635" i="80"/>
  <c r="AR635" i="80" l="1"/>
  <c r="AS635" i="80"/>
  <c r="AE635" i="80"/>
  <c r="AF635" i="80"/>
  <c r="AH635" i="80" l="1"/>
  <c r="AI635" i="80" s="1"/>
  <c r="AJ635" i="80" s="1"/>
  <c r="AG635" i="80"/>
  <c r="AX635" i="80" l="1"/>
  <c r="BD635" i="80"/>
  <c r="AK635" i="80"/>
  <c r="AL635" i="80" s="1"/>
  <c r="AT635" i="80"/>
  <c r="AM635" i="80" l="1"/>
  <c r="AV635" i="80" s="1"/>
  <c r="AN635" i="80"/>
  <c r="BW636" i="80"/>
  <c r="AW635" i="80"/>
  <c r="AY635" i="80" l="1"/>
  <c r="BA635" i="80" s="1"/>
  <c r="AZ635" i="80" l="1"/>
  <c r="BB635" i="80"/>
  <c r="BF635" i="80"/>
  <c r="BG635" i="80" l="1"/>
  <c r="BH635" i="80" s="1"/>
  <c r="BI635" i="80" l="1"/>
  <c r="BJ635" i="80" l="1"/>
  <c r="BK635" i="80" s="1"/>
  <c r="BL635" i="80" s="1"/>
  <c r="BN635" i="80"/>
  <c r="BQ635" i="80" l="1"/>
  <c r="BO635" i="80"/>
  <c r="Q635" i="80"/>
  <c r="K635" i="80" l="1"/>
  <c r="M636" i="80" s="1"/>
  <c r="L635" i="80"/>
  <c r="N636" i="80" s="1"/>
  <c r="BR635" i="80"/>
  <c r="BS635" i="80" s="1"/>
  <c r="BP635" i="80"/>
  <c r="BU636" i="80" l="1"/>
  <c r="BT636" i="80"/>
  <c r="O636" i="80"/>
  <c r="BY636" i="80" l="1"/>
  <c r="P636" i="80"/>
  <c r="U636" i="80" s="1"/>
  <c r="S636" i="80"/>
  <c r="T636" i="80" l="1"/>
  <c r="V636" i="80" s="1"/>
  <c r="Y636" i="80" s="1"/>
  <c r="X636" i="80"/>
  <c r="AC636" i="80" l="1"/>
  <c r="R636" i="80" s="1"/>
  <c r="BX636" i="80"/>
  <c r="AD636" i="80"/>
  <c r="AP636" i="80"/>
  <c r="AQ636" i="80" s="1"/>
  <c r="AO636" i="80" l="1"/>
  <c r="BV637" i="80"/>
  <c r="BE636" i="80"/>
  <c r="AR636" i="80"/>
  <c r="AS636" i="80"/>
  <c r="AE636" i="80"/>
  <c r="AF636" i="80"/>
  <c r="AH636" i="80" l="1"/>
  <c r="AI636" i="80" s="1"/>
  <c r="AJ636" i="80" s="1"/>
  <c r="AG636" i="80"/>
  <c r="BD636" i="80" l="1"/>
  <c r="AK636" i="80"/>
  <c r="AL636" i="80" s="1"/>
  <c r="AX636" i="80"/>
  <c r="AT636" i="80"/>
  <c r="AM636" i="80" l="1"/>
  <c r="AV636" i="80" s="1"/>
  <c r="AN636" i="80"/>
  <c r="BW637" i="80"/>
  <c r="AW636" i="80"/>
  <c r="AY636" i="80" l="1"/>
  <c r="BA636" i="80" s="1"/>
  <c r="AZ636" i="80" l="1"/>
  <c r="BB636" i="80"/>
  <c r="BF636" i="80"/>
  <c r="BG636" i="80" l="1"/>
  <c r="BH636" i="80" s="1"/>
  <c r="BI636" i="80" l="1"/>
  <c r="BJ636" i="80" l="1"/>
  <c r="BK636" i="80" s="1"/>
  <c r="BL636" i="80" s="1"/>
  <c r="BN636" i="80"/>
  <c r="BQ636" i="80" l="1"/>
  <c r="BO636" i="80"/>
  <c r="Q636" i="80"/>
  <c r="K636" i="80" l="1"/>
  <c r="M637" i="80" s="1"/>
  <c r="L636" i="80"/>
  <c r="N637" i="80" s="1"/>
  <c r="BR636" i="80"/>
  <c r="BS636" i="80" s="1"/>
  <c r="BP636" i="80"/>
  <c r="BU637" i="80" l="1"/>
  <c r="O637" i="80"/>
  <c r="BT637" i="80"/>
  <c r="P637" i="80" l="1"/>
  <c r="U637" i="80" s="1"/>
  <c r="S637" i="80"/>
  <c r="BY637" i="80"/>
  <c r="T637" i="80" l="1"/>
  <c r="V637" i="80" s="1"/>
  <c r="Y637" i="80" s="1"/>
  <c r="AC637" i="80" s="1"/>
  <c r="X637" i="80"/>
  <c r="BE637" i="80" l="1"/>
  <c r="R637" i="80"/>
  <c r="BV638" i="80"/>
  <c r="AO637" i="80"/>
  <c r="AP637" i="80"/>
  <c r="AQ637" i="80" s="1"/>
  <c r="BX637" i="80"/>
  <c r="AD637" i="80"/>
  <c r="AE637" i="80" l="1"/>
  <c r="AF637" i="80"/>
  <c r="AR637" i="80"/>
  <c r="AS637" i="80"/>
  <c r="AH637" i="80" l="1"/>
  <c r="AI637" i="80" s="1"/>
  <c r="AJ637" i="80" s="1"/>
  <c r="AG637" i="80"/>
  <c r="AX637" i="80" l="1"/>
  <c r="AK637" i="80"/>
  <c r="AL637" i="80" s="1"/>
  <c r="BD637" i="80"/>
  <c r="AT637" i="80"/>
  <c r="AM637" i="80" l="1"/>
  <c r="AV637" i="80" s="1"/>
  <c r="BW638" i="80"/>
  <c r="AN637" i="80"/>
  <c r="AW637" i="80"/>
  <c r="AY637" i="80" l="1"/>
  <c r="BA637" i="80" s="1"/>
  <c r="BB637" i="80" l="1"/>
  <c r="AZ637" i="80"/>
  <c r="BF637" i="80"/>
  <c r="BG637" i="80" l="1"/>
  <c r="BH637" i="80" s="1"/>
  <c r="BI637" i="80" l="1"/>
  <c r="BJ637" i="80" l="1"/>
  <c r="BK637" i="80" s="1"/>
  <c r="BL637" i="80" s="1"/>
  <c r="BN637" i="80"/>
  <c r="BQ637" i="80" l="1"/>
  <c r="BO637" i="80"/>
  <c r="Q637" i="80"/>
  <c r="BR637" i="80" l="1"/>
  <c r="BS637" i="80" s="1"/>
  <c r="BP637" i="80"/>
  <c r="K637" i="80"/>
  <c r="M638" i="80" s="1"/>
  <c r="L637" i="80"/>
  <c r="N638" i="80" s="1"/>
  <c r="BU638" i="80" l="1"/>
  <c r="BT638" i="80"/>
  <c r="O638" i="80"/>
  <c r="S638" i="80" l="1"/>
  <c r="BY638" i="80"/>
  <c r="P638" i="80"/>
  <c r="U638" i="80" s="1"/>
  <c r="T638" i="80" l="1"/>
  <c r="V638" i="80" s="1"/>
  <c r="Y638" i="80" s="1"/>
  <c r="X638" i="80"/>
  <c r="AC638" i="80" l="1"/>
  <c r="R638" i="80" s="1"/>
  <c r="AP638" i="80"/>
  <c r="AQ638" i="80" s="1"/>
  <c r="AD638" i="80"/>
  <c r="BX638" i="80"/>
  <c r="AO638" i="80" l="1"/>
  <c r="BV639" i="80"/>
  <c r="BE638" i="80"/>
  <c r="AF638" i="80"/>
  <c r="AE638" i="80"/>
  <c r="AR638" i="80"/>
  <c r="AS638" i="80"/>
  <c r="AG638" i="80" l="1"/>
  <c r="AH638" i="80"/>
  <c r="AI638" i="80" s="1"/>
  <c r="AJ638" i="80" s="1"/>
  <c r="AK638" i="80" l="1"/>
  <c r="AL638" i="80" s="1"/>
  <c r="AX638" i="80"/>
  <c r="BD638" i="80"/>
  <c r="AT638" i="80"/>
  <c r="AM638" i="80" l="1"/>
  <c r="AV638" i="80" s="1"/>
  <c r="BW639" i="80"/>
  <c r="AN638" i="80"/>
  <c r="AW638" i="80"/>
  <c r="AY638" i="80" l="1"/>
  <c r="BA638" i="80" s="1"/>
  <c r="AZ638" i="80" l="1"/>
  <c r="BB638" i="80"/>
  <c r="BF638" i="80"/>
  <c r="BG638" i="80" l="1"/>
  <c r="BH638" i="80" s="1"/>
  <c r="BI638" i="80" l="1"/>
  <c r="BN638" i="80" l="1"/>
  <c r="BJ638" i="80"/>
  <c r="BK638" i="80" s="1"/>
  <c r="BL638" i="80" s="1"/>
  <c r="BQ638" i="80" l="1"/>
  <c r="BO638" i="80"/>
  <c r="Q638" i="80"/>
  <c r="BR638" i="80" l="1"/>
  <c r="BS638" i="80" s="1"/>
  <c r="BP638" i="80"/>
  <c r="K638" i="80"/>
  <c r="M639" i="80" s="1"/>
  <c r="L638" i="80"/>
  <c r="N639" i="80" s="1"/>
  <c r="BT639" i="80" l="1"/>
  <c r="O639" i="80"/>
  <c r="BU639" i="80"/>
  <c r="P639" i="80" l="1"/>
  <c r="U639" i="80" s="1"/>
  <c r="S639" i="80"/>
  <c r="BY639" i="80"/>
  <c r="T639" i="80" l="1"/>
  <c r="V639" i="80" s="1"/>
  <c r="X639" i="80"/>
  <c r="Y639" i="80" l="1"/>
  <c r="AP639" i="80" s="1"/>
  <c r="AQ639" i="80" s="1"/>
  <c r="AC639" i="80"/>
  <c r="AD639" i="80" l="1"/>
  <c r="AF639" i="80" s="1"/>
  <c r="R639" i="80"/>
  <c r="BX639" i="80"/>
  <c r="AO639" i="80"/>
  <c r="BE639" i="80"/>
  <c r="BV640" i="80"/>
  <c r="AR639" i="80"/>
  <c r="AS639" i="80"/>
  <c r="AE639" i="80"/>
  <c r="AH639" i="80" l="1"/>
  <c r="AI639" i="80" s="1"/>
  <c r="AJ639" i="80" s="1"/>
  <c r="AG639" i="80"/>
  <c r="AK639" i="80" l="1"/>
  <c r="AL639" i="80" s="1"/>
  <c r="AX639" i="80"/>
  <c r="BD639" i="80"/>
  <c r="AT639" i="80"/>
  <c r="AM639" i="80" l="1"/>
  <c r="AV639" i="80" s="1"/>
  <c r="BW640" i="80"/>
  <c r="AN639" i="80"/>
  <c r="AW639" i="80"/>
  <c r="AY639" i="80" l="1"/>
  <c r="BA639" i="80" s="1"/>
  <c r="AZ639" i="80" l="1"/>
  <c r="BB639" i="80"/>
  <c r="BF639" i="80"/>
  <c r="BG639" i="80" l="1"/>
  <c r="BH639" i="80" s="1"/>
  <c r="BI639" i="80" l="1"/>
  <c r="BJ639" i="80" l="1"/>
  <c r="BK639" i="80" s="1"/>
  <c r="BL639" i="80" s="1"/>
  <c r="BN639" i="80"/>
  <c r="BQ639" i="80" l="1"/>
  <c r="BO639" i="80"/>
  <c r="Q639" i="80"/>
  <c r="BR639" i="80" l="1"/>
  <c r="BS639" i="80" s="1"/>
  <c r="BP639" i="80"/>
  <c r="K639" i="80"/>
  <c r="M640" i="80" s="1"/>
  <c r="L639" i="80"/>
  <c r="N640" i="80" s="1"/>
  <c r="BT640" i="80" l="1"/>
  <c r="O640" i="80"/>
  <c r="BU640" i="80"/>
  <c r="P640" i="80" l="1"/>
  <c r="U640" i="80" s="1"/>
  <c r="S640" i="80"/>
  <c r="BY640" i="80"/>
  <c r="T640" i="80" l="1"/>
  <c r="V640" i="80" s="1"/>
  <c r="X640" i="80"/>
  <c r="Y640" i="80" l="1"/>
  <c r="AD640" i="80" s="1"/>
  <c r="AC640" i="80"/>
  <c r="BE640" i="80" l="1"/>
  <c r="BX640" i="80"/>
  <c r="AP640" i="80"/>
  <c r="AQ640" i="80" s="1"/>
  <c r="AR640" i="80" s="1"/>
  <c r="BV641" i="80"/>
  <c r="R640" i="80"/>
  <c r="AO640" i="80"/>
  <c r="AF640" i="80"/>
  <c r="AE640" i="80"/>
  <c r="AS640" i="80" l="1"/>
  <c r="AG640" i="80"/>
  <c r="AH640" i="80"/>
  <c r="AI640" i="80" s="1"/>
  <c r="AJ640" i="80" s="1"/>
  <c r="AX640" i="80" l="1"/>
  <c r="BD640" i="80"/>
  <c r="AK640" i="80"/>
  <c r="AL640" i="80" s="1"/>
  <c r="AT640" i="80"/>
  <c r="AM640" i="80" l="1"/>
  <c r="AV640" i="80" s="1"/>
  <c r="BW641" i="80"/>
  <c r="AN640" i="80"/>
  <c r="AW640" i="80"/>
  <c r="AY640" i="80" l="1"/>
  <c r="BA640" i="80" s="1"/>
  <c r="AZ640" i="80" l="1"/>
  <c r="BB640" i="80"/>
  <c r="BF640" i="80"/>
  <c r="BG640" i="80" l="1"/>
  <c r="BH640" i="80" s="1"/>
  <c r="BI640" i="80" l="1"/>
  <c r="BN640" i="80" l="1"/>
  <c r="BJ640" i="80"/>
  <c r="BK640" i="80" s="1"/>
  <c r="BL640" i="80" s="1"/>
  <c r="BQ640" i="80" l="1"/>
  <c r="BO640" i="80"/>
  <c r="Q640" i="80"/>
  <c r="K640" i="80" l="1"/>
  <c r="M641" i="80" s="1"/>
  <c r="L640" i="80"/>
  <c r="N641" i="80" s="1"/>
  <c r="BR640" i="80"/>
  <c r="BS640" i="80" s="1"/>
  <c r="BP640" i="80"/>
  <c r="BU641" i="80" l="1"/>
  <c r="O641" i="80"/>
  <c r="BT641" i="80"/>
  <c r="S641" i="80" l="1"/>
  <c r="BY641" i="80"/>
  <c r="P641" i="80"/>
  <c r="U641" i="80" s="1"/>
  <c r="T641" i="80" l="1"/>
  <c r="V641" i="80" s="1"/>
  <c r="Y641" i="80" s="1"/>
  <c r="X641" i="80"/>
  <c r="AC641" i="80" l="1"/>
  <c r="R641" i="80" s="1"/>
  <c r="AP641" i="80"/>
  <c r="AQ641" i="80" s="1"/>
  <c r="BX641" i="80"/>
  <c r="AD641" i="80"/>
  <c r="AO641" i="80" l="1"/>
  <c r="BE641" i="80"/>
  <c r="BV642" i="80"/>
  <c r="AR641" i="80"/>
  <c r="AS641" i="80"/>
  <c r="AE641" i="80"/>
  <c r="AF641" i="80"/>
  <c r="AG641" i="80" l="1"/>
  <c r="AH641" i="80"/>
  <c r="AI641" i="80" s="1"/>
  <c r="AJ641" i="80" s="1"/>
  <c r="BD641" i="80" l="1"/>
  <c r="AK641" i="80"/>
  <c r="AL641" i="80" s="1"/>
  <c r="AX641" i="80"/>
  <c r="AT641" i="80"/>
  <c r="AM641" i="80" l="1"/>
  <c r="AV641" i="80" s="1"/>
  <c r="BW642" i="80"/>
  <c r="AN641" i="80"/>
  <c r="AW641" i="80"/>
  <c r="AY641" i="80" l="1"/>
  <c r="BA641" i="80" s="1"/>
  <c r="AZ641" i="80" l="1"/>
  <c r="BB641" i="80"/>
  <c r="BF641" i="80"/>
  <c r="BG641" i="80" l="1"/>
  <c r="BH641" i="80" s="1"/>
  <c r="BI641" i="80" l="1"/>
  <c r="BJ641" i="80" l="1"/>
  <c r="BK641" i="80" s="1"/>
  <c r="BL641" i="80" s="1"/>
  <c r="BN641" i="80"/>
  <c r="BQ641" i="80" l="1"/>
  <c r="BO641" i="80"/>
  <c r="Q641" i="80"/>
  <c r="K641" i="80" l="1"/>
  <c r="M642" i="80" s="1"/>
  <c r="L641" i="80"/>
  <c r="N642" i="80" s="1"/>
  <c r="BR641" i="80"/>
  <c r="BS641" i="80" s="1"/>
  <c r="BP641" i="80"/>
  <c r="BT642" i="80" l="1"/>
  <c r="O642" i="80"/>
  <c r="BU642" i="80"/>
  <c r="S642" i="80" l="1"/>
  <c r="BY642" i="80"/>
  <c r="P642" i="80"/>
  <c r="U642" i="80" s="1"/>
  <c r="T642" i="80" l="1"/>
  <c r="V642" i="80" s="1"/>
  <c r="Y642" i="80" s="1"/>
  <c r="AC642" i="80" s="1"/>
  <c r="X642" i="80"/>
  <c r="BE642" i="80" l="1"/>
  <c r="R642" i="80"/>
  <c r="BV643" i="80"/>
  <c r="BX642" i="80"/>
  <c r="AP642" i="80"/>
  <c r="AQ642" i="80" s="1"/>
  <c r="AD642" i="80"/>
  <c r="AO642" i="80"/>
  <c r="AR642" i="80" l="1"/>
  <c r="AS642" i="80"/>
  <c r="AF642" i="80"/>
  <c r="AE642" i="80"/>
  <c r="AG642" i="80" l="1"/>
  <c r="AH642" i="80"/>
  <c r="AI642" i="80" s="1"/>
  <c r="AJ642" i="80" s="1"/>
  <c r="AK642" i="80" l="1"/>
  <c r="AL642" i="80" s="1"/>
  <c r="AX642" i="80"/>
  <c r="BD642" i="80"/>
  <c r="AT642" i="80"/>
  <c r="AM642" i="80" l="1"/>
  <c r="AV642" i="80" s="1"/>
  <c r="BW643" i="80"/>
  <c r="AN642" i="80"/>
  <c r="AW642" i="80"/>
  <c r="AY642" i="80" l="1"/>
  <c r="BA642" i="80" s="1"/>
  <c r="AZ642" i="80" l="1"/>
  <c r="BB642" i="80"/>
  <c r="BF642" i="80"/>
  <c r="BG642" i="80" l="1"/>
  <c r="BH642" i="80" s="1"/>
  <c r="BI642" i="80" l="1"/>
  <c r="BJ642" i="80" l="1"/>
  <c r="BK642" i="80" s="1"/>
  <c r="BL642" i="80" s="1"/>
  <c r="BN642" i="80"/>
  <c r="Q642" i="80" l="1"/>
  <c r="BQ642" i="80"/>
  <c r="BO642" i="80"/>
  <c r="BR642" i="80" l="1"/>
  <c r="BS642" i="80" s="1"/>
  <c r="BP642" i="80"/>
  <c r="K642" i="80"/>
  <c r="M643" i="80" s="1"/>
  <c r="L642" i="80"/>
  <c r="N643" i="80" s="1"/>
  <c r="BU643" i="80" l="1"/>
  <c r="O643" i="80"/>
  <c r="BT643" i="80"/>
  <c r="BY643" i="80" l="1"/>
  <c r="S643" i="80"/>
  <c r="P643" i="80"/>
  <c r="U643" i="80" s="1"/>
  <c r="T643" i="80" l="1"/>
  <c r="V643" i="80" s="1"/>
  <c r="Y643" i="80" s="1"/>
  <c r="X643" i="80"/>
  <c r="AC643" i="80" l="1"/>
  <c r="BE643" i="80" s="1"/>
  <c r="AD643" i="80"/>
  <c r="BX643" i="80"/>
  <c r="AP643" i="80"/>
  <c r="AQ643" i="80" s="1"/>
  <c r="AO643" i="80" l="1"/>
  <c r="BV644" i="80"/>
  <c r="R643" i="80"/>
  <c r="AR643" i="80"/>
  <c r="AS643" i="80"/>
  <c r="AF643" i="80"/>
  <c r="AE643" i="80"/>
  <c r="AH643" i="80" l="1"/>
  <c r="AI643" i="80" s="1"/>
  <c r="AJ643" i="80" s="1"/>
  <c r="AG643" i="80"/>
  <c r="AX643" i="80" l="1"/>
  <c r="AK643" i="80"/>
  <c r="AL643" i="80" s="1"/>
  <c r="BD643" i="80"/>
  <c r="AT643" i="80"/>
  <c r="AM643" i="80" l="1"/>
  <c r="AV643" i="80" s="1"/>
  <c r="AN643" i="80"/>
  <c r="BW644" i="80"/>
  <c r="AW643" i="80"/>
  <c r="AY643" i="80" l="1"/>
  <c r="BA643" i="80" s="1"/>
  <c r="AZ643" i="80" l="1"/>
  <c r="BB643" i="80"/>
  <c r="BF643" i="80"/>
  <c r="BG643" i="80" l="1"/>
  <c r="BH643" i="80" s="1"/>
  <c r="BI643" i="80" l="1"/>
  <c r="BN643" i="80" l="1"/>
  <c r="BJ643" i="80"/>
  <c r="BK643" i="80" s="1"/>
  <c r="BL643" i="80" s="1"/>
  <c r="BQ643" i="80" l="1"/>
  <c r="BO643" i="80"/>
  <c r="Q643" i="80"/>
  <c r="K643" i="80" l="1"/>
  <c r="M644" i="80" s="1"/>
  <c r="L643" i="80"/>
  <c r="N644" i="80" s="1"/>
  <c r="BR643" i="80"/>
  <c r="BS643" i="80" s="1"/>
  <c r="BP643" i="80"/>
  <c r="BU644" i="80" l="1"/>
  <c r="O644" i="80"/>
  <c r="BT644" i="80"/>
  <c r="P644" i="80" l="1"/>
  <c r="U644" i="80" s="1"/>
  <c r="S644" i="80"/>
  <c r="BY644" i="80"/>
  <c r="T644" i="80" l="1"/>
  <c r="V644" i="80" s="1"/>
  <c r="Y644" i="80" s="1"/>
  <c r="AC644" i="80" s="1"/>
  <c r="X644" i="80"/>
  <c r="R644" i="80" l="1"/>
  <c r="BE644" i="80"/>
  <c r="BV645" i="80"/>
  <c r="AD644" i="80"/>
  <c r="BX644" i="80"/>
  <c r="AP644" i="80"/>
  <c r="AQ644" i="80" s="1"/>
  <c r="AO644" i="80"/>
  <c r="AF644" i="80" l="1"/>
  <c r="AE644" i="80"/>
  <c r="AR644" i="80"/>
  <c r="AS644" i="80"/>
  <c r="AG644" i="80" l="1"/>
  <c r="AH644" i="80"/>
  <c r="AI644" i="80" s="1"/>
  <c r="AJ644" i="80" s="1"/>
  <c r="BD644" i="80" l="1"/>
  <c r="AX644" i="80"/>
  <c r="AK644" i="80"/>
  <c r="AL644" i="80" s="1"/>
  <c r="AT644" i="80"/>
  <c r="AM644" i="80" l="1"/>
  <c r="AV644" i="80" s="1"/>
  <c r="BW645" i="80"/>
  <c r="AN644" i="80"/>
  <c r="AW644" i="80"/>
  <c r="AY644" i="80" l="1"/>
  <c r="BA644" i="80" s="1"/>
  <c r="AZ644" i="80" l="1"/>
  <c r="BB644" i="80"/>
  <c r="BF644" i="80"/>
  <c r="BG644" i="80" l="1"/>
  <c r="BH644" i="80" s="1"/>
  <c r="BI644" i="80" l="1"/>
  <c r="BJ644" i="80" l="1"/>
  <c r="BK644" i="80" s="1"/>
  <c r="BL644" i="80" s="1"/>
  <c r="BN644" i="80"/>
  <c r="BQ644" i="80" l="1"/>
  <c r="BO644" i="80"/>
  <c r="Q644" i="80"/>
  <c r="K644" i="80" l="1"/>
  <c r="M645" i="80" s="1"/>
  <c r="L644" i="80"/>
  <c r="N645" i="80" s="1"/>
  <c r="BR644" i="80"/>
  <c r="BS644" i="80" s="1"/>
  <c r="BP644" i="80"/>
  <c r="BU645" i="80" l="1"/>
  <c r="O645" i="80"/>
  <c r="BT645" i="80"/>
  <c r="P645" i="80" l="1"/>
  <c r="U645" i="80" s="1"/>
  <c r="BY645" i="80"/>
  <c r="S645" i="80"/>
  <c r="T645" i="80" l="1"/>
  <c r="V645" i="80" s="1"/>
  <c r="Y645" i="80" s="1"/>
  <c r="X645" i="80"/>
  <c r="AC645" i="80" l="1"/>
  <c r="R645" i="80" s="1"/>
  <c r="BX645" i="80"/>
  <c r="AD645" i="80"/>
  <c r="AP645" i="80"/>
  <c r="AQ645" i="80" s="1"/>
  <c r="AO645" i="80" l="1"/>
  <c r="BE645" i="80"/>
  <c r="BV646" i="80"/>
  <c r="AR645" i="80"/>
  <c r="AS645" i="80"/>
  <c r="AE645" i="80"/>
  <c r="AF645" i="80"/>
  <c r="AG645" i="80" l="1"/>
  <c r="AH645" i="80"/>
  <c r="AI645" i="80" s="1"/>
  <c r="AJ645" i="80" s="1"/>
  <c r="AX645" i="80" l="1"/>
  <c r="AK645" i="80"/>
  <c r="AL645" i="80" s="1"/>
  <c r="BD645" i="80"/>
  <c r="AT645" i="80"/>
  <c r="AM645" i="80" l="1"/>
  <c r="AV645" i="80" s="1"/>
  <c r="BW646" i="80"/>
  <c r="AN645" i="80"/>
  <c r="AW645" i="80"/>
  <c r="AY645" i="80" l="1"/>
  <c r="BA645" i="80" s="1"/>
  <c r="AZ645" i="80" l="1"/>
  <c r="BB645" i="80"/>
  <c r="BF645" i="80"/>
  <c r="BG645" i="80" l="1"/>
  <c r="BH645" i="80" s="1"/>
  <c r="BI645" i="80" l="1"/>
  <c r="BN645" i="80" l="1"/>
  <c r="BJ645" i="80"/>
  <c r="BK645" i="80" s="1"/>
  <c r="BL645" i="80" s="1"/>
  <c r="BQ645" i="80" l="1"/>
  <c r="BO645" i="80"/>
  <c r="Q645" i="80"/>
  <c r="K645" i="80" l="1"/>
  <c r="M646" i="80" s="1"/>
  <c r="L645" i="80"/>
  <c r="N646" i="80" s="1"/>
  <c r="BR645" i="80"/>
  <c r="BS645" i="80" s="1"/>
  <c r="BP645" i="80"/>
  <c r="BU646" i="80" l="1"/>
  <c r="O646" i="80"/>
  <c r="BT646" i="80"/>
  <c r="BY646" i="80" l="1"/>
  <c r="S646" i="80"/>
  <c r="P646" i="80"/>
  <c r="U646" i="80" s="1"/>
  <c r="T646" i="80" l="1"/>
  <c r="V646" i="80" s="1"/>
  <c r="Y646" i="80" s="1"/>
  <c r="X646" i="80"/>
  <c r="AC646" i="80" l="1"/>
  <c r="BE646" i="80" s="1"/>
  <c r="AD646" i="80"/>
  <c r="AP646" i="80"/>
  <c r="AQ646" i="80" s="1"/>
  <c r="BX646" i="80"/>
  <c r="AO646" i="80" l="1"/>
  <c r="R646" i="80"/>
  <c r="BV647" i="80"/>
  <c r="AR646" i="80"/>
  <c r="AS646" i="80"/>
  <c r="AF646" i="80"/>
  <c r="AE646" i="80"/>
  <c r="AG646" i="80" l="1"/>
  <c r="AH646" i="80"/>
  <c r="AI646" i="80" s="1"/>
  <c r="AJ646" i="80" s="1"/>
  <c r="AX646" i="80" l="1"/>
  <c r="AK646" i="80"/>
  <c r="AL646" i="80" s="1"/>
  <c r="BD646" i="80"/>
  <c r="AT646" i="80"/>
  <c r="AM646" i="80" l="1"/>
  <c r="AV646" i="80" s="1"/>
  <c r="BW647" i="80"/>
  <c r="AN646" i="80"/>
  <c r="AW646" i="80"/>
  <c r="AY646" i="80" l="1"/>
  <c r="BA646" i="80" s="1"/>
  <c r="AZ646" i="80" l="1"/>
  <c r="BB646" i="80"/>
  <c r="BF646" i="80"/>
  <c r="BG646" i="80" l="1"/>
  <c r="BH646" i="80" s="1"/>
  <c r="BI646" i="80" l="1"/>
  <c r="BN646" i="80" l="1"/>
  <c r="BJ646" i="80"/>
  <c r="BK646" i="80" s="1"/>
  <c r="BL646" i="80" s="1"/>
  <c r="BQ646" i="80" l="1"/>
  <c r="BO646" i="80"/>
  <c r="Q646" i="80"/>
  <c r="K646" i="80" l="1"/>
  <c r="M647" i="80" s="1"/>
  <c r="L646" i="80"/>
  <c r="N647" i="80" s="1"/>
  <c r="BR646" i="80"/>
  <c r="BS646" i="80" s="1"/>
  <c r="BP646" i="80"/>
  <c r="BU647" i="80" l="1"/>
  <c r="BT647" i="80"/>
  <c r="O647" i="80"/>
  <c r="BY647" i="80" l="1"/>
  <c r="S647" i="80"/>
  <c r="P647" i="80"/>
  <c r="U647" i="80" s="1"/>
  <c r="T647" i="80" l="1"/>
  <c r="V647" i="80" s="1"/>
  <c r="Y647" i="80" s="1"/>
  <c r="X647" i="80"/>
  <c r="AC647" i="80" l="1"/>
  <c r="R647" i="80" s="1"/>
  <c r="AP647" i="80"/>
  <c r="AQ647" i="80" s="1"/>
  <c r="BX647" i="80"/>
  <c r="AD647" i="80"/>
  <c r="BV648" i="80" l="1"/>
  <c r="BE647" i="80"/>
  <c r="AO647" i="80"/>
  <c r="AF647" i="80"/>
  <c r="AE647" i="80"/>
  <c r="AR647" i="80"/>
  <c r="AS647" i="80"/>
  <c r="AH647" i="80" l="1"/>
  <c r="AI647" i="80" s="1"/>
  <c r="AJ647" i="80" s="1"/>
  <c r="AG647" i="80"/>
  <c r="AK647" i="80" l="1"/>
  <c r="AL647" i="80" s="1"/>
  <c r="AX647" i="80"/>
  <c r="BD647" i="80"/>
  <c r="AT647" i="80"/>
  <c r="AM647" i="80" l="1"/>
  <c r="AV647" i="80" s="1"/>
  <c r="AN647" i="80"/>
  <c r="BW648" i="80"/>
  <c r="AW647" i="80"/>
  <c r="AY647" i="80" l="1"/>
  <c r="BA647" i="80" s="1"/>
  <c r="AZ647" i="80" l="1"/>
  <c r="BB647" i="80"/>
  <c r="BF647" i="80"/>
  <c r="BG647" i="80" l="1"/>
  <c r="BH647" i="80" s="1"/>
  <c r="BI647" i="80" l="1"/>
  <c r="BN647" i="80" l="1"/>
  <c r="BJ647" i="80"/>
  <c r="BK647" i="80" s="1"/>
  <c r="BL647" i="80" s="1"/>
  <c r="BQ647" i="80" l="1"/>
  <c r="BO647" i="80"/>
  <c r="Q647" i="80"/>
  <c r="K647" i="80" l="1"/>
  <c r="M648" i="80" s="1"/>
  <c r="L647" i="80"/>
  <c r="N648" i="80" s="1"/>
  <c r="BR647" i="80"/>
  <c r="BS647" i="80" s="1"/>
  <c r="BP647" i="80"/>
  <c r="BU648" i="80" l="1"/>
  <c r="BT648" i="80"/>
  <c r="O648" i="80"/>
  <c r="BY648" i="80" l="1"/>
  <c r="P648" i="80"/>
  <c r="U648" i="80" s="1"/>
  <c r="S648" i="80"/>
  <c r="T648" i="80" l="1"/>
  <c r="V648" i="80" s="1"/>
  <c r="Y648" i="80" s="1"/>
  <c r="X648" i="80"/>
  <c r="AC648" i="80" l="1"/>
  <c r="BE648" i="80" s="1"/>
  <c r="AP648" i="80"/>
  <c r="AQ648" i="80" s="1"/>
  <c r="BX648" i="80"/>
  <c r="AD648" i="80"/>
  <c r="AO648" i="80" l="1"/>
  <c r="BV649" i="80"/>
  <c r="R648" i="80"/>
  <c r="AR648" i="80"/>
  <c r="AS648" i="80"/>
  <c r="AF648" i="80"/>
  <c r="AE648" i="80"/>
  <c r="AG648" i="80" l="1"/>
  <c r="AH648" i="80"/>
  <c r="AI648" i="80" s="1"/>
  <c r="AJ648" i="80" s="1"/>
  <c r="AK648" i="80" l="1"/>
  <c r="AL648" i="80" s="1"/>
  <c r="BD648" i="80"/>
  <c r="AX648" i="80"/>
  <c r="AT648" i="80"/>
  <c r="AM648" i="80" l="1"/>
  <c r="AV648" i="80" s="1"/>
  <c r="BW649" i="80"/>
  <c r="AN648" i="80"/>
  <c r="AW648" i="80"/>
  <c r="AY648" i="80" l="1"/>
  <c r="BA648" i="80" s="1"/>
  <c r="AZ648" i="80" l="1"/>
  <c r="BB648" i="80"/>
  <c r="BF648" i="80"/>
  <c r="BG648" i="80" l="1"/>
  <c r="BH648" i="80" s="1"/>
  <c r="BI648" i="80" l="1"/>
  <c r="BN648" i="80" l="1"/>
  <c r="BJ648" i="80"/>
  <c r="BK648" i="80" s="1"/>
  <c r="BL648" i="80" s="1"/>
  <c r="BQ648" i="80" l="1"/>
  <c r="BO648" i="80"/>
  <c r="Q648" i="80"/>
  <c r="K648" i="80" l="1"/>
  <c r="M649" i="80" s="1"/>
  <c r="L648" i="80"/>
  <c r="N649" i="80" s="1"/>
  <c r="BR648" i="80"/>
  <c r="BS648" i="80" s="1"/>
  <c r="BP648" i="80"/>
  <c r="BU649" i="80" l="1"/>
  <c r="BT649" i="80"/>
  <c r="O649" i="80"/>
  <c r="S649" i="80" l="1"/>
  <c r="BY649" i="80"/>
  <c r="P649" i="80"/>
  <c r="U649" i="80" s="1"/>
  <c r="T649" i="80" l="1"/>
  <c r="V649" i="80" s="1"/>
  <c r="Y649" i="80" s="1"/>
  <c r="X649" i="80"/>
  <c r="AC649" i="80" l="1"/>
  <c r="AO649" i="80" s="1"/>
  <c r="AD649" i="80"/>
  <c r="AP649" i="80"/>
  <c r="AQ649" i="80" s="1"/>
  <c r="BX649" i="80"/>
  <c r="BV650" i="80" l="1"/>
  <c r="R649" i="80"/>
  <c r="BE649" i="80"/>
  <c r="AR649" i="80"/>
  <c r="AS649" i="80"/>
  <c r="AF649" i="80"/>
  <c r="AE649" i="80"/>
  <c r="AH649" i="80" l="1"/>
  <c r="AI649" i="80" s="1"/>
  <c r="AJ649" i="80" s="1"/>
  <c r="AG649" i="80"/>
  <c r="BD649" i="80" l="1"/>
  <c r="AX649" i="80"/>
  <c r="AK649" i="80"/>
  <c r="AL649" i="80" s="1"/>
  <c r="AT649" i="80"/>
  <c r="AM649" i="80" l="1"/>
  <c r="AV649" i="80" s="1"/>
  <c r="AN649" i="80"/>
  <c r="BW650" i="80"/>
  <c r="AW649" i="80"/>
  <c r="AY649" i="80" l="1"/>
  <c r="BA649" i="80" s="1"/>
  <c r="BB649" i="80" l="1"/>
  <c r="AZ649" i="80"/>
  <c r="BF649" i="80"/>
  <c r="BG649" i="80" l="1"/>
  <c r="BH649" i="80" s="1"/>
  <c r="BI649" i="80" l="1"/>
  <c r="BJ649" i="80" l="1"/>
  <c r="BK649" i="80" s="1"/>
  <c r="BL649" i="80" s="1"/>
  <c r="BN649" i="80"/>
  <c r="Q649" i="80" s="1"/>
  <c r="K649" i="80" s="1"/>
  <c r="M650" i="80" s="1"/>
  <c r="L649" i="80" l="1"/>
  <c r="N650" i="80" s="1"/>
  <c r="O650" i="80" s="1"/>
  <c r="BQ649" i="80"/>
  <c r="BO649" i="80"/>
  <c r="BT650" i="80"/>
  <c r="BU650" i="80" l="1"/>
  <c r="BR649" i="80"/>
  <c r="BS649" i="80" s="1"/>
  <c r="BP649" i="80"/>
  <c r="S650" i="80"/>
  <c r="P650" i="80"/>
  <c r="U650" i="80" s="1"/>
  <c r="BY650" i="80"/>
  <c r="T650" i="80" l="1"/>
  <c r="V650" i="80" s="1"/>
  <c r="X650" i="80"/>
  <c r="Y650" i="80" l="1"/>
  <c r="AC650" i="80"/>
  <c r="AO650" i="80" l="1"/>
  <c r="BE650" i="80"/>
  <c r="R650" i="80"/>
  <c r="BV651" i="80"/>
  <c r="BX650" i="80"/>
  <c r="AP650" i="80"/>
  <c r="AQ650" i="80" s="1"/>
  <c r="AD650" i="80"/>
  <c r="AE650" i="80" l="1"/>
  <c r="AF650" i="80"/>
  <c r="AR650" i="80"/>
  <c r="AS650" i="80"/>
  <c r="AH650" i="80" l="1"/>
  <c r="AI650" i="80" s="1"/>
  <c r="AJ650" i="80" s="1"/>
  <c r="AG650" i="80"/>
  <c r="BD650" i="80" l="1"/>
  <c r="AX650" i="80"/>
  <c r="AK650" i="80"/>
  <c r="AL650" i="80" s="1"/>
  <c r="AT650" i="80"/>
  <c r="AM650" i="80" l="1"/>
  <c r="AV650" i="80" s="1"/>
  <c r="BW651" i="80"/>
  <c r="AN650" i="80"/>
  <c r="AW650" i="80"/>
  <c r="AY650" i="80" l="1"/>
  <c r="BA650" i="80" s="1"/>
  <c r="BB650" i="80" l="1"/>
  <c r="AZ650" i="80"/>
  <c r="BF650" i="80"/>
  <c r="BG650" i="80" l="1"/>
  <c r="BH650" i="80" s="1"/>
  <c r="BI650" i="80" l="1"/>
  <c r="BJ650" i="80" l="1"/>
  <c r="BK650" i="80" s="1"/>
  <c r="BL650" i="80" s="1"/>
  <c r="BN650" i="80"/>
  <c r="Q650" i="80" s="1"/>
  <c r="K650" i="80" s="1"/>
  <c r="M651" i="80" s="1"/>
  <c r="L650" i="80" l="1"/>
  <c r="N651" i="80" s="1"/>
  <c r="BU651" i="80" s="1"/>
  <c r="BQ650" i="80"/>
  <c r="BO650" i="80"/>
  <c r="BT651" i="80"/>
  <c r="O651" i="80" l="1"/>
  <c r="BR650" i="80"/>
  <c r="BS650" i="80" s="1"/>
  <c r="BP650" i="80"/>
  <c r="P651" i="80"/>
  <c r="U651" i="80" s="1"/>
  <c r="S651" i="80"/>
  <c r="BY651" i="80"/>
  <c r="T651" i="80" l="1"/>
  <c r="V651" i="80" s="1"/>
  <c r="X651" i="80"/>
  <c r="Y651" i="80" l="1"/>
  <c r="AC651" i="80"/>
  <c r="R651" i="80" l="1"/>
  <c r="BE651" i="80"/>
  <c r="BV652" i="80"/>
  <c r="BX651" i="80"/>
  <c r="AD651" i="80"/>
  <c r="AP651" i="80"/>
  <c r="AQ651" i="80" s="1"/>
  <c r="AO651" i="80"/>
  <c r="AF651" i="80" l="1"/>
  <c r="AE651" i="80"/>
  <c r="AR651" i="80"/>
  <c r="AS651" i="80"/>
  <c r="AG651" i="80" l="1"/>
  <c r="AH651" i="80"/>
  <c r="AI651" i="80" s="1"/>
  <c r="AJ651" i="80" s="1"/>
  <c r="BD651" i="80" l="1"/>
  <c r="AK651" i="80"/>
  <c r="AL651" i="80" s="1"/>
  <c r="AX651" i="80"/>
  <c r="AT651" i="80"/>
  <c r="AM651" i="80" l="1"/>
  <c r="AV651" i="80" s="1"/>
  <c r="AN651" i="80"/>
  <c r="BW652" i="80"/>
  <c r="AW651" i="80"/>
  <c r="AY651" i="80" l="1"/>
  <c r="BA651" i="80" s="1"/>
  <c r="BB651" i="80" l="1"/>
  <c r="AZ651" i="80"/>
  <c r="BF651" i="80"/>
  <c r="BG651" i="80" l="1"/>
  <c r="BH651" i="80" s="1"/>
  <c r="BI651" i="80" l="1"/>
  <c r="BN651" i="80" l="1"/>
  <c r="Q651" i="80" s="1"/>
  <c r="L651" i="80" s="1"/>
  <c r="N652" i="80" s="1"/>
  <c r="BJ651" i="80"/>
  <c r="BK651" i="80" s="1"/>
  <c r="BL651" i="80" s="1"/>
  <c r="K651" i="80" l="1"/>
  <c r="M652" i="80" s="1"/>
  <c r="BT652" i="80" s="1"/>
  <c r="BQ651" i="80"/>
  <c r="BO651" i="80"/>
  <c r="BU652" i="80"/>
  <c r="O652" i="80" l="1"/>
  <c r="BR651" i="80"/>
  <c r="BS651" i="80" s="1"/>
  <c r="BP651" i="80"/>
  <c r="P652" i="80"/>
  <c r="U652" i="80" s="1"/>
  <c r="BY652" i="80"/>
  <c r="S652" i="80"/>
  <c r="T652" i="80" l="1"/>
  <c r="V652" i="80" s="1"/>
  <c r="Y652" i="80" s="1"/>
  <c r="AC652" i="80" s="1"/>
  <c r="X652" i="80"/>
  <c r="R652" i="80" l="1"/>
  <c r="BE652" i="80"/>
  <c r="BV653" i="80"/>
  <c r="AD652" i="80"/>
  <c r="AP652" i="80"/>
  <c r="AQ652" i="80" s="1"/>
  <c r="AO652" i="80"/>
  <c r="BX652" i="80"/>
  <c r="AF652" i="80" l="1"/>
  <c r="AE652" i="80"/>
  <c r="AR652" i="80"/>
  <c r="AS652" i="80"/>
  <c r="AH652" i="80" l="1"/>
  <c r="AI652" i="80" s="1"/>
  <c r="AJ652" i="80" s="1"/>
  <c r="AG652" i="80"/>
  <c r="AX652" i="80" l="1"/>
  <c r="BD652" i="80"/>
  <c r="AK652" i="80"/>
  <c r="AL652" i="80" s="1"/>
  <c r="AT652" i="80"/>
  <c r="AM652" i="80" l="1"/>
  <c r="AV652" i="80" s="1"/>
  <c r="BW653" i="80"/>
  <c r="AN652" i="80"/>
  <c r="AW652" i="80"/>
  <c r="AY652" i="80" l="1"/>
  <c r="BA652" i="80" s="1"/>
  <c r="AZ652" i="80" l="1"/>
  <c r="BB652" i="80"/>
  <c r="BF652" i="80"/>
  <c r="BG652" i="80" l="1"/>
  <c r="BH652" i="80" s="1"/>
  <c r="BI652" i="80" l="1"/>
  <c r="BJ652" i="80" l="1"/>
  <c r="BK652" i="80" s="1"/>
  <c r="BL652" i="80" s="1"/>
  <c r="BN652" i="80"/>
  <c r="Q652" i="80" s="1"/>
  <c r="L652" i="80" s="1"/>
  <c r="N653" i="80" s="1"/>
  <c r="K652" i="80" l="1"/>
  <c r="M653" i="80" s="1"/>
  <c r="O653" i="80" s="1"/>
  <c r="BO652" i="80"/>
  <c r="BQ652" i="80"/>
  <c r="BU653" i="80"/>
  <c r="BT653" i="80" l="1"/>
  <c r="BR652" i="80"/>
  <c r="BS652" i="80" s="1"/>
  <c r="BP652" i="80"/>
  <c r="P653" i="80"/>
  <c r="U653" i="80" s="1"/>
  <c r="S653" i="80"/>
  <c r="BY653" i="80"/>
  <c r="T653" i="80" l="1"/>
  <c r="V653" i="80" s="1"/>
  <c r="Y653" i="80" s="1"/>
  <c r="X653" i="80"/>
  <c r="AC653" i="80" l="1"/>
  <c r="R653" i="80" s="1"/>
  <c r="AD653" i="80"/>
  <c r="AP653" i="80"/>
  <c r="AQ653" i="80" s="1"/>
  <c r="BX653" i="80"/>
  <c r="BE653" i="80" l="1"/>
  <c r="AO653" i="80"/>
  <c r="BV654" i="80"/>
  <c r="AF653" i="80"/>
  <c r="AE653" i="80"/>
  <c r="AR653" i="80"/>
  <c r="AS653" i="80"/>
  <c r="AG653" i="80" l="1"/>
  <c r="AH653" i="80"/>
  <c r="AI653" i="80" s="1"/>
  <c r="AJ653" i="80" s="1"/>
  <c r="AX653" i="80" l="1"/>
  <c r="AK653" i="80"/>
  <c r="AL653" i="80" s="1"/>
  <c r="BD653" i="80"/>
  <c r="AT653" i="80"/>
  <c r="AM653" i="80" l="1"/>
  <c r="AV653" i="80" s="1"/>
  <c r="BW654" i="80"/>
  <c r="AN653" i="80"/>
  <c r="AW653" i="80"/>
  <c r="AY653" i="80" l="1"/>
  <c r="BA653" i="80" s="1"/>
  <c r="BB653" i="80" l="1"/>
  <c r="AZ653" i="80"/>
  <c r="BF653" i="80"/>
  <c r="BG653" i="80" l="1"/>
  <c r="BH653" i="80" s="1"/>
  <c r="BI653" i="80" l="1"/>
  <c r="BJ653" i="80" l="1"/>
  <c r="BK653" i="80" s="1"/>
  <c r="BL653" i="80" s="1"/>
  <c r="BN653" i="80"/>
  <c r="Q653" i="80" s="1"/>
  <c r="K653" i="80" s="1"/>
  <c r="M654" i="80" s="1"/>
  <c r="L653" i="80" l="1"/>
  <c r="N654" i="80" s="1"/>
  <c r="BU654" i="80" s="1"/>
  <c r="BO653" i="80"/>
  <c r="BQ653" i="80"/>
  <c r="BT654" i="80"/>
  <c r="O654" i="80" l="1"/>
  <c r="BR653" i="80"/>
  <c r="BS653" i="80" s="1"/>
  <c r="BP653" i="80"/>
  <c r="BY654" i="80"/>
  <c r="P654" i="80"/>
  <c r="U654" i="80" s="1"/>
  <c r="S654" i="80"/>
  <c r="T654" i="80" l="1"/>
  <c r="V654" i="80" s="1"/>
  <c r="Y654" i="80" s="1"/>
  <c r="AC654" i="80" s="1"/>
  <c r="X654" i="80"/>
  <c r="R654" i="80" l="1"/>
  <c r="BE654" i="80"/>
  <c r="BV655" i="80"/>
  <c r="AP654" i="80"/>
  <c r="AQ654" i="80" s="1"/>
  <c r="AO654" i="80"/>
  <c r="BX654" i="80"/>
  <c r="AD654" i="80"/>
  <c r="AR654" i="80" l="1"/>
  <c r="AS654" i="80"/>
  <c r="AE654" i="80"/>
  <c r="AF654" i="80"/>
  <c r="AG654" i="80" l="1"/>
  <c r="AH654" i="80"/>
  <c r="AI654" i="80" s="1"/>
  <c r="AJ654" i="80" s="1"/>
  <c r="AK654" i="80" l="1"/>
  <c r="AL654" i="80" s="1"/>
  <c r="AX654" i="80"/>
  <c r="BD654" i="80"/>
  <c r="AT654" i="80"/>
  <c r="AM654" i="80" l="1"/>
  <c r="AV654" i="80" s="1"/>
  <c r="AN654" i="80"/>
  <c r="BW655" i="80"/>
  <c r="AW654" i="80"/>
  <c r="AY654" i="80" l="1"/>
  <c r="BA654" i="80" s="1"/>
  <c r="BB654" i="80" l="1"/>
  <c r="AZ654" i="80"/>
  <c r="BF654" i="80"/>
  <c r="BG654" i="80" l="1"/>
  <c r="BH654" i="80" s="1"/>
  <c r="BI654" i="80" l="1"/>
  <c r="BN654" i="80" l="1"/>
  <c r="Q654" i="80" s="1"/>
  <c r="L654" i="80" s="1"/>
  <c r="N655" i="80" s="1"/>
  <c r="BJ654" i="80"/>
  <c r="BK654" i="80" s="1"/>
  <c r="BL654" i="80" s="1"/>
  <c r="K654" i="80" l="1"/>
  <c r="M655" i="80" s="1"/>
  <c r="BT655" i="80" s="1"/>
  <c r="BQ654" i="80"/>
  <c r="BO654" i="80"/>
  <c r="BU655" i="80"/>
  <c r="O655" i="80" l="1"/>
  <c r="BY655" i="80" s="1"/>
  <c r="BR654" i="80"/>
  <c r="BS654" i="80" s="1"/>
  <c r="BP654" i="80"/>
  <c r="S655" i="80"/>
  <c r="P655" i="80" l="1"/>
  <c r="U655" i="80" s="1"/>
  <c r="T655" i="80"/>
  <c r="V655" i="80" s="1"/>
  <c r="Y655" i="80" s="1"/>
  <c r="X655" i="80"/>
  <c r="AC655" i="80" l="1"/>
  <c r="R655" i="80" s="1"/>
  <c r="AP655" i="80"/>
  <c r="AQ655" i="80" s="1"/>
  <c r="AD655" i="80"/>
  <c r="BX655" i="80"/>
  <c r="AO655" i="80" l="1"/>
  <c r="BV656" i="80"/>
  <c r="BE655" i="80"/>
  <c r="AR655" i="80"/>
  <c r="AS655" i="80"/>
  <c r="AF655" i="80"/>
  <c r="AE655" i="80"/>
  <c r="AG655" i="80" l="1"/>
  <c r="AH655" i="80"/>
  <c r="AI655" i="80" s="1"/>
  <c r="AJ655" i="80" s="1"/>
  <c r="AX655" i="80" l="1"/>
  <c r="BD655" i="80"/>
  <c r="AK655" i="80"/>
  <c r="AL655" i="80" s="1"/>
  <c r="AT655" i="80"/>
  <c r="AM655" i="80" l="1"/>
  <c r="AV655" i="80" s="1"/>
  <c r="BW656" i="80"/>
  <c r="AN655" i="80"/>
  <c r="AW655" i="80"/>
  <c r="AY655" i="80" l="1"/>
  <c r="BA655" i="80" s="1"/>
  <c r="BB655" i="80" l="1"/>
  <c r="AZ655" i="80"/>
  <c r="BF655" i="80"/>
  <c r="BG655" i="80" l="1"/>
  <c r="BH655" i="80" s="1"/>
  <c r="BI655" i="80" l="1"/>
  <c r="BN655" i="80" l="1"/>
  <c r="Q655" i="80" s="1"/>
  <c r="L655" i="80" s="1"/>
  <c r="N656" i="80" s="1"/>
  <c r="BJ655" i="80"/>
  <c r="BK655" i="80" s="1"/>
  <c r="BL655" i="80" s="1"/>
  <c r="K655" i="80" l="1"/>
  <c r="M656" i="80" s="1"/>
  <c r="O656" i="80" s="1"/>
  <c r="BQ655" i="80"/>
  <c r="BO655" i="80"/>
  <c r="BU656" i="80"/>
  <c r="BT656" i="80" l="1"/>
  <c r="BR655" i="80"/>
  <c r="BS655" i="80" s="1"/>
  <c r="BP655" i="80"/>
  <c r="BY656" i="80"/>
  <c r="S656" i="80"/>
  <c r="P656" i="80"/>
  <c r="U656" i="80" s="1"/>
  <c r="T656" i="80" l="1"/>
  <c r="V656" i="80" s="1"/>
  <c r="Y656" i="80" s="1"/>
  <c r="AC656" i="80" s="1"/>
  <c r="X656" i="80"/>
  <c r="R656" i="80" l="1"/>
  <c r="BE656" i="80"/>
  <c r="BV657" i="80"/>
  <c r="BX656" i="80"/>
  <c r="AP656" i="80"/>
  <c r="AQ656" i="80" s="1"/>
  <c r="AO656" i="80"/>
  <c r="AD656" i="80"/>
  <c r="AR656" i="80" l="1"/>
  <c r="AS656" i="80"/>
  <c r="AF656" i="80"/>
  <c r="AE656" i="80"/>
  <c r="AG656" i="80" l="1"/>
  <c r="AH656" i="80"/>
  <c r="AI656" i="80" s="1"/>
  <c r="AJ656" i="80" s="1"/>
  <c r="AK656" i="80" l="1"/>
  <c r="AL656" i="80" s="1"/>
  <c r="AX656" i="80"/>
  <c r="BD656" i="80"/>
  <c r="AT656" i="80"/>
  <c r="AM656" i="80" l="1"/>
  <c r="AV656" i="80" s="1"/>
  <c r="AN656" i="80"/>
  <c r="BW657" i="80"/>
  <c r="AW656" i="80"/>
  <c r="AY656" i="80" l="1"/>
  <c r="BA656" i="80" s="1"/>
  <c r="BB656" i="80" l="1"/>
  <c r="AZ656" i="80"/>
  <c r="BF656" i="80"/>
  <c r="BG656" i="80" l="1"/>
  <c r="BH656" i="80" s="1"/>
  <c r="BI656" i="80" l="1"/>
  <c r="BJ656" i="80" l="1"/>
  <c r="BK656" i="80" s="1"/>
  <c r="BL656" i="80" s="1"/>
  <c r="BN656" i="80"/>
  <c r="Q656" i="80" s="1"/>
  <c r="L656" i="80" s="1"/>
  <c r="N657" i="80" s="1"/>
  <c r="K656" i="80" l="1"/>
  <c r="M657" i="80" s="1"/>
  <c r="O657" i="80" s="1"/>
  <c r="BQ656" i="80"/>
  <c r="BO656" i="80"/>
  <c r="BU657" i="80"/>
  <c r="BT657" i="80" l="1"/>
  <c r="BR656" i="80"/>
  <c r="BS656" i="80" s="1"/>
  <c r="BP656" i="80"/>
  <c r="S657" i="80"/>
  <c r="BY657" i="80"/>
  <c r="P657" i="80"/>
  <c r="U657" i="80" s="1"/>
  <c r="T657" i="80" l="1"/>
  <c r="V657" i="80" s="1"/>
  <c r="Y657" i="80" s="1"/>
  <c r="X657" i="80"/>
  <c r="AC657" i="80" l="1"/>
  <c r="BE657" i="80" s="1"/>
  <c r="AD657" i="80"/>
  <c r="AP657" i="80"/>
  <c r="AQ657" i="80" s="1"/>
  <c r="BX657" i="80"/>
  <c r="AO657" i="80" l="1"/>
  <c r="R657" i="80"/>
  <c r="BV658" i="80"/>
  <c r="AR657" i="80"/>
  <c r="AS657" i="80"/>
  <c r="AE657" i="80"/>
  <c r="AF657" i="80"/>
  <c r="AG657" i="80" l="1"/>
  <c r="AH657" i="80"/>
  <c r="AI657" i="80" s="1"/>
  <c r="AJ657" i="80" s="1"/>
  <c r="AX657" i="80" l="1"/>
  <c r="AK657" i="80"/>
  <c r="AL657" i="80" s="1"/>
  <c r="BD657" i="80"/>
  <c r="AT657" i="80"/>
  <c r="AM657" i="80" l="1"/>
  <c r="AV657" i="80" s="1"/>
  <c r="AN657" i="80"/>
  <c r="BW658" i="80"/>
  <c r="AW657" i="80"/>
  <c r="AY657" i="80" l="1"/>
  <c r="BA657" i="80" s="1"/>
  <c r="BB657" i="80" l="1"/>
  <c r="AZ657" i="80"/>
  <c r="BF657" i="80"/>
  <c r="BG657" i="80" l="1"/>
  <c r="BH657" i="80" s="1"/>
  <c r="BI657" i="80" l="1"/>
  <c r="BJ657" i="80" l="1"/>
  <c r="BK657" i="80" s="1"/>
  <c r="BL657" i="80" s="1"/>
  <c r="BN657" i="80"/>
  <c r="Q657" i="80" s="1"/>
  <c r="K657" i="80" s="1"/>
  <c r="M658" i="80" s="1"/>
  <c r="L657" i="80" l="1"/>
  <c r="N658" i="80" s="1"/>
  <c r="BU658" i="80" s="1"/>
  <c r="BQ657" i="80"/>
  <c r="BO657" i="80"/>
  <c r="BT658" i="80"/>
  <c r="O658" i="80" l="1"/>
  <c r="BR657" i="80"/>
  <c r="BS657" i="80" s="1"/>
  <c r="BP657" i="80"/>
  <c r="P658" i="80"/>
  <c r="U658" i="80" s="1"/>
  <c r="BY658" i="80"/>
  <c r="S658" i="80"/>
  <c r="T658" i="80" l="1"/>
  <c r="V658" i="80" s="1"/>
  <c r="Y658" i="80" s="1"/>
  <c r="AC658" i="80" s="1"/>
  <c r="X658" i="80"/>
  <c r="R658" i="80" l="1"/>
  <c r="BE658" i="80"/>
  <c r="BV659" i="80"/>
  <c r="BX658" i="80"/>
  <c r="AD658" i="80"/>
  <c r="AO658" i="80"/>
  <c r="AP658" i="80"/>
  <c r="AQ658" i="80" s="1"/>
  <c r="AR658" i="80" l="1"/>
  <c r="AS658" i="80"/>
  <c r="AF658" i="80"/>
  <c r="AE658" i="80"/>
  <c r="AH658" i="80" l="1"/>
  <c r="AI658" i="80" s="1"/>
  <c r="AJ658" i="80" s="1"/>
  <c r="AG658" i="80"/>
  <c r="AX658" i="80" l="1"/>
  <c r="AK658" i="80"/>
  <c r="AL658" i="80" s="1"/>
  <c r="BD658" i="80"/>
  <c r="AT658" i="80"/>
  <c r="AM658" i="80" l="1"/>
  <c r="AV658" i="80" s="1"/>
  <c r="BW659" i="80"/>
  <c r="AN658" i="80"/>
  <c r="AW658" i="80"/>
  <c r="AY658" i="80" l="1"/>
  <c r="BA658" i="80" s="1"/>
  <c r="BB658" i="80" l="1"/>
  <c r="AZ658" i="80"/>
  <c r="BF658" i="80"/>
  <c r="BG658" i="80" l="1"/>
  <c r="BH658" i="80" s="1"/>
  <c r="BI658" i="80" l="1"/>
  <c r="BN658" i="80" l="1"/>
  <c r="Q658" i="80" s="1"/>
  <c r="L658" i="80" s="1"/>
  <c r="N659" i="80" s="1"/>
  <c r="BJ658" i="80"/>
  <c r="BK658" i="80" s="1"/>
  <c r="BL658" i="80" s="1"/>
  <c r="K658" i="80" l="1"/>
  <c r="M659" i="80" s="1"/>
  <c r="BT659" i="80" s="1"/>
  <c r="BQ658" i="80"/>
  <c r="BO658" i="80"/>
  <c r="BU659" i="80"/>
  <c r="O659" i="80" l="1"/>
  <c r="P659" i="80" s="1"/>
  <c r="U659" i="80" s="1"/>
  <c r="BR658" i="80"/>
  <c r="BS658" i="80" s="1"/>
  <c r="BP658" i="80"/>
  <c r="BY659" i="80" l="1"/>
  <c r="S659" i="80"/>
  <c r="T659" i="80" s="1"/>
  <c r="V659" i="80" s="1"/>
  <c r="Y659" i="80" s="1"/>
  <c r="AC659" i="80" s="1"/>
  <c r="X659" i="80"/>
  <c r="R659" i="80" l="1"/>
  <c r="BE659" i="80"/>
  <c r="BV660" i="80"/>
  <c r="AP659" i="80"/>
  <c r="AQ659" i="80" s="1"/>
  <c r="AO659" i="80"/>
  <c r="AD659" i="80"/>
  <c r="BX659" i="80"/>
  <c r="AF659" i="80" l="1"/>
  <c r="AE659" i="80"/>
  <c r="AR659" i="80"/>
  <c r="AS659" i="80"/>
  <c r="AH659" i="80" l="1"/>
  <c r="AI659" i="80" s="1"/>
  <c r="AJ659" i="80" s="1"/>
  <c r="AG659" i="80"/>
  <c r="AX659" i="80" l="1"/>
  <c r="AK659" i="80"/>
  <c r="AL659" i="80" s="1"/>
  <c r="BD659" i="80"/>
  <c r="AT659" i="80"/>
  <c r="AM659" i="80" l="1"/>
  <c r="AV659" i="80" s="1"/>
  <c r="AN659" i="80"/>
  <c r="BW660" i="80"/>
  <c r="AW659" i="80"/>
  <c r="AY659" i="80" l="1"/>
  <c r="BA659" i="80" s="1"/>
  <c r="BB659" i="80" l="1"/>
  <c r="AZ659" i="80"/>
  <c r="BF659" i="80"/>
  <c r="BG659" i="80" l="1"/>
  <c r="BH659" i="80" s="1"/>
  <c r="BI659" i="80" l="1"/>
  <c r="BN659" i="80" l="1"/>
  <c r="Q659" i="80" s="1"/>
  <c r="L659" i="80" s="1"/>
  <c r="N660" i="80" s="1"/>
  <c r="BJ659" i="80"/>
  <c r="BK659" i="80" s="1"/>
  <c r="BL659" i="80" s="1"/>
  <c r="K659" i="80" l="1"/>
  <c r="M660" i="80" s="1"/>
  <c r="BT660" i="80" s="1"/>
  <c r="BO659" i="80"/>
  <c r="BQ659" i="80"/>
  <c r="BU660" i="80"/>
  <c r="O660" i="80" l="1"/>
  <c r="BR659" i="80"/>
  <c r="BS659" i="80" s="1"/>
  <c r="BP659" i="80"/>
  <c r="P660" i="80"/>
  <c r="U660" i="80" s="1"/>
  <c r="S660" i="80"/>
  <c r="BY660" i="80"/>
  <c r="T660" i="80" l="1"/>
  <c r="V660" i="80" s="1"/>
  <c r="Y660" i="80" s="1"/>
  <c r="X660" i="80"/>
  <c r="AC660" i="80" l="1"/>
  <c r="BE660" i="80" s="1"/>
  <c r="AP660" i="80"/>
  <c r="AQ660" i="80" s="1"/>
  <c r="AD660" i="80"/>
  <c r="BX660" i="80"/>
  <c r="AO660" i="80" l="1"/>
  <c r="BV661" i="80"/>
  <c r="R660" i="80"/>
  <c r="AR660" i="80"/>
  <c r="AS660" i="80"/>
  <c r="AF660" i="80"/>
  <c r="AE660" i="80"/>
  <c r="AH660" i="80" l="1"/>
  <c r="AI660" i="80" s="1"/>
  <c r="AJ660" i="80" s="1"/>
  <c r="AG660" i="80"/>
  <c r="AX660" i="80" l="1"/>
  <c r="AK660" i="80"/>
  <c r="AL660" i="80" s="1"/>
  <c r="BD660" i="80"/>
  <c r="AT660" i="80"/>
  <c r="AM660" i="80" l="1"/>
  <c r="AV660" i="80" s="1"/>
  <c r="BW661" i="80"/>
  <c r="AN660" i="80"/>
  <c r="AW660" i="80"/>
  <c r="AY660" i="80" l="1"/>
  <c r="BA660" i="80" s="1"/>
  <c r="BB660" i="80" l="1"/>
  <c r="AZ660" i="80"/>
  <c r="BF660" i="80"/>
  <c r="BG660" i="80" l="1"/>
  <c r="BH660" i="80" s="1"/>
  <c r="BI660" i="80" l="1"/>
  <c r="BJ660" i="80" l="1"/>
  <c r="BK660" i="80" s="1"/>
  <c r="BL660" i="80" s="1"/>
  <c r="BN660" i="80"/>
  <c r="Q660" i="80" s="1"/>
  <c r="L660" i="80" s="1"/>
  <c r="N661" i="80" s="1"/>
  <c r="K660" i="80" l="1"/>
  <c r="M661" i="80" s="1"/>
  <c r="BT661" i="80" s="1"/>
  <c r="BQ660" i="80"/>
  <c r="BO660" i="80"/>
  <c r="BU661" i="80"/>
  <c r="O661" i="80" l="1"/>
  <c r="P661" i="80" s="1"/>
  <c r="U661" i="80" s="1"/>
  <c r="BR660" i="80"/>
  <c r="BS660" i="80" s="1"/>
  <c r="BP660" i="80"/>
  <c r="S661" i="80"/>
  <c r="BY661" i="80" l="1"/>
  <c r="T661" i="80"/>
  <c r="V661" i="80" s="1"/>
  <c r="Y661" i="80" s="1"/>
  <c r="X661" i="80"/>
  <c r="AC661" i="80" l="1"/>
  <c r="R661" i="80" s="1"/>
  <c r="AD661" i="80"/>
  <c r="BX661" i="80"/>
  <c r="AP661" i="80"/>
  <c r="AQ661" i="80" s="1"/>
  <c r="AO661" i="80" l="1"/>
  <c r="BV662" i="80"/>
  <c r="BE661" i="80"/>
  <c r="AR661" i="80"/>
  <c r="AS661" i="80"/>
  <c r="AE661" i="80"/>
  <c r="AF661" i="80"/>
  <c r="AG661" i="80" l="1"/>
  <c r="AH661" i="80"/>
  <c r="AI661" i="80" s="1"/>
  <c r="AJ661" i="80" s="1"/>
  <c r="BD661" i="80" l="1"/>
  <c r="AK661" i="80"/>
  <c r="AL661" i="80" s="1"/>
  <c r="AX661" i="80"/>
  <c r="AT661" i="80"/>
  <c r="AM661" i="80" l="1"/>
  <c r="AV661" i="80" s="1"/>
  <c r="BW662" i="80"/>
  <c r="AN661" i="80"/>
  <c r="AW661" i="80"/>
  <c r="AY661" i="80" l="1"/>
  <c r="BA661" i="80" s="1"/>
  <c r="BB661" i="80" l="1"/>
  <c r="AZ661" i="80"/>
  <c r="BF661" i="80"/>
  <c r="BG661" i="80" l="1"/>
  <c r="BH661" i="80" s="1"/>
  <c r="BI661" i="80" l="1"/>
  <c r="BN661" i="80" l="1"/>
  <c r="Q661" i="80" s="1"/>
  <c r="K661" i="80" s="1"/>
  <c r="M662" i="80" s="1"/>
  <c r="BJ661" i="80"/>
  <c r="BK661" i="80" s="1"/>
  <c r="BL661" i="80" s="1"/>
  <c r="L661" i="80" l="1"/>
  <c r="N662" i="80" s="1"/>
  <c r="O662" i="80" s="1"/>
  <c r="BQ661" i="80"/>
  <c r="BO661" i="80"/>
  <c r="BT662" i="80"/>
  <c r="BU662" i="80" l="1"/>
  <c r="BR661" i="80"/>
  <c r="BS661" i="80" s="1"/>
  <c r="BP661" i="80"/>
  <c r="BY662" i="80"/>
  <c r="S662" i="80"/>
  <c r="P662" i="80"/>
  <c r="U662" i="80" s="1"/>
  <c r="T662" i="80" l="1"/>
  <c r="V662" i="80" s="1"/>
  <c r="Y662" i="80" s="1"/>
  <c r="X662" i="80"/>
  <c r="AC662" i="80" l="1"/>
  <c r="R662" i="80" s="1"/>
  <c r="BX662" i="80"/>
  <c r="AP662" i="80"/>
  <c r="AQ662" i="80" s="1"/>
  <c r="AD662" i="80"/>
  <c r="AO662" i="80" l="1"/>
  <c r="BE662" i="80"/>
  <c r="BV663" i="80"/>
  <c r="AR662" i="80"/>
  <c r="AS662" i="80"/>
  <c r="AF662" i="80"/>
  <c r="AE662" i="80"/>
  <c r="AG662" i="80" l="1"/>
  <c r="AH662" i="80"/>
  <c r="AI662" i="80" s="1"/>
  <c r="AJ662" i="80" s="1"/>
  <c r="BD662" i="80" l="1"/>
  <c r="AK662" i="80"/>
  <c r="AL662" i="80" s="1"/>
  <c r="AX662" i="80"/>
  <c r="AT662" i="80"/>
  <c r="AM662" i="80" l="1"/>
  <c r="AV662" i="80" s="1"/>
  <c r="AN662" i="80"/>
  <c r="BW663" i="80"/>
  <c r="AW662" i="80"/>
  <c r="AY662" i="80" l="1"/>
  <c r="BA662" i="80" s="1"/>
  <c r="BB662" i="80" l="1"/>
  <c r="AZ662" i="80"/>
  <c r="BF662" i="80"/>
  <c r="BG662" i="80" l="1"/>
  <c r="BH662" i="80" s="1"/>
  <c r="BI662" i="80" l="1"/>
  <c r="BN662" i="80" l="1"/>
  <c r="Q662" i="80" s="1"/>
  <c r="K662" i="80" s="1"/>
  <c r="M663" i="80" s="1"/>
  <c r="BJ662" i="80"/>
  <c r="BK662" i="80" s="1"/>
  <c r="BL662" i="80" s="1"/>
  <c r="L662" i="80" l="1"/>
  <c r="N663" i="80" s="1"/>
  <c r="BU663" i="80" s="1"/>
  <c r="BQ662" i="80"/>
  <c r="BO662" i="80"/>
  <c r="BT663" i="80"/>
  <c r="O663" i="80" l="1"/>
  <c r="BY663" i="80" s="1"/>
  <c r="BR662" i="80"/>
  <c r="BS662" i="80" s="1"/>
  <c r="BP662" i="80"/>
  <c r="P663" i="80" l="1"/>
  <c r="U663" i="80" s="1"/>
  <c r="S663" i="80"/>
  <c r="T663" i="80" s="1"/>
  <c r="V663" i="80" s="1"/>
  <c r="Y663" i="80" s="1"/>
  <c r="AC663" i="80" s="1"/>
  <c r="X663" i="80"/>
  <c r="R663" i="80" l="1"/>
  <c r="BE663" i="80"/>
  <c r="BV664" i="80"/>
  <c r="AO663" i="80"/>
  <c r="AP663" i="80"/>
  <c r="AQ663" i="80" s="1"/>
  <c r="AD663" i="80"/>
  <c r="BX663" i="80"/>
  <c r="AR663" i="80" l="1"/>
  <c r="AS663" i="80"/>
  <c r="AF663" i="80"/>
  <c r="AE663" i="80"/>
  <c r="AH663" i="80" l="1"/>
  <c r="AI663" i="80" s="1"/>
  <c r="AJ663" i="80" s="1"/>
  <c r="AG663" i="80"/>
  <c r="AK663" i="80" l="1"/>
  <c r="AL663" i="80" s="1"/>
  <c r="AX663" i="80"/>
  <c r="BD663" i="80"/>
  <c r="AT663" i="80"/>
  <c r="AM663" i="80" l="1"/>
  <c r="AV663" i="80" s="1"/>
  <c r="BW664" i="80"/>
  <c r="AN663" i="80"/>
  <c r="AW663" i="80"/>
  <c r="AY663" i="80" l="1"/>
  <c r="BA663" i="80" s="1"/>
  <c r="BB663" i="80" l="1"/>
  <c r="AZ663" i="80"/>
  <c r="BF663" i="80"/>
  <c r="BG663" i="80" l="1"/>
  <c r="BH663" i="80" s="1"/>
  <c r="BI663" i="80" l="1"/>
  <c r="BN663" i="80" l="1"/>
  <c r="Q663" i="80" s="1"/>
  <c r="L663" i="80" s="1"/>
  <c r="N664" i="80" s="1"/>
  <c r="BJ663" i="80"/>
  <c r="BK663" i="80" s="1"/>
  <c r="BL663" i="80" s="1"/>
  <c r="K663" i="80" l="1"/>
  <c r="M664" i="80" s="1"/>
  <c r="BT664" i="80" s="1"/>
  <c r="BQ663" i="80"/>
  <c r="BO663" i="80"/>
  <c r="BU664" i="80"/>
  <c r="O664" i="80" l="1"/>
  <c r="P664" i="80" s="1"/>
  <c r="U664" i="80" s="1"/>
  <c r="BR663" i="80"/>
  <c r="BS663" i="80" s="1"/>
  <c r="BP663" i="80"/>
  <c r="BY664" i="80" l="1"/>
  <c r="S664" i="80"/>
  <c r="T664" i="80" s="1"/>
  <c r="V664" i="80" s="1"/>
  <c r="Y664" i="80" s="1"/>
  <c r="AC664" i="80" s="1"/>
  <c r="X664" i="80"/>
  <c r="BE664" i="80" l="1"/>
  <c r="R664" i="80"/>
  <c r="BV665" i="80"/>
  <c r="AO664" i="80"/>
  <c r="BX664" i="80"/>
  <c r="AP664" i="80"/>
  <c r="AQ664" i="80" s="1"/>
  <c r="AD664" i="80"/>
  <c r="AF664" i="80" l="1"/>
  <c r="AE664" i="80"/>
  <c r="AR664" i="80"/>
  <c r="AS664" i="80"/>
  <c r="AH664" i="80" l="1"/>
  <c r="AI664" i="80" s="1"/>
  <c r="AJ664" i="80" s="1"/>
  <c r="AG664" i="80"/>
  <c r="AK664" i="80" l="1"/>
  <c r="AL664" i="80" s="1"/>
  <c r="BD664" i="80"/>
  <c r="AX664" i="80"/>
  <c r="AT664" i="80"/>
  <c r="AM664" i="80" l="1"/>
  <c r="AV664" i="80" s="1"/>
  <c r="BW665" i="80"/>
  <c r="AN664" i="80"/>
  <c r="AW664" i="80"/>
  <c r="AY664" i="80" l="1"/>
  <c r="BA664" i="80" s="1"/>
  <c r="BB664" i="80" l="1"/>
  <c r="AZ664" i="80"/>
  <c r="BF664" i="80"/>
  <c r="BG664" i="80" l="1"/>
  <c r="BH664" i="80" s="1"/>
  <c r="BI664" i="80" l="1"/>
  <c r="BN664" i="80" l="1"/>
  <c r="Q664" i="80" s="1"/>
  <c r="K664" i="80" s="1"/>
  <c r="M665" i="80" s="1"/>
  <c r="BJ664" i="80"/>
  <c r="BK664" i="80" s="1"/>
  <c r="BL664" i="80" s="1"/>
  <c r="L664" i="80" l="1"/>
  <c r="N665" i="80" s="1"/>
  <c r="BU665" i="80" s="1"/>
  <c r="BQ664" i="80"/>
  <c r="BO664" i="80"/>
  <c r="BT665" i="80"/>
  <c r="O665" i="80" l="1"/>
  <c r="BR664" i="80"/>
  <c r="BS664" i="80" s="1"/>
  <c r="BP664" i="80"/>
  <c r="S665" i="80"/>
  <c r="BY665" i="80"/>
  <c r="P665" i="80"/>
  <c r="U665" i="80" s="1"/>
  <c r="T665" i="80" l="1"/>
  <c r="V665" i="80" s="1"/>
  <c r="Y665" i="80" s="1"/>
  <c r="AC665" i="80" s="1"/>
  <c r="X665" i="80"/>
  <c r="BE665" i="80" l="1"/>
  <c r="R665" i="80"/>
  <c r="BV666" i="80"/>
  <c r="AP665" i="80"/>
  <c r="AQ665" i="80" s="1"/>
  <c r="BX665" i="80"/>
  <c r="AO665" i="80"/>
  <c r="AD665" i="80"/>
  <c r="AR665" i="80" l="1"/>
  <c r="AS665" i="80"/>
  <c r="AE665" i="80"/>
  <c r="AF665" i="80"/>
  <c r="AG665" i="80" l="1"/>
  <c r="AH665" i="80"/>
  <c r="AI665" i="80" s="1"/>
  <c r="AJ665" i="80" s="1"/>
  <c r="AK665" i="80" l="1"/>
  <c r="AL665" i="80" s="1"/>
  <c r="AX665" i="80"/>
  <c r="BD665" i="80"/>
  <c r="AT665" i="80"/>
  <c r="AM665" i="80" l="1"/>
  <c r="AV665" i="80" s="1"/>
  <c r="AN665" i="80"/>
  <c r="BW666" i="80"/>
  <c r="AW665" i="80"/>
  <c r="AY665" i="80" l="1"/>
  <c r="BA665" i="80" s="1"/>
  <c r="BB665" i="80" l="1"/>
  <c r="AZ665" i="80"/>
  <c r="BF665" i="80"/>
  <c r="BG665" i="80" l="1"/>
  <c r="BH665" i="80" s="1"/>
  <c r="BI665" i="80" l="1"/>
  <c r="BJ665" i="80" l="1"/>
  <c r="BK665" i="80" s="1"/>
  <c r="BL665" i="80" s="1"/>
  <c r="BN665" i="80"/>
  <c r="Q665" i="80" s="1"/>
  <c r="K665" i="80" s="1"/>
  <c r="M666" i="80" s="1"/>
  <c r="L665" i="80" l="1"/>
  <c r="N666" i="80" s="1"/>
  <c r="BU666" i="80" s="1"/>
  <c r="BQ665" i="80"/>
  <c r="BO665" i="80"/>
  <c r="BT666" i="80"/>
  <c r="O666" i="80" l="1"/>
  <c r="S666" i="80" s="1"/>
  <c r="BR665" i="80"/>
  <c r="BS665" i="80" s="1"/>
  <c r="BP665" i="80"/>
  <c r="BY666" i="80" l="1"/>
  <c r="P666" i="80"/>
  <c r="U666" i="80" s="1"/>
  <c r="T666" i="80"/>
  <c r="V666" i="80" s="1"/>
  <c r="Y666" i="80" s="1"/>
  <c r="X666" i="80"/>
  <c r="AC666" i="80" l="1"/>
  <c r="R666" i="80" s="1"/>
  <c r="AP666" i="80"/>
  <c r="AQ666" i="80" s="1"/>
  <c r="AD666" i="80"/>
  <c r="BX666" i="80"/>
  <c r="AO666" i="80" l="1"/>
  <c r="BE666" i="80"/>
  <c r="BV667" i="80"/>
  <c r="AR666" i="80"/>
  <c r="AS666" i="80"/>
  <c r="AE666" i="80"/>
  <c r="AF666" i="80"/>
  <c r="AH666" i="80" l="1"/>
  <c r="AI666" i="80" s="1"/>
  <c r="AJ666" i="80" s="1"/>
  <c r="AG666" i="80"/>
  <c r="BD666" i="80" l="1"/>
  <c r="AK666" i="80"/>
  <c r="AL666" i="80" s="1"/>
  <c r="AX666" i="80"/>
  <c r="AT666" i="80"/>
  <c r="AM666" i="80" l="1"/>
  <c r="AV666" i="80" s="1"/>
  <c r="AN666" i="80"/>
  <c r="BW667" i="80"/>
  <c r="AW666" i="80"/>
  <c r="AY666" i="80" l="1"/>
  <c r="BA666" i="80" s="1"/>
  <c r="BB666" i="80" l="1"/>
  <c r="AZ666" i="80"/>
  <c r="BF666" i="80"/>
  <c r="BG666" i="80" l="1"/>
  <c r="BH666" i="80" s="1"/>
  <c r="BI666" i="80" l="1"/>
  <c r="BN666" i="80" l="1"/>
  <c r="Q666" i="80" s="1"/>
  <c r="L666" i="80" s="1"/>
  <c r="N667" i="80" s="1"/>
  <c r="BJ666" i="80"/>
  <c r="BK666" i="80" s="1"/>
  <c r="BL666" i="80" s="1"/>
  <c r="K666" i="80" l="1"/>
  <c r="M667" i="80" s="1"/>
  <c r="O667" i="80" s="1"/>
  <c r="BQ666" i="80"/>
  <c r="BO666" i="80"/>
  <c r="BU667" i="80"/>
  <c r="BT667" i="80" l="1"/>
  <c r="BP666" i="80"/>
  <c r="BR666" i="80"/>
  <c r="BS666" i="80" s="1"/>
  <c r="P667" i="80"/>
  <c r="U667" i="80" s="1"/>
  <c r="BY667" i="80"/>
  <c r="S667" i="80"/>
  <c r="T667" i="80" l="1"/>
  <c r="V667" i="80" s="1"/>
  <c r="Y667" i="80" s="1"/>
  <c r="X667" i="80"/>
  <c r="AC667" i="80" l="1"/>
  <c r="BE667" i="80" s="1"/>
  <c r="AP667" i="80"/>
  <c r="AQ667" i="80" s="1"/>
  <c r="AD667" i="80"/>
  <c r="BX667" i="80"/>
  <c r="R667" i="80" l="1"/>
  <c r="AO667" i="80"/>
  <c r="BV668" i="80"/>
  <c r="AR667" i="80"/>
  <c r="AS667" i="80"/>
  <c r="AE667" i="80"/>
  <c r="AF667" i="80"/>
  <c r="AH667" i="80" l="1"/>
  <c r="AI667" i="80" s="1"/>
  <c r="AJ667" i="80" s="1"/>
  <c r="AG667" i="80"/>
  <c r="AX667" i="80" l="1"/>
  <c r="BD667" i="80"/>
  <c r="AK667" i="80"/>
  <c r="AL667" i="80" s="1"/>
  <c r="AT667" i="80"/>
  <c r="AM667" i="80" l="1"/>
  <c r="AV667" i="80" s="1"/>
  <c r="BW668" i="80"/>
  <c r="AN667" i="80"/>
  <c r="AW667" i="80"/>
  <c r="AY667" i="80" l="1"/>
  <c r="BA667" i="80" s="1"/>
  <c r="BB667" i="80" l="1"/>
  <c r="AZ667" i="80"/>
  <c r="BF667" i="80"/>
  <c r="BG667" i="80" l="1"/>
  <c r="BH667" i="80" s="1"/>
  <c r="BI667" i="80" l="1"/>
  <c r="BJ667" i="80" l="1"/>
  <c r="BK667" i="80" s="1"/>
  <c r="BL667" i="80" s="1"/>
  <c r="BN667" i="80"/>
  <c r="Q667" i="80" s="1"/>
  <c r="L667" i="80" s="1"/>
  <c r="N668" i="80" s="1"/>
  <c r="K667" i="80" l="1"/>
  <c r="M668" i="80" s="1"/>
  <c r="BT668" i="80" s="1"/>
  <c r="BO667" i="80"/>
  <c r="BQ667" i="80"/>
  <c r="BU668" i="80"/>
  <c r="O668" i="80" l="1"/>
  <c r="BP667" i="80"/>
  <c r="BR667" i="80"/>
  <c r="BS667" i="80" s="1"/>
  <c r="P668" i="80"/>
  <c r="U668" i="80" s="1"/>
  <c r="S668" i="80"/>
  <c r="BY668" i="80"/>
  <c r="T668" i="80" l="1"/>
  <c r="V668" i="80" s="1"/>
  <c r="Y668" i="80" s="1"/>
  <c r="X668" i="80"/>
  <c r="AC668" i="80" l="1"/>
  <c r="BE668" i="80" s="1"/>
  <c r="AD668" i="80"/>
  <c r="AP668" i="80"/>
  <c r="AQ668" i="80" s="1"/>
  <c r="BX668" i="80"/>
  <c r="AO668" i="80" l="1"/>
  <c r="BV669" i="80"/>
  <c r="R668" i="80"/>
  <c r="AE668" i="80"/>
  <c r="AF668" i="80"/>
  <c r="AR668" i="80"/>
  <c r="AS668" i="80"/>
  <c r="AH668" i="80" l="1"/>
  <c r="AI668" i="80" s="1"/>
  <c r="AJ668" i="80" s="1"/>
  <c r="AG668" i="80"/>
  <c r="AX668" i="80" l="1"/>
  <c r="BD668" i="80"/>
  <c r="AK668" i="80"/>
  <c r="AL668" i="80" s="1"/>
  <c r="AT668" i="80"/>
  <c r="AM668" i="80" l="1"/>
  <c r="AV668" i="80" s="1"/>
  <c r="AN668" i="80"/>
  <c r="BW669" i="80"/>
  <c r="AW668" i="80"/>
  <c r="AY668" i="80" l="1"/>
  <c r="BA668" i="80" s="1"/>
  <c r="AZ668" i="80" l="1"/>
  <c r="BB668" i="80"/>
  <c r="BF668" i="80"/>
  <c r="BG668" i="80" l="1"/>
  <c r="BH668" i="80" s="1"/>
  <c r="BI668" i="80" l="1"/>
  <c r="BJ668" i="80" l="1"/>
  <c r="BK668" i="80" s="1"/>
  <c r="BL668" i="80" s="1"/>
  <c r="BN668" i="80"/>
  <c r="Q668" i="80" s="1"/>
  <c r="K668" i="80" s="1"/>
  <c r="M669" i="80" s="1"/>
  <c r="L668" i="80" l="1"/>
  <c r="N669" i="80" s="1"/>
  <c r="O669" i="80" s="1"/>
  <c r="BQ668" i="80"/>
  <c r="BO668" i="80"/>
  <c r="BT669" i="80"/>
  <c r="BU669" i="80" l="1"/>
  <c r="BR668" i="80"/>
  <c r="BS668" i="80" s="1"/>
  <c r="BP668" i="80"/>
  <c r="BY669" i="80"/>
  <c r="P669" i="80"/>
  <c r="U669" i="80" s="1"/>
  <c r="S669" i="80"/>
  <c r="T669" i="80" l="1"/>
  <c r="V669" i="80" s="1"/>
  <c r="Y669" i="80" s="1"/>
  <c r="AC669" i="80" s="1"/>
  <c r="X669" i="80"/>
  <c r="BE669" i="80" l="1"/>
  <c r="R669" i="80"/>
  <c r="BV670" i="80"/>
  <c r="BX669" i="80"/>
  <c r="AP669" i="80"/>
  <c r="AQ669" i="80" s="1"/>
  <c r="AD669" i="80"/>
  <c r="AO669" i="80"/>
  <c r="AE669" i="80" l="1"/>
  <c r="AF669" i="80"/>
  <c r="AR669" i="80"/>
  <c r="AS669" i="80"/>
  <c r="AG669" i="80" l="1"/>
  <c r="AH669" i="80"/>
  <c r="AI669" i="80" s="1"/>
  <c r="AJ669" i="80" s="1"/>
  <c r="AK669" i="80" l="1"/>
  <c r="AL669" i="80" s="1"/>
  <c r="AX669" i="80"/>
  <c r="BD669" i="80"/>
  <c r="AT669" i="80"/>
  <c r="AM669" i="80" l="1"/>
  <c r="AV669" i="80" s="1"/>
  <c r="BW670" i="80"/>
  <c r="AN669" i="80"/>
  <c r="AW669" i="80"/>
  <c r="AY669" i="80" l="1"/>
  <c r="BA669" i="80" s="1"/>
  <c r="BB669" i="80" l="1"/>
  <c r="AZ669" i="80"/>
  <c r="BF669" i="80"/>
  <c r="BG669" i="80" l="1"/>
  <c r="BH669" i="80" s="1"/>
  <c r="BI669" i="80" l="1"/>
  <c r="BJ669" i="80" l="1"/>
  <c r="BK669" i="80" s="1"/>
  <c r="BL669" i="80" s="1"/>
  <c r="BN669" i="80"/>
  <c r="Q669" i="80" s="1"/>
  <c r="K669" i="80" s="1"/>
  <c r="M670" i="80" s="1"/>
  <c r="L669" i="80" l="1"/>
  <c r="N670" i="80" s="1"/>
  <c r="O670" i="80" s="1"/>
  <c r="BQ669" i="80"/>
  <c r="BO669" i="80"/>
  <c r="BT670" i="80"/>
  <c r="BU670" i="80" l="1"/>
  <c r="BP669" i="80"/>
  <c r="BR669" i="80"/>
  <c r="BS669" i="80" s="1"/>
  <c r="P670" i="80"/>
  <c r="U670" i="80" s="1"/>
  <c r="BY670" i="80"/>
  <c r="S670" i="80"/>
  <c r="T670" i="80" l="1"/>
  <c r="V670" i="80" s="1"/>
  <c r="Y670" i="80" s="1"/>
  <c r="X670" i="80"/>
  <c r="AC670" i="80" l="1"/>
  <c r="BE670" i="80" s="1"/>
  <c r="AP670" i="80"/>
  <c r="AQ670" i="80" s="1"/>
  <c r="AD670" i="80"/>
  <c r="BX670" i="80"/>
  <c r="AO670" i="80" l="1"/>
  <c r="R670" i="80"/>
  <c r="BV671" i="80"/>
  <c r="AR670" i="80"/>
  <c r="AS670" i="80"/>
  <c r="AF670" i="80"/>
  <c r="AE670" i="80"/>
  <c r="AH670" i="80" l="1"/>
  <c r="AI670" i="80" s="1"/>
  <c r="AJ670" i="80" s="1"/>
  <c r="AG670" i="80"/>
  <c r="AK670" i="80" l="1"/>
  <c r="AL670" i="80" s="1"/>
  <c r="BD670" i="80"/>
  <c r="AX670" i="80"/>
  <c r="AT670" i="80"/>
  <c r="AM670" i="80" l="1"/>
  <c r="AV670" i="80" s="1"/>
  <c r="AN670" i="80"/>
  <c r="BW671" i="80"/>
  <c r="AW670" i="80"/>
  <c r="AY670" i="80" l="1"/>
  <c r="BA670" i="80" s="1"/>
  <c r="BB670" i="80" l="1"/>
  <c r="AZ670" i="80"/>
  <c r="BF670" i="80"/>
  <c r="BG670" i="80" l="1"/>
  <c r="BH670" i="80" s="1"/>
  <c r="BI670" i="80" l="1"/>
  <c r="BJ670" i="80" l="1"/>
  <c r="BK670" i="80" s="1"/>
  <c r="BL670" i="80" s="1"/>
  <c r="BN670" i="80"/>
  <c r="Q670" i="80" s="1"/>
  <c r="L670" i="80" s="1"/>
  <c r="N671" i="80" s="1"/>
  <c r="K670" i="80" l="1"/>
  <c r="M671" i="80" s="1"/>
  <c r="BT671" i="80" s="1"/>
  <c r="BQ670" i="80"/>
  <c r="BO670" i="80"/>
  <c r="BU671" i="80"/>
  <c r="O671" i="80" l="1"/>
  <c r="S671" i="80" s="1"/>
  <c r="BR670" i="80"/>
  <c r="BS670" i="80" s="1"/>
  <c r="BP670" i="80"/>
  <c r="P671" i="80" l="1"/>
  <c r="U671" i="80" s="1"/>
  <c r="BY671" i="80"/>
  <c r="T671" i="80"/>
  <c r="V671" i="80" s="1"/>
  <c r="Y671" i="80" s="1"/>
  <c r="X671" i="80"/>
  <c r="AC671" i="80" l="1"/>
  <c r="R671" i="80" s="1"/>
  <c r="BX671" i="80"/>
  <c r="AD671" i="80"/>
  <c r="AP671" i="80"/>
  <c r="AQ671" i="80" s="1"/>
  <c r="AO671" i="80" l="1"/>
  <c r="BV672" i="80"/>
  <c r="BE671" i="80"/>
  <c r="AR671" i="80"/>
  <c r="AS671" i="80"/>
  <c r="AE671" i="80"/>
  <c r="AF671" i="80"/>
  <c r="AG671" i="80" l="1"/>
  <c r="AH671" i="80"/>
  <c r="AI671" i="80" s="1"/>
  <c r="AJ671" i="80" s="1"/>
  <c r="BD671" i="80" l="1"/>
  <c r="AX671" i="80"/>
  <c r="AK671" i="80"/>
  <c r="AL671" i="80" s="1"/>
  <c r="AT671" i="80"/>
  <c r="AM671" i="80" l="1"/>
  <c r="AV671" i="80" s="1"/>
  <c r="AN671" i="80"/>
  <c r="BW672" i="80"/>
  <c r="AW671" i="80"/>
  <c r="AY671" i="80" l="1"/>
  <c r="BA671" i="80" s="1"/>
  <c r="BB671" i="80" l="1"/>
  <c r="AZ671" i="80"/>
  <c r="BF671" i="80"/>
  <c r="BG671" i="80" l="1"/>
  <c r="BH671" i="80" s="1"/>
  <c r="BI671" i="80" l="1"/>
  <c r="BJ671" i="80" l="1"/>
  <c r="BK671" i="80" s="1"/>
  <c r="BL671" i="80" s="1"/>
  <c r="BN671" i="80"/>
  <c r="Q671" i="80" s="1"/>
  <c r="L671" i="80" s="1"/>
  <c r="N672" i="80" s="1"/>
  <c r="K671" i="80" l="1"/>
  <c r="M672" i="80" s="1"/>
  <c r="O672" i="80" s="1"/>
  <c r="BQ671" i="80"/>
  <c r="BO671" i="80"/>
  <c r="BU672" i="80"/>
  <c r="BT672" i="80" l="1"/>
  <c r="BR671" i="80"/>
  <c r="BS671" i="80" s="1"/>
  <c r="BP671" i="80"/>
  <c r="P672" i="80"/>
  <c r="U672" i="80" s="1"/>
  <c r="S672" i="80"/>
  <c r="BY672" i="80"/>
  <c r="T672" i="80" l="1"/>
  <c r="V672" i="80" s="1"/>
  <c r="Y672" i="80" s="1"/>
  <c r="AC672" i="80" s="1"/>
  <c r="X672" i="80"/>
  <c r="BE672" i="80" l="1"/>
  <c r="R672" i="80"/>
  <c r="BV673" i="80"/>
  <c r="AP672" i="80"/>
  <c r="AQ672" i="80" s="1"/>
  <c r="AO672" i="80"/>
  <c r="BX672" i="80"/>
  <c r="AD672" i="80"/>
  <c r="AE672" i="80" l="1"/>
  <c r="AF672" i="80"/>
  <c r="AR672" i="80"/>
  <c r="AS672" i="80"/>
  <c r="AG672" i="80" l="1"/>
  <c r="AH672" i="80"/>
  <c r="AI672" i="80" s="1"/>
  <c r="AJ672" i="80" s="1"/>
  <c r="AK672" i="80" l="1"/>
  <c r="AL672" i="80" s="1"/>
  <c r="BD672" i="80"/>
  <c r="AX672" i="80"/>
  <c r="AT672" i="80"/>
  <c r="AM672" i="80" l="1"/>
  <c r="AV672" i="80" s="1"/>
  <c r="BW673" i="80"/>
  <c r="AN672" i="80"/>
  <c r="AW672" i="80"/>
  <c r="AY672" i="80" l="1"/>
  <c r="BA672" i="80" s="1"/>
  <c r="BB672" i="80" l="1"/>
  <c r="AZ672" i="80"/>
  <c r="BF672" i="80"/>
  <c r="BG672" i="80" l="1"/>
  <c r="BH672" i="80" s="1"/>
  <c r="BI672" i="80" l="1"/>
  <c r="BN672" i="80" l="1"/>
  <c r="Q672" i="80" s="1"/>
  <c r="K672" i="80" s="1"/>
  <c r="M673" i="80" s="1"/>
  <c r="BJ672" i="80"/>
  <c r="BK672" i="80" s="1"/>
  <c r="BL672" i="80" s="1"/>
  <c r="L672" i="80" l="1"/>
  <c r="N673" i="80" s="1"/>
  <c r="BU673" i="80" s="1"/>
  <c r="BQ672" i="80"/>
  <c r="BO672" i="80"/>
  <c r="BT673" i="80"/>
  <c r="O673" i="80" l="1"/>
  <c r="P673" i="80" s="1"/>
  <c r="U673" i="80" s="1"/>
  <c r="BR672" i="80"/>
  <c r="BS672" i="80" s="1"/>
  <c r="BP672" i="80"/>
  <c r="S673" i="80"/>
  <c r="BY673" i="80"/>
  <c r="T673" i="80" l="1"/>
  <c r="V673" i="80" s="1"/>
  <c r="Y673" i="80" s="1"/>
  <c r="AC673" i="80" s="1"/>
  <c r="X673" i="80"/>
  <c r="R673" i="80" l="1"/>
  <c r="BE673" i="80"/>
  <c r="BV674" i="80"/>
  <c r="AD673" i="80"/>
  <c r="AP673" i="80"/>
  <c r="AQ673" i="80" s="1"/>
  <c r="AO673" i="80"/>
  <c r="BX673" i="80"/>
  <c r="AF673" i="80" l="1"/>
  <c r="AE673" i="80"/>
  <c r="AR673" i="80"/>
  <c r="AS673" i="80"/>
  <c r="AH673" i="80" l="1"/>
  <c r="AI673" i="80" s="1"/>
  <c r="AJ673" i="80" s="1"/>
  <c r="AG673" i="80"/>
  <c r="BD673" i="80" l="1"/>
  <c r="AX673" i="80"/>
  <c r="AK673" i="80"/>
  <c r="AL673" i="80" s="1"/>
  <c r="AT673" i="80"/>
  <c r="AM673" i="80" l="1"/>
  <c r="AV673" i="80" s="1"/>
  <c r="BW674" i="80"/>
  <c r="AN673" i="80"/>
  <c r="AW673" i="80"/>
  <c r="AY673" i="80" l="1"/>
  <c r="BA673" i="80" s="1"/>
  <c r="BB673" i="80" l="1"/>
  <c r="AZ673" i="80"/>
  <c r="BF673" i="80"/>
  <c r="BG673" i="80" l="1"/>
  <c r="BH673" i="80" s="1"/>
  <c r="BI673" i="80" l="1"/>
  <c r="BN673" i="80" l="1"/>
  <c r="Q673" i="80" s="1"/>
  <c r="L673" i="80" s="1"/>
  <c r="N674" i="80" s="1"/>
  <c r="BJ673" i="80"/>
  <c r="BK673" i="80" s="1"/>
  <c r="BL673" i="80" s="1"/>
  <c r="K673" i="80" l="1"/>
  <c r="M674" i="80" s="1"/>
  <c r="BT674" i="80" s="1"/>
  <c r="BQ673" i="80"/>
  <c r="BO673" i="80"/>
  <c r="BU674" i="80"/>
  <c r="O674" i="80" l="1"/>
  <c r="S674" i="80" s="1"/>
  <c r="BP673" i="80"/>
  <c r="BR673" i="80"/>
  <c r="BS673" i="80" s="1"/>
  <c r="P674" i="80" l="1"/>
  <c r="U674" i="80" s="1"/>
  <c r="BY674" i="80"/>
  <c r="T674" i="80"/>
  <c r="V674" i="80" s="1"/>
  <c r="Y674" i="80" s="1"/>
  <c r="X674" i="80"/>
  <c r="AC674" i="80" l="1"/>
  <c r="BE674" i="80" s="1"/>
  <c r="AD674" i="80"/>
  <c r="AP674" i="80"/>
  <c r="AQ674" i="80" s="1"/>
  <c r="BX674" i="80"/>
  <c r="AO674" i="80" l="1"/>
  <c r="BV675" i="80"/>
  <c r="R674" i="80"/>
  <c r="AR674" i="80"/>
  <c r="AS674" i="80"/>
  <c r="AE674" i="80"/>
  <c r="AF674" i="80"/>
  <c r="AH674" i="80" l="1"/>
  <c r="AI674" i="80" s="1"/>
  <c r="AJ674" i="80" s="1"/>
  <c r="AG674" i="80"/>
  <c r="AX674" i="80" l="1"/>
  <c r="AK674" i="80"/>
  <c r="AL674" i="80" s="1"/>
  <c r="BD674" i="80"/>
  <c r="AT674" i="80"/>
  <c r="AM674" i="80" l="1"/>
  <c r="AV674" i="80" s="1"/>
  <c r="AN674" i="80"/>
  <c r="BW675" i="80"/>
  <c r="AW674" i="80"/>
  <c r="AY674" i="80" l="1"/>
  <c r="BA674" i="80" s="1"/>
  <c r="BB674" i="80" l="1"/>
  <c r="AZ674" i="80"/>
  <c r="BF674" i="80"/>
  <c r="BG674" i="80" l="1"/>
  <c r="BH674" i="80" s="1"/>
  <c r="BI674" i="80" l="1"/>
  <c r="BJ674" i="80" l="1"/>
  <c r="BK674" i="80" s="1"/>
  <c r="BL674" i="80" s="1"/>
  <c r="BN674" i="80"/>
  <c r="Q674" i="80" s="1"/>
  <c r="L674" i="80" s="1"/>
  <c r="N675" i="80" s="1"/>
  <c r="K674" i="80" l="1"/>
  <c r="M675" i="80" s="1"/>
  <c r="BT675" i="80" s="1"/>
  <c r="BQ674" i="80"/>
  <c r="BO674" i="80"/>
  <c r="BU675" i="80"/>
  <c r="O675" i="80" l="1"/>
  <c r="P675" i="80" s="1"/>
  <c r="U675" i="80" s="1"/>
  <c r="BP674" i="80"/>
  <c r="BR674" i="80"/>
  <c r="BS674" i="80" s="1"/>
  <c r="BY675" i="80" l="1"/>
  <c r="S675" i="80"/>
  <c r="T675" i="80" s="1"/>
  <c r="V675" i="80" s="1"/>
  <c r="Y675" i="80" s="1"/>
  <c r="AC675" i="80" l="1"/>
  <c r="R675" i="80" s="1"/>
  <c r="X675" i="80"/>
  <c r="AP675" i="80"/>
  <c r="AQ675" i="80" s="1"/>
  <c r="BX675" i="80"/>
  <c r="AD675" i="80"/>
  <c r="AO675" i="80" l="1"/>
  <c r="BV676" i="80"/>
  <c r="BE675" i="80"/>
  <c r="AR675" i="80"/>
  <c r="AS675" i="80"/>
  <c r="AF675" i="80"/>
  <c r="AE675" i="80"/>
  <c r="AG675" i="80" l="1"/>
  <c r="AH675" i="80"/>
  <c r="AI675" i="80" s="1"/>
  <c r="AJ675" i="80" s="1"/>
  <c r="AK675" i="80" l="1"/>
  <c r="AL675" i="80" s="1"/>
  <c r="AX675" i="80"/>
  <c r="BD675" i="80"/>
  <c r="AT675" i="80"/>
  <c r="AM675" i="80" l="1"/>
  <c r="AV675" i="80" s="1"/>
  <c r="AN675" i="80"/>
  <c r="BW676" i="80"/>
  <c r="AW675" i="80"/>
  <c r="AY675" i="80" l="1"/>
  <c r="BA675" i="80" s="1"/>
  <c r="BB675" i="80" l="1"/>
  <c r="AZ675" i="80"/>
  <c r="BF675" i="80"/>
  <c r="BG675" i="80" l="1"/>
  <c r="BH675" i="80" s="1"/>
  <c r="BI675" i="80" l="1"/>
  <c r="BJ675" i="80" l="1"/>
  <c r="BK675" i="80" s="1"/>
  <c r="BL675" i="80" s="1"/>
  <c r="BN675" i="80"/>
  <c r="Q675" i="80" s="1"/>
  <c r="L675" i="80" s="1"/>
  <c r="N676" i="80" s="1"/>
  <c r="K675" i="80" l="1"/>
  <c r="M676" i="80" s="1"/>
  <c r="O676" i="80" s="1"/>
  <c r="BQ675" i="80"/>
  <c r="BO675" i="80"/>
  <c r="BU676" i="80"/>
  <c r="BT676" i="80" l="1"/>
  <c r="BP675" i="80"/>
  <c r="BR675" i="80"/>
  <c r="BS675" i="80" s="1"/>
  <c r="P676" i="80"/>
  <c r="U676" i="80" s="1"/>
  <c r="S676" i="80"/>
  <c r="BY676" i="80"/>
  <c r="T676" i="80" l="1"/>
  <c r="V676" i="80" s="1"/>
  <c r="Y676" i="80" s="1"/>
  <c r="X676" i="80"/>
  <c r="AC676" i="80" l="1"/>
  <c r="BE676" i="80" s="1"/>
  <c r="BX676" i="80"/>
  <c r="AD676" i="80"/>
  <c r="AP676" i="80"/>
  <c r="AQ676" i="80" s="1"/>
  <c r="AO676" i="80" l="1"/>
  <c r="R676" i="80"/>
  <c r="BV677" i="80"/>
  <c r="AF676" i="80"/>
  <c r="AE676" i="80"/>
  <c r="AR676" i="80"/>
  <c r="AS676" i="80"/>
  <c r="AG676" i="80" l="1"/>
  <c r="AH676" i="80"/>
  <c r="AI676" i="80" s="1"/>
  <c r="AJ676" i="80" s="1"/>
  <c r="BD676" i="80" l="1"/>
  <c r="AK676" i="80"/>
  <c r="AL676" i="80" s="1"/>
  <c r="AX676" i="80"/>
  <c r="AT676" i="80"/>
  <c r="AM676" i="80" l="1"/>
  <c r="AV676" i="80" s="1"/>
  <c r="BW677" i="80"/>
  <c r="AN676" i="80"/>
  <c r="AW676" i="80"/>
  <c r="AY676" i="80" l="1"/>
  <c r="BA676" i="80" s="1"/>
  <c r="BB676" i="80" l="1"/>
  <c r="AZ676" i="80"/>
  <c r="BF676" i="80"/>
  <c r="BG676" i="80" l="1"/>
  <c r="BH676" i="80" s="1"/>
  <c r="BI676" i="80" l="1"/>
  <c r="BN676" i="80" l="1"/>
  <c r="Q676" i="80" s="1"/>
  <c r="K676" i="80" s="1"/>
  <c r="M677" i="80" s="1"/>
  <c r="BJ676" i="80"/>
  <c r="BK676" i="80" s="1"/>
  <c r="BL676" i="80" s="1"/>
  <c r="L676" i="80" l="1"/>
  <c r="N677" i="80" s="1"/>
  <c r="BU677" i="80" s="1"/>
  <c r="BQ676" i="80"/>
  <c r="BO676" i="80"/>
  <c r="BT677" i="80"/>
  <c r="O677" i="80" l="1"/>
  <c r="BR676" i="80"/>
  <c r="BS676" i="80" s="1"/>
  <c r="BP676" i="80"/>
  <c r="S677" i="80"/>
  <c r="BY677" i="80"/>
  <c r="P677" i="80"/>
  <c r="U677" i="80" s="1"/>
  <c r="T677" i="80" l="1"/>
  <c r="V677" i="80" s="1"/>
  <c r="Y677" i="80" s="1"/>
  <c r="AC677" i="80" s="1"/>
  <c r="X677" i="80"/>
  <c r="BE677" i="80" l="1"/>
  <c r="R677" i="80"/>
  <c r="BV678" i="80"/>
  <c r="BX677" i="80"/>
  <c r="AP677" i="80"/>
  <c r="AQ677" i="80" s="1"/>
  <c r="AD677" i="80"/>
  <c r="AO677" i="80"/>
  <c r="AE677" i="80" l="1"/>
  <c r="AF677" i="80"/>
  <c r="AR677" i="80"/>
  <c r="AS677" i="80"/>
  <c r="AH677" i="80" l="1"/>
  <c r="AI677" i="80" s="1"/>
  <c r="AJ677" i="80" s="1"/>
  <c r="AG677" i="80"/>
  <c r="AK677" i="80" l="1"/>
  <c r="AL677" i="80" s="1"/>
  <c r="AX677" i="80"/>
  <c r="BD677" i="80"/>
  <c r="AT677" i="80"/>
  <c r="AM677" i="80" l="1"/>
  <c r="AV677" i="80" s="1"/>
  <c r="AN677" i="80"/>
  <c r="BW678" i="80"/>
  <c r="AW677" i="80"/>
  <c r="AY677" i="80" l="1"/>
  <c r="BA677" i="80" s="1"/>
  <c r="BB677" i="80" l="1"/>
  <c r="AZ677" i="80"/>
  <c r="BF677" i="80"/>
  <c r="BG677" i="80" l="1"/>
  <c r="BH677" i="80" s="1"/>
  <c r="BI677" i="80" l="1"/>
  <c r="BJ677" i="80" l="1"/>
  <c r="BK677" i="80" s="1"/>
  <c r="BL677" i="80" s="1"/>
  <c r="BN677" i="80"/>
  <c r="Q677" i="80" s="1"/>
  <c r="L677" i="80" s="1"/>
  <c r="N678" i="80" s="1"/>
  <c r="K677" i="80" l="1"/>
  <c r="M678" i="80" s="1"/>
  <c r="BT678" i="80" s="1"/>
  <c r="BQ677" i="80"/>
  <c r="BO677" i="80"/>
  <c r="BU678" i="80"/>
  <c r="O678" i="80" l="1"/>
  <c r="BP677" i="80"/>
  <c r="BR677" i="80"/>
  <c r="BS677" i="80" s="1"/>
  <c r="BY678" i="80"/>
  <c r="S678" i="80"/>
  <c r="P678" i="80"/>
  <c r="U678" i="80" s="1"/>
  <c r="T678" i="80" l="1"/>
  <c r="V678" i="80" s="1"/>
  <c r="Y678" i="80" s="1"/>
  <c r="AC678" i="80" s="1"/>
  <c r="X678" i="80"/>
  <c r="BE678" i="80" l="1"/>
  <c r="R678" i="80"/>
  <c r="BV679" i="80"/>
  <c r="AO678" i="80"/>
  <c r="BX678" i="80"/>
  <c r="AP678" i="80"/>
  <c r="AQ678" i="80" s="1"/>
  <c r="AD678" i="80"/>
  <c r="AF678" i="80" l="1"/>
  <c r="AE678" i="80"/>
  <c r="AR678" i="80"/>
  <c r="AS678" i="80"/>
  <c r="AG678" i="80" l="1"/>
  <c r="AH678" i="80"/>
  <c r="AI678" i="80" s="1"/>
  <c r="AJ678" i="80" s="1"/>
  <c r="AK678" i="80" l="1"/>
  <c r="AL678" i="80" s="1"/>
  <c r="BD678" i="80"/>
  <c r="AX678" i="80"/>
  <c r="AT678" i="80"/>
  <c r="AM678" i="80" l="1"/>
  <c r="AV678" i="80" s="1"/>
  <c r="BW679" i="80"/>
  <c r="AN678" i="80"/>
  <c r="AW678" i="80"/>
  <c r="AY678" i="80" l="1"/>
  <c r="BA678" i="80" s="1"/>
  <c r="BB678" i="80" l="1"/>
  <c r="AZ678" i="80"/>
  <c r="BF678" i="80"/>
  <c r="BG678" i="80" l="1"/>
  <c r="BH678" i="80" s="1"/>
  <c r="BI678" i="80" l="1"/>
  <c r="BJ678" i="80" l="1"/>
  <c r="BK678" i="80" s="1"/>
  <c r="BL678" i="80" s="1"/>
  <c r="BN678" i="80"/>
  <c r="Q678" i="80" s="1"/>
  <c r="L678" i="80" s="1"/>
  <c r="N679" i="80" s="1"/>
  <c r="K678" i="80" l="1"/>
  <c r="M679" i="80" s="1"/>
  <c r="O679" i="80" s="1"/>
  <c r="BQ678" i="80"/>
  <c r="BO678" i="80"/>
  <c r="BU679" i="80"/>
  <c r="BT679" i="80" l="1"/>
  <c r="BP678" i="80"/>
  <c r="BR678" i="80"/>
  <c r="BS678" i="80" s="1"/>
  <c r="S679" i="80"/>
  <c r="BY679" i="80"/>
  <c r="P679" i="80"/>
  <c r="U679" i="80" s="1"/>
  <c r="T679" i="80" l="1"/>
  <c r="V679" i="80" s="1"/>
  <c r="Y679" i="80" s="1"/>
  <c r="X679" i="80"/>
  <c r="AC679" i="80" l="1"/>
  <c r="R679" i="80" s="1"/>
  <c r="BX679" i="80"/>
  <c r="AD679" i="80"/>
  <c r="AP679" i="80"/>
  <c r="AQ679" i="80" s="1"/>
  <c r="AO679" i="80" l="1"/>
  <c r="BV680" i="80"/>
  <c r="BE679" i="80"/>
  <c r="AF679" i="80"/>
  <c r="AE679" i="80"/>
  <c r="AR679" i="80"/>
  <c r="AS679" i="80"/>
  <c r="AH679" i="80" l="1"/>
  <c r="AI679" i="80" s="1"/>
  <c r="AJ679" i="80" s="1"/>
  <c r="AG679" i="80"/>
  <c r="AX679" i="80" l="1"/>
  <c r="AK679" i="80"/>
  <c r="AL679" i="80" s="1"/>
  <c r="BD679" i="80"/>
  <c r="AT679" i="80"/>
  <c r="AM679" i="80" l="1"/>
  <c r="AV679" i="80" s="1"/>
  <c r="AN679" i="80"/>
  <c r="BW680" i="80"/>
  <c r="AW679" i="80"/>
  <c r="AY679" i="80" l="1"/>
  <c r="BA679" i="80" s="1"/>
  <c r="BB679" i="80" l="1"/>
  <c r="AZ679" i="80"/>
  <c r="BF679" i="80"/>
  <c r="BG679" i="80" l="1"/>
  <c r="BH679" i="80" s="1"/>
  <c r="BI679" i="80" l="1"/>
  <c r="BN679" i="80" l="1"/>
  <c r="Q679" i="80" s="1"/>
  <c r="L679" i="80" s="1"/>
  <c r="N680" i="80" s="1"/>
  <c r="BJ679" i="80"/>
  <c r="BK679" i="80" s="1"/>
  <c r="BL679" i="80" s="1"/>
  <c r="K679" i="80" l="1"/>
  <c r="M680" i="80" s="1"/>
  <c r="O680" i="80" s="1"/>
  <c r="BQ679" i="80"/>
  <c r="BO679" i="80"/>
  <c r="BU680" i="80"/>
  <c r="BU84" i="80" s="1"/>
  <c r="C47" i="80" s="1"/>
  <c r="BT680" i="80" l="1"/>
  <c r="BT84" i="80" s="1"/>
  <c r="C48" i="80" s="1"/>
  <c r="C51" i="80" s="1"/>
  <c r="BR679" i="80"/>
  <c r="BS679" i="80" s="1"/>
  <c r="BP679" i="80"/>
  <c r="N83" i="80"/>
  <c r="P680" i="80"/>
  <c r="U680" i="80" s="1"/>
  <c r="S680" i="80"/>
  <c r="BY680" i="80"/>
  <c r="AA81" i="80" l="1"/>
  <c r="C50" i="80"/>
  <c r="E1" i="80" s="1"/>
  <c r="O83" i="80"/>
  <c r="P83" i="80" s="1"/>
  <c r="C75" i="80" s="1"/>
  <c r="C49" i="80"/>
  <c r="T680" i="80"/>
  <c r="V680" i="80" s="1"/>
  <c r="Y680" i="80" s="1"/>
  <c r="X680" i="80"/>
  <c r="AC680" i="80" l="1"/>
  <c r="R680" i="80" s="1"/>
  <c r="C73" i="80"/>
  <c r="D1" i="80" s="1"/>
  <c r="C69" i="80"/>
  <c r="C70" i="80" s="1"/>
  <c r="C71" i="80" s="1"/>
  <c r="C67" i="80"/>
  <c r="C77" i="80"/>
  <c r="C68" i="80"/>
  <c r="C76" i="80"/>
  <c r="C74" i="80"/>
  <c r="BE680" i="80"/>
  <c r="AP680" i="80"/>
  <c r="AQ680" i="80" s="1"/>
  <c r="BX680" i="80"/>
  <c r="BX84" i="80" s="1"/>
  <c r="C52" i="80" s="1"/>
  <c r="AD680" i="80"/>
  <c r="AO680" i="80"/>
  <c r="C72" i="80" l="1"/>
  <c r="AF680" i="80"/>
  <c r="AE680" i="80"/>
  <c r="AR680" i="80"/>
  <c r="AS680" i="80"/>
  <c r="AH680" i="80" l="1"/>
  <c r="AI680" i="80" s="1"/>
  <c r="AJ680" i="80" s="1"/>
  <c r="AG680" i="80"/>
  <c r="AK680" i="80" l="1"/>
  <c r="AL680" i="80" s="1"/>
  <c r="AX680" i="80"/>
  <c r="BD680" i="80"/>
  <c r="AT680" i="80"/>
  <c r="AM680" i="80" l="1"/>
  <c r="AV680" i="80" s="1"/>
  <c r="AN680" i="80"/>
  <c r="AW680" i="80"/>
  <c r="AY680" i="80" l="1"/>
  <c r="BA680" i="80" s="1"/>
  <c r="BB680" i="80" l="1"/>
  <c r="AZ680" i="80"/>
  <c r="BF680" i="80"/>
  <c r="BG680" i="80" l="1"/>
  <c r="BH680" i="80" s="1"/>
  <c r="BI680" i="80" l="1"/>
  <c r="BJ680" i="80" l="1"/>
  <c r="BK680" i="80" s="1"/>
  <c r="BL680" i="80" s="1"/>
  <c r="BN680" i="80"/>
  <c r="Q680" i="80" s="1"/>
  <c r="K680" i="80" s="1"/>
  <c r="L680" i="80" l="1"/>
  <c r="BQ680" i="80"/>
  <c r="BO680" i="80"/>
  <c r="BP680" i="80" l="1"/>
  <c r="BR680" i="80"/>
  <c r="BS680" i="80" s="1"/>
</calcChain>
</file>

<file path=xl/sharedStrings.xml><?xml version="1.0" encoding="utf-8"?>
<sst xmlns="http://schemas.openxmlformats.org/spreadsheetml/2006/main" count="1607" uniqueCount="443">
  <si>
    <t>Mach</t>
  </si>
  <si>
    <t>Flight Level</t>
  </si>
  <si>
    <t>Units</t>
  </si>
  <si>
    <t xml:space="preserve">  </t>
  </si>
  <si>
    <t>Notes</t>
  </si>
  <si>
    <t>SAT</t>
  </si>
  <si>
    <t>(hPa)</t>
  </si>
  <si>
    <t>(K)</t>
  </si>
  <si>
    <t>(C)</t>
  </si>
  <si>
    <t>(kts)</t>
  </si>
  <si>
    <t>Flight Level (FL)</t>
  </si>
  <si>
    <t>Test Case</t>
  </si>
  <si>
    <t>X =</t>
  </si>
  <si>
    <t>= FL</t>
  </si>
  <si>
    <t>Y =</t>
  </si>
  <si>
    <t>= W</t>
  </si>
  <si>
    <t>KIAS =</t>
  </si>
  <si>
    <t>TAS</t>
  </si>
  <si>
    <t>LSS</t>
  </si>
  <si>
    <t>Weight</t>
  </si>
  <si>
    <t xml:space="preserve">Notes:  </t>
  </si>
  <si>
    <t>2. Yellow squares are from a Boeing FPPM from a confidential source.</t>
  </si>
  <si>
    <t>= BICUBICINTERPOLATION(B3:L12,X,Y)</t>
  </si>
  <si>
    <t>= TOP ROW</t>
  </si>
  <si>
    <t>= LEFT COLUMN</t>
  </si>
  <si>
    <t>Fuel Flow =</t>
  </si>
  <si>
    <r>
      <rPr>
        <b/>
        <sz val="18"/>
        <color theme="1"/>
        <rFont val="Calibri"/>
        <family val="2"/>
        <scheme val="minor"/>
      </rPr>
      <t>Holding KIAS</t>
    </r>
    <r>
      <rPr>
        <b/>
        <sz val="11"/>
        <color theme="1"/>
        <rFont val="Calibri"/>
        <family val="2"/>
        <scheme val="minor"/>
      </rPr>
      <t xml:space="preserve">
</t>
    </r>
    <r>
      <rPr>
        <b/>
        <sz val="14"/>
        <color theme="1"/>
        <rFont val="Calibri"/>
        <family val="2"/>
        <scheme val="minor"/>
      </rPr>
      <t>(Flaps Up &amp; All Engine)
(CAS in knots)
B777-200ER / Trent 892B</t>
    </r>
  </si>
  <si>
    <t>Mach =</t>
  </si>
  <si>
    <r>
      <rPr>
        <b/>
        <sz val="16"/>
        <color theme="1"/>
        <rFont val="Calibri"/>
        <family val="2"/>
        <scheme val="minor"/>
      </rPr>
      <t>Weight (W)</t>
    </r>
    <r>
      <rPr>
        <b/>
        <sz val="14"/>
        <color theme="1"/>
        <rFont val="Calibri"/>
        <family val="2"/>
        <scheme val="minor"/>
      </rPr>
      <t xml:space="preserve">
in Tonnes
(metric ton = 1000 kg)</t>
    </r>
  </si>
  <si>
    <t>= BICUBICINTERPOLATION(B3:AK20,X,Y)</t>
  </si>
  <si>
    <t>1. Green squares are from an open-source Boeing FPPM table.</t>
  </si>
  <si>
    <r>
      <rPr>
        <b/>
        <sz val="22"/>
        <color theme="1"/>
        <rFont val="Calibri"/>
        <family val="2"/>
        <scheme val="minor"/>
      </rPr>
      <t>LRC Mach</t>
    </r>
    <r>
      <rPr>
        <b/>
        <sz val="14"/>
        <color theme="1"/>
        <rFont val="Calibri"/>
        <family val="2"/>
        <scheme val="minor"/>
      </rPr>
      <t xml:space="preserve">
</t>
    </r>
    <r>
      <rPr>
        <b/>
        <sz val="16"/>
        <color theme="1"/>
        <rFont val="Calibri"/>
        <family val="2"/>
        <scheme val="minor"/>
      </rPr>
      <t>B777-200ER / Trent 892B</t>
    </r>
  </si>
  <si>
    <t>3. Gray squares are fillers I added to avoid interpolation error near data frontier.</t>
  </si>
  <si>
    <t>4. This table includes 5% additional fuel for holding in a racetrack pattern. [ Divide table value by 1.05 for straight and level flight.]</t>
  </si>
  <si>
    <r>
      <rPr>
        <b/>
        <sz val="16"/>
        <color theme="1"/>
        <rFont val="Calibri"/>
        <family val="2"/>
        <scheme val="minor"/>
      </rPr>
      <t>Weight (W)</t>
    </r>
    <r>
      <rPr>
        <b/>
        <sz val="14"/>
        <color theme="1"/>
        <rFont val="Calibri"/>
        <family val="2"/>
        <scheme val="minor"/>
      </rPr>
      <t xml:space="preserve">
in Tonnes
(Tonne =
metric ton =
1000 kg)</t>
    </r>
  </si>
  <si>
    <t>4. Gray squares are fillers I added to avoid interpolation error near the data frontier.</t>
  </si>
  <si>
    <t>3. Yellow squares are from a Boeing FPPM from a confidential source with footnotes:</t>
  </si>
  <si>
    <t>1. Green squares are from an open-source Boeing FPPM table (without footnotes).</t>
  </si>
  <si>
    <r>
      <t xml:space="preserve">a. "Increase/decrease fuel flow 3% per 10 </t>
    </r>
    <r>
      <rPr>
        <b/>
        <i/>
        <vertAlign val="superscript"/>
        <sz val="12"/>
        <color theme="1"/>
        <rFont val="Calibri"/>
        <family val="2"/>
        <scheme val="minor"/>
      </rPr>
      <t>o</t>
    </r>
    <r>
      <rPr>
        <b/>
        <i/>
        <sz val="12"/>
        <color theme="1"/>
        <rFont val="Calibri"/>
        <family val="2"/>
        <scheme val="minor"/>
      </rPr>
      <t>C above/below standard TAT."</t>
    </r>
  </si>
  <si>
    <r>
      <t xml:space="preserve">b. "Increase/decrease KTAS by 1 knot per 1 </t>
    </r>
    <r>
      <rPr>
        <b/>
        <i/>
        <vertAlign val="superscript"/>
        <sz val="12"/>
        <color theme="1"/>
        <rFont val="Calibri"/>
        <family val="2"/>
        <scheme val="minor"/>
      </rPr>
      <t>o</t>
    </r>
    <r>
      <rPr>
        <b/>
        <i/>
        <sz val="12"/>
        <color theme="1"/>
        <rFont val="Calibri"/>
        <family val="2"/>
        <scheme val="minor"/>
      </rPr>
      <t>C above/below standard TAT."</t>
    </r>
  </si>
  <si>
    <r>
      <rPr>
        <b/>
        <sz val="22"/>
        <color theme="1"/>
        <rFont val="Calibri"/>
        <family val="2"/>
        <scheme val="minor"/>
      </rPr>
      <t xml:space="preserve">LRC Fuel Flow
</t>
    </r>
    <r>
      <rPr>
        <b/>
        <sz val="16"/>
        <color theme="1"/>
        <rFont val="Calibri"/>
        <family val="2"/>
        <scheme val="minor"/>
      </rPr>
      <t>(All Engine)
(kg/hr/eng for each of 2 engines)</t>
    </r>
    <r>
      <rPr>
        <b/>
        <sz val="14"/>
        <color theme="1"/>
        <rFont val="Calibri"/>
        <family val="2"/>
        <scheme val="minor"/>
      </rPr>
      <t xml:space="preserve">
</t>
    </r>
    <r>
      <rPr>
        <b/>
        <sz val="16"/>
        <color theme="1"/>
        <rFont val="Calibri"/>
        <family val="2"/>
        <scheme val="minor"/>
      </rPr>
      <t>B777-200ER / Trent 892B</t>
    </r>
  </si>
  <si>
    <t>2. Light blue squares are Boeing data shaded to indicate optimum Flight Level.</t>
  </si>
  <si>
    <t>LRC KIAS
B777-200ER / Trent 892B</t>
  </si>
  <si>
    <r>
      <rPr>
        <b/>
        <sz val="22"/>
        <color theme="1"/>
        <rFont val="Calibri"/>
        <family val="2"/>
        <scheme val="minor"/>
      </rPr>
      <t xml:space="preserve">M0.84 Fuel Flow
</t>
    </r>
    <r>
      <rPr>
        <b/>
        <sz val="16"/>
        <color theme="1"/>
        <rFont val="Calibri"/>
        <family val="2"/>
        <scheme val="minor"/>
      </rPr>
      <t>(All Engine)
(kg/hr/eng for each of 2 engines)</t>
    </r>
    <r>
      <rPr>
        <b/>
        <sz val="14"/>
        <color theme="1"/>
        <rFont val="Calibri"/>
        <family val="2"/>
        <scheme val="minor"/>
      </rPr>
      <t xml:space="preserve">
</t>
    </r>
    <r>
      <rPr>
        <b/>
        <sz val="16"/>
        <color theme="1"/>
        <rFont val="Calibri"/>
        <family val="2"/>
        <scheme val="minor"/>
      </rPr>
      <t>B777-200ER / Trent 892B</t>
    </r>
  </si>
  <si>
    <t>M0.84 KIAS (kts)</t>
  </si>
  <si>
    <t>P</t>
  </si>
  <si>
    <t>Local Sound Speed</t>
  </si>
  <si>
    <t>ISA</t>
  </si>
  <si>
    <t>(--)</t>
  </si>
  <si>
    <t>PDA</t>
  </si>
  <si>
    <t>TAT</t>
  </si>
  <si>
    <t>tonnes</t>
  </si>
  <si>
    <t>Weight (W)
in tonnes
(1 tonne = 1000 kg)</t>
  </si>
  <si>
    <r>
      <t>SAT</t>
    </r>
    <r>
      <rPr>
        <b/>
        <vertAlign val="subscript"/>
        <sz val="18"/>
        <color theme="1"/>
        <rFont val="Calibri"/>
        <family val="2"/>
        <scheme val="minor"/>
      </rPr>
      <t>ISA</t>
    </r>
    <r>
      <rPr>
        <b/>
        <sz val="18"/>
        <color theme="1"/>
        <rFont val="Calibri"/>
        <family val="2"/>
        <scheme val="minor"/>
      </rPr>
      <t xml:space="preserve"> (K)</t>
    </r>
  </si>
  <si>
    <r>
      <rPr>
        <b/>
        <sz val="18"/>
        <color theme="1"/>
        <rFont val="Symbol"/>
        <family val="1"/>
        <charset val="2"/>
      </rPr>
      <t>d</t>
    </r>
    <r>
      <rPr>
        <b/>
        <sz val="18"/>
        <color theme="1"/>
        <rFont val="Calibri"/>
        <family val="2"/>
        <scheme val="minor"/>
      </rPr>
      <t xml:space="preserve"> = P</t>
    </r>
    <r>
      <rPr>
        <b/>
        <vertAlign val="subscript"/>
        <sz val="18"/>
        <color theme="1"/>
        <rFont val="Calibri"/>
        <family val="2"/>
        <scheme val="minor"/>
      </rPr>
      <t>ISA</t>
    </r>
    <r>
      <rPr>
        <b/>
        <sz val="18"/>
        <color theme="1"/>
        <rFont val="Calibri"/>
        <family val="2"/>
        <scheme val="minor"/>
      </rPr>
      <t xml:space="preserve"> / P</t>
    </r>
    <r>
      <rPr>
        <b/>
        <vertAlign val="subscript"/>
        <sz val="18"/>
        <color theme="1"/>
        <rFont val="Calibri"/>
        <family val="2"/>
        <scheme val="minor"/>
      </rPr>
      <t>0</t>
    </r>
  </si>
  <si>
    <r>
      <rPr>
        <b/>
        <sz val="18"/>
        <color theme="1"/>
        <rFont val="Calibri"/>
        <family val="2"/>
        <scheme val="minor"/>
      </rPr>
      <t>Holding Mach</t>
    </r>
    <r>
      <rPr>
        <b/>
        <sz val="11"/>
        <color theme="1"/>
        <rFont val="Calibri"/>
        <family val="2"/>
        <scheme val="minor"/>
      </rPr>
      <t xml:space="preserve">
</t>
    </r>
    <r>
      <rPr>
        <b/>
        <sz val="14"/>
        <color theme="1"/>
        <rFont val="Calibri"/>
        <family val="2"/>
        <scheme val="minor"/>
      </rPr>
      <t>(Flaps Up &amp; All Engine)
(CAS in knots)
B777-200ER / Trent 892B</t>
    </r>
  </si>
  <si>
    <t>(hft)</t>
  </si>
  <si>
    <t>θ</t>
  </si>
  <si>
    <t>δ</t>
  </si>
  <si>
    <t>S</t>
  </si>
  <si>
    <t>(NM/tonne)</t>
  </si>
  <si>
    <r>
      <t>Weight/delta = W /</t>
    </r>
    <r>
      <rPr>
        <b/>
        <sz val="24"/>
        <color theme="1"/>
        <rFont val="Symbol"/>
        <family val="1"/>
        <charset val="2"/>
      </rPr>
      <t>d</t>
    </r>
    <r>
      <rPr>
        <b/>
        <sz val="24"/>
        <color theme="1"/>
        <rFont val="Calibri"/>
        <family val="2"/>
        <scheme val="minor"/>
      </rPr>
      <t xml:space="preserve"> = W</t>
    </r>
    <r>
      <rPr>
        <b/>
        <vertAlign val="subscript"/>
        <sz val="24"/>
        <color theme="1"/>
        <rFont val="Calibri"/>
        <family val="2"/>
        <scheme val="minor"/>
      </rPr>
      <t>0</t>
    </r>
    <r>
      <rPr>
        <b/>
        <sz val="24"/>
        <color theme="1"/>
        <rFont val="Calibri"/>
        <family val="2"/>
        <scheme val="minor"/>
      </rPr>
      <t xml:space="preserve"> for 9M-MRO Configuration (B777-200ER with Trent 892B Engines)</t>
    </r>
  </si>
  <si>
    <r>
      <t>Boeing FPPM LRC Mach Airspeed = M</t>
    </r>
    <r>
      <rPr>
        <b/>
        <vertAlign val="subscript"/>
        <sz val="24"/>
        <color theme="1"/>
        <rFont val="Calibri"/>
        <family val="2"/>
        <scheme val="minor"/>
      </rPr>
      <t xml:space="preserve">LRC </t>
    </r>
    <r>
      <rPr>
        <b/>
        <sz val="24"/>
        <color theme="1"/>
        <rFont val="Calibri"/>
        <family val="2"/>
        <scheme val="minor"/>
      </rPr>
      <t>for 9M-MRO Configuration (B777-200ER with Trent 892B Engines)</t>
    </r>
  </si>
  <si>
    <r>
      <t>W</t>
    </r>
    <r>
      <rPr>
        <b/>
        <vertAlign val="subscript"/>
        <sz val="48"/>
        <color theme="1"/>
        <rFont val="Calibri"/>
        <family val="2"/>
        <scheme val="minor"/>
      </rPr>
      <t xml:space="preserve">0
</t>
    </r>
    <r>
      <rPr>
        <b/>
        <sz val="48"/>
        <color theme="1"/>
        <rFont val="Calibri"/>
        <family val="2"/>
        <scheme val="minor"/>
      </rPr>
      <t xml:space="preserve">= W / </t>
    </r>
    <r>
      <rPr>
        <b/>
        <sz val="48"/>
        <color theme="1"/>
        <rFont val="Calibri"/>
        <family val="2"/>
      </rPr>
      <t>δ</t>
    </r>
  </si>
  <si>
    <t>True Airspeed (kts)</t>
  </si>
  <si>
    <r>
      <rPr>
        <b/>
        <sz val="22"/>
        <color theme="1"/>
        <rFont val="Calibri"/>
        <family val="2"/>
        <scheme val="minor"/>
      </rPr>
      <t xml:space="preserve">M0.84 Mach
</t>
    </r>
    <r>
      <rPr>
        <b/>
        <sz val="16"/>
        <color theme="1"/>
        <rFont val="Calibri"/>
        <family val="2"/>
        <scheme val="minor"/>
      </rPr>
      <t>(All Engine)
(kg/hr/eng for each of 2 engines)</t>
    </r>
    <r>
      <rPr>
        <b/>
        <sz val="14"/>
        <color theme="1"/>
        <rFont val="Calibri"/>
        <family val="2"/>
        <scheme val="minor"/>
      </rPr>
      <t xml:space="preserve">
</t>
    </r>
    <r>
      <rPr>
        <b/>
        <sz val="16"/>
        <color theme="1"/>
        <rFont val="Calibri"/>
        <family val="2"/>
        <scheme val="minor"/>
      </rPr>
      <t>B777-200ER / Trent 892B</t>
    </r>
  </si>
  <si>
    <r>
      <t>B777-200ER DRAG COEFFICIENT (X 10</t>
    </r>
    <r>
      <rPr>
        <b/>
        <vertAlign val="superscript"/>
        <sz val="18"/>
        <color theme="1"/>
        <rFont val="Calibri"/>
        <family val="2"/>
        <scheme val="minor"/>
      </rPr>
      <t>4</t>
    </r>
    <r>
      <rPr>
        <b/>
        <sz val="18"/>
        <color theme="1"/>
        <rFont val="Calibri"/>
        <family val="2"/>
        <scheme val="minor"/>
      </rPr>
      <t>)</t>
    </r>
  </si>
  <si>
    <t>Lift Coefficient</t>
  </si>
  <si>
    <t>Inputs :</t>
  </si>
  <si>
    <t>(tonnes)</t>
  </si>
  <si>
    <t>Outputs :</t>
  </si>
  <si>
    <t>Pressure altitude in units of 100 feet</t>
  </si>
  <si>
    <t>True airspeed</t>
  </si>
  <si>
    <t>(%)</t>
  </si>
  <si>
    <t>Static atmospheric pressure at given Flight Level (pressure altitude)</t>
  </si>
  <si>
    <t>ρ</t>
  </si>
  <si>
    <t>Coefficient of lift calculated assuming lift = weight (i.e., no vertical acceleration)</t>
  </si>
  <si>
    <t>Total drag coefficient, including effect of temperature on Reynolds number</t>
  </si>
  <si>
    <t>Required thrust equals drag, assuming constant airspeed</t>
  </si>
  <si>
    <t>(m/s)</t>
  </si>
  <si>
    <t>TSFC</t>
  </si>
  <si>
    <t>Temperature dependence factor in TSFC</t>
  </si>
  <si>
    <t>Mach dependence factor in TSFC</t>
  </si>
  <si>
    <t>Total fuel flow for 1 new engine, including non-thrust-producing fuel flow</t>
  </si>
  <si>
    <t>Total fuel flow for 2 new engines, including non-thrust-producing fuel flow</t>
  </si>
  <si>
    <t>(kg/hr/2 new engines)</t>
  </si>
  <si>
    <t>(kg/hr/1 new engine)</t>
  </si>
  <si>
    <t>(tonnes/hr/1 new engine)</t>
  </si>
  <si>
    <t>Corrected fuel flow parameter using thrust-producing fuel flow for 2 new engines</t>
  </si>
  <si>
    <t>(tonnes/hr/2 new engines)</t>
  </si>
  <si>
    <t>(kg/hr/2 used engines)</t>
  </si>
  <si>
    <t>Fuel mileage for 2 used engines</t>
  </si>
  <si>
    <t>ISA Static Air Temperature at Flight Level</t>
  </si>
  <si>
    <t>Ratio of static air pressure at Flight Level to ISA sea-level pressure (1013.25 hPa)</t>
  </si>
  <si>
    <t>Ratio of lift to drag = ratio of lift coefficient to drag coefficient</t>
  </si>
  <si>
    <t>(%/hr)</t>
  </si>
  <si>
    <t>Difference between Static Air Temperature (SAT) and International Standard Atmosphere (ISA) temperature at same pressure altitude; affects true airspeed and fuel flow</t>
  </si>
  <si>
    <t>Total weight W of aircraft including Fuel on Board</t>
  </si>
  <si>
    <t>KCAS</t>
  </si>
  <si>
    <t>Knots Calibrated Air Speed</t>
  </si>
  <si>
    <t>Line #</t>
  </si>
  <si>
    <t>(kg/hr/1 used engine)</t>
  </si>
  <si>
    <t>Drag coefficient is calculated using bicubic interpolation of lookup table for B777-200ER</t>
  </si>
  <si>
    <t>Equations</t>
  </si>
  <si>
    <t>Engine Performance Degradation Allowance; average of left and right engine values for 9M-MRO is 1.5% from MH370 Flight Plan</t>
  </si>
  <si>
    <t>TSFC_Scalar</t>
  </si>
  <si>
    <t>(kg/hr/kN)</t>
  </si>
  <si>
    <t>(kg/hr/kN/1 engine)</t>
  </si>
  <si>
    <t>Best-fit coefficient of TSFC (at sea level at Mach 1) for Rolls Royce Trent 892B engines</t>
  </si>
  <si>
    <t>(kN)</t>
  </si>
  <si>
    <r>
      <t>Ͳ</t>
    </r>
    <r>
      <rPr>
        <b/>
        <vertAlign val="subscript"/>
        <sz val="14"/>
        <color theme="1"/>
        <rFont val="Calibri"/>
        <family val="2"/>
      </rPr>
      <t xml:space="preserve">0
</t>
    </r>
    <r>
      <rPr>
        <b/>
        <sz val="14"/>
        <color theme="1"/>
        <rFont val="Calibri"/>
        <family val="2"/>
      </rPr>
      <t>(tonnes)</t>
    </r>
  </si>
  <si>
    <r>
      <t>E</t>
    </r>
    <r>
      <rPr>
        <b/>
        <vertAlign val="subscript"/>
        <sz val="16"/>
        <rFont val="Calibri"/>
        <family val="2"/>
        <scheme val="minor"/>
      </rPr>
      <t>eng</t>
    </r>
    <r>
      <rPr>
        <b/>
        <sz val="16"/>
        <rFont val="Calibri"/>
        <family val="2"/>
        <scheme val="minor"/>
      </rPr>
      <t xml:space="preserve"> Factor in TSFC</t>
    </r>
  </si>
  <si>
    <r>
      <t>E</t>
    </r>
    <r>
      <rPr>
        <b/>
        <vertAlign val="subscript"/>
        <sz val="18"/>
        <color theme="1"/>
        <rFont val="Calibri"/>
        <family val="2"/>
        <scheme val="minor"/>
      </rPr>
      <t>eng</t>
    </r>
  </si>
  <si>
    <t>For this ratio I use tonnes rather than kN for thrust, to be consistent with the standard practice of listing aircraft weights in tonnes (1,000 kg)</t>
  </si>
  <si>
    <t>Single-engine net fuel flow that produces thrust (with new engines)</t>
  </si>
  <si>
    <t>Note:</t>
  </si>
  <si>
    <r>
      <rPr>
        <b/>
        <sz val="18"/>
        <color theme="1"/>
        <rFont val="Calibri"/>
        <family val="2"/>
        <scheme val="minor"/>
      </rPr>
      <t>Holding Fuel Flow (Racetrack Pattern)</t>
    </r>
    <r>
      <rPr>
        <b/>
        <sz val="11"/>
        <color theme="1"/>
        <rFont val="Calibri"/>
        <family val="2"/>
        <scheme val="minor"/>
      </rPr>
      <t xml:space="preserve">
</t>
    </r>
    <r>
      <rPr>
        <b/>
        <sz val="14"/>
        <color theme="1"/>
        <rFont val="Calibri"/>
        <family val="2"/>
        <scheme val="minor"/>
      </rPr>
      <t>(Flaps Up &amp; All Engine)
(kg/hr/eng for 1 engine)
B777-200ER / Trent 892B</t>
    </r>
  </si>
  <si>
    <t>Total fuel flow for 1 used engines (increased by PDA)</t>
  </si>
  <si>
    <t>Total fuel flow for 2 used engines (increased by PDA)</t>
  </si>
  <si>
    <t>1. Yellow squares are from a Boeing FPPM from a confidential source with footnotes:</t>
  </si>
  <si>
    <t>1. Gray squares are fillers I added to avoid interpolation error near the data frontier.</t>
  </si>
  <si>
    <r>
      <rPr>
        <sz val="12"/>
        <color theme="1"/>
        <rFont val="Calibri"/>
        <family val="2"/>
        <scheme val="minor"/>
      </rPr>
      <t>Per Gysbreght: "</t>
    </r>
    <r>
      <rPr>
        <b/>
        <sz val="12"/>
        <color theme="1"/>
        <rFont val="Calibri"/>
        <family val="2"/>
        <scheme val="minor"/>
      </rPr>
      <t xml:space="preserve">The FCOM states that the holding speed is “the higher of the maximum endurance speed and the manoeuvring speed for the selected flap setting.” At low altitudes, that means the holding speed is based on the manoeuvring speed (ie VREF30+80) rather than the maximum endurance speed. The FCOM fails to mention that the holding speed is also limited to a minimum of about M0.82 at altitudes above optimum in the -200, -200ER and -300 variants because those aircraft are thrust limited at high altitude. The -300ER, on the other hand, is not thrust limited, so its holding speed at high altitude should be closer to the maximum endurance speed." </t>
    </r>
  </si>
  <si>
    <r>
      <t>(kg/m</t>
    </r>
    <r>
      <rPr>
        <vertAlign val="superscript"/>
        <sz val="11"/>
        <color theme="1"/>
        <rFont val="Calibri"/>
        <family val="2"/>
        <scheme val="minor"/>
      </rPr>
      <t>3</t>
    </r>
    <r>
      <rPr>
        <sz val="11"/>
        <color theme="1"/>
        <rFont val="Calibri"/>
        <family val="2"/>
        <scheme val="minor"/>
      </rPr>
      <t>)</t>
    </r>
  </si>
  <si>
    <r>
      <t>(m</t>
    </r>
    <r>
      <rPr>
        <vertAlign val="superscript"/>
        <sz val="11"/>
        <color theme="1"/>
        <rFont val="Calibri"/>
        <family val="2"/>
        <scheme val="minor"/>
      </rPr>
      <t>2</t>
    </r>
    <r>
      <rPr>
        <sz val="11"/>
        <color theme="1"/>
        <rFont val="Calibri"/>
        <family val="2"/>
        <scheme val="minor"/>
      </rPr>
      <t>)</t>
    </r>
  </si>
  <si>
    <t>Correction to drag coefficient due to Reynolds number; here this correction is only for temperature; correction for effect of pressure on Reynolds number depends on Boeing reference altitude chart, which is unpublished in open literature; +10C increases drag and fuel flow by ≈ 0.5%</t>
  </si>
  <si>
    <r>
      <t>SAT</t>
    </r>
    <r>
      <rPr>
        <b/>
        <vertAlign val="subscript"/>
        <sz val="14"/>
        <color theme="1"/>
        <rFont val="Calibri"/>
        <family val="2"/>
        <scheme val="minor"/>
      </rPr>
      <t>ISA</t>
    </r>
  </si>
  <si>
    <r>
      <t>θ</t>
    </r>
    <r>
      <rPr>
        <b/>
        <vertAlign val="subscript"/>
        <sz val="14"/>
        <color theme="1"/>
        <rFont val="Arial"/>
        <family val="2"/>
      </rPr>
      <t>ISA</t>
    </r>
  </si>
  <si>
    <r>
      <t>θ</t>
    </r>
    <r>
      <rPr>
        <b/>
        <vertAlign val="subscript"/>
        <sz val="14"/>
        <color theme="1"/>
        <rFont val="Arial"/>
        <family val="2"/>
      </rPr>
      <t>T</t>
    </r>
  </si>
  <si>
    <r>
      <t>(θ</t>
    </r>
    <r>
      <rPr>
        <b/>
        <vertAlign val="subscript"/>
        <sz val="14"/>
        <color theme="1"/>
        <rFont val="Arial"/>
        <family val="2"/>
      </rPr>
      <t>T</t>
    </r>
    <r>
      <rPr>
        <b/>
        <sz val="14"/>
        <color theme="1"/>
        <rFont val="Arial"/>
        <family val="2"/>
      </rPr>
      <t>)</t>
    </r>
    <r>
      <rPr>
        <b/>
        <vertAlign val="superscript"/>
        <sz val="14"/>
        <color theme="1"/>
        <rFont val="Arial"/>
        <family val="2"/>
      </rPr>
      <t>0.68</t>
    </r>
  </si>
  <si>
    <r>
      <t>δ</t>
    </r>
    <r>
      <rPr>
        <b/>
        <vertAlign val="subscript"/>
        <sz val="14"/>
        <color theme="1"/>
        <rFont val="Calibri"/>
        <family val="2"/>
      </rPr>
      <t>T</t>
    </r>
  </si>
  <si>
    <r>
      <t>W</t>
    </r>
    <r>
      <rPr>
        <b/>
        <vertAlign val="subscript"/>
        <sz val="14"/>
        <color theme="1"/>
        <rFont val="Calibri"/>
        <family val="2"/>
        <scheme val="minor"/>
      </rPr>
      <t>0</t>
    </r>
    <r>
      <rPr>
        <b/>
        <sz val="14"/>
        <color theme="1"/>
        <rFont val="Calibri"/>
        <family val="2"/>
        <scheme val="minor"/>
      </rPr>
      <t xml:space="preserve">  </t>
    </r>
    <r>
      <rPr>
        <b/>
        <sz val="11.2"/>
        <color theme="1"/>
        <rFont val="Arial"/>
        <family val="2"/>
      </rPr>
      <t>≡</t>
    </r>
    <r>
      <rPr>
        <b/>
        <sz val="14"/>
        <color theme="1"/>
        <rFont val="Calibri"/>
        <family val="2"/>
      </rPr>
      <t xml:space="preserve">  W / δ</t>
    </r>
  </si>
  <si>
    <r>
      <t>C</t>
    </r>
    <r>
      <rPr>
        <b/>
        <vertAlign val="subscript"/>
        <sz val="14"/>
        <color theme="1"/>
        <rFont val="Calibri"/>
        <family val="2"/>
        <scheme val="minor"/>
      </rPr>
      <t>L</t>
    </r>
  </si>
  <si>
    <r>
      <t>C</t>
    </r>
    <r>
      <rPr>
        <b/>
        <vertAlign val="subscript"/>
        <sz val="14"/>
        <color theme="1"/>
        <rFont val="Calibri"/>
        <family val="2"/>
        <scheme val="minor"/>
      </rPr>
      <t>D</t>
    </r>
  </si>
  <si>
    <r>
      <rPr>
        <b/>
        <sz val="14"/>
        <color theme="1"/>
        <rFont val="Arial"/>
        <family val="2"/>
      </rPr>
      <t>Δ</t>
    </r>
    <r>
      <rPr>
        <b/>
        <sz val="14"/>
        <color theme="1"/>
        <rFont val="Calibri"/>
        <family val="2"/>
      </rPr>
      <t>C</t>
    </r>
    <r>
      <rPr>
        <b/>
        <vertAlign val="subscript"/>
        <sz val="14"/>
        <color theme="1"/>
        <rFont val="Calibri"/>
        <family val="2"/>
      </rPr>
      <t>D</t>
    </r>
  </si>
  <si>
    <r>
      <t>C</t>
    </r>
    <r>
      <rPr>
        <b/>
        <vertAlign val="subscript"/>
        <sz val="14"/>
        <color theme="1"/>
        <rFont val="Calibri"/>
        <family val="2"/>
        <scheme val="minor"/>
      </rPr>
      <t>Dtotal</t>
    </r>
  </si>
  <si>
    <r>
      <t>L / D = C</t>
    </r>
    <r>
      <rPr>
        <b/>
        <vertAlign val="subscript"/>
        <sz val="14"/>
        <color theme="1"/>
        <rFont val="Calibri"/>
        <family val="2"/>
        <scheme val="minor"/>
      </rPr>
      <t>L</t>
    </r>
    <r>
      <rPr>
        <b/>
        <sz val="14"/>
        <color theme="1"/>
        <rFont val="Calibri"/>
        <family val="2"/>
        <scheme val="minor"/>
      </rPr>
      <t xml:space="preserve"> / C</t>
    </r>
    <r>
      <rPr>
        <b/>
        <vertAlign val="subscript"/>
        <sz val="14"/>
        <color theme="1"/>
        <rFont val="Calibri"/>
        <family val="2"/>
        <scheme val="minor"/>
      </rPr>
      <t>Dtotal</t>
    </r>
  </si>
  <si>
    <r>
      <t xml:space="preserve">Thrust </t>
    </r>
    <r>
      <rPr>
        <b/>
        <sz val="14"/>
        <color theme="1"/>
        <rFont val="Arial"/>
        <family val="2"/>
      </rPr>
      <t>≡</t>
    </r>
    <r>
      <rPr>
        <b/>
        <sz val="14"/>
        <color theme="1"/>
        <rFont val="Calibri"/>
        <family val="2"/>
        <scheme val="minor"/>
      </rPr>
      <t xml:space="preserve"> </t>
    </r>
    <r>
      <rPr>
        <b/>
        <sz val="14"/>
        <color theme="1"/>
        <rFont val="Calibri"/>
        <family val="2"/>
      </rPr>
      <t xml:space="preserve">Ͳ = Drag </t>
    </r>
    <r>
      <rPr>
        <b/>
        <sz val="14"/>
        <color theme="1"/>
        <rFont val="Arial"/>
        <family val="2"/>
      </rPr>
      <t>≡</t>
    </r>
    <r>
      <rPr>
        <b/>
        <sz val="14"/>
        <color theme="1"/>
        <rFont val="Calibri"/>
        <family val="2"/>
      </rPr>
      <t xml:space="preserve"> D</t>
    </r>
  </si>
  <si>
    <r>
      <t>Drag/</t>
    </r>
    <r>
      <rPr>
        <b/>
        <sz val="14"/>
        <color theme="1"/>
        <rFont val="Calibri"/>
        <family val="2"/>
      </rPr>
      <t xml:space="preserve">δ </t>
    </r>
    <r>
      <rPr>
        <b/>
        <sz val="14"/>
        <color theme="1"/>
        <rFont val="Arial"/>
        <family val="2"/>
      </rPr>
      <t>≡</t>
    </r>
    <r>
      <rPr>
        <b/>
        <sz val="14"/>
        <color theme="1"/>
        <rFont val="Calibri"/>
        <family val="2"/>
      </rPr>
      <t xml:space="preserve"> D</t>
    </r>
    <r>
      <rPr>
        <b/>
        <vertAlign val="subscript"/>
        <sz val="14"/>
        <color theme="1"/>
        <rFont val="Calibri"/>
        <family val="2"/>
      </rPr>
      <t>0</t>
    </r>
    <r>
      <rPr>
        <b/>
        <sz val="14"/>
        <color theme="1"/>
        <rFont val="Calibri"/>
        <family val="2"/>
      </rPr>
      <t xml:space="preserve"> = Ͳ/δ </t>
    </r>
    <r>
      <rPr>
        <b/>
        <sz val="14"/>
        <color theme="1"/>
        <rFont val="Arial"/>
        <family val="2"/>
      </rPr>
      <t>≡</t>
    </r>
    <r>
      <rPr>
        <b/>
        <sz val="14"/>
        <color theme="1"/>
        <rFont val="Calibri"/>
        <family val="2"/>
      </rPr>
      <t xml:space="preserve"> Ͳ</t>
    </r>
    <r>
      <rPr>
        <b/>
        <vertAlign val="subscript"/>
        <sz val="11.2"/>
        <color theme="1"/>
        <rFont val="Calibri"/>
        <family val="2"/>
      </rPr>
      <t>0</t>
    </r>
  </si>
  <si>
    <r>
      <t>θ</t>
    </r>
    <r>
      <rPr>
        <b/>
        <vertAlign val="superscript"/>
        <sz val="14"/>
        <color theme="1"/>
        <rFont val="Arial"/>
        <family val="2"/>
      </rPr>
      <t>0.68</t>
    </r>
  </si>
  <si>
    <r>
      <rPr>
        <b/>
        <sz val="14"/>
        <color theme="1"/>
        <rFont val="Arial"/>
        <family val="2"/>
      </rPr>
      <t>M</t>
    </r>
    <r>
      <rPr>
        <b/>
        <vertAlign val="superscript"/>
        <sz val="14"/>
        <color theme="1"/>
        <rFont val="Arial"/>
        <family val="2"/>
      </rPr>
      <t>0.53</t>
    </r>
  </si>
  <si>
    <r>
      <t>E</t>
    </r>
    <r>
      <rPr>
        <b/>
        <vertAlign val="subscript"/>
        <sz val="14"/>
        <color theme="1"/>
        <rFont val="Calibri"/>
        <family val="2"/>
      </rPr>
      <t>eng</t>
    </r>
  </si>
  <si>
    <r>
      <t>FF</t>
    </r>
    <r>
      <rPr>
        <b/>
        <vertAlign val="subscript"/>
        <sz val="14"/>
        <color theme="1"/>
        <rFont val="Calibri"/>
        <family val="2"/>
        <scheme val="minor"/>
      </rPr>
      <t>net2new</t>
    </r>
  </si>
  <si>
    <r>
      <t>FF</t>
    </r>
    <r>
      <rPr>
        <b/>
        <vertAlign val="subscript"/>
        <sz val="14"/>
        <color theme="1"/>
        <rFont val="Calibri"/>
        <family val="2"/>
        <scheme val="minor"/>
      </rPr>
      <t>net1new</t>
    </r>
  </si>
  <si>
    <r>
      <t>CFF</t>
    </r>
    <r>
      <rPr>
        <b/>
        <vertAlign val="subscript"/>
        <sz val="14"/>
        <color theme="1"/>
        <rFont val="Calibri"/>
        <family val="2"/>
        <scheme val="minor"/>
      </rPr>
      <t>net1new</t>
    </r>
  </si>
  <si>
    <r>
      <t>CFF</t>
    </r>
    <r>
      <rPr>
        <b/>
        <vertAlign val="subscript"/>
        <sz val="14"/>
        <color theme="1"/>
        <rFont val="Calibri"/>
        <family val="2"/>
        <scheme val="minor"/>
      </rPr>
      <t>net2new</t>
    </r>
  </si>
  <si>
    <r>
      <t>CFF</t>
    </r>
    <r>
      <rPr>
        <b/>
        <vertAlign val="subscript"/>
        <sz val="14"/>
        <color theme="1"/>
        <rFont val="Calibri"/>
        <family val="2"/>
        <scheme val="minor"/>
      </rPr>
      <t xml:space="preserve">net2new </t>
    </r>
    <r>
      <rPr>
        <b/>
        <sz val="14"/>
        <color theme="1"/>
        <rFont val="Calibri"/>
        <family val="2"/>
        <scheme val="minor"/>
      </rPr>
      <t>/ W</t>
    </r>
    <r>
      <rPr>
        <b/>
        <vertAlign val="subscript"/>
        <sz val="14"/>
        <color theme="1"/>
        <rFont val="Calibri"/>
        <family val="2"/>
        <scheme val="minor"/>
      </rPr>
      <t>0</t>
    </r>
  </si>
  <si>
    <r>
      <t>FF</t>
    </r>
    <r>
      <rPr>
        <b/>
        <vertAlign val="subscript"/>
        <sz val="14"/>
        <color theme="1"/>
        <rFont val="Calibri"/>
        <family val="2"/>
        <scheme val="minor"/>
      </rPr>
      <t>0</t>
    </r>
  </si>
  <si>
    <r>
      <t>FF</t>
    </r>
    <r>
      <rPr>
        <b/>
        <vertAlign val="subscript"/>
        <sz val="14"/>
        <rFont val="Calibri"/>
        <family val="2"/>
        <scheme val="minor"/>
      </rPr>
      <t>1new</t>
    </r>
  </si>
  <si>
    <r>
      <t>FF</t>
    </r>
    <r>
      <rPr>
        <b/>
        <vertAlign val="subscript"/>
        <sz val="14"/>
        <color theme="1"/>
        <rFont val="Calibri"/>
        <family val="2"/>
        <scheme val="minor"/>
      </rPr>
      <t xml:space="preserve">2new </t>
    </r>
    <r>
      <rPr>
        <b/>
        <sz val="14"/>
        <color theme="1"/>
        <rFont val="Calibri"/>
        <family val="2"/>
        <scheme val="minor"/>
      </rPr>
      <t xml:space="preserve">= 2 </t>
    </r>
    <r>
      <rPr>
        <b/>
        <sz val="14"/>
        <color theme="1"/>
        <rFont val="Arial"/>
        <family val="2"/>
      </rPr>
      <t>·</t>
    </r>
    <r>
      <rPr>
        <b/>
        <sz val="14"/>
        <color theme="1"/>
        <rFont val="Calibri"/>
        <family val="2"/>
        <scheme val="minor"/>
      </rPr>
      <t>FF</t>
    </r>
    <r>
      <rPr>
        <b/>
        <vertAlign val="subscript"/>
        <sz val="14"/>
        <color theme="1"/>
        <rFont val="Calibri"/>
        <family val="2"/>
        <scheme val="minor"/>
      </rPr>
      <t>1new</t>
    </r>
  </si>
  <si>
    <r>
      <t>FM</t>
    </r>
    <r>
      <rPr>
        <b/>
        <vertAlign val="subscript"/>
        <sz val="14"/>
        <color theme="1"/>
        <rFont val="Calibri"/>
        <family val="2"/>
        <scheme val="minor"/>
      </rPr>
      <t>new</t>
    </r>
  </si>
  <si>
    <r>
      <t>FF</t>
    </r>
    <r>
      <rPr>
        <b/>
        <vertAlign val="subscript"/>
        <sz val="14"/>
        <color theme="1"/>
        <rFont val="Calibri"/>
        <family val="2"/>
        <scheme val="minor"/>
      </rPr>
      <t>1used</t>
    </r>
  </si>
  <si>
    <r>
      <t>FF</t>
    </r>
    <r>
      <rPr>
        <b/>
        <vertAlign val="subscript"/>
        <sz val="14"/>
        <color theme="0"/>
        <rFont val="Calibri"/>
        <family val="2"/>
        <scheme val="minor"/>
      </rPr>
      <t>2used</t>
    </r>
  </si>
  <si>
    <r>
      <t>FM</t>
    </r>
    <r>
      <rPr>
        <b/>
        <vertAlign val="subscript"/>
        <sz val="14"/>
        <color theme="1"/>
        <rFont val="Calibri"/>
        <family val="2"/>
        <scheme val="minor"/>
      </rPr>
      <t>used</t>
    </r>
  </si>
  <si>
    <r>
      <t>2. Orange squares are 325 KCAS for V</t>
    </r>
    <r>
      <rPr>
        <b/>
        <i/>
        <vertAlign val="subscript"/>
        <sz val="12"/>
        <color theme="1"/>
        <rFont val="Calibri"/>
        <family val="2"/>
        <scheme val="minor"/>
      </rPr>
      <t>mo</t>
    </r>
    <r>
      <rPr>
        <b/>
        <i/>
        <sz val="12"/>
        <color theme="1"/>
        <rFont val="Calibri"/>
        <family val="2"/>
        <scheme val="minor"/>
      </rPr>
      <t xml:space="preserve"> - 5 kts.</t>
    </r>
  </si>
  <si>
    <r>
      <rPr>
        <b/>
        <sz val="14"/>
        <color theme="1"/>
        <rFont val="Arial"/>
        <family val="2"/>
      </rPr>
      <t>Δ</t>
    </r>
    <r>
      <rPr>
        <b/>
        <vertAlign val="subscript"/>
        <sz val="14"/>
        <color theme="1"/>
        <rFont val="Calibri"/>
        <family val="2"/>
      </rPr>
      <t>SAT</t>
    </r>
    <r>
      <rPr>
        <b/>
        <sz val="14"/>
        <color theme="1"/>
        <rFont val="Calibri"/>
        <family val="2"/>
      </rPr>
      <t xml:space="preserve"> (C)</t>
    </r>
  </si>
  <si>
    <t>(ON or OFF)</t>
  </si>
  <si>
    <t>ON</t>
  </si>
  <si>
    <t>=G16/288.15</t>
  </si>
  <si>
    <t>=G18/288.15</t>
  </si>
  <si>
    <t>=G19^0.68</t>
  </si>
  <si>
    <r>
      <t>Ratio of Corrected (net) Fuel Flow parameter for 2 new engines to equivalent sea-level weight W</t>
    </r>
    <r>
      <rPr>
        <b/>
        <vertAlign val="subscript"/>
        <sz val="14"/>
        <color theme="1"/>
        <rFont val="Calibri"/>
        <family val="2"/>
        <scheme val="minor"/>
      </rPr>
      <t>0</t>
    </r>
    <r>
      <rPr>
        <b/>
        <sz val="14"/>
        <color theme="1"/>
        <rFont val="Calibri"/>
        <family val="2"/>
        <scheme val="minor"/>
      </rPr>
      <t>; assumes new engines (PDA = 0%); typically ≈ 2% of equivalent aircraft weight is burned per hour at unity dynamic pressure and temperature ratios</t>
    </r>
  </si>
  <si>
    <t>Ratio of aircraft total weight to pressure ratio δ; equals weight at sea level having same ratio to sea-level pressure as actual weight to actual pressure at given Flight Level</t>
  </si>
  <si>
    <r>
      <t>Total pressure ratio is ratio of dynamic air pressure to static sea-level air pressure; dynamic pressure is P·(1+0.2·M</t>
    </r>
    <r>
      <rPr>
        <b/>
        <vertAlign val="superscript"/>
        <sz val="14"/>
        <color theme="1"/>
        <rFont val="Calibri"/>
        <family val="2"/>
        <scheme val="minor"/>
      </rPr>
      <t>2</t>
    </r>
    <r>
      <rPr>
        <b/>
        <sz val="14"/>
        <color theme="1"/>
        <rFont val="Calibri"/>
        <family val="2"/>
        <scheme val="minor"/>
      </rPr>
      <t>)</t>
    </r>
    <r>
      <rPr>
        <b/>
        <vertAlign val="superscript"/>
        <sz val="14"/>
        <color theme="1"/>
        <rFont val="Calibri"/>
        <family val="2"/>
        <scheme val="minor"/>
      </rPr>
      <t>3.5</t>
    </r>
  </si>
  <si>
    <t>Air density =1.225·δ / θ</t>
  </si>
  <si>
    <t>Thrust-producing (net) fuel flow from two new engines = Thrust · TSFC</t>
  </si>
  <si>
    <r>
      <t>Ratio of SAT</t>
    </r>
    <r>
      <rPr>
        <b/>
        <vertAlign val="subscript"/>
        <sz val="14"/>
        <color theme="1"/>
        <rFont val="Calibri"/>
        <family val="2"/>
        <scheme val="minor"/>
      </rPr>
      <t>ISA</t>
    </r>
    <r>
      <rPr>
        <b/>
        <sz val="14"/>
        <color theme="1"/>
        <rFont val="Calibri"/>
        <family val="2"/>
        <scheme val="minor"/>
      </rPr>
      <t xml:space="preserve"> at Flight Level to SAT</t>
    </r>
    <r>
      <rPr>
        <b/>
        <vertAlign val="subscript"/>
        <sz val="14"/>
        <color theme="1"/>
        <rFont val="Calibri"/>
        <family val="2"/>
        <scheme val="minor"/>
      </rPr>
      <t>ISA</t>
    </r>
    <r>
      <rPr>
        <b/>
        <sz val="14"/>
        <color theme="1"/>
        <rFont val="Calibri"/>
        <family val="2"/>
        <scheme val="minor"/>
      </rPr>
      <t xml:space="preserve"> at sea level (288.15 K)</t>
    </r>
  </si>
  <si>
    <r>
      <t>Static Air Temperature, including Δ</t>
    </r>
    <r>
      <rPr>
        <b/>
        <vertAlign val="subscript"/>
        <sz val="14"/>
        <color theme="1"/>
        <rFont val="Calibri"/>
        <family val="2"/>
        <scheme val="minor"/>
      </rPr>
      <t>SAT</t>
    </r>
  </si>
  <si>
    <r>
      <t>Ratio of SAT at Flight Level to SAT</t>
    </r>
    <r>
      <rPr>
        <b/>
        <vertAlign val="subscript"/>
        <sz val="14"/>
        <color theme="1"/>
        <rFont val="Calibri"/>
        <family val="2"/>
        <scheme val="minor"/>
      </rPr>
      <t>ISA</t>
    </r>
    <r>
      <rPr>
        <b/>
        <sz val="14"/>
        <color theme="1"/>
        <rFont val="Calibri"/>
        <family val="2"/>
        <scheme val="minor"/>
      </rPr>
      <t xml:space="preserve"> at sea level (288.15 K)</t>
    </r>
  </si>
  <si>
    <r>
      <t>Total Air Temperature including dynamic heating = SAT·(1+0.2·M</t>
    </r>
    <r>
      <rPr>
        <b/>
        <vertAlign val="superscript"/>
        <sz val="14"/>
        <color theme="1"/>
        <rFont val="Calibri"/>
        <family val="2"/>
        <scheme val="minor"/>
      </rPr>
      <t>2</t>
    </r>
    <r>
      <rPr>
        <b/>
        <sz val="14"/>
        <color theme="1"/>
        <rFont val="Calibri"/>
        <family val="2"/>
        <scheme val="minor"/>
      </rPr>
      <t>)</t>
    </r>
  </si>
  <si>
    <r>
      <t>Ratio of Total Air Temperature (TAT) to SAT</t>
    </r>
    <r>
      <rPr>
        <b/>
        <vertAlign val="subscript"/>
        <sz val="14"/>
        <color theme="1"/>
        <rFont val="Calibri"/>
        <family val="2"/>
        <scheme val="minor"/>
      </rPr>
      <t>ISA</t>
    </r>
    <r>
      <rPr>
        <b/>
        <sz val="14"/>
        <color theme="1"/>
        <rFont val="Calibri"/>
        <family val="2"/>
        <scheme val="minor"/>
      </rPr>
      <t xml:space="preserve"> at sea level (288.15 K)</t>
    </r>
  </si>
  <si>
    <r>
      <t>Reference wing area of B777-200ER; design value is 427.80 m</t>
    </r>
    <r>
      <rPr>
        <b/>
        <vertAlign val="superscript"/>
        <sz val="14"/>
        <color theme="1"/>
        <rFont val="Calibri"/>
        <family val="2"/>
        <scheme val="minor"/>
      </rPr>
      <t>2</t>
    </r>
  </si>
  <si>
    <r>
      <t>The engine effectiveness factor in TSFC, depending on the ratio of thrust to static air pressure (Ͳ</t>
    </r>
    <r>
      <rPr>
        <b/>
        <vertAlign val="subscript"/>
        <sz val="14"/>
        <color theme="1"/>
        <rFont val="Calibri"/>
        <family val="2"/>
        <scheme val="minor"/>
      </rPr>
      <t>0</t>
    </r>
    <r>
      <rPr>
        <b/>
        <sz val="14"/>
        <color theme="1"/>
        <rFont val="Calibri"/>
        <family val="2"/>
        <scheme val="minor"/>
      </rPr>
      <t>) from a best-fit look-up table; E</t>
    </r>
    <r>
      <rPr>
        <b/>
        <vertAlign val="subscript"/>
        <sz val="14"/>
        <color theme="1"/>
        <rFont val="Calibri"/>
        <family val="2"/>
        <scheme val="minor"/>
      </rPr>
      <t>eng</t>
    </r>
    <r>
      <rPr>
        <b/>
        <sz val="14"/>
        <color theme="1"/>
        <rFont val="Calibri"/>
        <family val="2"/>
        <scheme val="minor"/>
      </rPr>
      <t xml:space="preserve"> ≤ 1</t>
    </r>
  </si>
  <si>
    <r>
      <t>Thrust-specific fuel consumption for RR Trent 892B engines = TSFC_Scalar · θ</t>
    </r>
    <r>
      <rPr>
        <b/>
        <vertAlign val="superscript"/>
        <sz val="14"/>
        <color theme="1"/>
        <rFont val="Calibri"/>
        <family val="2"/>
        <scheme val="minor"/>
      </rPr>
      <t>0.68</t>
    </r>
    <r>
      <rPr>
        <b/>
        <sz val="14"/>
        <color theme="1"/>
        <rFont val="Calibri"/>
        <family val="2"/>
        <scheme val="minor"/>
      </rPr>
      <t xml:space="preserve"> · M</t>
    </r>
    <r>
      <rPr>
        <b/>
        <vertAlign val="superscript"/>
        <sz val="14"/>
        <color theme="1"/>
        <rFont val="Calibri"/>
        <family val="2"/>
        <scheme val="minor"/>
      </rPr>
      <t>0.5</t>
    </r>
    <r>
      <rPr>
        <b/>
        <sz val="14"/>
        <color theme="1"/>
        <rFont val="Calibri"/>
        <family val="2"/>
        <scheme val="minor"/>
      </rPr>
      <t xml:space="preserve"> /  E</t>
    </r>
    <r>
      <rPr>
        <b/>
        <vertAlign val="subscript"/>
        <sz val="14"/>
        <color theme="1"/>
        <rFont val="Calibri"/>
        <family val="2"/>
        <scheme val="minor"/>
      </rPr>
      <t>eng</t>
    </r>
    <r>
      <rPr>
        <b/>
        <sz val="14"/>
        <color theme="1"/>
        <rFont val="Calibri"/>
        <family val="2"/>
        <scheme val="minor"/>
      </rPr>
      <t xml:space="preserve"> </t>
    </r>
  </si>
  <si>
    <r>
      <t>Corrected fuel flow parameter using thrust-producing fuel flow for 1 new engine 
= FF</t>
    </r>
    <r>
      <rPr>
        <b/>
        <vertAlign val="subscript"/>
        <sz val="14"/>
        <color theme="1"/>
        <rFont val="Calibri"/>
        <family val="2"/>
        <scheme val="minor"/>
      </rPr>
      <t>net1new</t>
    </r>
    <r>
      <rPr>
        <b/>
        <sz val="14"/>
        <color theme="1"/>
        <rFont val="Calibri"/>
        <family val="2"/>
        <scheme val="minor"/>
      </rPr>
      <t>/(δ</t>
    </r>
    <r>
      <rPr>
        <b/>
        <vertAlign val="subscript"/>
        <sz val="14"/>
        <color theme="1"/>
        <rFont val="Calibri"/>
        <family val="2"/>
        <scheme val="minor"/>
      </rPr>
      <t xml:space="preserve">T · </t>
    </r>
    <r>
      <rPr>
        <b/>
        <sz val="14"/>
        <color theme="1"/>
        <rFont val="Calibri"/>
        <family val="2"/>
        <scheme val="minor"/>
      </rPr>
      <t>θ</t>
    </r>
    <r>
      <rPr>
        <b/>
        <vertAlign val="subscript"/>
        <sz val="14"/>
        <color theme="1"/>
        <rFont val="Calibri"/>
        <family val="2"/>
        <scheme val="minor"/>
      </rPr>
      <t>T</t>
    </r>
    <r>
      <rPr>
        <b/>
        <vertAlign val="superscript"/>
        <sz val="14"/>
        <color theme="1"/>
        <rFont val="Calibri"/>
        <family val="2"/>
        <scheme val="minor"/>
      </rPr>
      <t>0.68</t>
    </r>
    <r>
      <rPr>
        <b/>
        <sz val="14"/>
        <color theme="1"/>
        <rFont val="Calibri"/>
        <family val="2"/>
        <scheme val="minor"/>
      </rPr>
      <t>)</t>
    </r>
  </si>
  <si>
    <r>
      <t>Power of θ</t>
    </r>
    <r>
      <rPr>
        <b/>
        <vertAlign val="subscript"/>
        <sz val="14"/>
        <color theme="1"/>
        <rFont val="Calibri"/>
        <family val="2"/>
        <scheme val="minor"/>
      </rPr>
      <t>T</t>
    </r>
    <r>
      <rPr>
        <b/>
        <sz val="14"/>
        <color theme="1"/>
        <rFont val="Calibri"/>
        <family val="2"/>
        <scheme val="minor"/>
      </rPr>
      <t xml:space="preserve"> used in corrected fuel flow parameter is best fit to Boeing 777-200ER LRC and Holding fuel flow tables for RR Trent 892B engines; note that this term adjusts fuel flow with temperature (no additional temperature correction factor, such as 3%/10C in TAT, is needed)</t>
    </r>
  </si>
  <si>
    <t>Parameters</t>
  </si>
  <si>
    <t>Values</t>
  </si>
  <si>
    <t>Air Conditioning Packs</t>
  </si>
  <si>
    <t>MRC Mach</t>
  </si>
  <si>
    <t>MRC Fuel Flow</t>
  </si>
  <si>
    <t>CI=52 Mach</t>
  </si>
  <si>
    <t>CI=52 Fuel Flow</t>
  </si>
  <si>
    <t>= BICUBICINTERPOLATION(C3:T18,X,Y)</t>
  </si>
  <si>
    <t>Speed_Mode</t>
  </si>
  <si>
    <t>Manual entry of Speed_Mode</t>
  </si>
  <si>
    <t>Manual entry of weight</t>
  </si>
  <si>
    <t>Manual entry of flight level</t>
  </si>
  <si>
    <t>Manual entry of temperature deviation from ISA</t>
  </si>
  <si>
    <t>Manual entry of "ON" or "OFF" for air packs</t>
  </si>
  <si>
    <t>Manual entry of PDA in %</t>
  </si>
  <si>
    <t>=G16+G11</t>
  </si>
  <si>
    <t>=G18*(1+0.2*G15^2)</t>
  </si>
  <si>
    <t>=G20/288.15</t>
  </si>
  <si>
    <t>=G21^0.68</t>
  </si>
  <si>
    <t>=661.4786*SQRT(G19)</t>
  </si>
  <si>
    <t>=G24*0.5144444</t>
  </si>
  <si>
    <t>=661.4786*(5*((1 + ( (1-0.00068755856*G10)^5.2558797)*((1 + G15^2/5)^3.5 - 1))^(2/7) - 1))^0.5</t>
  </si>
  <si>
    <t>=IF(G10&lt;360.8924,1013.25*(1-0.0000068755856*100*G10)^5.2558797,0.01*0.2233609*101325*EXP(-0.004806346*(G10-360.8924)))</t>
  </si>
  <si>
    <t>=G27/1013.25</t>
  </si>
  <si>
    <t>=G28*(1+0.2*G15^2)^3.5</t>
  </si>
  <si>
    <t>=G9/G28</t>
  </si>
  <si>
    <t>=1.225*G28/G19</t>
  </si>
  <si>
    <t>=1000*9.80665*G9/(0.5*G31*G32*(G25)^2)</t>
  </si>
  <si>
    <t>=0.0001*BicubicInterpolation('Drag Coef Table'!$B$4:$L$28,G33,G15)</t>
  </si>
  <si>
    <t>=(-45.29)*0.0001*LOG10(  (  ( G19 + 0.38312 ) / G19^2    )   /   (   (G17 +0.38312)/(G17)^2  ) )</t>
  </si>
  <si>
    <t>=G34+G35</t>
  </si>
  <si>
    <t>=G33/G36</t>
  </si>
  <si>
    <t>=G36*0.5*G31*(G25^2)*G32/1000</t>
  </si>
  <si>
    <t>=G38/G28/9.80665</t>
  </si>
  <si>
    <t>=G15^0.53</t>
  </si>
  <si>
    <t>=BicubicInterpolation('TSFC Eff Table'!$B$4:$E$69,2,G39)</t>
  </si>
  <si>
    <t>=G40*G41*G42/G43</t>
  </si>
  <si>
    <t>=G46/(G29*G22)/1000</t>
  </si>
  <si>
    <t>=100*G48/G30</t>
  </si>
  <si>
    <t>=G46+G50</t>
  </si>
  <si>
    <t>=G51*(1+G13)</t>
  </si>
  <si>
    <t>=G52*(1+G13)</t>
  </si>
  <si>
    <t>=1000*G24/G55</t>
  </si>
  <si>
    <t>=1000*G24/G52</t>
  </si>
  <si>
    <t>=G15*G23</t>
  </si>
  <si>
    <t>ROW #</t>
  </si>
  <si>
    <t>Fuel Flow</t>
  </si>
  <si>
    <t>(kg/ hr)</t>
  </si>
  <si>
    <t>ROW MODEL OF FUEL FLOW - 1 Minute Steps</t>
  </si>
  <si>
    <t>OUTPUTS                                                                          OUTPUTS                                                                                    OUTPUTS                                                                                         OUTPUTS                                                                      OUTPUTS</t>
  </si>
  <si>
    <t>Fixed Mach or KCAS</t>
  </si>
  <si>
    <t>Manual entry of Mach or KCAS</t>
  </si>
  <si>
    <t>Manually-entered Mach used when Speed_Mode is set to MACH, or manually-entered KCAS when Speed_Mode is set to KCAS</t>
  </si>
  <si>
    <t>Selects or calculates Mach from Speed_Mode and fixed input; Mach number M is ratio of true airspeed to Local Sound Speed</t>
  </si>
  <si>
    <t>INPUT PARAMETERS</t>
  </si>
  <si>
    <t>Variable</t>
  </si>
  <si>
    <t>Value</t>
  </si>
  <si>
    <t>OUTPUT PARAMETERS</t>
  </si>
  <si>
    <t>Leg #1</t>
  </si>
  <si>
    <t>Start time</t>
  </si>
  <si>
    <t>UTC</t>
  </si>
  <si>
    <t>Speed mode</t>
  </si>
  <si>
    <t>--</t>
  </si>
  <si>
    <t>-- or kts</t>
  </si>
  <si>
    <t>Last ACARS Fuel Report; start time of MEFE model</t>
  </si>
  <si>
    <t>Fuel in L tank</t>
  </si>
  <si>
    <t>Fuel in R tank</t>
  </si>
  <si>
    <t>Dry weight</t>
  </si>
  <si>
    <t>9M-MRO dry weight for MH370</t>
  </si>
  <si>
    <t>hft</t>
  </si>
  <si>
    <t>At 35,000 feet from ACARS</t>
  </si>
  <si>
    <t>Leg #2</t>
  </si>
  <si>
    <t>9M-MRO</t>
  </si>
  <si>
    <t>Leg #3</t>
  </si>
  <si>
    <t>Average of cruise PDAs of L &amp; R engines</t>
  </si>
  <si>
    <t>%</t>
  </si>
  <si>
    <t>From MH370 Flight Plan</t>
  </si>
  <si>
    <t>Estimated from  Fuel Load Sheet, R/L fuel flows during Take-off and Climb, and last ACARS Fuel Report at 17:06:43</t>
  </si>
  <si>
    <t>C</t>
  </si>
  <si>
    <r>
      <rPr>
        <b/>
        <sz val="14"/>
        <color theme="1"/>
        <rFont val="Arial"/>
        <family val="2"/>
      </rPr>
      <t>Δ</t>
    </r>
    <r>
      <rPr>
        <b/>
        <vertAlign val="subscript"/>
        <sz val="14"/>
        <color theme="1"/>
        <rFont val="Arial"/>
        <family val="2"/>
      </rPr>
      <t>SAT</t>
    </r>
  </si>
  <si>
    <t>ΔSAT</t>
  </si>
  <si>
    <t>Air Packs</t>
  </si>
  <si>
    <t>Normally ON which pressurizes cabin</t>
  </si>
  <si>
    <t>kg/hr/eng</t>
  </si>
  <si>
    <t>Fuel savings per engine with all Air Packs OFF</t>
  </si>
  <si>
    <t>Time of R engine fuel exhaustion</t>
  </si>
  <si>
    <t>NM</t>
  </si>
  <si>
    <t>Row # Leg #2 Start</t>
  </si>
  <si>
    <t>Row # Leg #3 Start</t>
  </si>
  <si>
    <t>Ratio of R to L engine fuel flows in cruise</t>
  </si>
  <si>
    <t>fpm</t>
  </si>
  <si>
    <t>At 35,000 feet from MH370 ACARS data at 17:07</t>
  </si>
  <si>
    <t>Excess SAT above ISA (from NOAA GDAS)</t>
  </si>
  <si>
    <t>Average Mach</t>
  </si>
  <si>
    <t>Air miles</t>
  </si>
  <si>
    <t>Equivalent Still Air Distance = ground miles if no net tailwinds</t>
  </si>
  <si>
    <t>Average TAS</t>
  </si>
  <si>
    <t>kts</t>
  </si>
  <si>
    <t>Post-radar-track air miles = air miles after earliest possible FMT</t>
  </si>
  <si>
    <t>L Tank Fuel</t>
  </si>
  <si>
    <t>R Tank Fuel</t>
  </si>
  <si>
    <t>Time
(hh:mm:ss)</t>
  </si>
  <si>
    <t>L Engine Fuel Flow (kg/min)</t>
  </si>
  <si>
    <t>R Engine Fuel Flow (kg/min)</t>
  </si>
  <si>
    <t>L engine in cruise</t>
  </si>
  <si>
    <t>R engine in cruise</t>
  </si>
  <si>
    <t>L engine flame-out Row#</t>
  </si>
  <si>
    <t>R engine flame-out Row#</t>
  </si>
  <si>
    <t>Cumulative Air Miles</t>
  </si>
  <si>
    <t>Includes travel from start time of Leg #3 until 2 minutes after L engine flame-out (i.e., when at 7th Arc)</t>
  </si>
  <si>
    <t>CUM Mach (minutes)</t>
  </si>
  <si>
    <t>CUM TAS (NM min)</t>
  </si>
  <si>
    <t>Total Fuel on Board (tonnes)</t>
  </si>
  <si>
    <t>At 7th Arc</t>
  </si>
  <si>
    <t>Total Aircraft Weight (tonnes</t>
  </si>
  <si>
    <t>Row # Leg #2 End</t>
  </si>
  <si>
    <t>Row #
Leg #1 Start</t>
  </si>
  <si>
    <t>Row#
At 7th Arc</t>
  </si>
  <si>
    <t>Row #
L Flame-out</t>
  </si>
  <si>
    <t>Row #
R Flame-out</t>
  </si>
  <si>
    <t>kh/hr/eng</t>
  </si>
  <si>
    <t>kts/min</t>
  </si>
  <si>
    <t>KCAS Deceleration</t>
  </si>
  <si>
    <t>ROD after reaching Minimum KCAS</t>
  </si>
  <si>
    <t>ROD after reaching 7th Arc</t>
  </si>
  <si>
    <t>From 00:19:37 BFO</t>
  </si>
  <si>
    <t>Actual Flight Level</t>
  </si>
  <si>
    <t>Target Flight Level</t>
  </si>
  <si>
    <t>(fpm)</t>
  </si>
  <si>
    <t>ROC Limit</t>
  </si>
  <si>
    <t>ROD Limit</t>
  </si>
  <si>
    <t>Minimum KCAS</t>
  </si>
  <si>
    <t>Estimated value per Gysbreght</t>
  </si>
  <si>
    <t>Estimated value is Minimum Maneuver Speed + 1 kt</t>
  </si>
  <si>
    <t>MRC</t>
  </si>
  <si>
    <t>Predicted Time of Impact</t>
  </si>
  <si>
    <t>Row# of Impact</t>
  </si>
  <si>
    <t>Estimated value; stops at Min. Maneuver + 1 kt</t>
  </si>
  <si>
    <t>Used only with MACH and KCAS speed modes</t>
  </si>
  <si>
    <t>Decelerates unti reaching Minimum KCAS or MEFE occurs; per ALSM simulator runs</t>
  </si>
  <si>
    <t>Highest Flight Level where INOP HOLDING can maintain altitude with only L engine operating</t>
  </si>
  <si>
    <t>Estimated value at FL360; scales with relative atmospheric pressure; per Gysbreght and Andrew</t>
  </si>
  <si>
    <r>
      <t xml:space="preserve">During MEFE </t>
    </r>
    <r>
      <rPr>
        <b/>
        <sz val="12"/>
        <color theme="1"/>
        <rFont val="Calibri"/>
        <family val="2"/>
        <scheme val="minor"/>
      </rPr>
      <t>(Autopilot Off)</t>
    </r>
  </si>
  <si>
    <t>All Legs from 17:07 to 7th Arc</t>
  </si>
  <si>
    <t>Total Fuel on Board at end of leg</t>
  </si>
  <si>
    <t>Latitude of southernmost intersection with 7th Arc following Great Circle</t>
  </si>
  <si>
    <t>deg
( "-" = S)</t>
  </si>
  <si>
    <t>Estimate based on MH370 Flight Plan in cruise</t>
  </si>
  <si>
    <t>Increase in fuel flow during cruise climb</t>
  </si>
  <si>
    <t>10 * Total Fuel</t>
  </si>
  <si>
    <t>Predicted Time of 7th Arc Transmissions (=2 min after MEFE)</t>
  </si>
  <si>
    <t>Next whole minute after 18:28 satellite communications; earliest FMT time from estimated 18:29 location of (7.18N, 95.68E); to turn off Leg #3, set this time to 8 March 2014 04:00 or later</t>
  </si>
  <si>
    <t>Approximate Diversion time</t>
  </si>
  <si>
    <t>Adjusted to match known MEFE time of 00:17:30</t>
  </si>
  <si>
    <t>Average excess SAT above ISA (from NOAA GDAS)</t>
  </si>
  <si>
    <t>From rate of change of L &amp; R tank fuel quantity sensors during level cruise on a prior 9M-MRO flight</t>
  </si>
  <si>
    <t>=200-IF(G12'="OFF",88,0)</t>
  </si>
  <si>
    <t>HOLDING</t>
  </si>
  <si>
    <t>Engine PDAs are typically between 0.5% and 2.0%; both Rolls Royce RB211 Trent 892B-17 engines were manufactured in 2004 &amp; had &gt;40,000 operating hours; L engine installed in 5/2013 &amp; R in 10/2010</t>
  </si>
  <si>
    <t>Decrease in fuel flow during slight cruise descent</t>
  </si>
  <si>
    <t>Rate of Cruise Climb</t>
  </si>
  <si>
    <t>Rate of Cruise Descent</t>
  </si>
  <si>
    <t>Idle fuel flow during pre-landing descent or descent to a HOLDING speed</t>
  </si>
  <si>
    <t>Estimates based on MH370 Flight Plan; % increase or decrease relative to level cruise fuel flow at current altitude</t>
  </si>
  <si>
    <t>Rate of descent for pre-landing or to HOLDING at lower altitude</t>
  </si>
  <si>
    <t>Estimated idle fuel flow in pre-landing descent based on MH370 Flight Plan fuel flow after Top of Descent</t>
  </si>
  <si>
    <r>
      <t>FF1</t>
    </r>
    <r>
      <rPr>
        <b/>
        <vertAlign val="subscript"/>
        <sz val="12"/>
        <color theme="1"/>
        <rFont val="Calibri"/>
        <family val="2"/>
        <scheme val="minor"/>
      </rPr>
      <t xml:space="preserve">new </t>
    </r>
    <r>
      <rPr>
        <b/>
        <sz val="12"/>
        <color theme="1"/>
        <rFont val="Calibri"/>
        <family val="2"/>
        <scheme val="minor"/>
      </rPr>
      <t>Fuel Flow including climb or descent adjustment and racetrack turns</t>
    </r>
  </si>
  <si>
    <t>% / 1,000 fpm ROC</t>
  </si>
  <si>
    <t>% / 1,000 fpm ROD</t>
  </si>
  <si>
    <t>Estimated value of ROD with both engines flamed-out and after minimum KCAS is reached</t>
  </si>
  <si>
    <t>Switch for Racetrack Pattern Fuel Flow</t>
  </si>
  <si>
    <t>Normally ON; turning Air Packs OFF reduces fuel flow by approx. 88 kg/hr/engine and depressurizes cabin</t>
  </si>
  <si>
    <t>Highest Flight Level for level INOP flight</t>
  </si>
  <si>
    <r>
      <t xml:space="preserve">Estimated value per Andrew, David, and Victor is </t>
    </r>
    <r>
      <rPr>
        <b/>
        <sz val="12"/>
        <color theme="1"/>
        <rFont val="Arial"/>
        <family val="2"/>
      </rPr>
      <t>≈</t>
    </r>
    <r>
      <rPr>
        <b/>
        <sz val="12"/>
        <color theme="1"/>
        <rFont val="Calibri"/>
        <family val="2"/>
        <scheme val="minor"/>
      </rPr>
      <t>2.5% of nominal cruise fuel flow; assumed here to be a constant fuel flow rather than a fixed % of actual fuel flow</t>
    </r>
  </si>
  <si>
    <t>M0.84</t>
  </si>
  <si>
    <r>
      <t xml:space="preserve">Non-thrust-producing fuel flow (i.e., ancillary/parasitic fuel flow, or fuel flow at zero thrust) in 1 new engine; supplies bleed air, drives integrated electrical generators, hydraulic pump and fuel pump, and includes parasitic engine losses; value is best fit to Boeing fuel flow tables for this aircraft and engine type; is a primary component of idle engine fuel flow; =200 kg/hr/engine with Air Conditioning Packs ON and </t>
    </r>
    <r>
      <rPr>
        <b/>
        <sz val="14"/>
        <color theme="1"/>
        <rFont val="Arial"/>
        <family val="2"/>
      </rPr>
      <t>≈</t>
    </r>
    <r>
      <rPr>
        <b/>
        <sz val="14"/>
        <color theme="1"/>
        <rFont val="Calibri"/>
        <family val="2"/>
        <scheme val="minor"/>
      </rPr>
      <t>145 kg/hr/engine with Air Packs OFF; estimate of Air Packs is 2.5% of typical cruise fuel flow of 3500 kg/hr/engine = 88 kg/hr/engine</t>
    </r>
  </si>
  <si>
    <t>Calculated times are rounded up to nearest whole minute; Main Engines Fuel Exhaustion (MEFE) occurs at L engine flame-out</t>
  </si>
  <si>
    <t>Assumes great circle route from earliest FMT position (7.18N,95.68E, assuming a 15 NM R SLOP) at 18:29 intersecting 7th Arc at 20,000 ft 2 minutes after MEFE</t>
  </si>
  <si>
    <t>Time of L engine fuel exhaustion (MEFE)</t>
  </si>
  <si>
    <t>MACH</t>
  </si>
  <si>
    <t>LRC</t>
  </si>
  <si>
    <t>OFF</t>
  </si>
  <si>
    <r>
      <rPr>
        <b/>
        <sz val="18"/>
        <color theme="1"/>
        <rFont val="Calibri"/>
        <family val="2"/>
        <scheme val="minor"/>
      </rPr>
      <t>INOP Holding Fuel Flow (Racetrack Pattern)</t>
    </r>
    <r>
      <rPr>
        <b/>
        <sz val="11"/>
        <color theme="1"/>
        <rFont val="Calibri"/>
        <family val="2"/>
        <scheme val="minor"/>
      </rPr>
      <t xml:space="preserve">
</t>
    </r>
    <r>
      <rPr>
        <b/>
        <sz val="14"/>
        <color theme="1"/>
        <rFont val="Calibri"/>
        <family val="2"/>
        <scheme val="minor"/>
      </rPr>
      <t>(Flaps Up &amp; One Engine)
(kg/hr/eng for 1 engine)
B777-200ER / Trent 892B</t>
    </r>
  </si>
  <si>
    <t>1. Gray squares are fillers I added to avoid interpolation error near data frontier.</t>
  </si>
  <si>
    <t>2. This table includes 5% additional fuel for holding in a racetrack pattern. Divide table value by 1.05 for straight and level flight.</t>
  </si>
  <si>
    <r>
      <rPr>
        <b/>
        <sz val="18"/>
        <color theme="1"/>
        <rFont val="Calibri"/>
        <family val="2"/>
        <scheme val="minor"/>
      </rPr>
      <t>INOP Holding Mach</t>
    </r>
    <r>
      <rPr>
        <b/>
        <sz val="11"/>
        <color theme="1"/>
        <rFont val="Calibri"/>
        <family val="2"/>
        <scheme val="minor"/>
      </rPr>
      <t xml:space="preserve">
</t>
    </r>
    <r>
      <rPr>
        <b/>
        <sz val="14"/>
        <color theme="1"/>
        <rFont val="Calibri"/>
        <family val="2"/>
        <scheme val="minor"/>
      </rPr>
      <t>(Flaps Up &amp; One Engine)
B777-200ER / Trent 892B</t>
    </r>
  </si>
  <si>
    <r>
      <rPr>
        <b/>
        <sz val="18"/>
        <color theme="1"/>
        <rFont val="Calibri"/>
        <family val="2"/>
        <scheme val="minor"/>
      </rPr>
      <t>INOP Holding KIAS</t>
    </r>
    <r>
      <rPr>
        <b/>
        <sz val="11"/>
        <color theme="1"/>
        <rFont val="Calibri"/>
        <family val="2"/>
        <scheme val="minor"/>
      </rPr>
      <t xml:space="preserve">
</t>
    </r>
    <r>
      <rPr>
        <b/>
        <sz val="14"/>
        <color theme="1"/>
        <rFont val="Calibri"/>
        <family val="2"/>
        <scheme val="minor"/>
      </rPr>
      <t>(Flaps Up &amp; One Engine)
B777-200ER / Trent 892B</t>
    </r>
  </si>
  <si>
    <r>
      <rPr>
        <b/>
        <sz val="18"/>
        <color theme="1"/>
        <rFont val="Calibri"/>
        <family val="2"/>
        <scheme val="minor"/>
      </rPr>
      <t>LRC INOP Mach</t>
    </r>
    <r>
      <rPr>
        <b/>
        <sz val="11"/>
        <color theme="1"/>
        <rFont val="Calibri"/>
        <family val="2"/>
        <scheme val="minor"/>
      </rPr>
      <t xml:space="preserve">
</t>
    </r>
    <r>
      <rPr>
        <b/>
        <sz val="14"/>
        <color theme="1"/>
        <rFont val="Calibri"/>
        <family val="2"/>
        <scheme val="minor"/>
      </rPr>
      <t>(Flaps Up &amp; One Engine)
B777-200ER / Trent 892B</t>
    </r>
  </si>
  <si>
    <r>
      <rPr>
        <b/>
        <sz val="18"/>
        <color theme="1"/>
        <rFont val="Calibri"/>
        <family val="2"/>
        <scheme val="minor"/>
      </rPr>
      <t>LRC INOP Fuel Flow</t>
    </r>
    <r>
      <rPr>
        <b/>
        <sz val="11"/>
        <color theme="1"/>
        <rFont val="Calibri"/>
        <family val="2"/>
        <scheme val="minor"/>
      </rPr>
      <t xml:space="preserve">
</t>
    </r>
    <r>
      <rPr>
        <b/>
        <sz val="14"/>
        <color theme="1"/>
        <rFont val="Calibri"/>
        <family val="2"/>
        <scheme val="minor"/>
      </rPr>
      <t>(Flaps Up &amp; One Engine)
B777-200ER / Trent 892B</t>
    </r>
  </si>
  <si>
    <t>Select one: MACH, KCAS, LRC, MRC, CI52, M0.84, HOLDING, LRCINOP, HOLDINGINOP</t>
  </si>
  <si>
    <t>Fuel mileage for new engines</t>
  </si>
  <si>
    <t>=IF( OR(G7="LRCINOP", G7="HOLDINGINOP"), G51, 2*G51 )</t>
  </si>
  <si>
    <t>=IF( OR(G7="LRCINOP", G7="HOLDINGINOP"), G47,  2*G47 )</t>
  </si>
  <si>
    <t>=IF( OR(G7="LRCINOP", G7="HOLDINGINOP"),  G45, G45/2  )</t>
  </si>
  <si>
    <t>=IF(G7="MACH",G8, IF(G7="KCAS",  ( (5*( (   (((1+0.2*(G8/661.4786)^2)^3.5 -1)  )/( (1-6.8755856*10^-6 *100*G10)^5.2558797) +1)^(2/7) -1) )^0.5),IF(G7="LRC",BicubicInterpolation( 'LRC Mach'!$C$4:$AL$21, G10,G9),  IF(G7="MRC",BicubicInterpolation( 'MRC Mach'!$C$3:$T$18, G10,G9),  IF(G7="M0.84",0.84,  IF(G7="CI52",BicubicInterpolation('CI=52 Mach'!$C$3:$T$18, G10,G9),  IF(G7="HOLDING",BicubicInterpolation(  'Holding Mach'!$C$4:$M$13, G10,G9),
IF(G7="LRCINOP", BicubicInterpolation('LRC INOP Mach'!$C$4:$AA$21,G10,G9), IF(G7="HOLDINGINOP",  BicubicInterpolation('Holding INOP Mach'!$N$4:$U$13,G10,G9),"TRY AGAIN" )))))))))</t>
  </si>
  <si>
    <t>=IF(G10&lt;360.8924,288.15-1.9812*G10/10,216.65)</t>
  </si>
  <si>
    <t>=IF( G7="LRCINOP",   BicubicInterpolation('LRC INOP FF'!$C$4:$AA$21,G10,G9)-G50,  IF(G7="HOLDINGINOP",   BicubicInterpolation( 'Holding INOP FF'!$C$4:$J$13, G10,  G9)/1.05-G50, G38*G44))</t>
  </si>
  <si>
    <t>Version 5.0 Beta</t>
  </si>
  <si>
    <t>Version 5.1 Beta</t>
  </si>
  <si>
    <t>Version 5.2 Beta</t>
  </si>
  <si>
    <t>Version 5.3 Beta</t>
  </si>
  <si>
    <t>Version 5.4</t>
  </si>
  <si>
    <r>
      <t>FF</t>
    </r>
    <r>
      <rPr>
        <b/>
        <vertAlign val="subscript"/>
        <sz val="16"/>
        <color theme="0"/>
        <rFont val="Calibri"/>
        <family val="2"/>
        <scheme val="minor"/>
      </rPr>
      <t>2used</t>
    </r>
    <r>
      <rPr>
        <b/>
        <sz val="16"/>
        <color theme="0"/>
        <rFont val="Calibri"/>
        <family val="2"/>
        <scheme val="minor"/>
      </rPr>
      <t xml:space="preserve"> (kg/hr)</t>
    </r>
  </si>
  <si>
    <t>FIXED MACH or KCAS</t>
  </si>
  <si>
    <t>During INOP at End of Flight after R Engine
Flame-out</t>
  </si>
  <si>
    <t>LRCINOP or HOLDINGINOP</t>
  </si>
  <si>
    <t>Select which engine stops operating</t>
  </si>
  <si>
    <t>L or R</t>
  </si>
  <si>
    <t>min</t>
  </si>
  <si>
    <t>Time interval from R &amp; L engine flame-outs</t>
  </si>
  <si>
    <t>When LRCINOP or HOLDINGINOP are selected in a leg, this parameter determines which engine stops (L or R); all fuel on board then immediately becomes available to the remaining operating engine (to accomplish this requires pilot actions to switch fuel valves and pumps later in the flight)</t>
  </si>
  <si>
    <t>(1) Added Mach and Fuel Flow tables for Maximum Range Cruise (Cost Index = 0) and for Cost Index = 52 (MH370 Flight Plan); (2) Added capability to select a standard speed mode (MRC, LRC, CI=52, M0.84, or Holding) or an arbitrary Mach; (3) Added switch to select Air Packs ON or Air Packs OFF (OFF saves ≈55 kg/hr/engine).  Estimated RMS Mach errors are 0.8% for CI = 52 and 1.1% for MRC.</t>
  </si>
  <si>
    <t>Set Switch to 1 to apply racetrack pattern fuel flow in HOLDING and INOPHOLDING which is 5% higher than straight flight; set switch to 0 for HOLDING and INOPHOLDING speed fuel flow without racetrack turns</t>
  </si>
  <si>
    <t>Weight at End of Leg</t>
  </si>
  <si>
    <t>Estimated Time of Main Engines Fuel Exhaustion</t>
  </si>
  <si>
    <t>MH370 Endurance Model
(from 17:07 until Impact)</t>
  </si>
  <si>
    <t>(1) Initial issue.</t>
  </si>
  <si>
    <t>(1) Added Endurance Model worksheet.</t>
  </si>
  <si>
    <t>(1) Added constant KCAS speed mode; (2) Modified Endurance Model  to find L and R engine flame-out times; (3) Added numerous input parameters to Endurance Model, allowing for 3 legs, climbs, descents, etc.; (4) Added end-of-flight model.</t>
  </si>
  <si>
    <t>Average Fuel Mileage</t>
  </si>
  <si>
    <t>NM / tonne</t>
  </si>
  <si>
    <t>CI52</t>
  </si>
  <si>
    <t>Average Fuel Flow</t>
  </si>
  <si>
    <t>kg/hr</t>
  </si>
  <si>
    <t>Time of Main Engines Fuel Exhaustion (MEFE)</t>
  </si>
  <si>
    <t>Speed Mode</t>
  </si>
  <si>
    <t>MEFE (hh:mm)</t>
  </si>
  <si>
    <t>Range (NM)</t>
  </si>
  <si>
    <t>MH370 Post-18:29 Route</t>
  </si>
  <si>
    <t>Holding</t>
  </si>
  <si>
    <t>LRC INOP</t>
  </si>
  <si>
    <t>Holding INOP</t>
  </si>
  <si>
    <t>Maximum FL possible at 18:29 for this speed and weight</t>
  </si>
  <si>
    <t>Maximum FL possible at 18:29 for this speed and weight; maximum overall range</t>
  </si>
  <si>
    <t>Maximum overall endurance</t>
  </si>
  <si>
    <t>Maximum FL possible at 18:29 for this speed and weight; maximum overall range (same as MRC)</t>
  </si>
  <si>
    <t>38S</t>
  </si>
  <si>
    <t>36S</t>
  </si>
  <si>
    <t>34S</t>
  </si>
  <si>
    <t>32S</t>
  </si>
  <si>
    <t>30S</t>
  </si>
  <si>
    <t>28S</t>
  </si>
  <si>
    <t>26S</t>
  </si>
  <si>
    <t>24S</t>
  </si>
  <si>
    <t>22S</t>
  </si>
  <si>
    <t>20S</t>
  </si>
  <si>
    <t>40S</t>
  </si>
  <si>
    <t>MEFE</t>
  </si>
  <si>
    <t>1-hr Hold@FL210+LRC</t>
  </si>
  <si>
    <t>1-hr Hold@FL210+CI52</t>
  </si>
  <si>
    <t>LRCINOP</t>
  </si>
  <si>
    <t>Use LRC, MRC, CI52, M0.84, HOLDING, MACH, KCAS, LRCINOP, or HOLDINGINOP</t>
  </si>
  <si>
    <t>9M-MRO Fuel Model - Dr. Bobby Ulich</t>
  </si>
  <si>
    <r>
      <t xml:space="preserve">(1) Added LRCINOP and HOLDINGINOP speed modes; (2) Modified L and R tank calculations in the Endurance Model to allow extended INOP flight using all fuel on board.; (3) Fixed a bug in setting </t>
    </r>
    <r>
      <rPr>
        <b/>
        <sz val="14"/>
        <color theme="1"/>
        <rFont val="Arial"/>
        <family val="2"/>
      </rPr>
      <t>Δ</t>
    </r>
    <r>
      <rPr>
        <b/>
        <vertAlign val="subscript"/>
        <sz val="9.8000000000000007"/>
        <color theme="1"/>
        <rFont val="Calibri"/>
        <family val="2"/>
      </rPr>
      <t>SAT</t>
    </r>
    <r>
      <rPr>
        <b/>
        <sz val="14"/>
        <color theme="1"/>
        <rFont val="Calibri"/>
        <family val="2"/>
      </rPr>
      <t xml:space="preserve"> for the 3 legs in the Endurance Model; (4) Added a worksheet with a plot of endurance versus range for various post-18:29 speed modes and altitudes; (5) Revised the CI = 52 Mach schedule.</t>
    </r>
  </si>
  <si>
    <r>
      <t>Southern Latitude Limit (</t>
    </r>
    <r>
      <rPr>
        <b/>
        <sz val="12"/>
        <color theme="1"/>
        <rFont val="Calibri"/>
        <family val="2"/>
      </rPr>
      <t>°)</t>
    </r>
  </si>
  <si>
    <r>
      <rPr>
        <b/>
        <sz val="11"/>
        <color theme="1"/>
        <rFont val="Arial"/>
        <family val="2"/>
      </rPr>
      <t>±</t>
    </r>
    <r>
      <rPr>
        <b/>
        <sz val="11"/>
        <color theme="1"/>
        <rFont val="Calibri"/>
        <family val="2"/>
      </rPr>
      <t xml:space="preserve"> 4 min 1-</t>
    </r>
    <r>
      <rPr>
        <b/>
        <sz val="14"/>
        <color theme="1"/>
        <rFont val="Calibri"/>
        <family val="2"/>
      </rPr>
      <t>σ</t>
    </r>
    <r>
      <rPr>
        <b/>
        <sz val="11"/>
        <color theme="1"/>
        <rFont val="Calibri"/>
        <family val="2"/>
      </rPr>
      <t xml:space="preserve"> MEFE</t>
    </r>
  </si>
  <si>
    <t>Latitude Limits Used in MEFE Plot</t>
  </si>
  <si>
    <t>M0.82</t>
  </si>
  <si>
    <t>M0.80</t>
  </si>
  <si>
    <t>M0.78</t>
  </si>
  <si>
    <t>M0.74</t>
  </si>
  <si>
    <t>275 KCAS</t>
  </si>
  <si>
    <t>250 KCAS</t>
  </si>
  <si>
    <t>Version 5.5</t>
  </si>
  <si>
    <r>
      <rPr>
        <b/>
        <i/>
        <u/>
        <sz val="16"/>
        <color theme="1"/>
        <rFont val="Calibri"/>
        <family val="2"/>
        <scheme val="minor"/>
      </rPr>
      <t>Notes :</t>
    </r>
    <r>
      <rPr>
        <b/>
        <sz val="16"/>
        <color theme="1"/>
        <rFont val="Calibri"/>
        <family val="2"/>
        <scheme val="minor"/>
      </rPr>
      <t xml:space="preserve">
1. This is a Beta test version.  Please identify possible errors and suggest methods for improvements.  Respond to bobby.ulich@gmail.com.
2. This is a traditional, generalized aerodynamic model that computes fuel flow as a function of Mach, weight, flight level, temperature deviation from ISA, and average engine PDA.  It assumes level flight at constant air speed.
3. This model is only applicable to a B777-200ER aircraft with Rolls Royce Trent 892B engines (like 9M-MRO).
4. The truth data used to fit this model are the accompanying tables of fuel flow prepared by Boeing.  See the other worksheets for a complete listing of all applicable speed and fuel flow tables.
5. Generally speaking, applicable weights are those above 170 tonnes, and flight levels are between 200-430 for full accuracy (within ± 1%).  LRC data are used down to FL100, and somewhat degraded accuracy is expected below FL200 at low speeds (estimated ± 2%).
6.  The Holding fuel flow tables exhibit "steps" of 1%, 2.5%, and 5% which are not fully understood.  The steps &gt; 1% in fuel flow produce "outliers" which have been removed from the data set being fitted.
7. The  airfoil drag coefficients are accessed using a 2-D look-up table, which is based on Obert's plot with very minor (&lt;1%) adjustments to best fit the truth data.
8. The engine effectiveness in producing thrust appears to depend on the ratio of thrust to the static air pressure (in addition to depending on Mach and static air temperature).  An empirical fit to this function is used in the Thrust Specific Fuel Consumption parameter.  See the Figures worksheet for a plot.  The thrust to pressure ratio  is correlated with the drag curves, so it is possible that the small (&lt; 1%) variations seen in the best-fit TSFC effectiveness parameter are actually due to inaccuracies in interpolating the drag coefficient, not to engine characteristics.  This effect is considered when establishing a ± 1% error bound under the conditions listed above.
9.  A BICUBICINTERPOLATION function in EXCEL is required to read the two look-up tables, and the file must be macro-enabled (it is .xlsm).  I use EXCEL 2016. 
10. LRCINOP and HOLDINGINOP use Boeing tabulated Machs and fuel flows.
11. HOLDING and HOLDINGINOP fuel flows are for straight flight with no turns (i.e., the 5% turns penalty has been removed from the Boeing tables).  The turns penalty may be added  when using the Endurance Model worksheet.
</t>
    </r>
  </si>
  <si>
    <t>(1) Added examples for fixed Mach and fixed KIAS in "Endurance vs Range Plot" worksheet.  Also added the southern latitude limits to the table on the same worksheet.</t>
  </si>
  <si>
    <t>Version 5.6</t>
  </si>
  <si>
    <t>(1) Corrected two fuel flow values in the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</si>
</sst>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3" formatCode="_(* #,##0.00_);_(* \(#,##0.00\);_(* &quot;-&quot;??_);_(@_)"/>
    <numFmt numFmtId="164" formatCode="0.0"/>
    <numFmt numFmtId="165" formatCode="0.0000"/>
    <numFmt numFmtId="166" formatCode="0.0%"/>
    <numFmt numFmtId="167" formatCode="0.000"/>
    <numFmt numFmtId="168" formatCode="0.00000"/>
    <numFmt numFmtId="169" formatCode="#,##0.0000"/>
    <numFmt numFmtId="170" formatCode="#,##0.000"/>
    <numFmt numFmtId="171" formatCode="d\ mmmm\ yyyy\ h:mm"/>
    <numFmt numFmtId="172" formatCode="#,##0.0"/>
    <numFmt numFmtId="173" formatCode="d\ mmmm\ yyyy\ h:mm:ss"/>
    <numFmt numFmtId="174" formatCode="mm:ss;@"/>
    <numFmt numFmtId="175" formatCode="h:mm;@"/>
  </numFmts>
  <fonts count="83" x14ac:knownFonts="1">
    <font>
      <sz val="11"/>
      <color theme="1"/>
      <name val="Calibri"/>
      <family val="2"/>
      <scheme val="minor"/>
    </font>
    <font>
      <sz val="12"/>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b/>
      <sz val="16"/>
      <color theme="1"/>
      <name val="Calibri"/>
      <family val="2"/>
      <scheme val="minor"/>
    </font>
    <font>
      <b/>
      <sz val="18"/>
      <color theme="1"/>
      <name val="Calibri"/>
      <family val="2"/>
      <scheme val="minor"/>
    </font>
    <font>
      <b/>
      <sz val="14"/>
      <name val="Calibri"/>
      <family val="2"/>
      <scheme val="minor"/>
    </font>
    <font>
      <sz val="16"/>
      <color theme="1"/>
      <name val="Calibri"/>
      <family val="2"/>
      <scheme val="minor"/>
    </font>
    <font>
      <sz val="12"/>
      <color theme="1"/>
      <name val="Calibri"/>
      <family val="2"/>
      <scheme val="minor"/>
    </font>
    <font>
      <b/>
      <sz val="12"/>
      <color theme="1"/>
      <name val="Calibri"/>
      <family val="2"/>
      <scheme val="minor"/>
    </font>
    <font>
      <b/>
      <sz val="16"/>
      <name val="Calibri"/>
      <family val="2"/>
      <scheme val="minor"/>
    </font>
    <font>
      <b/>
      <sz val="20"/>
      <color theme="1"/>
      <name val="Calibri"/>
      <family val="2"/>
      <scheme val="minor"/>
    </font>
    <font>
      <b/>
      <i/>
      <sz val="16"/>
      <color theme="1"/>
      <name val="Calibri"/>
      <family val="2"/>
      <scheme val="minor"/>
    </font>
    <font>
      <b/>
      <i/>
      <sz val="12"/>
      <color theme="1"/>
      <name val="Calibri"/>
      <family val="2"/>
      <scheme val="minor"/>
    </font>
    <font>
      <b/>
      <i/>
      <vertAlign val="superscript"/>
      <sz val="12"/>
      <color theme="1"/>
      <name val="Calibri"/>
      <family val="2"/>
      <scheme val="minor"/>
    </font>
    <font>
      <b/>
      <sz val="22"/>
      <color theme="1"/>
      <name val="Calibri"/>
      <family val="2"/>
      <scheme val="minor"/>
    </font>
    <font>
      <sz val="10"/>
      <name val="Arial"/>
      <family val="2"/>
    </font>
    <font>
      <b/>
      <sz val="24"/>
      <color theme="1"/>
      <name val="Calibri"/>
      <family val="2"/>
      <scheme val="minor"/>
    </font>
    <font>
      <b/>
      <vertAlign val="subscript"/>
      <sz val="24"/>
      <color theme="1"/>
      <name val="Calibri"/>
      <family val="2"/>
      <scheme val="minor"/>
    </font>
    <font>
      <sz val="12"/>
      <color indexed="8"/>
      <name val="Verdana"/>
      <family val="2"/>
    </font>
    <font>
      <sz val="10"/>
      <color indexed="8"/>
      <name val="Arial"/>
      <family val="2"/>
    </font>
    <font>
      <sz val="10"/>
      <color rgb="FF000000"/>
      <name val="Arial"/>
      <family val="2"/>
    </font>
    <font>
      <b/>
      <sz val="18"/>
      <color theme="1"/>
      <name val="Calibri"/>
      <family val="1"/>
      <charset val="2"/>
      <scheme val="minor"/>
    </font>
    <font>
      <b/>
      <sz val="18"/>
      <color theme="1"/>
      <name val="Symbol"/>
      <family val="1"/>
      <charset val="2"/>
    </font>
    <font>
      <b/>
      <vertAlign val="subscript"/>
      <sz val="18"/>
      <color theme="1"/>
      <name val="Calibri"/>
      <family val="2"/>
      <scheme val="minor"/>
    </font>
    <font>
      <b/>
      <vertAlign val="superscript"/>
      <sz val="18"/>
      <color theme="1"/>
      <name val="Calibri"/>
      <family val="2"/>
      <scheme val="minor"/>
    </font>
    <font>
      <b/>
      <sz val="28"/>
      <color theme="1"/>
      <name val="Calibri"/>
      <family val="2"/>
      <scheme val="minor"/>
    </font>
    <font>
      <b/>
      <sz val="48"/>
      <color theme="1"/>
      <name val="Calibri"/>
      <family val="2"/>
      <scheme val="minor"/>
    </font>
    <font>
      <b/>
      <i/>
      <sz val="24"/>
      <color theme="1"/>
      <name val="Calibri"/>
      <family val="2"/>
      <scheme val="minor"/>
    </font>
    <font>
      <b/>
      <sz val="24"/>
      <color theme="1"/>
      <name val="Symbol"/>
      <family val="1"/>
      <charset val="2"/>
    </font>
    <font>
      <b/>
      <vertAlign val="subscript"/>
      <sz val="48"/>
      <color theme="1"/>
      <name val="Calibri"/>
      <family val="2"/>
      <scheme val="minor"/>
    </font>
    <font>
      <b/>
      <sz val="48"/>
      <color theme="1"/>
      <name val="Calibri"/>
      <family val="2"/>
    </font>
    <font>
      <sz val="28"/>
      <color theme="1"/>
      <name val="Calibri"/>
      <family val="2"/>
      <scheme val="minor"/>
    </font>
    <font>
      <b/>
      <sz val="14"/>
      <color theme="1"/>
      <name val="Calibri"/>
      <family val="2"/>
    </font>
    <font>
      <b/>
      <vertAlign val="subscript"/>
      <sz val="14"/>
      <color theme="1"/>
      <name val="Calibri"/>
      <family val="2"/>
    </font>
    <font>
      <b/>
      <i/>
      <sz val="12"/>
      <color rgb="FFFF0000"/>
      <name val="Calibri"/>
      <family val="2"/>
      <scheme val="minor"/>
    </font>
    <font>
      <b/>
      <vertAlign val="subscript"/>
      <sz val="16"/>
      <name val="Calibri"/>
      <family val="2"/>
      <scheme val="minor"/>
    </font>
    <font>
      <b/>
      <sz val="14"/>
      <color theme="1"/>
      <name val="Arial"/>
      <family val="2"/>
    </font>
    <font>
      <vertAlign val="superscript"/>
      <sz val="11"/>
      <color theme="1"/>
      <name val="Calibri"/>
      <family val="2"/>
      <scheme val="minor"/>
    </font>
    <font>
      <b/>
      <vertAlign val="superscript"/>
      <sz val="14"/>
      <color theme="1"/>
      <name val="Arial"/>
      <family val="2"/>
    </font>
    <font>
      <b/>
      <sz val="14"/>
      <color theme="0"/>
      <name val="Calibri"/>
      <family val="2"/>
      <scheme val="minor"/>
    </font>
    <font>
      <sz val="11"/>
      <color theme="1"/>
      <name val="Calibri"/>
      <family val="2"/>
      <scheme val="minor"/>
    </font>
    <font>
      <b/>
      <sz val="16"/>
      <color theme="1"/>
      <name val="Calibri"/>
      <family val="2"/>
      <scheme val="minor"/>
    </font>
    <font>
      <b/>
      <sz val="18"/>
      <color theme="1"/>
      <name val="Calibri"/>
      <family val="2"/>
      <scheme val="minor"/>
    </font>
    <font>
      <b/>
      <i/>
      <sz val="18"/>
      <color theme="1"/>
      <name val="Calibri"/>
      <family val="2"/>
      <scheme val="minor"/>
    </font>
    <font>
      <b/>
      <sz val="14"/>
      <color theme="1"/>
      <name val="Calibri"/>
      <family val="2"/>
      <scheme val="minor"/>
    </font>
    <font>
      <b/>
      <sz val="12"/>
      <color theme="1"/>
      <name val="Calibri"/>
      <family val="2"/>
      <scheme val="minor"/>
    </font>
    <font>
      <sz val="14"/>
      <color theme="1"/>
      <name val="Calibri"/>
      <family val="2"/>
      <scheme val="minor"/>
    </font>
    <font>
      <b/>
      <sz val="14"/>
      <name val="Calibri"/>
      <family val="2"/>
      <scheme val="minor"/>
    </font>
    <font>
      <b/>
      <sz val="14"/>
      <color theme="0"/>
      <name val="Calibri"/>
      <family val="2"/>
      <scheme val="minor"/>
    </font>
    <font>
      <b/>
      <vertAlign val="subscript"/>
      <sz val="14"/>
      <color theme="1"/>
      <name val="Calibri"/>
      <family val="2"/>
      <scheme val="minor"/>
    </font>
    <font>
      <b/>
      <vertAlign val="subscript"/>
      <sz val="14"/>
      <color theme="1"/>
      <name val="Arial"/>
      <family val="2"/>
    </font>
    <font>
      <b/>
      <sz val="11.2"/>
      <color theme="1"/>
      <name val="Arial"/>
      <family val="2"/>
    </font>
    <font>
      <b/>
      <vertAlign val="subscript"/>
      <sz val="11.2"/>
      <color theme="1"/>
      <name val="Calibri"/>
      <family val="2"/>
    </font>
    <font>
      <b/>
      <vertAlign val="subscript"/>
      <sz val="14"/>
      <name val="Calibri"/>
      <family val="2"/>
      <scheme val="minor"/>
    </font>
    <font>
      <b/>
      <vertAlign val="subscript"/>
      <sz val="14"/>
      <color theme="0"/>
      <name val="Calibri"/>
      <family val="2"/>
      <scheme val="minor"/>
    </font>
    <font>
      <b/>
      <i/>
      <vertAlign val="subscript"/>
      <sz val="12"/>
      <color theme="1"/>
      <name val="Calibri"/>
      <family val="2"/>
      <scheme val="minor"/>
    </font>
    <font>
      <b/>
      <vertAlign val="superscript"/>
      <sz val="14"/>
      <color theme="1"/>
      <name val="Calibri"/>
      <family val="2"/>
      <scheme val="minor"/>
    </font>
    <font>
      <b/>
      <sz val="12"/>
      <name val="Calibri"/>
      <family val="2"/>
      <scheme val="minor"/>
    </font>
    <font>
      <b/>
      <sz val="12"/>
      <color theme="0"/>
      <name val="Calibri"/>
      <family val="2"/>
      <scheme val="minor"/>
    </font>
    <font>
      <b/>
      <sz val="18"/>
      <color theme="0"/>
      <name val="Calibri"/>
      <family val="2"/>
      <scheme val="minor"/>
    </font>
    <font>
      <b/>
      <i/>
      <sz val="22"/>
      <color theme="1"/>
      <name val="Calibri"/>
      <family val="2"/>
      <scheme val="minor"/>
    </font>
    <font>
      <b/>
      <i/>
      <sz val="14"/>
      <color theme="1"/>
      <name val="Calibri"/>
      <family val="2"/>
      <scheme val="minor"/>
    </font>
    <font>
      <b/>
      <i/>
      <sz val="14"/>
      <name val="Calibri"/>
      <family val="2"/>
      <scheme val="minor"/>
    </font>
    <font>
      <b/>
      <vertAlign val="subscript"/>
      <sz val="12"/>
      <color theme="1"/>
      <name val="Calibri"/>
      <family val="2"/>
      <scheme val="minor"/>
    </font>
    <font>
      <b/>
      <sz val="12"/>
      <color theme="1"/>
      <name val="Arial"/>
      <family val="2"/>
    </font>
    <font>
      <b/>
      <i/>
      <sz val="12"/>
      <name val="Calibri"/>
      <family val="2"/>
      <scheme val="minor"/>
    </font>
    <font>
      <b/>
      <sz val="10"/>
      <color theme="1"/>
      <name val="Calibri"/>
      <family val="2"/>
      <scheme val="minor"/>
    </font>
    <font>
      <sz val="10"/>
      <color theme="1"/>
      <name val="Calibri"/>
      <family val="2"/>
      <scheme val="minor"/>
    </font>
    <font>
      <b/>
      <sz val="10"/>
      <name val="Calibri"/>
      <family val="2"/>
      <scheme val="minor"/>
    </font>
    <font>
      <b/>
      <sz val="16"/>
      <color theme="0"/>
      <name val="Calibri"/>
      <family val="2"/>
      <scheme val="minor"/>
    </font>
    <font>
      <b/>
      <vertAlign val="subscript"/>
      <sz val="16"/>
      <color theme="0"/>
      <name val="Calibri"/>
      <family val="2"/>
      <scheme val="minor"/>
    </font>
    <font>
      <b/>
      <i/>
      <u/>
      <sz val="16"/>
      <color theme="1"/>
      <name val="Calibri"/>
      <family val="2"/>
      <scheme val="minor"/>
    </font>
    <font>
      <b/>
      <vertAlign val="subscript"/>
      <sz val="9.8000000000000007"/>
      <color theme="1"/>
      <name val="Calibri"/>
      <family val="2"/>
    </font>
    <font>
      <b/>
      <sz val="11"/>
      <color theme="1"/>
      <name val="Arial"/>
      <family val="2"/>
    </font>
    <font>
      <b/>
      <sz val="9"/>
      <color theme="1"/>
      <name val="Calibri"/>
      <family val="2"/>
      <scheme val="minor"/>
    </font>
    <font>
      <sz val="9"/>
      <color theme="1"/>
      <name val="Calibri"/>
      <family val="2"/>
      <scheme val="minor"/>
    </font>
    <font>
      <b/>
      <sz val="11"/>
      <color theme="1"/>
      <name val="Calibri"/>
      <family val="2"/>
    </font>
    <font>
      <b/>
      <sz val="11"/>
      <name val="Calibri"/>
      <family val="2"/>
      <scheme val="minor"/>
    </font>
    <font>
      <b/>
      <sz val="9"/>
      <name val="Calibri"/>
      <family val="2"/>
      <scheme val="minor"/>
    </font>
    <font>
      <b/>
      <sz val="12"/>
      <color theme="1"/>
      <name val="Calibri"/>
      <family val="2"/>
    </font>
    <font>
      <b/>
      <i/>
      <sz val="16"/>
      <name val="Calibri"/>
      <family val="2"/>
      <scheme val="minor"/>
    </font>
  </fonts>
  <fills count="39">
    <fill>
      <patternFill patternType="none"/>
    </fill>
    <fill>
      <patternFill patternType="gray125"/>
    </fill>
    <fill>
      <patternFill patternType="solid">
        <fgColor rgb="FFFFFF00"/>
        <bgColor indexed="64"/>
      </patternFill>
    </fill>
    <fill>
      <patternFill patternType="solid">
        <fgColor rgb="FFFFFFCC"/>
        <bgColor indexed="64"/>
      </patternFill>
    </fill>
    <fill>
      <patternFill patternType="solid">
        <fgColor theme="9" tint="0.59999389629810485"/>
        <bgColor indexed="64"/>
      </patternFill>
    </fill>
    <fill>
      <patternFill patternType="solid">
        <fgColor theme="2" tint="-0.249977111117893"/>
        <bgColor indexed="64"/>
      </patternFill>
    </fill>
    <fill>
      <patternFill patternType="solid">
        <fgColor theme="8" tint="0.59999389629810485"/>
        <bgColor indexed="64"/>
      </patternFill>
    </fill>
    <fill>
      <patternFill patternType="solid">
        <fgColor rgb="FF92D050"/>
        <bgColor indexed="64"/>
      </patternFill>
    </fill>
    <fill>
      <patternFill patternType="solid">
        <fgColor theme="6" tint="0.59999389629810485"/>
        <bgColor indexed="64"/>
      </patternFill>
    </fill>
    <fill>
      <patternFill patternType="solid">
        <fgColor rgb="FF99FF99"/>
        <bgColor indexed="64"/>
      </patternFill>
    </fill>
    <fill>
      <patternFill patternType="solid">
        <fgColor rgb="FF66FFFF"/>
        <bgColor indexed="64"/>
      </patternFill>
    </fill>
    <fill>
      <patternFill patternType="solid">
        <fgColor rgb="FFCCCCFF"/>
        <bgColor indexed="64"/>
      </patternFill>
    </fill>
    <fill>
      <patternFill patternType="solid">
        <fgColor theme="9" tint="-0.249977111117893"/>
        <bgColor indexed="64"/>
      </patternFill>
    </fill>
    <fill>
      <patternFill patternType="solid">
        <fgColor theme="8" tint="0.79998168889431442"/>
        <bgColor indexed="64"/>
      </patternFill>
    </fill>
    <fill>
      <patternFill patternType="solid">
        <fgColor rgb="FF81DEFF"/>
        <bgColor indexed="64"/>
      </patternFill>
    </fill>
    <fill>
      <patternFill patternType="solid">
        <fgColor rgb="FF66FF99"/>
        <bgColor indexed="64"/>
      </patternFill>
    </fill>
    <fill>
      <patternFill patternType="solid">
        <fgColor rgb="FFCCFFCC"/>
        <bgColor indexed="64"/>
      </patternFill>
    </fill>
    <fill>
      <patternFill patternType="solid">
        <fgColor rgb="FFFFCC66"/>
        <bgColor indexed="64"/>
      </patternFill>
    </fill>
    <fill>
      <patternFill patternType="solid">
        <fgColor theme="8" tint="0.39997558519241921"/>
        <bgColor indexed="64"/>
      </patternFill>
    </fill>
    <fill>
      <patternFill patternType="solid">
        <fgColor theme="0"/>
        <bgColor indexed="64"/>
      </patternFill>
    </fill>
    <fill>
      <patternFill patternType="solid">
        <fgColor rgb="FF99FF66"/>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9" tint="0.79998168889431442"/>
        <bgColor indexed="64"/>
      </patternFill>
    </fill>
    <fill>
      <patternFill patternType="solid">
        <fgColor theme="8"/>
        <bgColor indexed="64"/>
      </patternFill>
    </fill>
    <fill>
      <patternFill patternType="solid">
        <fgColor theme="5" tint="0.79998168889431442"/>
        <bgColor indexed="64"/>
      </patternFill>
    </fill>
    <fill>
      <patternFill patternType="solid">
        <fgColor rgb="FF00B050"/>
        <bgColor indexed="64"/>
      </patternFill>
    </fill>
    <fill>
      <patternFill patternType="solid">
        <fgColor theme="3" tint="0.59999389629810485"/>
        <bgColor indexed="64"/>
      </patternFill>
    </fill>
    <fill>
      <patternFill patternType="solid">
        <fgColor theme="9" tint="-0.499984740745262"/>
        <bgColor indexed="64"/>
      </patternFill>
    </fill>
    <fill>
      <patternFill patternType="solid">
        <fgColor theme="0" tint="-4.9989318521683403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6" tint="-0.499984740745262"/>
        <bgColor indexed="64"/>
      </patternFill>
    </fill>
    <fill>
      <patternFill patternType="solid">
        <fgColor theme="7" tint="-0.249977111117893"/>
        <bgColor indexed="64"/>
      </patternFill>
    </fill>
    <fill>
      <patternFill patternType="solid">
        <fgColor rgb="FFFFFFE1"/>
        <bgColor indexed="64"/>
      </patternFill>
    </fill>
    <fill>
      <patternFill patternType="solid">
        <fgColor rgb="FF00FF00"/>
        <bgColor indexed="64"/>
      </patternFill>
    </fill>
  </fills>
  <borders count="111">
    <border>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thin">
        <color indexed="64"/>
      </top>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ck">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style="thin">
        <color indexed="64"/>
      </right>
      <top style="medium">
        <color indexed="64"/>
      </top>
      <bottom style="thin">
        <color indexed="64"/>
      </bottom>
      <diagonal/>
    </border>
    <border>
      <left style="thin">
        <color indexed="64"/>
      </left>
      <right style="thick">
        <color indexed="64"/>
      </right>
      <top style="medium">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bottom style="medium">
        <color indexed="64"/>
      </bottom>
      <diagonal/>
    </border>
    <border>
      <left style="thin">
        <color indexed="64"/>
      </left>
      <right style="thick">
        <color indexed="64"/>
      </right>
      <top/>
      <bottom/>
      <diagonal/>
    </border>
    <border>
      <left style="thick">
        <color indexed="64"/>
      </left>
      <right/>
      <top/>
      <bottom/>
      <diagonal/>
    </border>
    <border>
      <left style="thin">
        <color indexed="64"/>
      </left>
      <right style="thick">
        <color indexed="64"/>
      </right>
      <top style="thin">
        <color indexed="64"/>
      </top>
      <bottom style="thin">
        <color indexed="64"/>
      </bottom>
      <diagonal/>
    </border>
    <border>
      <left style="thick">
        <color indexed="64"/>
      </left>
      <right/>
      <top/>
      <bottom style="thick">
        <color indexed="64"/>
      </bottom>
      <diagonal/>
    </border>
    <border>
      <left style="thin">
        <color indexed="64"/>
      </left>
      <right/>
      <top style="thin">
        <color indexed="64"/>
      </top>
      <bottom style="thick">
        <color indexed="64"/>
      </bottom>
      <diagonal/>
    </border>
    <border>
      <left style="medium">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style="thick">
        <color indexed="64"/>
      </right>
      <top/>
      <bottom style="thin">
        <color indexed="64"/>
      </bottom>
      <diagonal/>
    </border>
    <border>
      <left style="thick">
        <color indexed="64"/>
      </left>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medium">
        <color indexed="64"/>
      </left>
      <right style="thin">
        <color indexed="64"/>
      </right>
      <top/>
      <bottom style="thick">
        <color indexed="64"/>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right style="thick">
        <color indexed="64"/>
      </right>
      <top style="medium">
        <color indexed="64"/>
      </top>
      <bottom style="thin">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top/>
      <bottom style="thin">
        <color indexed="64"/>
      </bottom>
      <diagonal/>
    </border>
    <border>
      <left style="thick">
        <color indexed="64"/>
      </left>
      <right/>
      <top style="thin">
        <color indexed="64"/>
      </top>
      <bottom style="thick">
        <color indexed="64"/>
      </bottom>
      <diagonal/>
    </border>
    <border>
      <left style="thick">
        <color indexed="64"/>
      </left>
      <right style="thin">
        <color indexed="64"/>
      </right>
      <top style="thick">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ck">
        <color indexed="64"/>
      </right>
      <top style="thin">
        <color indexed="64"/>
      </top>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style="thick">
        <color indexed="64"/>
      </left>
      <right style="thin">
        <color indexed="64"/>
      </right>
      <top/>
      <bottom style="thick">
        <color indexed="64"/>
      </bottom>
      <diagonal/>
    </border>
    <border>
      <left style="thin">
        <color indexed="64"/>
      </left>
      <right style="thick">
        <color indexed="64"/>
      </right>
      <top/>
      <bottom style="thick">
        <color indexed="64"/>
      </bottom>
      <diagonal/>
    </border>
    <border>
      <left/>
      <right/>
      <top style="thick">
        <color indexed="64"/>
      </top>
      <bottom style="thick">
        <color indexed="64"/>
      </bottom>
      <diagonal/>
    </border>
    <border>
      <left/>
      <right/>
      <top/>
      <bottom style="thin">
        <color indexed="64"/>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right style="medium">
        <color indexed="64"/>
      </right>
      <top style="medium">
        <color indexed="64"/>
      </top>
      <bottom style="thick">
        <color indexed="64"/>
      </bottom>
      <diagonal/>
    </border>
    <border>
      <left/>
      <right style="thin">
        <color indexed="64"/>
      </right>
      <top style="thin">
        <color indexed="64"/>
      </top>
      <bottom/>
      <diagonal/>
    </border>
    <border>
      <left style="thick">
        <color indexed="64"/>
      </left>
      <right/>
      <top style="thick">
        <color indexed="64"/>
      </top>
      <bottom style="thin">
        <color indexed="64"/>
      </bottom>
      <diagonal/>
    </border>
    <border>
      <left/>
      <right/>
      <top style="thick">
        <color indexed="64"/>
      </top>
      <bottom style="thin">
        <color indexed="64"/>
      </bottom>
      <diagonal/>
    </border>
    <border>
      <left/>
      <right style="thick">
        <color indexed="64"/>
      </right>
      <top style="thick">
        <color indexed="64"/>
      </top>
      <bottom style="thin">
        <color indexed="64"/>
      </bottom>
      <diagonal/>
    </border>
  </borders>
  <cellStyleXfs count="10">
    <xf numFmtId="0" fontId="0" fillId="0" borderId="0"/>
    <xf numFmtId="9" fontId="2" fillId="0" borderId="0" applyFont="0" applyFill="0" applyBorder="0" applyAlignment="0" applyProtection="0"/>
    <xf numFmtId="0" fontId="17" fillId="0" borderId="0"/>
    <xf numFmtId="0" fontId="20" fillId="0" borderId="0" applyNumberFormat="0" applyFill="0" applyBorder="0" applyProtection="0">
      <alignment vertical="top" wrapText="1"/>
    </xf>
    <xf numFmtId="0" fontId="21" fillId="0" borderId="0">
      <alignment vertical="top"/>
    </xf>
    <xf numFmtId="43" fontId="21" fillId="0" borderId="0" applyFont="0" applyFill="0" applyBorder="0" applyAlignment="0" applyProtection="0"/>
    <xf numFmtId="0" fontId="22" fillId="0" borderId="0"/>
    <xf numFmtId="43" fontId="22" fillId="0" borderId="0" applyFont="0" applyFill="0" applyBorder="0" applyAlignment="0" applyProtection="0"/>
    <xf numFmtId="9" fontId="22" fillId="0" borderId="0" applyFont="0" applyFill="0" applyBorder="0" applyAlignment="0" applyProtection="0"/>
    <xf numFmtId="43" fontId="2" fillId="0" borderId="0" applyFont="0" applyFill="0" applyBorder="0" applyAlignment="0" applyProtection="0"/>
  </cellStyleXfs>
  <cellXfs count="968">
    <xf numFmtId="0" fontId="0" fillId="0" borderId="0" xfId="0"/>
    <xf numFmtId="0" fontId="8" fillId="0" borderId="0" xfId="0" applyFont="1"/>
    <xf numFmtId="0" fontId="4" fillId="5" borderId="21" xfId="0" applyFont="1" applyFill="1" applyBorder="1" applyAlignment="1">
      <alignment horizontal="center" vertical="center" wrapText="1"/>
    </xf>
    <xf numFmtId="0" fontId="0" fillId="0" borderId="0" xfId="0" applyAlignment="1">
      <alignment horizontal="center" vertical="center"/>
    </xf>
    <xf numFmtId="0" fontId="4" fillId="3" borderId="32" xfId="0" applyFont="1" applyFill="1" applyBorder="1" applyAlignment="1">
      <alignment horizontal="center" vertical="center" wrapText="1"/>
    </xf>
    <xf numFmtId="0" fontId="0" fillId="8" borderId="22" xfId="0" applyFill="1" applyBorder="1"/>
    <xf numFmtId="0" fontId="10" fillId="8" borderId="0" xfId="0" quotePrefix="1" applyFont="1" applyFill="1" applyAlignment="1">
      <alignment vertical="center"/>
    </xf>
    <xf numFmtId="0" fontId="10" fillId="8" borderId="0" xfId="0" applyFont="1" applyFill="1" applyAlignment="1">
      <alignment vertical="center"/>
    </xf>
    <xf numFmtId="0" fontId="9" fillId="8" borderId="32" xfId="0" applyFont="1" applyFill="1" applyBorder="1" applyAlignment="1">
      <alignment vertical="center"/>
    </xf>
    <xf numFmtId="0" fontId="9" fillId="8" borderId="0" xfId="0" applyFont="1" applyFill="1" applyAlignment="1">
      <alignment vertical="center"/>
    </xf>
    <xf numFmtId="0" fontId="3" fillId="3" borderId="32" xfId="0" applyFont="1" applyFill="1" applyBorder="1" applyAlignment="1">
      <alignment horizontal="center" vertical="center" wrapText="1"/>
    </xf>
    <xf numFmtId="0" fontId="3" fillId="3" borderId="0" xfId="0" applyFont="1" applyFill="1" applyAlignment="1">
      <alignment horizontal="center" vertical="center" wrapText="1"/>
    </xf>
    <xf numFmtId="0" fontId="13" fillId="4" borderId="27" xfId="0" applyFont="1" applyFill="1" applyBorder="1" applyAlignment="1">
      <alignment horizontal="center" vertical="center"/>
    </xf>
    <xf numFmtId="0" fontId="13" fillId="4" borderId="41" xfId="0" applyFont="1" applyFill="1" applyBorder="1" applyAlignment="1">
      <alignment horizontal="center" vertical="center"/>
    </xf>
    <xf numFmtId="0" fontId="13" fillId="4" borderId="42" xfId="0" applyFont="1" applyFill="1" applyBorder="1" applyAlignment="1">
      <alignment horizontal="center" vertical="center"/>
    </xf>
    <xf numFmtId="0" fontId="13" fillId="6" borderId="12" xfId="0" applyFont="1" applyFill="1" applyBorder="1" applyAlignment="1">
      <alignment horizontal="center" vertical="center" wrapText="1"/>
    </xf>
    <xf numFmtId="0" fontId="13" fillId="6" borderId="16" xfId="0" applyFont="1" applyFill="1" applyBorder="1" applyAlignment="1">
      <alignment horizontal="center" vertical="center" wrapText="1"/>
    </xf>
    <xf numFmtId="0" fontId="13" fillId="6" borderId="19" xfId="0" applyFont="1" applyFill="1" applyBorder="1" applyAlignment="1">
      <alignment horizontal="center" vertical="center" wrapText="1"/>
    </xf>
    <xf numFmtId="0" fontId="0" fillId="8" borderId="22" xfId="0" applyFill="1" applyBorder="1" applyAlignment="1">
      <alignment horizontal="center" vertical="center"/>
    </xf>
    <xf numFmtId="0" fontId="0" fillId="8" borderId="23" xfId="0" applyFill="1" applyBorder="1" applyAlignment="1">
      <alignment horizontal="center" vertical="center"/>
    </xf>
    <xf numFmtId="0" fontId="0" fillId="8" borderId="0" xfId="0" applyFill="1" applyAlignment="1">
      <alignment horizontal="center" vertical="center"/>
    </xf>
    <xf numFmtId="0" fontId="0" fillId="8" borderId="5" xfId="0" applyFill="1" applyBorder="1" applyAlignment="1">
      <alignment horizontal="center" vertical="center"/>
    </xf>
    <xf numFmtId="0" fontId="10" fillId="7" borderId="13" xfId="0" applyFont="1" applyFill="1" applyBorder="1" applyAlignment="1">
      <alignment horizontal="center" vertical="center"/>
    </xf>
    <xf numFmtId="0" fontId="14" fillId="8" borderId="21" xfId="0" applyFont="1" applyFill="1" applyBorder="1" applyAlignment="1">
      <alignment horizontal="left" vertical="center" indent="1"/>
    </xf>
    <xf numFmtId="0" fontId="14" fillId="8" borderId="32" xfId="0" applyFont="1" applyFill="1" applyBorder="1" applyAlignment="1">
      <alignment horizontal="left" vertical="center" wrapText="1" indent="1"/>
    </xf>
    <xf numFmtId="0" fontId="14" fillId="8" borderId="24" xfId="0" applyFont="1" applyFill="1" applyBorder="1" applyAlignment="1">
      <alignment horizontal="left" vertical="center" wrapText="1" indent="1"/>
    </xf>
    <xf numFmtId="0" fontId="10" fillId="8" borderId="32" xfId="0" quotePrefix="1" applyFont="1" applyFill="1" applyBorder="1" applyAlignment="1">
      <alignment horizontal="right" vertical="center" indent="1"/>
    </xf>
    <xf numFmtId="0" fontId="10" fillId="8" borderId="0" xfId="0" quotePrefix="1" applyFont="1" applyFill="1" applyAlignment="1">
      <alignment horizontal="left" vertical="center" indent="1"/>
    </xf>
    <xf numFmtId="0" fontId="13" fillId="6" borderId="45" xfId="0" applyFont="1" applyFill="1" applyBorder="1" applyAlignment="1">
      <alignment horizontal="center" vertical="center" wrapText="1"/>
    </xf>
    <xf numFmtId="0" fontId="13" fillId="6" borderId="47" xfId="0" applyFont="1" applyFill="1" applyBorder="1" applyAlignment="1">
      <alignment horizontal="center" vertical="center" wrapText="1"/>
    </xf>
    <xf numFmtId="0" fontId="13" fillId="4" borderId="43" xfId="0" applyFont="1" applyFill="1" applyBorder="1" applyAlignment="1">
      <alignment horizontal="center" vertical="center"/>
    </xf>
    <xf numFmtId="1" fontId="10" fillId="8" borderId="0" xfId="0" applyNumberFormat="1" applyFont="1" applyFill="1" applyAlignment="1">
      <alignment horizontal="center" vertical="center"/>
    </xf>
    <xf numFmtId="1" fontId="10" fillId="7" borderId="13" xfId="0" applyNumberFormat="1" applyFont="1" applyFill="1" applyBorder="1" applyAlignment="1">
      <alignment horizontal="center" vertical="center"/>
    </xf>
    <xf numFmtId="164" fontId="10" fillId="7" borderId="13" xfId="0" applyNumberFormat="1" applyFont="1" applyFill="1" applyBorder="1" applyAlignment="1">
      <alignment horizontal="center" vertical="center"/>
    </xf>
    <xf numFmtId="0" fontId="14" fillId="8" borderId="21" xfId="0" applyFont="1" applyFill="1" applyBorder="1" applyAlignment="1">
      <alignment horizontal="center" vertical="center"/>
    </xf>
    <xf numFmtId="0" fontId="14" fillId="8" borderId="0" xfId="0" applyFont="1" applyFill="1" applyAlignment="1">
      <alignment horizontal="left" vertical="center" indent="1"/>
    </xf>
    <xf numFmtId="0" fontId="14" fillId="8" borderId="5" xfId="0" applyFont="1" applyFill="1" applyBorder="1" applyAlignment="1">
      <alignment horizontal="left" vertical="center" indent="1"/>
    </xf>
    <xf numFmtId="0" fontId="10" fillId="8" borderId="24" xfId="0" quotePrefix="1" applyFont="1" applyFill="1" applyBorder="1" applyAlignment="1">
      <alignment horizontal="right" vertical="center" indent="1"/>
    </xf>
    <xf numFmtId="1" fontId="10" fillId="8" borderId="9" xfId="0" applyNumberFormat="1" applyFont="1" applyFill="1" applyBorder="1" applyAlignment="1">
      <alignment horizontal="center" vertical="center"/>
    </xf>
    <xf numFmtId="0" fontId="10" fillId="8" borderId="9" xfId="0" quotePrefix="1" applyFont="1" applyFill="1" applyBorder="1" applyAlignment="1">
      <alignment horizontal="left" vertical="center" indent="1"/>
    </xf>
    <xf numFmtId="0" fontId="10" fillId="8" borderId="9" xfId="0" applyFont="1" applyFill="1" applyBorder="1" applyAlignment="1">
      <alignment vertical="center"/>
    </xf>
    <xf numFmtId="0" fontId="0" fillId="8" borderId="9" xfId="0" applyFill="1" applyBorder="1" applyAlignment="1">
      <alignment horizontal="center" vertical="center"/>
    </xf>
    <xf numFmtId="0" fontId="0" fillId="8" borderId="25" xfId="0" applyFill="1" applyBorder="1" applyAlignment="1">
      <alignment horizontal="center" vertical="center"/>
    </xf>
    <xf numFmtId="167" fontId="10" fillId="7" borderId="13" xfId="0" applyNumberFormat="1" applyFont="1" applyFill="1" applyBorder="1" applyAlignment="1">
      <alignment horizontal="center" vertical="center"/>
    </xf>
    <xf numFmtId="0" fontId="14" fillId="8" borderId="32" xfId="0" applyFont="1" applyFill="1" applyBorder="1" applyAlignment="1">
      <alignment horizontal="center" vertical="center"/>
    </xf>
    <xf numFmtId="167" fontId="4" fillId="2" borderId="37" xfId="0" applyNumberFormat="1" applyFont="1" applyFill="1" applyBorder="1" applyAlignment="1">
      <alignment horizontal="center" vertical="center"/>
    </xf>
    <xf numFmtId="1" fontId="4" fillId="5" borderId="49" xfId="0" applyNumberFormat="1" applyFont="1" applyFill="1" applyBorder="1" applyAlignment="1">
      <alignment horizontal="center" vertical="center"/>
    </xf>
    <xf numFmtId="1" fontId="4" fillId="5" borderId="2" xfId="0" applyNumberFormat="1" applyFont="1" applyFill="1" applyBorder="1" applyAlignment="1">
      <alignment horizontal="center" vertical="center"/>
    </xf>
    <xf numFmtId="1" fontId="4" fillId="5" borderId="50" xfId="0" applyNumberFormat="1" applyFont="1" applyFill="1" applyBorder="1" applyAlignment="1">
      <alignment horizontal="center" vertical="center"/>
    </xf>
    <xf numFmtId="1" fontId="4" fillId="5" borderId="25" xfId="0" applyNumberFormat="1" applyFont="1" applyFill="1" applyBorder="1" applyAlignment="1">
      <alignment horizontal="center" vertical="center"/>
    </xf>
    <xf numFmtId="164" fontId="4" fillId="2" borderId="10" xfId="0" applyNumberFormat="1" applyFont="1" applyFill="1" applyBorder="1" applyAlignment="1">
      <alignment horizontal="center" vertical="center"/>
    </xf>
    <xf numFmtId="164" fontId="4" fillId="12" borderId="10" xfId="0" applyNumberFormat="1" applyFont="1" applyFill="1" applyBorder="1" applyAlignment="1">
      <alignment horizontal="center" vertical="center"/>
    </xf>
    <xf numFmtId="164" fontId="4" fillId="2" borderId="35" xfId="0" applyNumberFormat="1" applyFont="1" applyFill="1" applyBorder="1" applyAlignment="1">
      <alignment horizontal="center" vertical="center"/>
    </xf>
    <xf numFmtId="164" fontId="4" fillId="12" borderId="27" xfId="0" applyNumberFormat="1" applyFont="1" applyFill="1" applyBorder="1" applyAlignment="1">
      <alignment horizontal="center" vertical="center"/>
    </xf>
    <xf numFmtId="164" fontId="4" fillId="2" borderId="27" xfId="0" applyNumberFormat="1" applyFont="1" applyFill="1" applyBorder="1" applyAlignment="1">
      <alignment horizontal="center" vertical="center"/>
    </xf>
    <xf numFmtId="164" fontId="4" fillId="2" borderId="28" xfId="0" applyNumberFormat="1" applyFont="1" applyFill="1" applyBorder="1" applyAlignment="1">
      <alignment horizontal="center" vertical="center"/>
    </xf>
    <xf numFmtId="0" fontId="4" fillId="3" borderId="24" xfId="0" applyFont="1" applyFill="1" applyBorder="1" applyAlignment="1">
      <alignment horizontal="center" vertical="center" wrapText="1"/>
    </xf>
    <xf numFmtId="0" fontId="4" fillId="5" borderId="6" xfId="0" applyFont="1" applyFill="1" applyBorder="1" applyAlignment="1">
      <alignment horizontal="center" vertical="center" wrapText="1"/>
    </xf>
    <xf numFmtId="164" fontId="4" fillId="2" borderId="37" xfId="0" applyNumberFormat="1" applyFont="1" applyFill="1" applyBorder="1" applyAlignment="1">
      <alignment horizontal="center" vertical="center"/>
    </xf>
    <xf numFmtId="167" fontId="5" fillId="9" borderId="2" xfId="0" applyNumberFormat="1" applyFont="1" applyFill="1" applyBorder="1" applyAlignment="1">
      <alignment horizontal="center" vertical="center"/>
    </xf>
    <xf numFmtId="164" fontId="5" fillId="12" borderId="2" xfId="0" applyNumberFormat="1" applyFont="1" applyFill="1" applyBorder="1" applyAlignment="1">
      <alignment horizontal="center" vertical="center"/>
    </xf>
    <xf numFmtId="164" fontId="5" fillId="12" borderId="29" xfId="0" applyNumberFormat="1" applyFont="1" applyFill="1" applyBorder="1" applyAlignment="1">
      <alignment horizontal="center" vertical="center"/>
    </xf>
    <xf numFmtId="164" fontId="5" fillId="9" borderId="29" xfId="0" applyNumberFormat="1" applyFont="1" applyFill="1" applyBorder="1" applyAlignment="1">
      <alignment horizontal="center" vertical="center"/>
    </xf>
    <xf numFmtId="164" fontId="5" fillId="9" borderId="45" xfId="0" applyNumberFormat="1" applyFont="1" applyFill="1" applyBorder="1" applyAlignment="1">
      <alignment horizontal="center" vertical="center"/>
    </xf>
    <xf numFmtId="164" fontId="5" fillId="12" borderId="4" xfId="0" applyNumberFormat="1" applyFont="1" applyFill="1" applyBorder="1" applyAlignment="1">
      <alignment horizontal="center" vertical="center"/>
    </xf>
    <xf numFmtId="164" fontId="5" fillId="12" borderId="13" xfId="0" applyNumberFormat="1" applyFont="1" applyFill="1" applyBorder="1" applyAlignment="1">
      <alignment horizontal="center" vertical="center"/>
    </xf>
    <xf numFmtId="164" fontId="5" fillId="9" borderId="13" xfId="0" applyNumberFormat="1" applyFont="1" applyFill="1" applyBorder="1" applyAlignment="1">
      <alignment horizontal="center" vertical="center"/>
    </xf>
    <xf numFmtId="164" fontId="5" fillId="9" borderId="16" xfId="0" applyNumberFormat="1" applyFont="1" applyFill="1" applyBorder="1" applyAlignment="1">
      <alignment horizontal="center" vertical="center"/>
    </xf>
    <xf numFmtId="164" fontId="5" fillId="9" borderId="4" xfId="0" applyNumberFormat="1" applyFont="1" applyFill="1" applyBorder="1" applyAlignment="1">
      <alignment horizontal="center" vertical="center"/>
    </xf>
    <xf numFmtId="164" fontId="11" fillId="9" borderId="13" xfId="0" applyNumberFormat="1" applyFont="1" applyFill="1" applyBorder="1" applyAlignment="1">
      <alignment horizontal="center" vertical="center"/>
    </xf>
    <xf numFmtId="164" fontId="11" fillId="5" borderId="16" xfId="0" applyNumberFormat="1" applyFont="1" applyFill="1" applyBorder="1" applyAlignment="1">
      <alignment horizontal="center" vertical="center"/>
    </xf>
    <xf numFmtId="164" fontId="11" fillId="5" borderId="13" xfId="0" applyNumberFormat="1" applyFont="1" applyFill="1" applyBorder="1" applyAlignment="1">
      <alignment horizontal="center" vertical="center"/>
    </xf>
    <xf numFmtId="164" fontId="5" fillId="9" borderId="46" xfId="0" applyNumberFormat="1" applyFont="1" applyFill="1" applyBorder="1" applyAlignment="1">
      <alignment horizontal="center" vertical="center"/>
    </xf>
    <xf numFmtId="164" fontId="5" fillId="9" borderId="18" xfId="0" applyNumberFormat="1" applyFont="1" applyFill="1" applyBorder="1" applyAlignment="1">
      <alignment horizontal="center" vertical="center"/>
    </xf>
    <xf numFmtId="164" fontId="11" fillId="9" borderId="18" xfId="0" applyNumberFormat="1" applyFont="1" applyFill="1" applyBorder="1" applyAlignment="1">
      <alignment horizontal="center" vertical="center"/>
    </xf>
    <xf numFmtId="164" fontId="11" fillId="5" borderId="18" xfId="0" applyNumberFormat="1" applyFont="1" applyFill="1" applyBorder="1" applyAlignment="1">
      <alignment horizontal="center" vertical="center"/>
    </xf>
    <xf numFmtId="164" fontId="11" fillId="5" borderId="19" xfId="0" applyNumberFormat="1" applyFont="1" applyFill="1" applyBorder="1" applyAlignment="1">
      <alignment horizontal="center" vertical="center"/>
    </xf>
    <xf numFmtId="165" fontId="0" fillId="0" borderId="0" xfId="0" applyNumberFormat="1" applyAlignment="1">
      <alignment horizontal="center" vertical="center"/>
    </xf>
    <xf numFmtId="0" fontId="13" fillId="0" borderId="0" xfId="0" applyFont="1" applyAlignment="1">
      <alignment horizontal="left" vertical="center"/>
    </xf>
    <xf numFmtId="0" fontId="16" fillId="3" borderId="26" xfId="0" applyFont="1" applyFill="1" applyBorder="1" applyAlignment="1">
      <alignment horizontal="center" vertical="center"/>
    </xf>
    <xf numFmtId="1" fontId="12" fillId="11" borderId="10" xfId="0" applyNumberFormat="1" applyFont="1" applyFill="1" applyBorder="1" applyAlignment="1">
      <alignment horizontal="center" vertical="center"/>
    </xf>
    <xf numFmtId="1" fontId="12" fillId="11" borderId="11" xfId="0" applyNumberFormat="1" applyFont="1" applyFill="1" applyBorder="1" applyAlignment="1">
      <alignment horizontal="center" vertical="center"/>
    </xf>
    <xf numFmtId="1" fontId="12" fillId="11" borderId="15" xfId="0" applyNumberFormat="1" applyFont="1" applyFill="1" applyBorder="1" applyAlignment="1">
      <alignment horizontal="center" vertical="center"/>
    </xf>
    <xf numFmtId="1" fontId="12" fillId="11" borderId="13" xfId="0" applyNumberFormat="1" applyFont="1" applyFill="1" applyBorder="1" applyAlignment="1">
      <alignment horizontal="center" vertical="center"/>
    </xf>
    <xf numFmtId="1" fontId="12" fillId="5" borderId="13" xfId="0" applyNumberFormat="1" applyFont="1" applyFill="1" applyBorder="1" applyAlignment="1">
      <alignment horizontal="center" vertical="center"/>
    </xf>
    <xf numFmtId="0" fontId="12" fillId="6" borderId="1" xfId="0" applyFont="1" applyFill="1" applyBorder="1" applyAlignment="1">
      <alignment horizontal="center" vertical="center" wrapText="1"/>
    </xf>
    <xf numFmtId="0" fontId="12" fillId="6" borderId="3" xfId="0" applyFont="1" applyFill="1" applyBorder="1" applyAlignment="1">
      <alignment horizontal="center" vertical="center" wrapText="1"/>
    </xf>
    <xf numFmtId="0" fontId="12" fillId="6" borderId="53" xfId="0" applyFont="1" applyFill="1" applyBorder="1" applyAlignment="1">
      <alignment horizontal="center" vertical="center" wrapText="1"/>
    </xf>
    <xf numFmtId="1" fontId="12" fillId="14" borderId="13" xfId="0" applyNumberFormat="1" applyFont="1" applyFill="1" applyBorder="1" applyAlignment="1">
      <alignment horizontal="center" vertical="center"/>
    </xf>
    <xf numFmtId="1" fontId="12" fillId="9" borderId="13" xfId="0" applyNumberFormat="1" applyFont="1" applyFill="1" applyBorder="1" applyAlignment="1">
      <alignment horizontal="center" vertical="center"/>
    </xf>
    <xf numFmtId="1" fontId="12" fillId="9" borderId="15" xfId="0" applyNumberFormat="1" applyFont="1" applyFill="1" applyBorder="1" applyAlignment="1">
      <alignment horizontal="center" vertical="center"/>
    </xf>
    <xf numFmtId="164" fontId="6" fillId="8" borderId="18" xfId="0" applyNumberFormat="1" applyFont="1" applyFill="1" applyBorder="1" applyAlignment="1">
      <alignment horizontal="center" vertical="center" wrapText="1"/>
    </xf>
    <xf numFmtId="165" fontId="6" fillId="8" borderId="11" xfId="0" applyNumberFormat="1" applyFont="1" applyFill="1" applyBorder="1" applyAlignment="1">
      <alignment horizontal="center" vertical="center" wrapText="1"/>
    </xf>
    <xf numFmtId="164" fontId="6" fillId="8" borderId="64" xfId="0" applyNumberFormat="1" applyFont="1" applyFill="1" applyBorder="1" applyAlignment="1">
      <alignment horizontal="center" vertical="center" wrapText="1"/>
    </xf>
    <xf numFmtId="0" fontId="16" fillId="3" borderId="66" xfId="0" applyFont="1" applyFill="1" applyBorder="1" applyAlignment="1">
      <alignment horizontal="center" vertical="center"/>
    </xf>
    <xf numFmtId="1" fontId="12" fillId="11" borderId="62" xfId="0" applyNumberFormat="1" applyFont="1" applyFill="1" applyBorder="1" applyAlignment="1">
      <alignment horizontal="center" vertical="center"/>
    </xf>
    <xf numFmtId="1" fontId="12" fillId="11" borderId="68" xfId="0" applyNumberFormat="1" applyFont="1" applyFill="1" applyBorder="1" applyAlignment="1">
      <alignment horizontal="center" vertical="center"/>
    </xf>
    <xf numFmtId="1" fontId="12" fillId="14" borderId="68" xfId="0" applyNumberFormat="1" applyFont="1" applyFill="1" applyBorder="1" applyAlignment="1">
      <alignment horizontal="center" vertical="center"/>
    </xf>
    <xf numFmtId="1" fontId="12" fillId="9" borderId="68" xfId="0" applyNumberFormat="1" applyFont="1" applyFill="1" applyBorder="1" applyAlignment="1">
      <alignment horizontal="center" vertical="center"/>
    </xf>
    <xf numFmtId="1" fontId="12" fillId="5" borderId="68" xfId="0" applyNumberFormat="1" applyFont="1" applyFill="1" applyBorder="1" applyAlignment="1">
      <alignment horizontal="center" vertical="center"/>
    </xf>
    <xf numFmtId="0" fontId="12" fillId="6" borderId="70" xfId="0" applyFont="1" applyFill="1" applyBorder="1" applyAlignment="1">
      <alignment horizontal="center" vertical="center" wrapText="1"/>
    </xf>
    <xf numFmtId="1" fontId="12" fillId="11" borderId="71" xfId="0" applyNumberFormat="1" applyFont="1" applyFill="1" applyBorder="1" applyAlignment="1">
      <alignment horizontal="center" vertical="center"/>
    </xf>
    <xf numFmtId="1" fontId="12" fillId="11" borderId="72" xfId="0" applyNumberFormat="1" applyFont="1" applyFill="1" applyBorder="1" applyAlignment="1">
      <alignment horizontal="center" vertical="center"/>
    </xf>
    <xf numFmtId="1" fontId="12" fillId="14" borderId="72" xfId="0" applyNumberFormat="1" applyFont="1" applyFill="1" applyBorder="1" applyAlignment="1">
      <alignment horizontal="center" vertical="center"/>
    </xf>
    <xf numFmtId="1" fontId="12" fillId="9" borderId="72" xfId="0" applyNumberFormat="1" applyFont="1" applyFill="1" applyBorder="1" applyAlignment="1">
      <alignment horizontal="center" vertical="center"/>
    </xf>
    <xf numFmtId="1" fontId="12" fillId="5" borderId="72" xfId="0" applyNumberFormat="1" applyFont="1" applyFill="1" applyBorder="1" applyAlignment="1">
      <alignment horizontal="center" vertical="center"/>
    </xf>
    <xf numFmtId="1" fontId="12" fillId="5" borderId="73" xfId="0" applyNumberFormat="1" applyFont="1" applyFill="1" applyBorder="1" applyAlignment="1">
      <alignment horizontal="center" vertical="center"/>
    </xf>
    <xf numFmtId="167" fontId="12" fillId="11" borderId="10" xfId="0" applyNumberFormat="1" applyFont="1" applyFill="1" applyBorder="1" applyAlignment="1">
      <alignment horizontal="center" vertical="center"/>
    </xf>
    <xf numFmtId="167" fontId="12" fillId="11" borderId="11" xfId="0" applyNumberFormat="1" applyFont="1" applyFill="1" applyBorder="1" applyAlignment="1">
      <alignment horizontal="center" vertical="center"/>
    </xf>
    <xf numFmtId="167" fontId="12" fillId="11" borderId="62" xfId="0" applyNumberFormat="1" applyFont="1" applyFill="1" applyBorder="1" applyAlignment="1">
      <alignment horizontal="center" vertical="center"/>
    </xf>
    <xf numFmtId="167" fontId="12" fillId="11" borderId="15" xfId="0" applyNumberFormat="1" applyFont="1" applyFill="1" applyBorder="1" applyAlignment="1">
      <alignment horizontal="center" vertical="center"/>
    </xf>
    <xf numFmtId="167" fontId="12" fillId="11" borderId="13" xfId="0" applyNumberFormat="1" applyFont="1" applyFill="1" applyBorder="1" applyAlignment="1">
      <alignment horizontal="center" vertical="center"/>
    </xf>
    <xf numFmtId="167" fontId="12" fillId="11" borderId="68" xfId="0" applyNumberFormat="1" applyFont="1" applyFill="1" applyBorder="1" applyAlignment="1">
      <alignment horizontal="center" vertical="center"/>
    </xf>
    <xf numFmtId="167" fontId="12" fillId="9" borderId="13" xfId="0" applyNumberFormat="1" applyFont="1" applyFill="1" applyBorder="1" applyAlignment="1">
      <alignment horizontal="center" vertical="center"/>
    </xf>
    <xf numFmtId="167" fontId="12" fillId="14" borderId="68" xfId="0" applyNumberFormat="1" applyFont="1" applyFill="1" applyBorder="1" applyAlignment="1">
      <alignment horizontal="center" vertical="center"/>
    </xf>
    <xf numFmtId="167" fontId="12" fillId="14" borderId="13" xfId="0" applyNumberFormat="1" applyFont="1" applyFill="1" applyBorder="1" applyAlignment="1">
      <alignment horizontal="center" vertical="center"/>
    </xf>
    <xf numFmtId="167" fontId="12" fillId="9" borderId="68" xfId="0" applyNumberFormat="1" applyFont="1" applyFill="1" applyBorder="1" applyAlignment="1">
      <alignment horizontal="center" vertical="center"/>
    </xf>
    <xf numFmtId="167" fontId="12" fillId="9" borderId="15" xfId="0" applyNumberFormat="1" applyFont="1" applyFill="1" applyBorder="1" applyAlignment="1">
      <alignment horizontal="center" vertical="center"/>
    </xf>
    <xf numFmtId="167" fontId="12" fillId="5" borderId="68" xfId="0" applyNumberFormat="1" applyFont="1" applyFill="1" applyBorder="1" applyAlignment="1">
      <alignment horizontal="center" vertical="center"/>
    </xf>
    <xf numFmtId="167" fontId="12" fillId="5" borderId="13" xfId="0" applyNumberFormat="1" applyFont="1" applyFill="1" applyBorder="1" applyAlignment="1">
      <alignment horizontal="center" vertical="center"/>
    </xf>
    <xf numFmtId="167" fontId="12" fillId="11" borderId="71" xfId="0" applyNumberFormat="1" applyFont="1" applyFill="1" applyBorder="1" applyAlignment="1">
      <alignment horizontal="center" vertical="center"/>
    </xf>
    <xf numFmtId="167" fontId="12" fillId="11" borderId="72" xfId="0" applyNumberFormat="1" applyFont="1" applyFill="1" applyBorder="1" applyAlignment="1">
      <alignment horizontal="center" vertical="center"/>
    </xf>
    <xf numFmtId="167" fontId="12" fillId="14" borderId="72" xfId="0" applyNumberFormat="1" applyFont="1" applyFill="1" applyBorder="1" applyAlignment="1">
      <alignment horizontal="center" vertical="center"/>
    </xf>
    <xf numFmtId="167" fontId="12" fillId="9" borderId="72" xfId="0" applyNumberFormat="1" applyFont="1" applyFill="1" applyBorder="1" applyAlignment="1">
      <alignment horizontal="center" vertical="center"/>
    </xf>
    <xf numFmtId="167" fontId="12" fillId="5" borderId="72" xfId="0" applyNumberFormat="1" applyFont="1" applyFill="1" applyBorder="1" applyAlignment="1">
      <alignment horizontal="center" vertical="center"/>
    </xf>
    <xf numFmtId="167" fontId="12" fillId="5" borderId="73" xfId="0" applyNumberFormat="1" applyFont="1" applyFill="1" applyBorder="1" applyAlignment="1">
      <alignment horizontal="center" vertical="center"/>
    </xf>
    <xf numFmtId="165" fontId="6" fillId="8" borderId="62" xfId="0" applyNumberFormat="1" applyFont="1" applyFill="1" applyBorder="1" applyAlignment="1">
      <alignment horizontal="center" vertical="center" wrapText="1"/>
    </xf>
    <xf numFmtId="1" fontId="12" fillId="2" borderId="13" xfId="0" applyNumberFormat="1" applyFont="1" applyFill="1" applyBorder="1" applyAlignment="1">
      <alignment horizontal="center" vertical="center"/>
    </xf>
    <xf numFmtId="167" fontId="12" fillId="2" borderId="13" xfId="0" applyNumberFormat="1" applyFont="1" applyFill="1" applyBorder="1" applyAlignment="1">
      <alignment horizontal="center" vertical="center"/>
    </xf>
    <xf numFmtId="0" fontId="33" fillId="0" borderId="0" xfId="0" applyFont="1"/>
    <xf numFmtId="0" fontId="13" fillId="6" borderId="3" xfId="0" applyFont="1" applyFill="1" applyBorder="1" applyAlignment="1">
      <alignment horizontal="center" vertical="center" wrapText="1"/>
    </xf>
    <xf numFmtId="0" fontId="13" fillId="6" borderId="33" xfId="0" applyFont="1" applyFill="1" applyBorder="1" applyAlignment="1">
      <alignment horizontal="center" vertical="center" wrapText="1"/>
    </xf>
    <xf numFmtId="0" fontId="13" fillId="6" borderId="1" xfId="0" applyFont="1" applyFill="1" applyBorder="1" applyAlignment="1">
      <alignment horizontal="center" vertical="center" wrapText="1"/>
    </xf>
    <xf numFmtId="0" fontId="13" fillId="6" borderId="53" xfId="0" applyFont="1" applyFill="1" applyBorder="1" applyAlignment="1">
      <alignment horizontal="center" vertical="center" wrapText="1"/>
    </xf>
    <xf numFmtId="0" fontId="13" fillId="6" borderId="34" xfId="0" applyFont="1" applyFill="1" applyBorder="1" applyAlignment="1">
      <alignment horizontal="center" vertical="center" wrapText="1"/>
    </xf>
    <xf numFmtId="0" fontId="13" fillId="4" borderId="51" xfId="0" applyFont="1" applyFill="1" applyBorder="1" applyAlignment="1">
      <alignment horizontal="center" vertical="center"/>
    </xf>
    <xf numFmtId="0" fontId="13" fillId="4" borderId="52" xfId="0" applyFont="1" applyFill="1" applyBorder="1" applyAlignment="1">
      <alignment horizontal="center" vertical="center"/>
    </xf>
    <xf numFmtId="0" fontId="13" fillId="4" borderId="55" xfId="0" applyFont="1" applyFill="1" applyBorder="1" applyAlignment="1">
      <alignment horizontal="center" vertical="center"/>
    </xf>
    <xf numFmtId="0" fontId="13" fillId="4" borderId="40" xfId="0" applyFont="1" applyFill="1" applyBorder="1" applyAlignment="1">
      <alignment horizontal="center" vertical="center"/>
    </xf>
    <xf numFmtId="167" fontId="4" fillId="5" borderId="13" xfId="0" applyNumberFormat="1" applyFont="1" applyFill="1" applyBorder="1" applyAlignment="1">
      <alignment horizontal="center" vertical="center"/>
    </xf>
    <xf numFmtId="167" fontId="4" fillId="8" borderId="13" xfId="0" applyNumberFormat="1" applyFont="1" applyFill="1" applyBorder="1" applyAlignment="1">
      <alignment horizontal="center" vertical="center"/>
    </xf>
    <xf numFmtId="164" fontId="4" fillId="8" borderId="13" xfId="0" applyNumberFormat="1" applyFont="1" applyFill="1" applyBorder="1" applyAlignment="1">
      <alignment horizontal="center" vertical="center"/>
    </xf>
    <xf numFmtId="164" fontId="4" fillId="8" borderId="16" xfId="0" applyNumberFormat="1" applyFont="1" applyFill="1" applyBorder="1" applyAlignment="1">
      <alignment horizontal="center" vertical="center"/>
    </xf>
    <xf numFmtId="164" fontId="4" fillId="8" borderId="18" xfId="0" applyNumberFormat="1" applyFont="1" applyFill="1" applyBorder="1" applyAlignment="1">
      <alignment horizontal="center" vertical="center"/>
    </xf>
    <xf numFmtId="164" fontId="4" fillId="8" borderId="10" xfId="0" applyNumberFormat="1" applyFont="1" applyFill="1" applyBorder="1" applyAlignment="1">
      <alignment horizontal="center" vertical="center"/>
    </xf>
    <xf numFmtId="164" fontId="4" fillId="8" borderId="11" xfId="0" applyNumberFormat="1" applyFont="1" applyFill="1" applyBorder="1" applyAlignment="1">
      <alignment horizontal="center" vertical="center"/>
    </xf>
    <xf numFmtId="164" fontId="4" fillId="8" borderId="12" xfId="0" applyNumberFormat="1" applyFont="1" applyFill="1" applyBorder="1" applyAlignment="1">
      <alignment horizontal="center" vertical="center"/>
    </xf>
    <xf numFmtId="164" fontId="4" fillId="8" borderId="15" xfId="0" applyNumberFormat="1" applyFont="1" applyFill="1" applyBorder="1" applyAlignment="1">
      <alignment horizontal="center" vertical="center"/>
    </xf>
    <xf numFmtId="164" fontId="4" fillId="8" borderId="17" xfId="0" applyNumberFormat="1" applyFont="1" applyFill="1" applyBorder="1" applyAlignment="1">
      <alignment horizontal="center" vertical="center"/>
    </xf>
    <xf numFmtId="2" fontId="6" fillId="4" borderId="18" xfId="0" applyNumberFormat="1" applyFont="1" applyFill="1" applyBorder="1" applyAlignment="1">
      <alignment horizontal="center" vertical="center"/>
    </xf>
    <xf numFmtId="2" fontId="6" fillId="4" borderId="19" xfId="0" applyNumberFormat="1" applyFont="1" applyFill="1" applyBorder="1" applyAlignment="1">
      <alignment horizontal="center" vertical="center"/>
    </xf>
    <xf numFmtId="2" fontId="6" fillId="4" borderId="46" xfId="0" applyNumberFormat="1" applyFont="1" applyFill="1" applyBorder="1" applyAlignment="1">
      <alignment horizontal="center" vertical="center"/>
    </xf>
    <xf numFmtId="0" fontId="5" fillId="13" borderId="39" xfId="0" applyFont="1" applyFill="1" applyBorder="1" applyAlignment="1">
      <alignment horizontal="center" vertical="center"/>
    </xf>
    <xf numFmtId="0" fontId="5" fillId="13" borderId="14" xfId="0" applyFont="1" applyFill="1" applyBorder="1" applyAlignment="1">
      <alignment horizontal="center"/>
    </xf>
    <xf numFmtId="2" fontId="6" fillId="4" borderId="17" xfId="0" applyNumberFormat="1" applyFont="1" applyFill="1" applyBorder="1" applyAlignment="1">
      <alignment horizontal="center" vertical="center"/>
    </xf>
    <xf numFmtId="164" fontId="4" fillId="8" borderId="19" xfId="0" applyNumberFormat="1" applyFont="1" applyFill="1" applyBorder="1" applyAlignment="1">
      <alignment horizontal="center" vertical="center"/>
    </xf>
    <xf numFmtId="167" fontId="4" fillId="13" borderId="39" xfId="0" applyNumberFormat="1" applyFont="1" applyFill="1" applyBorder="1" applyAlignment="1">
      <alignment horizontal="center" vertical="center"/>
    </xf>
    <xf numFmtId="167" fontId="4" fillId="13" borderId="38" xfId="0" applyNumberFormat="1" applyFont="1" applyFill="1" applyBorder="1" applyAlignment="1">
      <alignment horizontal="center" vertical="center"/>
    </xf>
    <xf numFmtId="167" fontId="4" fillId="13" borderId="36" xfId="0" applyNumberFormat="1" applyFont="1" applyFill="1" applyBorder="1" applyAlignment="1">
      <alignment horizontal="center" vertical="center"/>
    </xf>
    <xf numFmtId="165" fontId="4" fillId="8" borderId="13" xfId="0" applyNumberFormat="1" applyFont="1" applyFill="1" applyBorder="1" applyAlignment="1">
      <alignment horizontal="center" vertical="center" wrapText="1"/>
    </xf>
    <xf numFmtId="165" fontId="4" fillId="8" borderId="29" xfId="0" applyNumberFormat="1" applyFont="1" applyFill="1" applyBorder="1" applyAlignment="1">
      <alignment horizontal="center" vertical="center" wrapText="1"/>
    </xf>
    <xf numFmtId="1" fontId="5" fillId="4" borderId="17" xfId="0" applyNumberFormat="1" applyFont="1" applyFill="1" applyBorder="1" applyAlignment="1">
      <alignment horizontal="center" vertical="center" wrapText="1"/>
    </xf>
    <xf numFmtId="1" fontId="5" fillId="4" borderId="18" xfId="0" applyNumberFormat="1" applyFont="1" applyFill="1" applyBorder="1" applyAlignment="1">
      <alignment horizontal="center" vertical="center" wrapText="1"/>
    </xf>
    <xf numFmtId="164" fontId="34" fillId="13" borderId="67" xfId="0" applyNumberFormat="1" applyFont="1" applyFill="1" applyBorder="1" applyAlignment="1">
      <alignment horizontal="center" vertical="center" wrapText="1"/>
    </xf>
    <xf numFmtId="164" fontId="4" fillId="13" borderId="85" xfId="0" applyNumberFormat="1" applyFont="1" applyFill="1" applyBorder="1" applyAlignment="1">
      <alignment horizontal="center" vertical="center" wrapText="1"/>
    </xf>
    <xf numFmtId="1" fontId="5" fillId="4" borderId="64" xfId="0" applyNumberFormat="1" applyFont="1" applyFill="1" applyBorder="1" applyAlignment="1">
      <alignment horizontal="center" vertical="center" wrapText="1"/>
    </xf>
    <xf numFmtId="165" fontId="4" fillId="8" borderId="74" xfId="0" applyNumberFormat="1" applyFont="1" applyFill="1" applyBorder="1" applyAlignment="1">
      <alignment horizontal="center" vertical="center" wrapText="1"/>
    </xf>
    <xf numFmtId="165" fontId="4" fillId="8" borderId="68" xfId="0" applyNumberFormat="1" applyFont="1" applyFill="1" applyBorder="1" applyAlignment="1">
      <alignment horizontal="center" vertical="center" wrapText="1"/>
    </xf>
    <xf numFmtId="165" fontId="4" fillId="8" borderId="72" xfId="0" applyNumberFormat="1" applyFont="1" applyFill="1" applyBorder="1" applyAlignment="1">
      <alignment horizontal="center" vertical="center" wrapText="1"/>
    </xf>
    <xf numFmtId="165" fontId="4" fillId="8" borderId="73" xfId="0" applyNumberFormat="1" applyFont="1" applyFill="1" applyBorder="1" applyAlignment="1">
      <alignment horizontal="center" vertical="center" wrapText="1"/>
    </xf>
    <xf numFmtId="164" fontId="4" fillId="13" borderId="75" xfId="0" applyNumberFormat="1" applyFont="1" applyFill="1" applyBorder="1" applyAlignment="1">
      <alignment horizontal="center" vertical="center" wrapText="1"/>
    </xf>
    <xf numFmtId="164" fontId="4" fillId="13" borderId="86" xfId="0" applyNumberFormat="1" applyFont="1" applyFill="1" applyBorder="1" applyAlignment="1">
      <alignment horizontal="center" vertical="center" wrapText="1"/>
    </xf>
    <xf numFmtId="165" fontId="4" fillId="8" borderId="30" xfId="0" applyNumberFormat="1" applyFont="1" applyFill="1" applyBorder="1" applyAlignment="1">
      <alignment horizontal="center" vertical="center" wrapText="1"/>
    </xf>
    <xf numFmtId="165" fontId="4" fillId="8" borderId="77" xfId="0" applyNumberFormat="1" applyFont="1" applyFill="1" applyBorder="1" applyAlignment="1">
      <alignment horizontal="center" vertical="center" wrapText="1"/>
    </xf>
    <xf numFmtId="0" fontId="14" fillId="8" borderId="6" xfId="0" applyFont="1" applyFill="1" applyBorder="1" applyAlignment="1">
      <alignment horizontal="center" vertical="center"/>
    </xf>
    <xf numFmtId="0" fontId="42" fillId="0" borderId="0" xfId="0" applyFont="1" applyAlignment="1">
      <alignment horizontal="right" indent="1"/>
    </xf>
    <xf numFmtId="0" fontId="42" fillId="0" borderId="0" xfId="0" applyFont="1"/>
    <xf numFmtId="0" fontId="42" fillId="0" borderId="0" xfId="0" applyFont="1" applyAlignment="1">
      <alignment horizontal="right" vertical="center" indent="2"/>
    </xf>
    <xf numFmtId="164" fontId="44" fillId="4" borderId="11" xfId="0" applyNumberFormat="1" applyFont="1" applyFill="1" applyBorder="1" applyAlignment="1">
      <alignment horizontal="center" vertical="center"/>
    </xf>
    <xf numFmtId="0" fontId="42" fillId="0" borderId="0" xfId="0" applyFont="1" applyAlignment="1">
      <alignment wrapText="1"/>
    </xf>
    <xf numFmtId="0" fontId="46" fillId="8" borderId="29" xfId="0" applyFont="1" applyFill="1" applyBorder="1" applyAlignment="1">
      <alignment horizontal="right" vertical="center" indent="2"/>
    </xf>
    <xf numFmtId="164" fontId="43" fillId="2" borderId="13" xfId="0" applyNumberFormat="1" applyFont="1" applyFill="1" applyBorder="1" applyAlignment="1">
      <alignment horizontal="center" vertical="center"/>
    </xf>
    <xf numFmtId="0" fontId="47" fillId="0" borderId="13" xfId="0" applyFont="1" applyBorder="1" applyAlignment="1">
      <alignment horizontal="left" vertical="center" indent="1"/>
    </xf>
    <xf numFmtId="0" fontId="46" fillId="0" borderId="29" xfId="0" applyFont="1" applyBorder="1" applyAlignment="1">
      <alignment horizontal="right" vertical="center" indent="2"/>
    </xf>
    <xf numFmtId="0" fontId="47" fillId="8" borderId="13" xfId="0" applyFont="1" applyFill="1" applyBorder="1" applyAlignment="1">
      <alignment horizontal="left" vertical="center" indent="1"/>
    </xf>
    <xf numFmtId="0" fontId="46" fillId="8" borderId="13" xfId="0" applyFont="1" applyFill="1" applyBorder="1" applyAlignment="1">
      <alignment horizontal="left" vertical="center" wrapText="1"/>
    </xf>
    <xf numFmtId="166" fontId="43" fillId="2" borderId="13" xfId="1" applyNumberFormat="1" applyFont="1" applyFill="1" applyBorder="1" applyAlignment="1">
      <alignment horizontal="center" vertical="center"/>
    </xf>
    <xf numFmtId="0" fontId="46" fillId="10" borderId="29" xfId="0" applyFont="1" applyFill="1" applyBorder="1" applyAlignment="1">
      <alignment horizontal="right" vertical="center" indent="2"/>
    </xf>
    <xf numFmtId="164" fontId="46" fillId="8" borderId="13" xfId="0" applyNumberFormat="1" applyFont="1" applyFill="1" applyBorder="1" applyAlignment="1">
      <alignment horizontal="center" vertical="center"/>
    </xf>
    <xf numFmtId="165" fontId="46" fillId="0" borderId="13" xfId="0" applyNumberFormat="1" applyFont="1" applyBorder="1" applyAlignment="1">
      <alignment horizontal="center" vertical="center"/>
    </xf>
    <xf numFmtId="165" fontId="46" fillId="8" borderId="13" xfId="0" applyNumberFormat="1" applyFont="1" applyFill="1" applyBorder="1" applyAlignment="1">
      <alignment horizontal="center" vertical="center"/>
    </xf>
    <xf numFmtId="164" fontId="46" fillId="0" borderId="13" xfId="0" applyNumberFormat="1" applyFont="1" applyBorder="1" applyAlignment="1">
      <alignment horizontal="center" vertical="center"/>
    </xf>
    <xf numFmtId="164" fontId="46" fillId="8" borderId="3" xfId="0" applyNumberFormat="1" applyFont="1" applyFill="1" applyBorder="1" applyAlignment="1">
      <alignment horizontal="center" vertical="center"/>
    </xf>
    <xf numFmtId="164" fontId="46" fillId="0" borderId="3" xfId="0" applyNumberFormat="1" applyFont="1" applyBorder="1" applyAlignment="1">
      <alignment horizontal="center" vertical="center"/>
    </xf>
    <xf numFmtId="165" fontId="46" fillId="8" borderId="3" xfId="0" applyNumberFormat="1" applyFont="1" applyFill="1" applyBorder="1" applyAlignment="1">
      <alignment horizontal="center" vertical="center"/>
    </xf>
    <xf numFmtId="2" fontId="46" fillId="0" borderId="13" xfId="0" applyNumberFormat="1" applyFont="1" applyBorder="1" applyAlignment="1">
      <alignment horizontal="center" vertical="center"/>
    </xf>
    <xf numFmtId="168" fontId="46" fillId="0" borderId="13" xfId="0" applyNumberFormat="1" applyFont="1" applyBorder="1" applyAlignment="1">
      <alignment horizontal="center" vertical="center"/>
    </xf>
    <xf numFmtId="168" fontId="46" fillId="8" borderId="13" xfId="0" applyNumberFormat="1" applyFont="1" applyFill="1" applyBorder="1" applyAlignment="1">
      <alignment horizontal="center" vertical="center"/>
    </xf>
    <xf numFmtId="2" fontId="46" fillId="8" borderId="13" xfId="0" applyNumberFormat="1" applyFont="1" applyFill="1" applyBorder="1" applyAlignment="1">
      <alignment horizontal="center" vertical="center"/>
    </xf>
    <xf numFmtId="4" fontId="46" fillId="0" borderId="3" xfId="0" applyNumberFormat="1" applyFont="1" applyBorder="1" applyAlignment="1">
      <alignment horizontal="center" vertical="center"/>
    </xf>
    <xf numFmtId="4" fontId="46" fillId="8" borderId="3" xfId="0" applyNumberFormat="1" applyFont="1" applyFill="1" applyBorder="1" applyAlignment="1">
      <alignment horizontal="center" vertical="center"/>
    </xf>
    <xf numFmtId="170" fontId="46" fillId="0" borderId="3" xfId="0" applyNumberFormat="1" applyFont="1" applyBorder="1" applyAlignment="1">
      <alignment horizontal="center" vertical="center"/>
    </xf>
    <xf numFmtId="169" fontId="46" fillId="8" borderId="3" xfId="0" applyNumberFormat="1" applyFont="1" applyFill="1" applyBorder="1" applyAlignment="1">
      <alignment horizontal="center" vertical="center"/>
    </xf>
    <xf numFmtId="169" fontId="46" fillId="0" borderId="3" xfId="0" applyNumberFormat="1" applyFont="1" applyBorder="1" applyAlignment="1">
      <alignment horizontal="center" vertical="center"/>
    </xf>
    <xf numFmtId="2" fontId="46" fillId="0" borderId="3" xfId="0" applyNumberFormat="1" applyFont="1" applyBorder="1" applyAlignment="1">
      <alignment horizontal="center" vertical="center"/>
    </xf>
    <xf numFmtId="3" fontId="46" fillId="0" borderId="13" xfId="0" applyNumberFormat="1" applyFont="1" applyBorder="1" applyAlignment="1">
      <alignment horizontal="center" vertical="center"/>
    </xf>
    <xf numFmtId="4" fontId="46" fillId="8" borderId="13" xfId="0" applyNumberFormat="1" applyFont="1" applyFill="1" applyBorder="1" applyAlignment="1">
      <alignment horizontal="center" vertical="center"/>
    </xf>
    <xf numFmtId="4" fontId="46" fillId="0" borderId="13" xfId="0" applyNumberFormat="1" applyFont="1" applyBorder="1" applyAlignment="1">
      <alignment horizontal="center" vertical="center"/>
    </xf>
    <xf numFmtId="167" fontId="46" fillId="8" borderId="13" xfId="0" applyNumberFormat="1" applyFont="1" applyFill="1" applyBorder="1" applyAlignment="1">
      <alignment horizontal="center" vertical="center"/>
    </xf>
    <xf numFmtId="1" fontId="46" fillId="0" borderId="13" xfId="0" applyNumberFormat="1" applyFont="1" applyBorder="1" applyAlignment="1">
      <alignment horizontal="center" vertical="center"/>
    </xf>
    <xf numFmtId="3" fontId="49" fillId="8" borderId="13" xfId="0" applyNumberFormat="1" applyFont="1" applyFill="1" applyBorder="1" applyAlignment="1">
      <alignment horizontal="center" vertical="center"/>
    </xf>
    <xf numFmtId="3" fontId="50" fillId="12" borderId="13" xfId="0" applyNumberFormat="1" applyFont="1" applyFill="1" applyBorder="1" applyAlignment="1">
      <alignment horizontal="center" vertical="center"/>
    </xf>
    <xf numFmtId="0" fontId="42" fillId="0" borderId="0" xfId="0" applyFont="1" applyAlignment="1">
      <alignment vertical="center"/>
    </xf>
    <xf numFmtId="0" fontId="48" fillId="0" borderId="0" xfId="0" applyFont="1" applyAlignment="1">
      <alignment horizontal="right" indent="1"/>
    </xf>
    <xf numFmtId="0" fontId="48" fillId="0" borderId="0" xfId="0" applyFont="1"/>
    <xf numFmtId="0" fontId="48" fillId="0" borderId="0" xfId="0" applyFont="1" applyAlignment="1">
      <alignment horizontal="left" wrapText="1" indent="1"/>
    </xf>
    <xf numFmtId="0" fontId="42" fillId="0" borderId="0" xfId="0" applyFont="1" applyAlignment="1">
      <alignment horizontal="left" wrapText="1" indent="1"/>
    </xf>
    <xf numFmtId="164" fontId="5" fillId="2" borderId="13" xfId="0" applyNumberFormat="1" applyFont="1" applyFill="1" applyBorder="1" applyAlignment="1">
      <alignment horizontal="center" vertical="center"/>
    </xf>
    <xf numFmtId="0" fontId="4" fillId="0" borderId="13" xfId="0" applyFont="1" applyBorder="1" applyAlignment="1">
      <alignment horizontal="left" vertical="center" wrapText="1"/>
    </xf>
    <xf numFmtId="0" fontId="10" fillId="8" borderId="13" xfId="0" applyFont="1" applyFill="1" applyBorder="1" applyAlignment="1">
      <alignment horizontal="left" vertical="center" indent="1"/>
    </xf>
    <xf numFmtId="0" fontId="4" fillId="8" borderId="13" xfId="0" applyFont="1" applyFill="1" applyBorder="1" applyAlignment="1">
      <alignment horizontal="left" vertical="center" wrapText="1"/>
    </xf>
    <xf numFmtId="165" fontId="46" fillId="0" borderId="13" xfId="0" quotePrefix="1" applyNumberFormat="1" applyFont="1" applyBorder="1" applyAlignment="1">
      <alignment horizontal="center" vertical="center"/>
    </xf>
    <xf numFmtId="0" fontId="4" fillId="0" borderId="29" xfId="0" applyFont="1" applyBorder="1" applyAlignment="1">
      <alignment horizontal="left" vertical="center" wrapText="1"/>
    </xf>
    <xf numFmtId="0" fontId="42" fillId="0" borderId="0" xfId="0" applyFont="1" applyAlignment="1">
      <alignment horizontal="left" indent="1"/>
    </xf>
    <xf numFmtId="0" fontId="48" fillId="0" borderId="0" xfId="0" applyFont="1" applyAlignment="1">
      <alignment horizontal="left" indent="1"/>
    </xf>
    <xf numFmtId="164" fontId="6" fillId="4" borderId="11" xfId="0" applyNumberFormat="1" applyFont="1" applyFill="1" applyBorder="1" applyAlignment="1">
      <alignment horizontal="center" vertical="center"/>
    </xf>
    <xf numFmtId="0" fontId="4" fillId="3" borderId="28" xfId="0" applyFont="1" applyFill="1" applyBorder="1" applyAlignment="1">
      <alignment horizontal="center" vertical="center" wrapText="1"/>
    </xf>
    <xf numFmtId="0" fontId="4" fillId="5" borderId="24" xfId="0" applyFont="1" applyFill="1" applyBorder="1" applyAlignment="1">
      <alignment horizontal="center" vertical="center" wrapText="1"/>
    </xf>
    <xf numFmtId="0" fontId="13" fillId="6" borderId="38" xfId="0" applyFont="1" applyFill="1" applyBorder="1" applyAlignment="1">
      <alignment horizontal="center" vertical="center" wrapText="1"/>
    </xf>
    <xf numFmtId="167" fontId="4" fillId="3" borderId="49" xfId="0" applyNumberFormat="1" applyFont="1" applyFill="1" applyBorder="1" applyAlignment="1">
      <alignment horizontal="center" vertical="center"/>
    </xf>
    <xf numFmtId="167" fontId="4" fillId="3" borderId="2" xfId="0" applyNumberFormat="1" applyFont="1" applyFill="1" applyBorder="1" applyAlignment="1">
      <alignment horizontal="center" vertical="center"/>
    </xf>
    <xf numFmtId="0" fontId="13" fillId="6" borderId="88" xfId="0" applyFont="1" applyFill="1" applyBorder="1" applyAlignment="1">
      <alignment horizontal="center" vertical="center" wrapText="1"/>
    </xf>
    <xf numFmtId="0" fontId="13" fillId="6" borderId="36" xfId="0" applyFont="1" applyFill="1" applyBorder="1" applyAlignment="1">
      <alignment horizontal="center" vertical="center" wrapText="1"/>
    </xf>
    <xf numFmtId="167" fontId="4" fillId="3" borderId="50" xfId="0" applyNumberFormat="1" applyFont="1" applyFill="1" applyBorder="1" applyAlignment="1">
      <alignment horizontal="center" vertical="center"/>
    </xf>
    <xf numFmtId="167" fontId="4" fillId="3" borderId="25" xfId="0" applyNumberFormat="1" applyFont="1" applyFill="1" applyBorder="1" applyAlignment="1">
      <alignment horizontal="center" vertical="center"/>
    </xf>
    <xf numFmtId="0" fontId="10" fillId="3" borderId="28" xfId="0" applyFont="1" applyFill="1" applyBorder="1" applyAlignment="1">
      <alignment horizontal="center" vertical="center" wrapText="1"/>
    </xf>
    <xf numFmtId="1" fontId="4" fillId="3" borderId="49" xfId="0" applyNumberFormat="1" applyFont="1" applyFill="1" applyBorder="1" applyAlignment="1">
      <alignment horizontal="center" vertical="center"/>
    </xf>
    <xf numFmtId="1" fontId="4" fillId="3" borderId="2" xfId="0" applyNumberFormat="1" applyFont="1" applyFill="1" applyBorder="1" applyAlignment="1">
      <alignment horizontal="center" vertical="center"/>
    </xf>
    <xf numFmtId="1" fontId="4" fillId="3" borderId="50" xfId="0" applyNumberFormat="1" applyFont="1" applyFill="1" applyBorder="1" applyAlignment="1">
      <alignment horizontal="center" vertical="center"/>
    </xf>
    <xf numFmtId="1" fontId="4" fillId="3" borderId="25" xfId="0" applyNumberFormat="1" applyFont="1" applyFill="1" applyBorder="1" applyAlignment="1">
      <alignment horizontal="center" vertical="center"/>
    </xf>
    <xf numFmtId="167" fontId="4" fillId="3" borderId="13" xfId="0" applyNumberFormat="1" applyFont="1" applyFill="1" applyBorder="1" applyAlignment="1">
      <alignment horizontal="center" vertical="center"/>
    </xf>
    <xf numFmtId="167" fontId="4" fillId="3" borderId="16" xfId="0" applyNumberFormat="1" applyFont="1" applyFill="1" applyBorder="1" applyAlignment="1">
      <alignment horizontal="center" vertical="center"/>
    </xf>
    <xf numFmtId="167" fontId="4" fillId="3" borderId="18" xfId="0" applyNumberFormat="1" applyFont="1" applyFill="1" applyBorder="1" applyAlignment="1">
      <alignment horizontal="center" vertical="center"/>
    </xf>
    <xf numFmtId="0" fontId="46" fillId="13" borderId="31" xfId="0" applyFont="1" applyFill="1" applyBorder="1" applyAlignment="1">
      <alignment horizontal="center" vertical="center" wrapText="1"/>
    </xf>
    <xf numFmtId="0" fontId="46" fillId="8" borderId="13" xfId="0" applyFont="1" applyFill="1" applyBorder="1" applyAlignment="1">
      <alignment horizontal="center" vertical="center" wrapText="1"/>
    </xf>
    <xf numFmtId="0" fontId="46" fillId="8" borderId="13" xfId="0" applyFont="1" applyFill="1" applyBorder="1" applyAlignment="1">
      <alignment horizontal="right" vertical="center" indent="2"/>
    </xf>
    <xf numFmtId="167" fontId="6" fillId="4" borderId="10" xfId="0" applyNumberFormat="1" applyFont="1" applyFill="1" applyBorder="1" applyAlignment="1">
      <alignment horizontal="center" vertical="center"/>
    </xf>
    <xf numFmtId="0" fontId="46" fillId="13" borderId="47" xfId="0" applyFont="1" applyFill="1" applyBorder="1" applyAlignment="1">
      <alignment horizontal="center" vertical="center" wrapText="1"/>
    </xf>
    <xf numFmtId="0" fontId="43" fillId="8" borderId="15" xfId="0" applyFont="1" applyFill="1" applyBorder="1" applyAlignment="1">
      <alignment horizontal="right" vertical="center" indent="1"/>
    </xf>
    <xf numFmtId="0" fontId="34" fillId="8" borderId="15" xfId="0" applyFont="1" applyFill="1" applyBorder="1" applyAlignment="1">
      <alignment horizontal="right" vertical="center" indent="1"/>
    </xf>
    <xf numFmtId="0" fontId="4" fillId="8" borderId="16" xfId="0" applyFont="1" applyFill="1" applyBorder="1" applyAlignment="1">
      <alignment horizontal="left" vertical="center" wrapText="1" indent="1"/>
    </xf>
    <xf numFmtId="0" fontId="46" fillId="10" borderId="45" xfId="0" applyFont="1" applyFill="1" applyBorder="1" applyAlignment="1">
      <alignment horizontal="right" vertical="center" indent="2"/>
    </xf>
    <xf numFmtId="0" fontId="4" fillId="8" borderId="15" xfId="0" applyFont="1" applyFill="1" applyBorder="1" applyAlignment="1">
      <alignment horizontal="right" vertical="center" indent="1"/>
    </xf>
    <xf numFmtId="0" fontId="38" fillId="0" borderId="15" xfId="0" applyFont="1" applyBorder="1" applyAlignment="1">
      <alignment horizontal="right" vertical="center" indent="1"/>
    </xf>
    <xf numFmtId="0" fontId="38" fillId="8" borderId="15" xfId="0" applyFont="1" applyFill="1" applyBorder="1" applyAlignment="1">
      <alignment horizontal="right" vertical="center" indent="1"/>
    </xf>
    <xf numFmtId="0" fontId="4" fillId="0" borderId="15" xfId="0" applyFont="1" applyBorder="1" applyAlignment="1">
      <alignment horizontal="right" vertical="center" indent="1"/>
    </xf>
    <xf numFmtId="0" fontId="4" fillId="0" borderId="30" xfId="0" applyFont="1" applyBorder="1" applyAlignment="1">
      <alignment horizontal="right" vertical="center" indent="1"/>
    </xf>
    <xf numFmtId="0" fontId="34" fillId="0" borderId="15" xfId="0" applyFont="1" applyBorder="1" applyAlignment="1">
      <alignment horizontal="right" vertical="center" indent="1"/>
    </xf>
    <xf numFmtId="2" fontId="46" fillId="0" borderId="16" xfId="0" applyNumberFormat="1" applyFont="1" applyBorder="1" applyAlignment="1">
      <alignment horizontal="left" vertical="center" wrapText="1" indent="1"/>
    </xf>
    <xf numFmtId="168" fontId="4" fillId="8" borderId="16" xfId="0" quotePrefix="1" applyNumberFormat="1" applyFont="1" applyFill="1" applyBorder="1" applyAlignment="1">
      <alignment horizontal="left" vertical="center" wrapText="1" indent="1"/>
    </xf>
    <xf numFmtId="170" fontId="46" fillId="0" borderId="16" xfId="0" applyNumberFormat="1" applyFont="1" applyBorder="1" applyAlignment="1">
      <alignment horizontal="left" vertical="center" wrapText="1" indent="1"/>
    </xf>
    <xf numFmtId="0" fontId="40" fillId="0" borderId="15" xfId="0" applyFont="1" applyBorder="1" applyAlignment="1">
      <alignment horizontal="right" vertical="center" indent="1"/>
    </xf>
    <xf numFmtId="1" fontId="4" fillId="0" borderId="16" xfId="0" quotePrefix="1" applyNumberFormat="1" applyFont="1" applyBorder="1" applyAlignment="1">
      <alignment horizontal="left" vertical="center" wrapText="1" indent="1"/>
    </xf>
    <xf numFmtId="0" fontId="7" fillId="8" borderId="15" xfId="0" applyFont="1" applyFill="1" applyBorder="1" applyAlignment="1">
      <alignment horizontal="right" vertical="center" indent="1"/>
    </xf>
    <xf numFmtId="0" fontId="41" fillId="12" borderId="15" xfId="0" applyFont="1" applyFill="1" applyBorder="1" applyAlignment="1">
      <alignment horizontal="right" vertical="center" indent="1"/>
    </xf>
    <xf numFmtId="3" fontId="7" fillId="8" borderId="16" xfId="0" quotePrefix="1" applyNumberFormat="1" applyFont="1" applyFill="1" applyBorder="1" applyAlignment="1">
      <alignment horizontal="left" vertical="center" wrapText="1" indent="1"/>
    </xf>
    <xf numFmtId="0" fontId="4" fillId="0" borderId="17" xfId="0" applyFont="1" applyBorder="1" applyAlignment="1">
      <alignment horizontal="right" vertical="center" indent="1"/>
    </xf>
    <xf numFmtId="2" fontId="46" fillId="0" borderId="18" xfId="0" applyNumberFormat="1" applyFont="1" applyBorder="1" applyAlignment="1">
      <alignment horizontal="center" vertical="center"/>
    </xf>
    <xf numFmtId="0" fontId="47" fillId="0" borderId="18" xfId="0" applyFont="1" applyBorder="1" applyAlignment="1">
      <alignment horizontal="left" vertical="center" indent="1"/>
    </xf>
    <xf numFmtId="0" fontId="4" fillId="0" borderId="18" xfId="0" applyFont="1" applyBorder="1" applyAlignment="1">
      <alignment horizontal="left" vertical="center" wrapText="1"/>
    </xf>
    <xf numFmtId="0" fontId="46" fillId="0" borderId="54" xfId="0" applyFont="1" applyBorder="1" applyAlignment="1">
      <alignment horizontal="right" vertical="center" indent="2"/>
    </xf>
    <xf numFmtId="0" fontId="5" fillId="8" borderId="15" xfId="0" applyFont="1" applyFill="1" applyBorder="1" applyAlignment="1">
      <alignment horizontal="right" vertical="center" indent="1"/>
    </xf>
    <xf numFmtId="167" fontId="43" fillId="8" borderId="13" xfId="0" applyNumberFormat="1" applyFont="1" applyFill="1" applyBorder="1" applyAlignment="1">
      <alignment horizontal="center" vertical="center"/>
    </xf>
    <xf numFmtId="0" fontId="5" fillId="2" borderId="13" xfId="0" applyFont="1" applyFill="1" applyBorder="1" applyAlignment="1">
      <alignment horizontal="center" vertical="center"/>
    </xf>
    <xf numFmtId="164" fontId="4" fillId="8" borderId="16" xfId="0" quotePrefix="1" applyNumberFormat="1" applyFont="1" applyFill="1" applyBorder="1" applyAlignment="1">
      <alignment horizontal="left" vertical="center" wrapText="1" indent="1"/>
    </xf>
    <xf numFmtId="165" fontId="4" fillId="0" borderId="16" xfId="0" quotePrefix="1" applyNumberFormat="1" applyFont="1" applyBorder="1" applyAlignment="1">
      <alignment horizontal="left" vertical="center" wrapText="1" indent="1"/>
    </xf>
    <xf numFmtId="165" fontId="4" fillId="8" borderId="16" xfId="0" quotePrefix="1" applyNumberFormat="1" applyFont="1" applyFill="1" applyBorder="1" applyAlignment="1">
      <alignment horizontal="left" vertical="center" wrapText="1" indent="1"/>
    </xf>
    <xf numFmtId="164" fontId="4" fillId="0" borderId="16" xfId="0" quotePrefix="1" applyNumberFormat="1" applyFont="1" applyBorder="1" applyAlignment="1">
      <alignment horizontal="left" vertical="center" wrapText="1" indent="1"/>
    </xf>
    <xf numFmtId="168" fontId="4" fillId="0" borderId="16" xfId="0" quotePrefix="1" applyNumberFormat="1" applyFont="1" applyBorder="1" applyAlignment="1">
      <alignment horizontal="left" vertical="center" wrapText="1" indent="1"/>
    </xf>
    <xf numFmtId="2" fontId="4" fillId="8" borderId="16" xfId="0" quotePrefix="1" applyNumberFormat="1" applyFont="1" applyFill="1" applyBorder="1" applyAlignment="1">
      <alignment horizontal="left" vertical="center" wrapText="1" indent="1"/>
    </xf>
    <xf numFmtId="4" fontId="4" fillId="0" borderId="16" xfId="0" quotePrefix="1" applyNumberFormat="1" applyFont="1" applyBorder="1" applyAlignment="1">
      <alignment horizontal="left" vertical="center" wrapText="1" indent="1"/>
    </xf>
    <xf numFmtId="4" fontId="4" fillId="8" borderId="16" xfId="0" quotePrefix="1" applyNumberFormat="1" applyFont="1" applyFill="1" applyBorder="1" applyAlignment="1">
      <alignment horizontal="left" vertical="center" wrapText="1" indent="1"/>
    </xf>
    <xf numFmtId="169" fontId="4" fillId="8" borderId="16" xfId="0" quotePrefix="1" applyNumberFormat="1" applyFont="1" applyFill="1" applyBorder="1" applyAlignment="1">
      <alignment horizontal="left" vertical="center" wrapText="1" indent="1"/>
    </xf>
    <xf numFmtId="169" fontId="4" fillId="0" borderId="16" xfId="0" quotePrefix="1" applyNumberFormat="1" applyFont="1" applyBorder="1" applyAlignment="1">
      <alignment horizontal="left" vertical="center" wrapText="1" indent="1"/>
    </xf>
    <xf numFmtId="2" fontId="4" fillId="0" borderId="16" xfId="0" quotePrefix="1" applyNumberFormat="1" applyFont="1" applyBorder="1" applyAlignment="1">
      <alignment horizontal="left" vertical="center" wrapText="1" indent="1"/>
    </xf>
    <xf numFmtId="3" fontId="4" fillId="0" borderId="16" xfId="0" quotePrefix="1" applyNumberFormat="1" applyFont="1" applyBorder="1" applyAlignment="1">
      <alignment horizontal="left" vertical="center" wrapText="1" indent="1"/>
    </xf>
    <xf numFmtId="167" fontId="4" fillId="8" borderId="16" xfId="0" quotePrefix="1" applyNumberFormat="1" applyFont="1" applyFill="1" applyBorder="1" applyAlignment="1">
      <alignment horizontal="left" vertical="center" wrapText="1" indent="1"/>
    </xf>
    <xf numFmtId="2" fontId="4" fillId="0" borderId="19" xfId="0" quotePrefix="1" applyNumberFormat="1" applyFont="1" applyBorder="1" applyAlignment="1">
      <alignment horizontal="left" vertical="center" wrapText="1" indent="1"/>
    </xf>
    <xf numFmtId="1" fontId="5" fillId="9" borderId="10" xfId="0" applyNumberFormat="1" applyFont="1" applyFill="1" applyBorder="1" applyAlignment="1">
      <alignment horizontal="center" vertical="center"/>
    </xf>
    <xf numFmtId="1" fontId="5" fillId="9" borderId="11" xfId="0" applyNumberFormat="1" applyFont="1" applyFill="1" applyBorder="1" applyAlignment="1">
      <alignment horizontal="center" vertical="center"/>
    </xf>
    <xf numFmtId="1" fontId="5" fillId="9" borderId="12" xfId="0" applyNumberFormat="1" applyFont="1" applyFill="1" applyBorder="1" applyAlignment="1">
      <alignment horizontal="center" vertical="center"/>
    </xf>
    <xf numFmtId="1" fontId="5" fillId="9" borderId="15" xfId="0" applyNumberFormat="1" applyFont="1" applyFill="1" applyBorder="1" applyAlignment="1">
      <alignment horizontal="center" vertical="center"/>
    </xf>
    <xf numFmtId="1" fontId="5" fillId="9" borderId="13" xfId="0" applyNumberFormat="1" applyFont="1" applyFill="1" applyBorder="1" applyAlignment="1">
      <alignment horizontal="center" vertical="center"/>
    </xf>
    <xf numFmtId="1" fontId="5" fillId="9" borderId="16" xfId="0" applyNumberFormat="1" applyFont="1" applyFill="1" applyBorder="1" applyAlignment="1">
      <alignment horizontal="center" vertical="center"/>
    </xf>
    <xf numFmtId="1" fontId="5" fillId="9" borderId="17" xfId="0" applyNumberFormat="1" applyFont="1" applyFill="1" applyBorder="1" applyAlignment="1">
      <alignment horizontal="center" vertical="center"/>
    </xf>
    <xf numFmtId="1" fontId="5" fillId="9" borderId="18" xfId="0" applyNumberFormat="1" applyFont="1" applyFill="1" applyBorder="1" applyAlignment="1">
      <alignment horizontal="center" vertical="center"/>
    </xf>
    <xf numFmtId="167" fontId="4" fillId="2" borderId="48" xfId="0" applyNumberFormat="1" applyFont="1" applyFill="1" applyBorder="1" applyAlignment="1">
      <alignment horizontal="center" vertical="center"/>
    </xf>
    <xf numFmtId="167" fontId="4" fillId="2" borderId="92" xfId="0" applyNumberFormat="1" applyFont="1" applyFill="1" applyBorder="1" applyAlignment="1">
      <alignment horizontal="center" vertical="center"/>
    </xf>
    <xf numFmtId="164" fontId="4" fillId="2" borderId="48" xfId="0" applyNumberFormat="1" applyFont="1" applyFill="1" applyBorder="1" applyAlignment="1">
      <alignment horizontal="center" vertical="center"/>
    </xf>
    <xf numFmtId="164" fontId="4" fillId="2" borderId="92" xfId="0" applyNumberFormat="1" applyFont="1" applyFill="1" applyBorder="1" applyAlignment="1">
      <alignment horizontal="center" vertical="center"/>
    </xf>
    <xf numFmtId="0" fontId="42" fillId="0" borderId="0" xfId="0" applyFont="1" applyAlignment="1">
      <alignment horizontal="center"/>
    </xf>
    <xf numFmtId="0" fontId="47" fillId="0" borderId="18" xfId="0" applyFont="1" applyBorder="1" applyAlignment="1">
      <alignment horizontal="center" vertical="center" wrapText="1"/>
    </xf>
    <xf numFmtId="0" fontId="4" fillId="0" borderId="30" xfId="0" applyFont="1" applyBorder="1" applyAlignment="1">
      <alignment horizontal="center" wrapText="1"/>
    </xf>
    <xf numFmtId="0" fontId="4" fillId="2" borderId="13" xfId="0" applyFont="1" applyFill="1" applyBorder="1" applyAlignment="1">
      <alignment horizontal="center" vertical="center" wrapText="1"/>
    </xf>
    <xf numFmtId="0" fontId="4" fillId="8" borderId="30" xfId="0" applyFont="1" applyFill="1" applyBorder="1" applyAlignment="1">
      <alignment horizontal="center" wrapText="1"/>
    </xf>
    <xf numFmtId="0" fontId="38" fillId="0" borderId="30" xfId="0" applyFont="1" applyBorder="1" applyAlignment="1">
      <alignment horizontal="center" wrapText="1"/>
    </xf>
    <xf numFmtId="0" fontId="38" fillId="8" borderId="30" xfId="0" applyFont="1" applyFill="1" applyBorder="1" applyAlignment="1">
      <alignment horizontal="center" wrapText="1"/>
    </xf>
    <xf numFmtId="0" fontId="34" fillId="0" borderId="30" xfId="0" applyFont="1" applyBorder="1" applyAlignment="1">
      <alignment horizontal="center" wrapText="1"/>
    </xf>
    <xf numFmtId="0" fontId="34" fillId="8" borderId="30" xfId="0" applyFont="1" applyFill="1" applyBorder="1" applyAlignment="1">
      <alignment horizontal="center" wrapText="1"/>
    </xf>
    <xf numFmtId="0" fontId="40" fillId="0" borderId="30" xfId="0" applyFont="1" applyBorder="1" applyAlignment="1">
      <alignment horizontal="center" wrapText="1"/>
    </xf>
    <xf numFmtId="0" fontId="7" fillId="8" borderId="30" xfId="0" applyFont="1" applyFill="1" applyBorder="1" applyAlignment="1">
      <alignment horizontal="center" wrapText="1"/>
    </xf>
    <xf numFmtId="0" fontId="41" fillId="12" borderId="30" xfId="0" applyFont="1" applyFill="1" applyBorder="1" applyAlignment="1">
      <alignment horizontal="center" wrapText="1"/>
    </xf>
    <xf numFmtId="0" fontId="47" fillId="8" borderId="18" xfId="0" applyFont="1" applyFill="1" applyBorder="1" applyAlignment="1">
      <alignment horizontal="center" vertical="center" wrapText="1"/>
    </xf>
    <xf numFmtId="164" fontId="4" fillId="8" borderId="13" xfId="0" quotePrefix="1" applyNumberFormat="1" applyFont="1" applyFill="1" applyBorder="1" applyAlignment="1">
      <alignment horizontal="center" vertical="center" wrapText="1"/>
    </xf>
    <xf numFmtId="165" fontId="4" fillId="0" borderId="13" xfId="0" quotePrefix="1" applyNumberFormat="1" applyFont="1" applyBorder="1" applyAlignment="1">
      <alignment horizontal="center" vertical="center" wrapText="1"/>
    </xf>
    <xf numFmtId="165" fontId="4" fillId="8" borderId="13" xfId="0" quotePrefix="1" applyNumberFormat="1" applyFont="1" applyFill="1" applyBorder="1" applyAlignment="1">
      <alignment horizontal="center" vertical="center" wrapText="1"/>
    </xf>
    <xf numFmtId="164" fontId="4" fillId="0" borderId="13" xfId="0" quotePrefix="1" applyNumberFormat="1" applyFont="1" applyBorder="1" applyAlignment="1">
      <alignment horizontal="center" vertical="center" wrapText="1"/>
    </xf>
    <xf numFmtId="2" fontId="46" fillId="0" borderId="13" xfId="0" applyNumberFormat="1" applyFont="1" applyBorder="1" applyAlignment="1">
      <alignment horizontal="center" vertical="center" wrapText="1"/>
    </xf>
    <xf numFmtId="168" fontId="4" fillId="0" borderId="13" xfId="0" quotePrefix="1" applyNumberFormat="1" applyFont="1" applyBorder="1" applyAlignment="1">
      <alignment horizontal="center" vertical="center" wrapText="1"/>
    </xf>
    <xf numFmtId="168" fontId="4" fillId="8" borderId="13" xfId="0" quotePrefix="1" applyNumberFormat="1" applyFont="1" applyFill="1" applyBorder="1" applyAlignment="1">
      <alignment horizontal="center" vertical="center" wrapText="1"/>
    </xf>
    <xf numFmtId="2" fontId="4" fillId="8" borderId="13" xfId="0" quotePrefix="1" applyNumberFormat="1" applyFont="1" applyFill="1" applyBorder="1" applyAlignment="1">
      <alignment horizontal="center" vertical="center" wrapText="1"/>
    </xf>
    <xf numFmtId="4" fontId="4" fillId="0" borderId="13" xfId="0" quotePrefix="1" applyNumberFormat="1" applyFont="1" applyBorder="1" applyAlignment="1">
      <alignment horizontal="center" vertical="center" wrapText="1"/>
    </xf>
    <xf numFmtId="4" fontId="4" fillId="8" borderId="13" xfId="0" quotePrefix="1" applyNumberFormat="1" applyFont="1" applyFill="1" applyBorder="1" applyAlignment="1">
      <alignment horizontal="center" vertical="center" wrapText="1"/>
    </xf>
    <xf numFmtId="170" fontId="46" fillId="0" borderId="13" xfId="0" applyNumberFormat="1" applyFont="1" applyBorder="1" applyAlignment="1">
      <alignment horizontal="center" vertical="center" wrapText="1"/>
    </xf>
    <xf numFmtId="169" fontId="4" fillId="8" borderId="13" xfId="0" quotePrefix="1" applyNumberFormat="1" applyFont="1" applyFill="1" applyBorder="1" applyAlignment="1">
      <alignment horizontal="center" vertical="center" wrapText="1"/>
    </xf>
    <xf numFmtId="169" fontId="4" fillId="0" borderId="13" xfId="0" quotePrefix="1" applyNumberFormat="1" applyFont="1" applyBorder="1" applyAlignment="1">
      <alignment horizontal="center" vertical="center" wrapText="1"/>
    </xf>
    <xf numFmtId="2" fontId="4" fillId="0" borderId="13" xfId="0" quotePrefix="1" applyNumberFormat="1" applyFont="1" applyBorder="1" applyAlignment="1">
      <alignment horizontal="center" vertical="center" wrapText="1"/>
    </xf>
    <xf numFmtId="167" fontId="4" fillId="8" borderId="13" xfId="0" quotePrefix="1" applyNumberFormat="1" applyFont="1" applyFill="1" applyBorder="1" applyAlignment="1">
      <alignment horizontal="center" vertical="center" wrapText="1"/>
    </xf>
    <xf numFmtId="1" fontId="4" fillId="0" borderId="13" xfId="0" quotePrefix="1" applyNumberFormat="1" applyFont="1" applyBorder="1" applyAlignment="1">
      <alignment horizontal="center" vertical="center" wrapText="1"/>
    </xf>
    <xf numFmtId="3" fontId="7" fillId="8" borderId="13" xfId="0" quotePrefix="1" applyNumberFormat="1" applyFont="1" applyFill="1" applyBorder="1" applyAlignment="1">
      <alignment horizontal="center" vertical="center" wrapText="1"/>
    </xf>
    <xf numFmtId="164" fontId="4" fillId="8" borderId="29" xfId="0" quotePrefix="1" applyNumberFormat="1" applyFont="1" applyFill="1" applyBorder="1" applyAlignment="1">
      <alignment horizontal="center" vertical="center" wrapText="1"/>
    </xf>
    <xf numFmtId="165" fontId="4" fillId="0" borderId="29" xfId="0" quotePrefix="1" applyNumberFormat="1" applyFont="1" applyBorder="1" applyAlignment="1">
      <alignment horizontal="center" vertical="center" wrapText="1"/>
    </xf>
    <xf numFmtId="165" fontId="4" fillId="8" borderId="29" xfId="0" quotePrefix="1" applyNumberFormat="1" applyFont="1" applyFill="1" applyBorder="1" applyAlignment="1">
      <alignment horizontal="center" vertical="center" wrapText="1"/>
    </xf>
    <xf numFmtId="164" fontId="4" fillId="0" borderId="29" xfId="0" quotePrefix="1" applyNumberFormat="1" applyFont="1" applyBorder="1" applyAlignment="1">
      <alignment horizontal="center" vertical="center" wrapText="1"/>
    </xf>
    <xf numFmtId="2" fontId="46" fillId="0" borderId="29" xfId="0" applyNumberFormat="1" applyFont="1" applyBorder="1" applyAlignment="1">
      <alignment horizontal="center" vertical="center" wrapText="1"/>
    </xf>
    <xf numFmtId="168" fontId="4" fillId="0" borderId="29" xfId="0" quotePrefix="1" applyNumberFormat="1" applyFont="1" applyBorder="1" applyAlignment="1">
      <alignment horizontal="center" vertical="center" wrapText="1"/>
    </xf>
    <xf numFmtId="168" fontId="4" fillId="8" borderId="29" xfId="0" quotePrefix="1" applyNumberFormat="1" applyFont="1" applyFill="1" applyBorder="1" applyAlignment="1">
      <alignment horizontal="center" vertical="center" wrapText="1"/>
    </xf>
    <xf numFmtId="2" fontId="4" fillId="8" borderId="29" xfId="0" quotePrefix="1" applyNumberFormat="1" applyFont="1" applyFill="1" applyBorder="1" applyAlignment="1">
      <alignment horizontal="center" vertical="center" wrapText="1"/>
    </xf>
    <xf numFmtId="4" fontId="4" fillId="0" borderId="29" xfId="0" quotePrefix="1" applyNumberFormat="1" applyFont="1" applyBorder="1" applyAlignment="1">
      <alignment horizontal="center" vertical="center" wrapText="1"/>
    </xf>
    <xf numFmtId="4" fontId="4" fillId="8" borderId="29" xfId="0" quotePrefix="1" applyNumberFormat="1" applyFont="1" applyFill="1" applyBorder="1" applyAlignment="1">
      <alignment horizontal="center" vertical="center" wrapText="1"/>
    </xf>
    <xf numFmtId="170" fontId="46" fillId="0" borderId="29" xfId="0" applyNumberFormat="1" applyFont="1" applyBorder="1" applyAlignment="1">
      <alignment horizontal="center" vertical="center" wrapText="1"/>
    </xf>
    <xf numFmtId="169" fontId="4" fillId="8" borderId="29" xfId="0" quotePrefix="1" applyNumberFormat="1" applyFont="1" applyFill="1" applyBorder="1" applyAlignment="1">
      <alignment horizontal="center" vertical="center" wrapText="1"/>
    </xf>
    <xf numFmtId="169" fontId="4" fillId="0" borderId="29" xfId="0" quotePrefix="1" applyNumberFormat="1" applyFont="1" applyBorder="1" applyAlignment="1">
      <alignment horizontal="center" vertical="center" wrapText="1"/>
    </xf>
    <xf numFmtId="2" fontId="4" fillId="0" borderId="29" xfId="0" quotePrefix="1" applyNumberFormat="1" applyFont="1" applyBorder="1" applyAlignment="1">
      <alignment horizontal="center" vertical="center" wrapText="1"/>
    </xf>
    <xf numFmtId="3" fontId="4" fillId="0" borderId="29" xfId="0" quotePrefix="1" applyNumberFormat="1" applyFont="1" applyBorder="1" applyAlignment="1">
      <alignment horizontal="center" vertical="center" wrapText="1"/>
    </xf>
    <xf numFmtId="167" fontId="4" fillId="8" borderId="29" xfId="0" quotePrefix="1" applyNumberFormat="1" applyFont="1" applyFill="1" applyBorder="1" applyAlignment="1">
      <alignment horizontal="center" vertical="center" wrapText="1"/>
    </xf>
    <xf numFmtId="1" fontId="4" fillId="0" borderId="29" xfId="0" quotePrefix="1" applyNumberFormat="1" applyFont="1" applyBorder="1" applyAlignment="1">
      <alignment horizontal="center" vertical="center" wrapText="1"/>
    </xf>
    <xf numFmtId="3" fontId="7" fillId="8" borderId="29" xfId="0" quotePrefix="1" applyNumberFormat="1" applyFont="1" applyFill="1" applyBorder="1" applyAlignment="1">
      <alignment horizontal="center" vertical="center" wrapText="1"/>
    </xf>
    <xf numFmtId="0" fontId="43" fillId="4" borderId="13" xfId="0" applyFont="1" applyFill="1" applyBorder="1" applyAlignment="1">
      <alignment horizontal="center" wrapText="1"/>
    </xf>
    <xf numFmtId="0" fontId="47" fillId="4" borderId="18" xfId="0" applyFont="1" applyFill="1" applyBorder="1" applyAlignment="1">
      <alignment horizontal="center" vertical="center" wrapText="1"/>
    </xf>
    <xf numFmtId="0" fontId="5" fillId="0" borderId="30" xfId="0" applyFont="1" applyBorder="1" applyAlignment="1">
      <alignment horizontal="center" wrapText="1"/>
    </xf>
    <xf numFmtId="0" fontId="10" fillId="0" borderId="17" xfId="0" applyFont="1" applyBorder="1" applyAlignment="1">
      <alignment horizontal="center" vertical="center" wrapText="1"/>
    </xf>
    <xf numFmtId="167" fontId="4" fillId="0" borderId="13" xfId="0" applyNumberFormat="1" applyFont="1" applyBorder="1" applyAlignment="1">
      <alignment horizontal="center" vertical="center"/>
    </xf>
    <xf numFmtId="167" fontId="4" fillId="8" borderId="29" xfId="0" applyNumberFormat="1" applyFont="1" applyFill="1" applyBorder="1" applyAlignment="1">
      <alignment horizontal="center" vertical="center" wrapText="1"/>
    </xf>
    <xf numFmtId="164" fontId="4" fillId="8" borderId="13" xfId="0" applyNumberFormat="1" applyFont="1" applyFill="1" applyBorder="1" applyAlignment="1">
      <alignment horizontal="center" vertical="center" wrapText="1"/>
    </xf>
    <xf numFmtId="0" fontId="4" fillId="19" borderId="13" xfId="0" applyFont="1" applyFill="1" applyBorder="1" applyAlignment="1">
      <alignment horizontal="center" vertical="center" wrapText="1"/>
    </xf>
    <xf numFmtId="165" fontId="4" fillId="19" borderId="29" xfId="0" quotePrefix="1" applyNumberFormat="1" applyFont="1" applyFill="1" applyBorder="1" applyAlignment="1">
      <alignment horizontal="center" vertical="center" wrapText="1"/>
    </xf>
    <xf numFmtId="10" fontId="4" fillId="8" borderId="13" xfId="0" applyNumberFormat="1" applyFont="1" applyFill="1" applyBorder="1" applyAlignment="1">
      <alignment horizontal="center" vertical="center" wrapText="1"/>
    </xf>
    <xf numFmtId="0" fontId="4" fillId="4" borderId="13" xfId="0" applyFont="1" applyFill="1" applyBorder="1" applyAlignment="1">
      <alignment horizontal="center" vertical="center" wrapText="1"/>
    </xf>
    <xf numFmtId="0" fontId="5" fillId="2" borderId="4" xfId="0" applyFont="1" applyFill="1" applyBorder="1" applyAlignment="1">
      <alignment horizontal="center" wrapText="1"/>
    </xf>
    <xf numFmtId="0" fontId="47" fillId="2" borderId="46" xfId="0" applyFont="1" applyFill="1" applyBorder="1" applyAlignment="1">
      <alignment horizontal="center" vertical="center" wrapText="1"/>
    </xf>
    <xf numFmtId="0" fontId="47" fillId="2" borderId="18" xfId="0" applyFont="1" applyFill="1" applyBorder="1" applyAlignment="1">
      <alignment horizontal="center" vertical="center" wrapText="1"/>
    </xf>
    <xf numFmtId="0" fontId="34" fillId="2" borderId="13" xfId="0" applyFont="1" applyFill="1" applyBorder="1" applyAlignment="1">
      <alignment horizontal="center" wrapText="1"/>
    </xf>
    <xf numFmtId="0" fontId="43" fillId="2" borderId="16" xfId="0" applyFont="1" applyFill="1" applyBorder="1" applyAlignment="1">
      <alignment horizontal="center" wrapText="1"/>
    </xf>
    <xf numFmtId="0" fontId="10" fillId="2" borderId="18" xfId="0" applyFont="1" applyFill="1" applyBorder="1" applyAlignment="1">
      <alignment horizontal="center" vertical="center" wrapText="1"/>
    </xf>
    <xf numFmtId="0" fontId="47" fillId="2" borderId="19" xfId="0" applyFont="1" applyFill="1" applyBorder="1" applyAlignment="1">
      <alignment horizontal="center" vertical="center" wrapText="1"/>
    </xf>
    <xf numFmtId="0" fontId="4" fillId="8" borderId="13" xfId="0" applyFont="1" applyFill="1" applyBorder="1" applyAlignment="1">
      <alignment horizontal="center" vertical="center"/>
    </xf>
    <xf numFmtId="167" fontId="4" fillId="4" borderId="13" xfId="0" applyNumberFormat="1" applyFont="1" applyFill="1" applyBorder="1" applyAlignment="1">
      <alignment horizontal="center" vertical="center" wrapText="1"/>
    </xf>
    <xf numFmtId="167" fontId="42" fillId="0" borderId="0" xfId="0" applyNumberFormat="1" applyFont="1"/>
    <xf numFmtId="167" fontId="4" fillId="8" borderId="13" xfId="0" applyNumberFormat="1" applyFont="1" applyFill="1" applyBorder="1" applyAlignment="1">
      <alignment horizontal="center" vertical="center" wrapText="1"/>
    </xf>
    <xf numFmtId="0" fontId="4" fillId="0" borderId="24" xfId="0" applyFont="1" applyBorder="1" applyAlignment="1">
      <alignment horizontal="center" wrapText="1"/>
    </xf>
    <xf numFmtId="0" fontId="47" fillId="0" borderId="34" xfId="0" applyFont="1" applyBorder="1" applyAlignment="1">
      <alignment horizontal="center" vertical="center" wrapText="1"/>
    </xf>
    <xf numFmtId="21" fontId="4" fillId="10" borderId="13" xfId="0" applyNumberFormat="1" applyFont="1" applyFill="1" applyBorder="1" applyAlignment="1">
      <alignment horizontal="center" wrapText="1"/>
    </xf>
    <xf numFmtId="21" fontId="3" fillId="0" borderId="0" xfId="0" applyNumberFormat="1" applyFont="1" applyAlignment="1">
      <alignment horizontal="center" vertical="center"/>
    </xf>
    <xf numFmtId="21" fontId="3" fillId="5" borderId="13" xfId="0" applyNumberFormat="1" applyFont="1" applyFill="1" applyBorder="1" applyAlignment="1">
      <alignment horizontal="center" vertical="center"/>
    </xf>
    <xf numFmtId="10" fontId="5" fillId="2" borderId="29" xfId="0" applyNumberFormat="1" applyFont="1" applyFill="1" applyBorder="1" applyAlignment="1">
      <alignment horizontal="center" vertical="center" wrapText="1"/>
    </xf>
    <xf numFmtId="167" fontId="5" fillId="2" borderId="13" xfId="0" applyNumberFormat="1" applyFont="1" applyFill="1" applyBorder="1" applyAlignment="1">
      <alignment horizontal="center" wrapText="1"/>
    </xf>
    <xf numFmtId="167" fontId="47" fillId="2" borderId="18" xfId="0" applyNumberFormat="1" applyFont="1" applyFill="1" applyBorder="1" applyAlignment="1">
      <alignment horizontal="center" vertical="center" wrapText="1"/>
    </xf>
    <xf numFmtId="0" fontId="10" fillId="0" borderId="0" xfId="0" applyFont="1" applyAlignment="1">
      <alignment horizontal="center"/>
    </xf>
    <xf numFmtId="167" fontId="4" fillId="0" borderId="0" xfId="0" applyNumberFormat="1" applyFont="1" applyAlignment="1">
      <alignment horizontal="center"/>
    </xf>
    <xf numFmtId="0" fontId="4" fillId="0" borderId="0" xfId="0" quotePrefix="1" applyFont="1" applyAlignment="1">
      <alignment horizontal="left" vertical="center"/>
    </xf>
    <xf numFmtId="167" fontId="6" fillId="2" borderId="13" xfId="0" applyNumberFormat="1" applyFont="1" applyFill="1" applyBorder="1" applyAlignment="1">
      <alignment horizontal="center" vertical="center"/>
    </xf>
    <xf numFmtId="0" fontId="4" fillId="0" borderId="0" xfId="0" applyFont="1" applyAlignment="1">
      <alignment horizontal="center" vertical="center"/>
    </xf>
    <xf numFmtId="167" fontId="4" fillId="0" borderId="0" xfId="0" applyNumberFormat="1" applyFont="1" applyAlignment="1">
      <alignment horizontal="center" vertical="center"/>
    </xf>
    <xf numFmtId="0" fontId="4" fillId="0" borderId="0" xfId="0" applyFont="1" applyAlignment="1">
      <alignment horizontal="center" vertical="center" wrapText="1"/>
    </xf>
    <xf numFmtId="167" fontId="4" fillId="0" borderId="0" xfId="0" applyNumberFormat="1" applyFont="1" applyAlignment="1">
      <alignment horizontal="center" vertical="center" wrapText="1"/>
    </xf>
    <xf numFmtId="21" fontId="4" fillId="0" borderId="0" xfId="0" applyNumberFormat="1" applyFont="1" applyAlignment="1">
      <alignment horizontal="center" vertical="center" wrapText="1"/>
    </xf>
    <xf numFmtId="0" fontId="4" fillId="0" borderId="0" xfId="0" applyFont="1" applyAlignment="1">
      <alignment horizontal="right" vertical="center" wrapText="1" indent="1"/>
    </xf>
    <xf numFmtId="0" fontId="4" fillId="22" borderId="13" xfId="0" applyFont="1" applyFill="1" applyBorder="1" applyAlignment="1">
      <alignment horizontal="right" vertical="center" wrapText="1" indent="1"/>
    </xf>
    <xf numFmtId="0" fontId="4" fillId="22" borderId="13" xfId="0" applyFont="1" applyFill="1" applyBorder="1" applyAlignment="1">
      <alignment horizontal="center" vertical="center" wrapText="1"/>
    </xf>
    <xf numFmtId="0" fontId="4" fillId="22" borderId="13" xfId="0" quotePrefix="1" applyFont="1" applyFill="1" applyBorder="1" applyAlignment="1">
      <alignment horizontal="center" vertical="center" wrapText="1"/>
    </xf>
    <xf numFmtId="0" fontId="4" fillId="22" borderId="31" xfId="0" applyFont="1" applyFill="1" applyBorder="1" applyAlignment="1">
      <alignment horizontal="right" vertical="center" wrapText="1" indent="1"/>
    </xf>
    <xf numFmtId="0" fontId="4" fillId="22" borderId="31" xfId="0" applyFont="1" applyFill="1" applyBorder="1" applyAlignment="1">
      <alignment horizontal="center" vertical="center" wrapText="1"/>
    </xf>
    <xf numFmtId="0" fontId="4" fillId="21" borderId="13" xfId="0" applyFont="1" applyFill="1" applyBorder="1" applyAlignment="1">
      <alignment horizontal="right" vertical="center" wrapText="1" indent="1"/>
    </xf>
    <xf numFmtId="0" fontId="4" fillId="21" borderId="13" xfId="0" applyFont="1" applyFill="1" applyBorder="1" applyAlignment="1">
      <alignment horizontal="center" vertical="center" wrapText="1"/>
    </xf>
    <xf numFmtId="0" fontId="4" fillId="21" borderId="13" xfId="0" quotePrefix="1" applyFont="1" applyFill="1" applyBorder="1" applyAlignment="1">
      <alignment horizontal="center" vertical="center" wrapText="1"/>
    </xf>
    <xf numFmtId="0" fontId="7" fillId="23" borderId="13" xfId="0" applyFont="1" applyFill="1" applyBorder="1" applyAlignment="1">
      <alignment horizontal="right" vertical="center" wrapText="1" indent="1"/>
    </xf>
    <xf numFmtId="0" fontId="7" fillId="23" borderId="13" xfId="0" applyFont="1" applyFill="1" applyBorder="1" applyAlignment="1">
      <alignment horizontal="center" vertical="center" wrapText="1"/>
    </xf>
    <xf numFmtId="0" fontId="7" fillId="23" borderId="13" xfId="0" quotePrefix="1" applyFont="1" applyFill="1" applyBorder="1" applyAlignment="1">
      <alignment horizontal="center" vertical="center" wrapText="1"/>
    </xf>
    <xf numFmtId="0" fontId="4" fillId="24" borderId="13" xfId="0" applyFont="1" applyFill="1" applyBorder="1" applyAlignment="1">
      <alignment horizontal="right" vertical="center" wrapText="1" indent="1"/>
    </xf>
    <xf numFmtId="0" fontId="4" fillId="24" borderId="13" xfId="0" applyFont="1" applyFill="1" applyBorder="1" applyAlignment="1">
      <alignment horizontal="center" vertical="center" wrapText="1"/>
    </xf>
    <xf numFmtId="10" fontId="4" fillId="24" borderId="13" xfId="0" applyNumberFormat="1" applyFont="1" applyFill="1" applyBorder="1" applyAlignment="1">
      <alignment horizontal="center" vertical="center" wrapText="1"/>
    </xf>
    <xf numFmtId="0" fontId="38" fillId="22" borderId="13" xfId="0" applyFont="1" applyFill="1" applyBorder="1" applyAlignment="1">
      <alignment horizontal="right" vertical="center" wrapText="1" indent="1"/>
    </xf>
    <xf numFmtId="164" fontId="7" fillId="23" borderId="13" xfId="0" applyNumberFormat="1" applyFont="1" applyFill="1" applyBorder="1" applyAlignment="1">
      <alignment horizontal="center" vertical="center" wrapText="1"/>
    </xf>
    <xf numFmtId="164" fontId="4" fillId="22" borderId="13" xfId="0" applyNumberFormat="1" applyFont="1" applyFill="1" applyBorder="1" applyAlignment="1">
      <alignment horizontal="center" vertical="center" wrapText="1"/>
    </xf>
    <xf numFmtId="1" fontId="4" fillId="24" borderId="13" xfId="0" applyNumberFormat="1" applyFont="1" applyFill="1" applyBorder="1" applyAlignment="1">
      <alignment horizontal="center" vertical="center" wrapText="1"/>
    </xf>
    <xf numFmtId="171" fontId="4" fillId="22" borderId="13" xfId="0" applyNumberFormat="1" applyFont="1" applyFill="1" applyBorder="1" applyAlignment="1">
      <alignment horizontal="center" vertical="center" wrapText="1"/>
    </xf>
    <xf numFmtId="171" fontId="4" fillId="21" borderId="13" xfId="0" applyNumberFormat="1" applyFont="1" applyFill="1" applyBorder="1" applyAlignment="1">
      <alignment horizontal="center" vertical="center" wrapText="1"/>
    </xf>
    <xf numFmtId="164" fontId="4" fillId="21" borderId="13" xfId="0" applyNumberFormat="1" applyFont="1" applyFill="1" applyBorder="1" applyAlignment="1">
      <alignment horizontal="center" vertical="center" wrapText="1"/>
    </xf>
    <xf numFmtId="173" fontId="4" fillId="3" borderId="13" xfId="0" applyNumberFormat="1" applyFont="1" applyFill="1" applyBorder="1" applyAlignment="1">
      <alignment horizontal="center" vertical="center" wrapText="1"/>
    </xf>
    <xf numFmtId="0" fontId="4" fillId="3" borderId="13" xfId="0" applyFont="1" applyFill="1" applyBorder="1" applyAlignment="1">
      <alignment horizontal="center" vertical="center" wrapText="1"/>
    </xf>
    <xf numFmtId="174" fontId="4" fillId="3" borderId="13" xfId="0" applyNumberFormat="1" applyFont="1" applyFill="1" applyBorder="1" applyAlignment="1">
      <alignment horizontal="center" vertical="center" wrapText="1"/>
    </xf>
    <xf numFmtId="0" fontId="4" fillId="3" borderId="13" xfId="0" applyFont="1" applyFill="1" applyBorder="1" applyAlignment="1">
      <alignment horizontal="right" vertical="center" wrapText="1" indent="1"/>
    </xf>
    <xf numFmtId="0" fontId="10" fillId="8" borderId="18" xfId="0" applyFont="1" applyFill="1" applyBorder="1" applyAlignment="1">
      <alignment horizontal="center" vertical="center" wrapText="1"/>
    </xf>
    <xf numFmtId="171" fontId="4" fillId="23" borderId="13" xfId="0" applyNumberFormat="1" applyFont="1" applyFill="1" applyBorder="1" applyAlignment="1">
      <alignment horizontal="center" vertical="center" wrapText="1"/>
    </xf>
    <xf numFmtId="167" fontId="4" fillId="24" borderId="13" xfId="0" applyNumberFormat="1" applyFont="1" applyFill="1" applyBorder="1" applyAlignment="1">
      <alignment horizontal="center" vertical="center" wrapText="1"/>
    </xf>
    <xf numFmtId="0" fontId="4" fillId="24" borderId="13" xfId="0" quotePrefix="1" applyFont="1" applyFill="1" applyBorder="1" applyAlignment="1">
      <alignment horizontal="center" vertical="center" wrapText="1"/>
    </xf>
    <xf numFmtId="3" fontId="4" fillId="24" borderId="13" xfId="9" applyNumberFormat="1" applyFont="1" applyFill="1" applyBorder="1" applyAlignment="1">
      <alignment horizontal="center" vertical="center" wrapText="1"/>
    </xf>
    <xf numFmtId="9" fontId="4" fillId="24" borderId="13" xfId="0" applyNumberFormat="1" applyFont="1" applyFill="1" applyBorder="1" applyAlignment="1">
      <alignment horizontal="center" vertical="center" wrapText="1"/>
    </xf>
    <xf numFmtId="0" fontId="4" fillId="3" borderId="13" xfId="0" quotePrefix="1" applyFont="1" applyFill="1" applyBorder="1" applyAlignment="1">
      <alignment horizontal="center" vertical="center" wrapText="1"/>
    </xf>
    <xf numFmtId="3" fontId="4" fillId="3" borderId="13" xfId="0" applyNumberFormat="1" applyFont="1" applyFill="1" applyBorder="1" applyAlignment="1">
      <alignment horizontal="center" vertical="center" wrapText="1"/>
    </xf>
    <xf numFmtId="0" fontId="10" fillId="0" borderId="0" xfId="0" applyFont="1" applyAlignment="1">
      <alignment horizontal="left" vertical="center" wrapText="1" indent="1"/>
    </xf>
    <xf numFmtId="0" fontId="9" fillId="0" borderId="0" xfId="0" applyFont="1" applyAlignment="1">
      <alignment horizontal="left" indent="1"/>
    </xf>
    <xf numFmtId="0" fontId="9" fillId="0" borderId="0" xfId="0" applyFont="1"/>
    <xf numFmtId="0" fontId="4" fillId="8" borderId="13" xfId="0" applyFont="1" applyFill="1" applyBorder="1" applyAlignment="1">
      <alignment horizontal="right" vertical="center" wrapText="1" indent="1"/>
    </xf>
    <xf numFmtId="0" fontId="4" fillId="8" borderId="13" xfId="0" applyFont="1" applyFill="1" applyBorder="1" applyAlignment="1">
      <alignment horizontal="center" vertical="center" wrapText="1"/>
    </xf>
    <xf numFmtId="3" fontId="4" fillId="8" borderId="13" xfId="0" applyNumberFormat="1" applyFont="1" applyFill="1" applyBorder="1" applyAlignment="1">
      <alignment horizontal="center" vertical="center" wrapText="1"/>
    </xf>
    <xf numFmtId="4" fontId="4" fillId="3" borderId="13" xfId="0" applyNumberFormat="1" applyFont="1" applyFill="1" applyBorder="1" applyAlignment="1">
      <alignment horizontal="center" vertical="center" wrapText="1"/>
    </xf>
    <xf numFmtId="0" fontId="10" fillId="2" borderId="13" xfId="0" applyFont="1" applyFill="1" applyBorder="1" applyAlignment="1">
      <alignment horizontal="center" vertical="center" wrapText="1"/>
    </xf>
    <xf numFmtId="0" fontId="4" fillId="26" borderId="13" xfId="0" applyFont="1" applyFill="1" applyBorder="1" applyAlignment="1">
      <alignment horizontal="center" vertical="center" wrapText="1"/>
    </xf>
    <xf numFmtId="1" fontId="5" fillId="26" borderId="13" xfId="0" applyNumberFormat="1" applyFont="1" applyFill="1" applyBorder="1" applyAlignment="1">
      <alignment horizontal="center" vertical="center" wrapText="1"/>
    </xf>
    <xf numFmtId="0" fontId="4" fillId="23" borderId="13" xfId="0" applyFont="1" applyFill="1" applyBorder="1" applyAlignment="1">
      <alignment horizontal="center" vertical="center" wrapText="1"/>
    </xf>
    <xf numFmtId="0" fontId="41" fillId="27" borderId="13" xfId="0" applyFont="1" applyFill="1" applyBorder="1" applyAlignment="1">
      <alignment horizontal="center" vertical="center"/>
    </xf>
    <xf numFmtId="167" fontId="41" fillId="27" borderId="13" xfId="0" applyNumberFormat="1" applyFont="1" applyFill="1" applyBorder="1" applyAlignment="1">
      <alignment horizontal="center" vertical="center" wrapText="1"/>
    </xf>
    <xf numFmtId="171" fontId="41" fillId="27" borderId="13" xfId="0" applyNumberFormat="1" applyFont="1" applyFill="1" applyBorder="1" applyAlignment="1">
      <alignment horizontal="center" vertical="center" wrapText="1"/>
    </xf>
    <xf numFmtId="2" fontId="4" fillId="22" borderId="13" xfId="0" applyNumberFormat="1" applyFont="1" applyFill="1" applyBorder="1" applyAlignment="1">
      <alignment horizontal="center" vertical="center" wrapText="1"/>
    </xf>
    <xf numFmtId="10" fontId="4" fillId="3" borderId="13" xfId="0" applyNumberFormat="1" applyFont="1" applyFill="1" applyBorder="1" applyAlignment="1">
      <alignment horizontal="center" vertical="center" wrapText="1"/>
    </xf>
    <xf numFmtId="0" fontId="4" fillId="25" borderId="0" xfId="0" applyFont="1" applyFill="1" applyAlignment="1">
      <alignment horizontal="center" vertical="center"/>
    </xf>
    <xf numFmtId="1" fontId="5" fillId="10" borderId="13" xfId="0" applyNumberFormat="1" applyFont="1" applyFill="1" applyBorder="1" applyAlignment="1">
      <alignment horizontal="center" vertical="center"/>
    </xf>
    <xf numFmtId="0" fontId="60" fillId="25" borderId="30" xfId="0" applyFont="1" applyFill="1" applyBorder="1" applyAlignment="1">
      <alignment horizontal="center" wrapText="1"/>
    </xf>
    <xf numFmtId="2" fontId="3" fillId="5" borderId="13" xfId="0" applyNumberFormat="1" applyFont="1" applyFill="1" applyBorder="1" applyAlignment="1">
      <alignment horizontal="center" vertical="center"/>
    </xf>
    <xf numFmtId="167" fontId="3" fillId="0" borderId="13" xfId="0" applyNumberFormat="1" applyFont="1" applyBorder="1" applyAlignment="1">
      <alignment horizontal="center" vertical="center"/>
    </xf>
    <xf numFmtId="2" fontId="3" fillId="0" borderId="13" xfId="0" applyNumberFormat="1" applyFont="1" applyBorder="1" applyAlignment="1">
      <alignment horizontal="center" vertical="center"/>
    </xf>
    <xf numFmtId="167" fontId="4" fillId="8" borderId="2" xfId="0" applyNumberFormat="1" applyFont="1" applyFill="1" applyBorder="1" applyAlignment="1">
      <alignment horizontal="center" vertical="center" wrapText="1"/>
    </xf>
    <xf numFmtId="0" fontId="4" fillId="30" borderId="13" xfId="0" applyFont="1" applyFill="1" applyBorder="1" applyAlignment="1">
      <alignment horizontal="right" vertical="center" wrapText="1" indent="1"/>
    </xf>
    <xf numFmtId="3" fontId="4" fillId="30" borderId="13" xfId="0" applyNumberFormat="1" applyFont="1" applyFill="1" applyBorder="1" applyAlignment="1">
      <alignment horizontal="center" vertical="center" wrapText="1"/>
    </xf>
    <xf numFmtId="0" fontId="4" fillId="30" borderId="13" xfId="0" applyFont="1" applyFill="1" applyBorder="1" applyAlignment="1">
      <alignment horizontal="center" vertical="center" wrapText="1"/>
    </xf>
    <xf numFmtId="0" fontId="4" fillId="31" borderId="13" xfId="0" applyFont="1" applyFill="1" applyBorder="1" applyAlignment="1">
      <alignment horizontal="right" vertical="center" wrapText="1" indent="1"/>
    </xf>
    <xf numFmtId="3" fontId="4" fillId="31" borderId="13" xfId="0" applyNumberFormat="1" applyFont="1" applyFill="1" applyBorder="1" applyAlignment="1">
      <alignment horizontal="center" vertical="center" wrapText="1"/>
    </xf>
    <xf numFmtId="0" fontId="4" fillId="31" borderId="13" xfId="0" applyFont="1" applyFill="1" applyBorder="1" applyAlignment="1">
      <alignment horizontal="center" vertical="center" wrapText="1"/>
    </xf>
    <xf numFmtId="0" fontId="5" fillId="2" borderId="13" xfId="0" applyFont="1" applyFill="1" applyBorder="1" applyAlignment="1">
      <alignment horizontal="center" wrapText="1"/>
    </xf>
    <xf numFmtId="0" fontId="5" fillId="31" borderId="13" xfId="0" applyFont="1" applyFill="1" applyBorder="1" applyAlignment="1">
      <alignment horizontal="center" wrapText="1"/>
    </xf>
    <xf numFmtId="0" fontId="10" fillId="31" borderId="18" xfId="0" applyFont="1" applyFill="1" applyBorder="1" applyAlignment="1">
      <alignment horizontal="center" vertical="center" wrapText="1"/>
    </xf>
    <xf numFmtId="0" fontId="47" fillId="31" borderId="18" xfId="0" applyFont="1" applyFill="1" applyBorder="1" applyAlignment="1">
      <alignment horizontal="center" vertical="center" wrapText="1"/>
    </xf>
    <xf numFmtId="2" fontId="4" fillId="8" borderId="29" xfId="0" applyNumberFormat="1" applyFont="1" applyFill="1" applyBorder="1" applyAlignment="1">
      <alignment horizontal="center" vertical="center" wrapText="1"/>
    </xf>
    <xf numFmtId="2" fontId="5" fillId="2" borderId="29" xfId="0" applyNumberFormat="1" applyFont="1" applyFill="1" applyBorder="1" applyAlignment="1">
      <alignment horizontal="center" vertical="center" wrapText="1"/>
    </xf>
    <xf numFmtId="2" fontId="11" fillId="31" borderId="29" xfId="0" applyNumberFormat="1" applyFont="1" applyFill="1" applyBorder="1" applyAlignment="1">
      <alignment horizontal="center" vertical="center" wrapText="1"/>
    </xf>
    <xf numFmtId="3" fontId="7" fillId="31" borderId="29" xfId="0" applyNumberFormat="1" applyFont="1" applyFill="1" applyBorder="1" applyAlignment="1">
      <alignment horizontal="center" vertical="center" wrapText="1"/>
    </xf>
    <xf numFmtId="3" fontId="4" fillId="0" borderId="0" xfId="0" applyNumberFormat="1" applyFont="1" applyAlignment="1">
      <alignment horizontal="center" vertical="center"/>
    </xf>
    <xf numFmtId="3" fontId="4" fillId="0" borderId="0" xfId="0" applyNumberFormat="1" applyFont="1" applyAlignment="1">
      <alignment horizontal="center" vertical="center" wrapText="1"/>
    </xf>
    <xf numFmtId="3" fontId="5" fillId="2" borderId="13" xfId="0" applyNumberFormat="1" applyFont="1" applyFill="1" applyBorder="1" applyAlignment="1">
      <alignment horizontal="center" vertical="center"/>
    </xf>
    <xf numFmtId="3" fontId="5" fillId="31" borderId="13" xfId="0" applyNumberFormat="1" applyFont="1" applyFill="1" applyBorder="1" applyAlignment="1">
      <alignment horizontal="center" wrapText="1"/>
    </xf>
    <xf numFmtId="3" fontId="10" fillId="31" borderId="18" xfId="0" applyNumberFormat="1" applyFont="1" applyFill="1" applyBorder="1" applyAlignment="1">
      <alignment horizontal="center" vertical="center" wrapText="1"/>
    </xf>
    <xf numFmtId="3" fontId="4" fillId="8" borderId="29" xfId="0" applyNumberFormat="1" applyFont="1" applyFill="1" applyBorder="1" applyAlignment="1">
      <alignment horizontal="center" vertical="center" wrapText="1"/>
    </xf>
    <xf numFmtId="3" fontId="42" fillId="0" borderId="0" xfId="0" applyNumberFormat="1" applyFont="1"/>
    <xf numFmtId="2" fontId="4" fillId="28" borderId="29" xfId="0" applyNumberFormat="1" applyFont="1" applyFill="1" applyBorder="1" applyAlignment="1">
      <alignment horizontal="center" vertical="center" wrapText="1"/>
    </xf>
    <xf numFmtId="172" fontId="4" fillId="30" borderId="13" xfId="0" applyNumberFormat="1" applyFont="1" applyFill="1" applyBorder="1" applyAlignment="1">
      <alignment horizontal="center" vertical="center" wrapText="1"/>
    </xf>
    <xf numFmtId="169" fontId="7" fillId="3" borderId="13" xfId="0" applyNumberFormat="1" applyFont="1" applyFill="1" applyBorder="1" applyAlignment="1">
      <alignment horizontal="center" vertical="center" wrapText="1"/>
    </xf>
    <xf numFmtId="172" fontId="7" fillId="3" borderId="13" xfId="0" applyNumberFormat="1" applyFont="1" applyFill="1" applyBorder="1" applyAlignment="1">
      <alignment horizontal="center" vertical="center" wrapText="1"/>
    </xf>
    <xf numFmtId="3" fontId="41" fillId="27" borderId="13" xfId="0" applyNumberFormat="1" applyFont="1" applyFill="1" applyBorder="1" applyAlignment="1">
      <alignment horizontal="center" vertical="center"/>
    </xf>
    <xf numFmtId="0" fontId="60" fillId="27" borderId="0" xfId="0" applyFont="1" applyFill="1" applyAlignment="1">
      <alignment horizontal="center" vertical="center"/>
    </xf>
    <xf numFmtId="2" fontId="9" fillId="0" borderId="0" xfId="0" applyNumberFormat="1" applyFont="1"/>
    <xf numFmtId="172" fontId="42" fillId="0" borderId="0" xfId="0" applyNumberFormat="1" applyFont="1"/>
    <xf numFmtId="170" fontId="7" fillId="3" borderId="13" xfId="0" applyNumberFormat="1" applyFont="1" applyFill="1" applyBorder="1" applyAlignment="1">
      <alignment horizontal="center" vertical="center" wrapText="1"/>
    </xf>
    <xf numFmtId="0" fontId="10" fillId="3" borderId="68" xfId="0" applyFont="1" applyFill="1" applyBorder="1" applyAlignment="1">
      <alignment horizontal="left" vertical="center" wrapText="1" indent="1"/>
    </xf>
    <xf numFmtId="0" fontId="4" fillId="3" borderId="72" xfId="0" applyFont="1" applyFill="1" applyBorder="1" applyAlignment="1">
      <alignment horizontal="right" vertical="center" wrapText="1" indent="1"/>
    </xf>
    <xf numFmtId="10" fontId="4" fillId="3" borderId="72" xfId="0" applyNumberFormat="1" applyFont="1" applyFill="1" applyBorder="1" applyAlignment="1">
      <alignment horizontal="center" vertical="center" wrapText="1"/>
    </xf>
    <xf numFmtId="0" fontId="4" fillId="3" borderId="72" xfId="0" applyFont="1" applyFill="1" applyBorder="1" applyAlignment="1">
      <alignment horizontal="center" vertical="center" wrapText="1"/>
    </xf>
    <xf numFmtId="0" fontId="10" fillId="8" borderId="68" xfId="0" applyFont="1" applyFill="1" applyBorder="1" applyAlignment="1">
      <alignment horizontal="left" vertical="center" wrapText="1" indent="1"/>
    </xf>
    <xf numFmtId="3" fontId="4" fillId="31" borderId="72" xfId="0" applyNumberFormat="1" applyFont="1" applyFill="1" applyBorder="1" applyAlignment="1">
      <alignment horizontal="center" vertical="center" wrapText="1"/>
    </xf>
    <xf numFmtId="0" fontId="4" fillId="31" borderId="72" xfId="0" applyFont="1" applyFill="1" applyBorder="1" applyAlignment="1">
      <alignment horizontal="center" vertical="center" wrapText="1"/>
    </xf>
    <xf numFmtId="165" fontId="4" fillId="7" borderId="29" xfId="0" quotePrefix="1" applyNumberFormat="1" applyFont="1" applyFill="1" applyBorder="1" applyAlignment="1">
      <alignment horizontal="center" vertical="center" wrapText="1"/>
    </xf>
    <xf numFmtId="0" fontId="10" fillId="32" borderId="13" xfId="0" applyFont="1" applyFill="1" applyBorder="1" applyAlignment="1">
      <alignment horizontal="center" vertical="center" wrapText="1"/>
    </xf>
    <xf numFmtId="0" fontId="10" fillId="32" borderId="13" xfId="0" applyFont="1" applyFill="1" applyBorder="1" applyAlignment="1">
      <alignment horizontal="center" vertical="center"/>
    </xf>
    <xf numFmtId="167" fontId="4" fillId="32" borderId="13" xfId="0" applyNumberFormat="1" applyFont="1" applyFill="1" applyBorder="1" applyAlignment="1">
      <alignment horizontal="center" vertical="center"/>
    </xf>
    <xf numFmtId="167" fontId="5" fillId="5" borderId="2" xfId="0" applyNumberFormat="1" applyFont="1" applyFill="1" applyBorder="1" applyAlignment="1">
      <alignment horizontal="center" vertical="center"/>
    </xf>
    <xf numFmtId="167" fontId="63" fillId="22" borderId="13" xfId="0" applyNumberFormat="1" applyFont="1" applyFill="1" applyBorder="1" applyAlignment="1">
      <alignment horizontal="center" vertical="center" wrapText="1"/>
    </xf>
    <xf numFmtId="167" fontId="63" fillId="21" borderId="13" xfId="0" applyNumberFormat="1" applyFont="1" applyFill="1" applyBorder="1" applyAlignment="1">
      <alignment horizontal="center" vertical="center" wrapText="1"/>
    </xf>
    <xf numFmtId="167" fontId="64" fillId="23" borderId="13" xfId="0" applyNumberFormat="1" applyFont="1" applyFill="1" applyBorder="1" applyAlignment="1">
      <alignment horizontal="center" vertical="center" wrapText="1"/>
    </xf>
    <xf numFmtId="0" fontId="10" fillId="4" borderId="13" xfId="0" applyFont="1" applyFill="1" applyBorder="1" applyAlignment="1">
      <alignment horizontal="center" vertical="center" wrapText="1"/>
    </xf>
    <xf numFmtId="173" fontId="4" fillId="2" borderId="13" xfId="0" applyNumberFormat="1" applyFont="1" applyFill="1" applyBorder="1" applyAlignment="1">
      <alignment horizontal="center" vertical="center" wrapText="1"/>
    </xf>
    <xf numFmtId="3" fontId="4" fillId="24" borderId="13" xfId="0" applyNumberFormat="1" applyFont="1" applyFill="1" applyBorder="1" applyAlignment="1">
      <alignment horizontal="center" vertical="center" wrapText="1"/>
    </xf>
    <xf numFmtId="1" fontId="5" fillId="3" borderId="13" xfId="0" applyNumberFormat="1" applyFont="1" applyFill="1" applyBorder="1" applyAlignment="1">
      <alignment horizontal="center" vertical="center" wrapText="1"/>
    </xf>
    <xf numFmtId="0" fontId="7" fillId="3" borderId="13" xfId="0" quotePrefix="1" applyFont="1" applyFill="1" applyBorder="1" applyAlignment="1">
      <alignment horizontal="center" vertical="center" wrapText="1"/>
    </xf>
    <xf numFmtId="0" fontId="6" fillId="4" borderId="54" xfId="0" applyFont="1" applyFill="1" applyBorder="1" applyAlignment="1">
      <alignment horizontal="center" vertical="center"/>
    </xf>
    <xf numFmtId="0" fontId="4" fillId="10" borderId="22" xfId="0" applyFont="1" applyFill="1" applyBorder="1" applyAlignment="1">
      <alignment horizontal="center" vertical="center"/>
    </xf>
    <xf numFmtId="0" fontId="13" fillId="10" borderId="58" xfId="0" applyFont="1" applyFill="1" applyBorder="1" applyAlignment="1">
      <alignment horizontal="left" vertical="center"/>
    </xf>
    <xf numFmtId="0" fontId="4" fillId="10" borderId="59" xfId="0" applyFont="1" applyFill="1" applyBorder="1" applyAlignment="1">
      <alignment horizontal="right" vertical="center" wrapText="1" indent="1"/>
    </xf>
    <xf numFmtId="0" fontId="4" fillId="10" borderId="59" xfId="0" applyFont="1" applyFill="1" applyBorder="1" applyAlignment="1">
      <alignment horizontal="center" vertical="center" wrapText="1"/>
    </xf>
    <xf numFmtId="0" fontId="4" fillId="10" borderId="60" xfId="0" applyFont="1" applyFill="1" applyBorder="1" applyAlignment="1">
      <alignment horizontal="left" vertical="center" wrapText="1" indent="1"/>
    </xf>
    <xf numFmtId="0" fontId="4" fillId="8" borderId="13" xfId="0" quotePrefix="1" applyFont="1" applyFill="1" applyBorder="1" applyAlignment="1">
      <alignment horizontal="center" vertical="center" wrapText="1"/>
    </xf>
    <xf numFmtId="172" fontId="4" fillId="8" borderId="13" xfId="0" applyNumberFormat="1" applyFont="1" applyFill="1" applyBorder="1" applyAlignment="1">
      <alignment horizontal="center" vertical="center" wrapText="1"/>
    </xf>
    <xf numFmtId="169" fontId="4" fillId="8" borderId="13" xfId="0" applyNumberFormat="1" applyFont="1" applyFill="1" applyBorder="1" applyAlignment="1">
      <alignment horizontal="center" vertical="center" wrapText="1"/>
    </xf>
    <xf numFmtId="170" fontId="4" fillId="8" borderId="13" xfId="0" applyNumberFormat="1" applyFont="1" applyFill="1" applyBorder="1" applyAlignment="1">
      <alignment horizontal="center" vertical="center" wrapText="1"/>
    </xf>
    <xf numFmtId="0" fontId="10" fillId="8" borderId="66" xfId="0" applyFont="1" applyFill="1" applyBorder="1" applyAlignment="1">
      <alignment horizontal="left" vertical="center" wrapText="1" indent="1"/>
    </xf>
    <xf numFmtId="0" fontId="10" fillId="8" borderId="94" xfId="0" applyFont="1" applyFill="1" applyBorder="1" applyAlignment="1">
      <alignment horizontal="left" vertical="center" wrapText="1" indent="1"/>
    </xf>
    <xf numFmtId="0" fontId="10" fillId="8" borderId="74" xfId="0" applyFont="1" applyFill="1" applyBorder="1" applyAlignment="1">
      <alignment horizontal="left" vertical="center" wrapText="1" indent="1"/>
    </xf>
    <xf numFmtId="167" fontId="3" fillId="0" borderId="29" xfId="0" applyNumberFormat="1" applyFont="1" applyBorder="1" applyAlignment="1">
      <alignment horizontal="center" vertical="center"/>
    </xf>
    <xf numFmtId="2" fontId="3" fillId="0" borderId="29" xfId="0" applyNumberFormat="1" applyFont="1" applyBorder="1" applyAlignment="1">
      <alignment horizontal="center" vertical="center"/>
    </xf>
    <xf numFmtId="167" fontId="4" fillId="32" borderId="29" xfId="0" applyNumberFormat="1" applyFont="1" applyFill="1" applyBorder="1" applyAlignment="1">
      <alignment horizontal="center" vertical="center"/>
    </xf>
    <xf numFmtId="0" fontId="41" fillId="27" borderId="13" xfId="0" applyFont="1" applyFill="1" applyBorder="1" applyAlignment="1">
      <alignment horizontal="center" vertical="center" wrapText="1"/>
    </xf>
    <xf numFmtId="0" fontId="61" fillId="27" borderId="13" xfId="0" applyFont="1" applyFill="1" applyBorder="1" applyAlignment="1">
      <alignment horizontal="center" vertical="center"/>
    </xf>
    <xf numFmtId="0" fontId="60" fillId="27" borderId="13" xfId="0" applyFont="1" applyFill="1" applyBorder="1" applyAlignment="1">
      <alignment horizontal="center" vertical="center"/>
    </xf>
    <xf numFmtId="0" fontId="5" fillId="8" borderId="21" xfId="0" applyFont="1" applyFill="1" applyBorder="1" applyAlignment="1">
      <alignment horizontal="left" vertical="center" indent="2"/>
    </xf>
    <xf numFmtId="0" fontId="5" fillId="8" borderId="22" xfId="0" applyFont="1" applyFill="1" applyBorder="1" applyAlignment="1">
      <alignment horizontal="left" vertical="center" indent="2"/>
    </xf>
    <xf numFmtId="0" fontId="14" fillId="8" borderId="22" xfId="0" applyFont="1" applyFill="1" applyBorder="1" applyAlignment="1">
      <alignment horizontal="left" vertical="center" indent="1"/>
    </xf>
    <xf numFmtId="0" fontId="14" fillId="8" borderId="23" xfId="0" applyFont="1" applyFill="1" applyBorder="1" applyAlignment="1">
      <alignment horizontal="left" vertical="center" indent="1"/>
    </xf>
    <xf numFmtId="0" fontId="36" fillId="8" borderId="9" xfId="0" applyFont="1" applyFill="1" applyBorder="1" applyAlignment="1">
      <alignment horizontal="left" vertical="center" wrapText="1" indent="1"/>
    </xf>
    <xf numFmtId="0" fontId="36" fillId="8" borderId="25" xfId="0" applyFont="1" applyFill="1" applyBorder="1" applyAlignment="1">
      <alignment horizontal="left" vertical="center" wrapText="1" indent="1"/>
    </xf>
    <xf numFmtId="164" fontId="7" fillId="2" borderId="13" xfId="0" applyNumberFormat="1" applyFont="1" applyFill="1" applyBorder="1" applyAlignment="1">
      <alignment horizontal="center" vertical="center" wrapText="1"/>
    </xf>
    <xf numFmtId="0" fontId="7" fillId="2" borderId="13" xfId="0" applyFont="1" applyFill="1" applyBorder="1" applyAlignment="1">
      <alignment horizontal="center" vertical="center" wrapText="1"/>
    </xf>
    <xf numFmtId="171" fontId="10" fillId="22" borderId="13" xfId="0" applyNumberFormat="1" applyFont="1" applyFill="1" applyBorder="1" applyAlignment="1">
      <alignment horizontal="center" vertical="center" wrapText="1"/>
    </xf>
    <xf numFmtId="0" fontId="10" fillId="22" borderId="13" xfId="0" applyFont="1" applyFill="1" applyBorder="1" applyAlignment="1">
      <alignment horizontal="center" vertical="center" wrapText="1"/>
    </xf>
    <xf numFmtId="167" fontId="14" fillId="22" borderId="13" xfId="0" applyNumberFormat="1" applyFont="1" applyFill="1" applyBorder="1" applyAlignment="1">
      <alignment horizontal="center" vertical="center" wrapText="1"/>
    </xf>
    <xf numFmtId="164" fontId="10" fillId="22" borderId="13" xfId="0" applyNumberFormat="1" applyFont="1" applyFill="1" applyBorder="1" applyAlignment="1">
      <alignment horizontal="center" vertical="center" wrapText="1"/>
    </xf>
    <xf numFmtId="0" fontId="10" fillId="22" borderId="31" xfId="0" applyFont="1" applyFill="1" applyBorder="1" applyAlignment="1">
      <alignment horizontal="center" vertical="center" wrapText="1"/>
    </xf>
    <xf numFmtId="171" fontId="10" fillId="21" borderId="13" xfId="0" applyNumberFormat="1" applyFont="1" applyFill="1" applyBorder="1" applyAlignment="1">
      <alignment horizontal="center" vertical="center" wrapText="1"/>
    </xf>
    <xf numFmtId="0" fontId="10" fillId="21" borderId="13" xfId="0" applyFont="1" applyFill="1" applyBorder="1" applyAlignment="1">
      <alignment horizontal="center" vertical="center" wrapText="1"/>
    </xf>
    <xf numFmtId="167" fontId="14" fillId="21" borderId="13" xfId="0" applyNumberFormat="1" applyFont="1" applyFill="1" applyBorder="1" applyAlignment="1">
      <alignment horizontal="center" vertical="center" wrapText="1"/>
    </xf>
    <xf numFmtId="164" fontId="10" fillId="21" borderId="13" xfId="0" applyNumberFormat="1" applyFont="1" applyFill="1" applyBorder="1" applyAlignment="1">
      <alignment horizontal="center" vertical="center" wrapText="1"/>
    </xf>
    <xf numFmtId="171" fontId="10" fillId="23" borderId="13" xfId="0" applyNumberFormat="1" applyFont="1" applyFill="1" applyBorder="1" applyAlignment="1">
      <alignment horizontal="center" vertical="center" wrapText="1"/>
    </xf>
    <xf numFmtId="0" fontId="59" fillId="2" borderId="13" xfId="0" applyFont="1" applyFill="1" applyBorder="1" applyAlignment="1">
      <alignment horizontal="center" vertical="center" wrapText="1"/>
    </xf>
    <xf numFmtId="167" fontId="67" fillId="23" borderId="13" xfId="0" applyNumberFormat="1" applyFont="1" applyFill="1" applyBorder="1" applyAlignment="1">
      <alignment horizontal="center" vertical="center" wrapText="1"/>
    </xf>
    <xf numFmtId="164" fontId="59" fillId="2" borderId="13" xfId="0" applyNumberFormat="1" applyFont="1" applyFill="1" applyBorder="1" applyAlignment="1">
      <alignment horizontal="center" vertical="center" wrapText="1"/>
    </xf>
    <xf numFmtId="164" fontId="59" fillId="23" borderId="13" xfId="0" applyNumberFormat="1" applyFont="1" applyFill="1" applyBorder="1" applyAlignment="1">
      <alignment horizontal="center" vertical="center" wrapText="1"/>
    </xf>
    <xf numFmtId="0" fontId="10" fillId="24" borderId="13" xfId="0" applyFont="1" applyFill="1" applyBorder="1" applyAlignment="1">
      <alignment horizontal="center" vertical="center" wrapText="1"/>
    </xf>
    <xf numFmtId="10" fontId="10" fillId="24" borderId="13" xfId="0" applyNumberFormat="1" applyFont="1" applyFill="1" applyBorder="1" applyAlignment="1">
      <alignment horizontal="center" vertical="center" wrapText="1"/>
    </xf>
    <xf numFmtId="167" fontId="10" fillId="24" borderId="13" xfId="0" applyNumberFormat="1" applyFont="1" applyFill="1" applyBorder="1" applyAlignment="1">
      <alignment horizontal="center" vertical="center" wrapText="1"/>
    </xf>
    <xf numFmtId="3" fontId="10" fillId="24" borderId="13" xfId="9" applyNumberFormat="1" applyFont="1" applyFill="1" applyBorder="1" applyAlignment="1">
      <alignment horizontal="center" vertical="center" wrapText="1"/>
    </xf>
    <xf numFmtId="9" fontId="10" fillId="24" borderId="13" xfId="0" applyNumberFormat="1" applyFont="1" applyFill="1" applyBorder="1" applyAlignment="1">
      <alignment horizontal="center" vertical="center" wrapText="1"/>
    </xf>
    <xf numFmtId="3" fontId="10" fillId="24" borderId="13" xfId="0" applyNumberFormat="1" applyFont="1" applyFill="1" applyBorder="1" applyAlignment="1">
      <alignment horizontal="center" vertical="center" wrapText="1"/>
    </xf>
    <xf numFmtId="1" fontId="10" fillId="24" borderId="13" xfId="0" applyNumberFormat="1" applyFont="1" applyFill="1" applyBorder="1" applyAlignment="1">
      <alignment horizontal="center" vertical="center" wrapText="1"/>
    </xf>
    <xf numFmtId="1" fontId="10" fillId="3" borderId="13" xfId="0" applyNumberFormat="1" applyFont="1" applyFill="1" applyBorder="1" applyAlignment="1">
      <alignment horizontal="center" vertical="center" wrapText="1"/>
    </xf>
    <xf numFmtId="3" fontId="10" fillId="30" borderId="13" xfId="0" applyNumberFormat="1" applyFont="1" applyFill="1" applyBorder="1" applyAlignment="1">
      <alignment horizontal="center" vertical="center" wrapText="1"/>
    </xf>
    <xf numFmtId="172" fontId="10" fillId="30" borderId="13" xfId="0" applyNumberFormat="1" applyFont="1" applyFill="1" applyBorder="1" applyAlignment="1">
      <alignment horizontal="center" vertical="center" wrapText="1"/>
    </xf>
    <xf numFmtId="3" fontId="10" fillId="8" borderId="13" xfId="0" applyNumberFormat="1" applyFont="1" applyFill="1" applyBorder="1" applyAlignment="1">
      <alignment horizontal="center" vertical="center" wrapText="1"/>
    </xf>
    <xf numFmtId="3" fontId="10" fillId="31" borderId="13" xfId="0" applyNumberFormat="1" applyFont="1" applyFill="1" applyBorder="1" applyAlignment="1">
      <alignment horizontal="center" vertical="center" wrapText="1"/>
    </xf>
    <xf numFmtId="3" fontId="10" fillId="31" borderId="72" xfId="0" applyNumberFormat="1" applyFont="1" applyFill="1" applyBorder="1" applyAlignment="1">
      <alignment horizontal="center" vertical="center" wrapText="1"/>
    </xf>
    <xf numFmtId="0" fontId="10" fillId="10" borderId="59" xfId="0" applyFont="1" applyFill="1" applyBorder="1" applyAlignment="1">
      <alignment horizontal="center" vertical="center" wrapText="1"/>
    </xf>
    <xf numFmtId="173" fontId="10" fillId="3" borderId="13" xfId="0" applyNumberFormat="1" applyFont="1" applyFill="1" applyBorder="1" applyAlignment="1">
      <alignment horizontal="center" vertical="center" wrapText="1"/>
    </xf>
    <xf numFmtId="174" fontId="10" fillId="3" borderId="13" xfId="0" applyNumberFormat="1" applyFont="1" applyFill="1" applyBorder="1" applyAlignment="1">
      <alignment horizontal="center" vertical="center" wrapText="1"/>
    </xf>
    <xf numFmtId="165" fontId="10" fillId="8" borderId="13" xfId="0" applyNumberFormat="1" applyFont="1" applyFill="1" applyBorder="1" applyAlignment="1">
      <alignment horizontal="center" vertical="center" wrapText="1"/>
    </xf>
    <xf numFmtId="164" fontId="10" fillId="8" borderId="13" xfId="0" applyNumberFormat="1" applyFont="1" applyFill="1" applyBorder="1" applyAlignment="1">
      <alignment horizontal="center" vertical="center" wrapText="1"/>
    </xf>
    <xf numFmtId="167" fontId="10" fillId="8" borderId="13" xfId="0" applyNumberFormat="1" applyFont="1" applyFill="1" applyBorder="1" applyAlignment="1">
      <alignment horizontal="center" vertical="center" wrapText="1"/>
    </xf>
    <xf numFmtId="172" fontId="10" fillId="8" borderId="13" xfId="0" applyNumberFormat="1" applyFont="1" applyFill="1" applyBorder="1" applyAlignment="1">
      <alignment horizontal="center" vertical="center" wrapText="1"/>
    </xf>
    <xf numFmtId="169" fontId="59" fillId="3" borderId="13" xfId="0" applyNumberFormat="1" applyFont="1" applyFill="1" applyBorder="1" applyAlignment="1">
      <alignment horizontal="center" vertical="center" wrapText="1"/>
    </xf>
    <xf numFmtId="172" fontId="59" fillId="3" borderId="13" xfId="0" applyNumberFormat="1" applyFont="1" applyFill="1" applyBorder="1" applyAlignment="1">
      <alignment horizontal="center" vertical="center" wrapText="1"/>
    </xf>
    <xf numFmtId="170" fontId="59" fillId="3" borderId="13" xfId="0" applyNumberFormat="1" applyFont="1" applyFill="1" applyBorder="1" applyAlignment="1">
      <alignment horizontal="center" vertical="center" wrapText="1"/>
    </xf>
    <xf numFmtId="3" fontId="10" fillId="3" borderId="13" xfId="0" applyNumberFormat="1" applyFont="1" applyFill="1" applyBorder="1" applyAlignment="1">
      <alignment horizontal="center" vertical="center" wrapText="1"/>
    </xf>
    <xf numFmtId="169" fontId="10" fillId="8" borderId="13" xfId="0" applyNumberFormat="1" applyFont="1" applyFill="1" applyBorder="1" applyAlignment="1">
      <alignment horizontal="center" vertical="center" wrapText="1"/>
    </xf>
    <xf numFmtId="170" fontId="10" fillId="8" borderId="13" xfId="0" applyNumberFormat="1" applyFont="1" applyFill="1" applyBorder="1" applyAlignment="1">
      <alignment horizontal="center" vertical="center" wrapText="1"/>
    </xf>
    <xf numFmtId="4" fontId="10" fillId="3" borderId="13" xfId="0" applyNumberFormat="1" applyFont="1" applyFill="1" applyBorder="1" applyAlignment="1">
      <alignment horizontal="center" vertical="center" wrapText="1"/>
    </xf>
    <xf numFmtId="10" fontId="10" fillId="3" borderId="13" xfId="0" applyNumberFormat="1" applyFont="1" applyFill="1" applyBorder="1" applyAlignment="1">
      <alignment horizontal="center" vertical="center" wrapText="1"/>
    </xf>
    <xf numFmtId="10" fontId="10" fillId="3" borderId="72" xfId="0" applyNumberFormat="1" applyFont="1" applyFill="1" applyBorder="1" applyAlignment="1">
      <alignment horizontal="center" vertical="center" wrapText="1"/>
    </xf>
    <xf numFmtId="0" fontId="10" fillId="0" borderId="0" xfId="0" applyFont="1" applyAlignment="1">
      <alignment horizontal="center" vertical="center" wrapText="1"/>
    </xf>
    <xf numFmtId="0" fontId="10" fillId="0" borderId="30" xfId="0" applyFont="1" applyBorder="1" applyAlignment="1">
      <alignment horizontal="center" wrapText="1"/>
    </xf>
    <xf numFmtId="0" fontId="10" fillId="0" borderId="18" xfId="0" applyFont="1" applyBorder="1" applyAlignment="1">
      <alignment horizontal="center" vertical="center" wrapText="1"/>
    </xf>
    <xf numFmtId="164" fontId="10" fillId="0" borderId="29" xfId="0" quotePrefix="1" applyNumberFormat="1" applyFont="1" applyBorder="1" applyAlignment="1">
      <alignment horizontal="center" vertical="center" wrapText="1"/>
    </xf>
    <xf numFmtId="164" fontId="10" fillId="0" borderId="13" xfId="0" quotePrefix="1" applyNumberFormat="1" applyFont="1" applyBorder="1" applyAlignment="1">
      <alignment horizontal="center" vertical="center" wrapText="1"/>
    </xf>
    <xf numFmtId="173" fontId="3" fillId="3" borderId="13" xfId="0" applyNumberFormat="1" applyFont="1" applyFill="1" applyBorder="1" applyAlignment="1">
      <alignment horizontal="center" vertical="center" wrapText="1"/>
    </xf>
    <xf numFmtId="3" fontId="68" fillId="31" borderId="72" xfId="0" applyNumberFormat="1" applyFont="1" applyFill="1" applyBorder="1" applyAlignment="1">
      <alignment horizontal="center" vertical="center" wrapText="1"/>
    </xf>
    <xf numFmtId="0" fontId="69" fillId="0" borderId="0" xfId="0" applyFont="1"/>
    <xf numFmtId="0" fontId="68" fillId="10" borderId="59" xfId="0" applyFont="1" applyFill="1" applyBorder="1" applyAlignment="1">
      <alignment horizontal="center" vertical="center" wrapText="1"/>
    </xf>
    <xf numFmtId="173" fontId="68" fillId="3" borderId="13" xfId="0" applyNumberFormat="1" applyFont="1" applyFill="1" applyBorder="1" applyAlignment="1">
      <alignment horizontal="center" vertical="center" wrapText="1"/>
    </xf>
    <xf numFmtId="173" fontId="68" fillId="2" borderId="13" xfId="0" applyNumberFormat="1" applyFont="1" applyFill="1" applyBorder="1" applyAlignment="1">
      <alignment horizontal="center" vertical="center" wrapText="1"/>
    </xf>
    <xf numFmtId="174" fontId="68" fillId="3" borderId="13" xfId="0" applyNumberFormat="1" applyFont="1" applyFill="1" applyBorder="1" applyAlignment="1">
      <alignment horizontal="center" vertical="center" wrapText="1"/>
    </xf>
    <xf numFmtId="165" fontId="68" fillId="8" borderId="13" xfId="0" applyNumberFormat="1" applyFont="1" applyFill="1" applyBorder="1" applyAlignment="1">
      <alignment horizontal="center" vertical="center" wrapText="1"/>
    </xf>
    <xf numFmtId="164" fontId="68" fillId="8" borderId="13" xfId="0" applyNumberFormat="1" applyFont="1" applyFill="1" applyBorder="1" applyAlignment="1">
      <alignment horizontal="center" vertical="center" wrapText="1"/>
    </xf>
    <xf numFmtId="167" fontId="68" fillId="8" borderId="13" xfId="0" applyNumberFormat="1" applyFont="1" applyFill="1" applyBorder="1" applyAlignment="1">
      <alignment horizontal="center" vertical="center" wrapText="1"/>
    </xf>
    <xf numFmtId="172" fontId="68" fillId="8" borderId="13" xfId="0" applyNumberFormat="1" applyFont="1" applyFill="1" applyBorder="1" applyAlignment="1">
      <alignment horizontal="center" vertical="center" wrapText="1"/>
    </xf>
    <xf numFmtId="169" fontId="70" fillId="3" borderId="13" xfId="0" applyNumberFormat="1" applyFont="1" applyFill="1" applyBorder="1" applyAlignment="1">
      <alignment horizontal="center" vertical="center" wrapText="1"/>
    </xf>
    <xf numFmtId="172" fontId="70" fillId="3" borderId="13" xfId="0" applyNumberFormat="1" applyFont="1" applyFill="1" applyBorder="1" applyAlignment="1">
      <alignment horizontal="center" vertical="center" wrapText="1"/>
    </xf>
    <xf numFmtId="170" fontId="70" fillId="3" borderId="13" xfId="0" applyNumberFormat="1" applyFont="1" applyFill="1" applyBorder="1" applyAlignment="1">
      <alignment horizontal="center" vertical="center" wrapText="1"/>
    </xf>
    <xf numFmtId="3" fontId="68" fillId="3" borderId="13" xfId="0" applyNumberFormat="1" applyFont="1" applyFill="1" applyBorder="1" applyAlignment="1">
      <alignment horizontal="center" vertical="center" wrapText="1"/>
    </xf>
    <xf numFmtId="169" fontId="68" fillId="8" borderId="13" xfId="0" applyNumberFormat="1" applyFont="1" applyFill="1" applyBorder="1" applyAlignment="1">
      <alignment horizontal="center" vertical="center" wrapText="1"/>
    </xf>
    <xf numFmtId="170" fontId="68" fillId="8" borderId="13" xfId="0" applyNumberFormat="1" applyFont="1" applyFill="1" applyBorder="1" applyAlignment="1">
      <alignment horizontal="center" vertical="center" wrapText="1"/>
    </xf>
    <xf numFmtId="3" fontId="68" fillId="8" borderId="13" xfId="0" applyNumberFormat="1" applyFont="1" applyFill="1" applyBorder="1" applyAlignment="1">
      <alignment horizontal="center" vertical="center" wrapText="1"/>
    </xf>
    <xf numFmtId="4" fontId="68" fillId="3" borderId="13" xfId="0" applyNumberFormat="1" applyFont="1" applyFill="1" applyBorder="1" applyAlignment="1">
      <alignment horizontal="center" vertical="center" wrapText="1"/>
    </xf>
    <xf numFmtId="10" fontId="68" fillId="3" borderId="13" xfId="0" applyNumberFormat="1" applyFont="1" applyFill="1" applyBorder="1" applyAlignment="1">
      <alignment horizontal="center" vertical="center" wrapText="1"/>
    </xf>
    <xf numFmtId="10" fontId="68" fillId="3" borderId="72" xfId="0" applyNumberFormat="1" applyFont="1" applyFill="1" applyBorder="1" applyAlignment="1">
      <alignment horizontal="center" vertical="center" wrapText="1"/>
    </xf>
    <xf numFmtId="0" fontId="62" fillId="33" borderId="100" xfId="0" applyFont="1" applyFill="1" applyBorder="1" applyAlignment="1">
      <alignment horizontal="center" vertical="center"/>
    </xf>
    <xf numFmtId="0" fontId="6" fillId="33" borderId="54" xfId="0" applyFont="1" applyFill="1" applyBorder="1" applyAlignment="1">
      <alignment horizontal="center" vertical="center"/>
    </xf>
    <xf numFmtId="0" fontId="4" fillId="33" borderId="22" xfId="0" applyFont="1" applyFill="1" applyBorder="1" applyAlignment="1">
      <alignment horizontal="center" vertical="center"/>
    </xf>
    <xf numFmtId="0" fontId="14" fillId="20" borderId="100" xfId="0" applyFont="1" applyFill="1" applyBorder="1" applyAlignment="1">
      <alignment horizontal="center" vertical="center"/>
    </xf>
    <xf numFmtId="0" fontId="62" fillId="20" borderId="100" xfId="0" applyFont="1" applyFill="1" applyBorder="1" applyAlignment="1">
      <alignment horizontal="center" vertical="center"/>
    </xf>
    <xf numFmtId="0" fontId="10" fillId="20" borderId="54" xfId="0" applyFont="1" applyFill="1" applyBorder="1" applyAlignment="1">
      <alignment horizontal="center" vertical="center"/>
    </xf>
    <xf numFmtId="0" fontId="6" fillId="20" borderId="54" xfId="0" applyFont="1" applyFill="1" applyBorder="1" applyAlignment="1">
      <alignment horizontal="center" vertical="center"/>
    </xf>
    <xf numFmtId="0" fontId="10" fillId="20" borderId="22" xfId="0" applyFont="1" applyFill="1" applyBorder="1" applyAlignment="1">
      <alignment horizontal="center" vertical="center"/>
    </xf>
    <xf numFmtId="0" fontId="4" fillId="20" borderId="22" xfId="0" applyFont="1" applyFill="1" applyBorder="1" applyAlignment="1">
      <alignment horizontal="center" vertical="center"/>
    </xf>
    <xf numFmtId="2" fontId="10" fillId="2" borderId="13" xfId="0" applyNumberFormat="1" applyFont="1" applyFill="1" applyBorder="1" applyAlignment="1">
      <alignment horizontal="center" vertical="center" wrapText="1"/>
    </xf>
    <xf numFmtId="2" fontId="68" fillId="2" borderId="13" xfId="0" applyNumberFormat="1" applyFont="1" applyFill="1" applyBorder="1" applyAlignment="1">
      <alignment horizontal="center" vertical="center" wrapText="1"/>
    </xf>
    <xf numFmtId="2" fontId="4" fillId="2" borderId="13" xfId="0" applyNumberFormat="1" applyFont="1" applyFill="1" applyBorder="1" applyAlignment="1">
      <alignment horizontal="center" vertical="center" wrapText="1"/>
    </xf>
    <xf numFmtId="167" fontId="3" fillId="0" borderId="0" xfId="0" applyNumberFormat="1" applyFont="1" applyAlignment="1">
      <alignment horizontal="center" vertical="center" wrapText="1"/>
    </xf>
    <xf numFmtId="173" fontId="63" fillId="16" borderId="100" xfId="0" applyNumberFormat="1" applyFont="1" applyFill="1" applyBorder="1" applyAlignment="1">
      <alignment horizontal="center" vertical="center"/>
    </xf>
    <xf numFmtId="175" fontId="62" fillId="16" borderId="100" xfId="0" applyNumberFormat="1" applyFont="1" applyFill="1" applyBorder="1" applyAlignment="1">
      <alignment horizontal="center" vertical="center"/>
    </xf>
    <xf numFmtId="175" fontId="62" fillId="20" borderId="100" xfId="0" applyNumberFormat="1" applyFont="1" applyFill="1" applyBorder="1" applyAlignment="1">
      <alignment horizontal="center" vertical="center"/>
    </xf>
    <xf numFmtId="0" fontId="7" fillId="20" borderId="13" xfId="0" applyFont="1" applyFill="1" applyBorder="1" applyAlignment="1">
      <alignment horizontal="center" vertical="center" wrapText="1"/>
    </xf>
    <xf numFmtId="20" fontId="4" fillId="0" borderId="0" xfId="0" applyNumberFormat="1" applyFont="1" applyAlignment="1">
      <alignment horizontal="center" vertical="center"/>
    </xf>
    <xf numFmtId="20" fontId="4" fillId="20" borderId="0" xfId="0" applyNumberFormat="1" applyFont="1" applyFill="1" applyAlignment="1">
      <alignment horizontal="center" vertical="center"/>
    </xf>
    <xf numFmtId="0" fontId="4" fillId="20" borderId="0" xfId="0" applyFont="1" applyFill="1" applyAlignment="1">
      <alignment horizontal="center" vertical="center"/>
    </xf>
    <xf numFmtId="0" fontId="4" fillId="20" borderId="0" xfId="0" applyFont="1" applyFill="1" applyAlignment="1">
      <alignment horizontal="center" vertical="center" wrapText="1"/>
    </xf>
    <xf numFmtId="0" fontId="42" fillId="20" borderId="0" xfId="0" applyFont="1" applyFill="1"/>
    <xf numFmtId="20" fontId="4" fillId="34" borderId="0" xfId="0" applyNumberFormat="1" applyFont="1" applyFill="1" applyAlignment="1">
      <alignment horizontal="center" vertical="center"/>
    </xf>
    <xf numFmtId="0" fontId="4" fillId="34" borderId="0" xfId="0" applyFont="1" applyFill="1" applyAlignment="1">
      <alignment horizontal="center" vertical="center"/>
    </xf>
    <xf numFmtId="0" fontId="4" fillId="34" borderId="0" xfId="0" applyFont="1" applyFill="1" applyAlignment="1">
      <alignment horizontal="center" vertical="center" wrapText="1"/>
    </xf>
    <xf numFmtId="0" fontId="42" fillId="34" borderId="0" xfId="0" applyFont="1" applyFill="1"/>
    <xf numFmtId="0" fontId="4" fillId="5" borderId="16" xfId="0" applyFont="1" applyFill="1" applyBorder="1" applyAlignment="1">
      <alignment horizontal="center" vertical="center"/>
    </xf>
    <xf numFmtId="0" fontId="4" fillId="5" borderId="19" xfId="0" applyFont="1" applyFill="1" applyBorder="1" applyAlignment="1">
      <alignment horizontal="center" vertical="center"/>
    </xf>
    <xf numFmtId="1" fontId="5" fillId="5" borderId="13" xfId="0" applyNumberFormat="1" applyFont="1" applyFill="1" applyBorder="1" applyAlignment="1">
      <alignment horizontal="center" vertical="center"/>
    </xf>
    <xf numFmtId="0" fontId="5" fillId="5" borderId="18" xfId="0" applyFont="1" applyFill="1" applyBorder="1" applyAlignment="1">
      <alignment horizontal="center" vertical="center"/>
    </xf>
    <xf numFmtId="1" fontId="5" fillId="5" borderId="16" xfId="0" applyNumberFormat="1" applyFont="1" applyFill="1" applyBorder="1" applyAlignment="1">
      <alignment horizontal="center" vertical="center"/>
    </xf>
    <xf numFmtId="1" fontId="5" fillId="5" borderId="18" xfId="0" applyNumberFormat="1" applyFont="1" applyFill="1" applyBorder="1" applyAlignment="1">
      <alignment horizontal="center" vertical="center"/>
    </xf>
    <xf numFmtId="167" fontId="5" fillId="9" borderId="10" xfId="0" applyNumberFormat="1" applyFont="1" applyFill="1" applyBorder="1" applyAlignment="1">
      <alignment horizontal="center" vertical="center"/>
    </xf>
    <xf numFmtId="167" fontId="5" fillId="9" borderId="13" xfId="0" applyNumberFormat="1" applyFont="1" applyFill="1" applyBorder="1" applyAlignment="1">
      <alignment horizontal="center" vertical="center"/>
    </xf>
    <xf numFmtId="167" fontId="5" fillId="5" borderId="16" xfId="0" applyNumberFormat="1" applyFont="1" applyFill="1" applyBorder="1" applyAlignment="1">
      <alignment horizontal="center" vertical="center"/>
    </xf>
    <xf numFmtId="167" fontId="5" fillId="5" borderId="13" xfId="0" applyNumberFormat="1" applyFont="1" applyFill="1" applyBorder="1" applyAlignment="1">
      <alignment horizontal="center" vertical="center"/>
    </xf>
    <xf numFmtId="167" fontId="4" fillId="5" borderId="16" xfId="0" applyNumberFormat="1" applyFont="1" applyFill="1" applyBorder="1" applyAlignment="1">
      <alignment horizontal="center" vertical="center"/>
    </xf>
    <xf numFmtId="167" fontId="5" fillId="5" borderId="18" xfId="0" applyNumberFormat="1" applyFont="1" applyFill="1" applyBorder="1" applyAlignment="1">
      <alignment horizontal="center" vertical="center"/>
    </xf>
    <xf numFmtId="167" fontId="4" fillId="5" borderId="19" xfId="0" applyNumberFormat="1" applyFont="1" applyFill="1" applyBorder="1" applyAlignment="1">
      <alignment horizontal="center" vertical="center"/>
    </xf>
    <xf numFmtId="167" fontId="5" fillId="9" borderId="11" xfId="0" applyNumberFormat="1" applyFont="1" applyFill="1" applyBorder="1" applyAlignment="1">
      <alignment horizontal="center" vertical="center"/>
    </xf>
    <xf numFmtId="167" fontId="5" fillId="9" borderId="12" xfId="0" applyNumberFormat="1" applyFont="1" applyFill="1" applyBorder="1" applyAlignment="1">
      <alignment horizontal="center" vertical="center"/>
    </xf>
    <xf numFmtId="167" fontId="5" fillId="9" borderId="15" xfId="0" applyNumberFormat="1" applyFont="1" applyFill="1" applyBorder="1" applyAlignment="1">
      <alignment horizontal="center" vertical="center"/>
    </xf>
    <xf numFmtId="167" fontId="5" fillId="9" borderId="16" xfId="0" applyNumberFormat="1" applyFont="1" applyFill="1" applyBorder="1" applyAlignment="1">
      <alignment horizontal="center" vertical="center"/>
    </xf>
    <xf numFmtId="167" fontId="5" fillId="9" borderId="17" xfId="0" applyNumberFormat="1" applyFont="1" applyFill="1" applyBorder="1" applyAlignment="1">
      <alignment horizontal="center" vertical="center"/>
    </xf>
    <xf numFmtId="167" fontId="5" fillId="9" borderId="18" xfId="0" applyNumberFormat="1" applyFont="1" applyFill="1" applyBorder="1" applyAlignment="1">
      <alignment horizontal="center" vertical="center"/>
    </xf>
    <xf numFmtId="167" fontId="5" fillId="9" borderId="30" xfId="0" applyNumberFormat="1" applyFont="1" applyFill="1" applyBorder="1" applyAlignment="1">
      <alignment horizontal="center" vertical="center"/>
    </xf>
    <xf numFmtId="167" fontId="5" fillId="9" borderId="29" xfId="0" applyNumberFormat="1" applyFont="1" applyFill="1" applyBorder="1" applyAlignment="1">
      <alignment horizontal="center" vertical="center"/>
    </xf>
    <xf numFmtId="167" fontId="5" fillId="9" borderId="91" xfId="0" applyNumberFormat="1" applyFont="1" applyFill="1" applyBorder="1" applyAlignment="1">
      <alignment horizontal="center" vertical="center"/>
    </xf>
    <xf numFmtId="167" fontId="5" fillId="9" borderId="31" xfId="0" applyNumberFormat="1" applyFont="1" applyFill="1" applyBorder="1" applyAlignment="1">
      <alignment horizontal="center" vertical="center"/>
    </xf>
    <xf numFmtId="3" fontId="10" fillId="7" borderId="13" xfId="0" applyNumberFormat="1" applyFont="1" applyFill="1" applyBorder="1" applyAlignment="1">
      <alignment horizontal="center" vertical="center"/>
    </xf>
    <xf numFmtId="167" fontId="5" fillId="5" borderId="31" xfId="0" applyNumberFormat="1" applyFont="1" applyFill="1" applyBorder="1" applyAlignment="1">
      <alignment horizontal="center" vertical="center"/>
    </xf>
    <xf numFmtId="3" fontId="5" fillId="9" borderId="10" xfId="0" applyNumberFormat="1" applyFont="1" applyFill="1" applyBorder="1" applyAlignment="1">
      <alignment horizontal="center" vertical="center"/>
    </xf>
    <xf numFmtId="3" fontId="5" fillId="9" borderId="11" xfId="0" applyNumberFormat="1" applyFont="1" applyFill="1" applyBorder="1" applyAlignment="1">
      <alignment horizontal="center" vertical="center"/>
    </xf>
    <xf numFmtId="3" fontId="5" fillId="9" borderId="30" xfId="0" applyNumberFormat="1" applyFont="1" applyFill="1" applyBorder="1" applyAlignment="1">
      <alignment horizontal="center" vertical="center"/>
    </xf>
    <xf numFmtId="3" fontId="5" fillId="9" borderId="29" xfId="0" applyNumberFormat="1" applyFont="1" applyFill="1" applyBorder="1" applyAlignment="1">
      <alignment horizontal="center" vertical="center"/>
    </xf>
    <xf numFmtId="3" fontId="5" fillId="9" borderId="15" xfId="0" applyNumberFormat="1" applyFont="1" applyFill="1" applyBorder="1" applyAlignment="1">
      <alignment horizontal="center" vertical="center"/>
    </xf>
    <xf numFmtId="3" fontId="5" fillId="9" borderId="13" xfId="0" applyNumberFormat="1" applyFont="1" applyFill="1" applyBorder="1" applyAlignment="1">
      <alignment horizontal="center" vertical="center"/>
    </xf>
    <xf numFmtId="3" fontId="5" fillId="5" borderId="13" xfId="0" applyNumberFormat="1" applyFont="1" applyFill="1" applyBorder="1" applyAlignment="1">
      <alignment horizontal="center" vertical="center"/>
    </xf>
    <xf numFmtId="3" fontId="5" fillId="9" borderId="91" xfId="0" applyNumberFormat="1" applyFont="1" applyFill="1" applyBorder="1" applyAlignment="1">
      <alignment horizontal="center" vertical="center"/>
    </xf>
    <xf numFmtId="3" fontId="5" fillId="9" borderId="31" xfId="0" applyNumberFormat="1" applyFont="1" applyFill="1" applyBorder="1" applyAlignment="1">
      <alignment horizontal="center" vertical="center"/>
    </xf>
    <xf numFmtId="3" fontId="5" fillId="5" borderId="31" xfId="0" applyNumberFormat="1" applyFont="1" applyFill="1" applyBorder="1" applyAlignment="1">
      <alignment horizontal="center" vertical="center"/>
    </xf>
    <xf numFmtId="3" fontId="5" fillId="9" borderId="17" xfId="0" applyNumberFormat="1" applyFont="1" applyFill="1" applyBorder="1" applyAlignment="1">
      <alignment horizontal="center" vertical="center"/>
    </xf>
    <xf numFmtId="3" fontId="5" fillId="9" borderId="18" xfId="0" applyNumberFormat="1" applyFont="1" applyFill="1" applyBorder="1" applyAlignment="1">
      <alignment horizontal="center" vertical="center"/>
    </xf>
    <xf numFmtId="3" fontId="5" fillId="5" borderId="18" xfId="0" applyNumberFormat="1" applyFont="1" applyFill="1" applyBorder="1" applyAlignment="1">
      <alignment horizontal="center" vertical="center"/>
    </xf>
    <xf numFmtId="0" fontId="4" fillId="8" borderId="15" xfId="0" applyFont="1" applyFill="1" applyBorder="1" applyAlignment="1">
      <alignment horizontal="right" vertical="center"/>
    </xf>
    <xf numFmtId="3" fontId="46" fillId="8" borderId="13" xfId="0" applyNumberFormat="1" applyFont="1" applyFill="1" applyBorder="1" applyAlignment="1">
      <alignment horizontal="center" vertical="center" wrapText="1"/>
    </xf>
    <xf numFmtId="0" fontId="47" fillId="8" borderId="13" xfId="0" applyFont="1" applyFill="1" applyBorder="1" applyAlignment="1">
      <alignment horizontal="left" vertical="center"/>
    </xf>
    <xf numFmtId="0" fontId="46" fillId="8" borderId="29" xfId="0" applyFont="1" applyFill="1" applyBorder="1" applyAlignment="1">
      <alignment horizontal="right" vertical="center"/>
    </xf>
    <xf numFmtId="3" fontId="4" fillId="8" borderId="16" xfId="0" quotePrefix="1" applyNumberFormat="1" applyFont="1" applyFill="1" applyBorder="1" applyAlignment="1">
      <alignment horizontal="left" vertical="center" wrapText="1" indent="1"/>
    </xf>
    <xf numFmtId="1" fontId="5" fillId="8" borderId="13" xfId="0" applyNumberFormat="1" applyFont="1" applyFill="1" applyBorder="1" applyAlignment="1">
      <alignment horizontal="center" vertical="center" wrapText="1"/>
    </xf>
    <xf numFmtId="0" fontId="7" fillId="8" borderId="13" xfId="0" quotePrefix="1" applyFont="1" applyFill="1" applyBorder="1" applyAlignment="1">
      <alignment horizontal="center" vertical="center" wrapText="1"/>
    </xf>
    <xf numFmtId="167" fontId="41" fillId="36" borderId="13" xfId="0" applyNumberFormat="1" applyFont="1" applyFill="1" applyBorder="1" applyAlignment="1">
      <alignment horizontal="center" vertical="center" wrapText="1"/>
    </xf>
    <xf numFmtId="0" fontId="4" fillId="23" borderId="2" xfId="0" quotePrefix="1" applyFont="1" applyFill="1" applyBorder="1" applyAlignment="1">
      <alignment horizontal="center" vertical="center" wrapText="1"/>
    </xf>
    <xf numFmtId="0" fontId="41" fillId="35" borderId="2" xfId="0" quotePrefix="1" applyFont="1" applyFill="1" applyBorder="1" applyAlignment="1">
      <alignment horizontal="center" vertical="center" wrapText="1"/>
    </xf>
    <xf numFmtId="167" fontId="41" fillId="28" borderId="13" xfId="0" applyNumberFormat="1" applyFont="1" applyFill="1" applyBorder="1" applyAlignment="1">
      <alignment horizontal="center" vertical="center" wrapText="1"/>
    </xf>
    <xf numFmtId="3" fontId="41" fillId="28" borderId="13" xfId="0" applyNumberFormat="1" applyFont="1" applyFill="1" applyBorder="1" applyAlignment="1">
      <alignment horizontal="center" vertical="center"/>
    </xf>
    <xf numFmtId="1" fontId="4" fillId="3" borderId="13" xfId="0" applyNumberFormat="1" applyFont="1" applyFill="1" applyBorder="1" applyAlignment="1">
      <alignment horizontal="center" vertical="center" wrapText="1"/>
    </xf>
    <xf numFmtId="0" fontId="6" fillId="4" borderId="20" xfId="0" applyFont="1" applyFill="1" applyBorder="1" applyAlignment="1">
      <alignment horizontal="center" vertical="center"/>
    </xf>
    <xf numFmtId="0" fontId="6" fillId="4" borderId="104" xfId="0" applyFont="1" applyFill="1" applyBorder="1" applyAlignment="1">
      <alignment horizontal="center" vertical="center"/>
    </xf>
    <xf numFmtId="0" fontId="13" fillId="10" borderId="21" xfId="0" applyFont="1" applyFill="1" applyBorder="1" applyAlignment="1">
      <alignment horizontal="left" vertical="center" indent="2"/>
    </xf>
    <xf numFmtId="0" fontId="4" fillId="10" borderId="23" xfId="0" applyFont="1" applyFill="1" applyBorder="1" applyAlignment="1">
      <alignment horizontal="center" vertical="center"/>
    </xf>
    <xf numFmtId="0" fontId="10" fillId="22" borderId="16" xfId="0" applyFont="1" applyFill="1" applyBorder="1" applyAlignment="1">
      <alignment horizontal="left" vertical="center" wrapText="1" indent="1"/>
    </xf>
    <xf numFmtId="0" fontId="10" fillId="22" borderId="47" xfId="0" applyFont="1" applyFill="1" applyBorder="1" applyAlignment="1">
      <alignment horizontal="left" vertical="center" wrapText="1" indent="1"/>
    </xf>
    <xf numFmtId="0" fontId="10" fillId="21" borderId="16" xfId="0" applyFont="1" applyFill="1" applyBorder="1" applyAlignment="1">
      <alignment horizontal="left" vertical="center" wrapText="1" indent="1"/>
    </xf>
    <xf numFmtId="0" fontId="59" fillId="23" borderId="16" xfId="0" applyFont="1" applyFill="1" applyBorder="1" applyAlignment="1">
      <alignment horizontal="left" vertical="center" wrapText="1" indent="1"/>
    </xf>
    <xf numFmtId="0" fontId="10" fillId="24" borderId="16" xfId="0" applyFont="1" applyFill="1" applyBorder="1" applyAlignment="1">
      <alignment horizontal="left" vertical="center" wrapText="1" indent="1"/>
    </xf>
    <xf numFmtId="0" fontId="10" fillId="24" borderId="45" xfId="0" applyFont="1" applyFill="1" applyBorder="1" applyAlignment="1">
      <alignment horizontal="left" vertical="center" wrapText="1" indent="1"/>
    </xf>
    <xf numFmtId="0" fontId="4" fillId="3" borderId="93" xfId="0" applyFont="1" applyFill="1" applyBorder="1" applyAlignment="1">
      <alignment horizontal="center" vertical="center" wrapText="1"/>
    </xf>
    <xf numFmtId="0" fontId="10" fillId="3" borderId="16" xfId="0" applyFont="1" applyFill="1" applyBorder="1" applyAlignment="1">
      <alignment horizontal="left" vertical="center" wrapText="1" indent="1"/>
    </xf>
    <xf numFmtId="0" fontId="4" fillId="8" borderId="15" xfId="0" applyFont="1" applyFill="1" applyBorder="1" applyAlignment="1">
      <alignment horizontal="center" vertical="center" wrapText="1"/>
    </xf>
    <xf numFmtId="0" fontId="10" fillId="8" borderId="16" xfId="0" applyFont="1" applyFill="1" applyBorder="1" applyAlignment="1">
      <alignment horizontal="left" vertical="center" wrapText="1" indent="1"/>
    </xf>
    <xf numFmtId="0" fontId="10" fillId="30" borderId="16" xfId="0" applyFont="1" applyFill="1" applyBorder="1" applyAlignment="1">
      <alignment horizontal="left" vertical="center" wrapText="1" indent="1"/>
    </xf>
    <xf numFmtId="0" fontId="4" fillId="8" borderId="93" xfId="0" applyFont="1" applyFill="1" applyBorder="1" applyAlignment="1">
      <alignment horizontal="center" vertical="center" wrapText="1"/>
    </xf>
    <xf numFmtId="0" fontId="10" fillId="31" borderId="16" xfId="0" applyFont="1" applyFill="1" applyBorder="1" applyAlignment="1">
      <alignment horizontal="left" vertical="center" wrapText="1" indent="1"/>
    </xf>
    <xf numFmtId="0" fontId="4" fillId="31" borderId="18" xfId="0" applyFont="1" applyFill="1" applyBorder="1" applyAlignment="1">
      <alignment horizontal="right" vertical="center" wrapText="1" indent="1"/>
    </xf>
    <xf numFmtId="3" fontId="4" fillId="31" borderId="18" xfId="0" applyNumberFormat="1" applyFont="1" applyFill="1" applyBorder="1" applyAlignment="1">
      <alignment horizontal="center" vertical="center" wrapText="1"/>
    </xf>
    <xf numFmtId="0" fontId="4" fillId="31" borderId="18" xfId="0" applyFont="1" applyFill="1" applyBorder="1" applyAlignment="1">
      <alignment horizontal="center" vertical="center" wrapText="1"/>
    </xf>
    <xf numFmtId="0" fontId="10" fillId="31" borderId="19" xfId="0" applyFont="1" applyFill="1" applyBorder="1" applyAlignment="1">
      <alignment horizontal="left" vertical="center" wrapText="1" indent="1"/>
    </xf>
    <xf numFmtId="0" fontId="4" fillId="10" borderId="10" xfId="0" applyFont="1" applyFill="1" applyBorder="1" applyAlignment="1">
      <alignment horizontal="left" vertical="center" wrapText="1" indent="2"/>
    </xf>
    <xf numFmtId="0" fontId="4" fillId="10" borderId="15" xfId="0" applyFont="1" applyFill="1" applyBorder="1" applyAlignment="1">
      <alignment horizontal="left" vertical="center" wrapText="1" indent="2"/>
    </xf>
    <xf numFmtId="0" fontId="4" fillId="10" borderId="17" xfId="0" applyFont="1" applyFill="1" applyBorder="1" applyAlignment="1">
      <alignment horizontal="left" vertical="center" wrapText="1" indent="2"/>
    </xf>
    <xf numFmtId="15" fontId="4" fillId="10" borderId="11" xfId="0" applyNumberFormat="1" applyFont="1" applyFill="1" applyBorder="1" applyAlignment="1">
      <alignment horizontal="center" vertical="center" wrapText="1"/>
    </xf>
    <xf numFmtId="15" fontId="4" fillId="10" borderId="13" xfId="0" applyNumberFormat="1" applyFont="1" applyFill="1" applyBorder="1" applyAlignment="1">
      <alignment horizontal="center" vertical="center" wrapText="1"/>
    </xf>
    <xf numFmtId="15" fontId="4" fillId="10" borderId="18" xfId="0" applyNumberFormat="1" applyFont="1" applyFill="1" applyBorder="1" applyAlignment="1">
      <alignment horizontal="center" vertical="center" wrapText="1"/>
    </xf>
    <xf numFmtId="3" fontId="4" fillId="8" borderId="29" xfId="0" quotePrefix="1" applyNumberFormat="1" applyFont="1" applyFill="1" applyBorder="1" applyAlignment="1">
      <alignment horizontal="center" vertical="center" wrapText="1"/>
    </xf>
    <xf numFmtId="20" fontId="4" fillId="10" borderId="0" xfId="0" applyNumberFormat="1" applyFont="1" applyFill="1" applyAlignment="1">
      <alignment horizontal="center" vertical="center"/>
    </xf>
    <xf numFmtId="0" fontId="4" fillId="10" borderId="0" xfId="0" applyFont="1" applyFill="1" applyAlignment="1">
      <alignment horizontal="center" vertical="center"/>
    </xf>
    <xf numFmtId="0" fontId="4" fillId="10" borderId="0" xfId="0" applyFont="1" applyFill="1" applyAlignment="1">
      <alignment horizontal="center" vertical="center" wrapText="1"/>
    </xf>
    <xf numFmtId="0" fontId="42" fillId="10" borderId="0" xfId="0" applyFont="1" applyFill="1"/>
    <xf numFmtId="164" fontId="5" fillId="13" borderId="29" xfId="0" applyNumberFormat="1" applyFont="1" applyFill="1" applyBorder="1" applyAlignment="1">
      <alignment horizontal="center" vertical="center" wrapText="1"/>
    </xf>
    <xf numFmtId="0" fontId="71" fillId="12" borderId="23" xfId="0" applyFont="1" applyFill="1" applyBorder="1" applyAlignment="1">
      <alignment horizontal="center" vertical="center"/>
    </xf>
    <xf numFmtId="3" fontId="71" fillId="12" borderId="25" xfId="0" applyNumberFormat="1" applyFont="1" applyFill="1" applyBorder="1" applyAlignment="1">
      <alignment horizontal="center" vertical="center"/>
    </xf>
    <xf numFmtId="0" fontId="10" fillId="8" borderId="13" xfId="0" quotePrefix="1" applyFont="1" applyFill="1" applyBorder="1" applyAlignment="1">
      <alignment horizontal="center" vertical="center" wrapText="1"/>
    </xf>
    <xf numFmtId="0" fontId="10" fillId="3" borderId="13" xfId="0" quotePrefix="1" applyFont="1" applyFill="1" applyBorder="1" applyAlignment="1">
      <alignment horizontal="center" vertical="center" wrapText="1"/>
    </xf>
    <xf numFmtId="2" fontId="4" fillId="8" borderId="13" xfId="0" applyNumberFormat="1" applyFont="1" applyFill="1" applyBorder="1" applyAlignment="1">
      <alignment horizontal="center" vertical="center" wrapText="1"/>
    </xf>
    <xf numFmtId="2" fontId="4" fillId="3" borderId="13" xfId="0" applyNumberFormat="1" applyFont="1" applyFill="1" applyBorder="1" applyAlignment="1">
      <alignment horizontal="center" vertical="center" wrapText="1"/>
    </xf>
    <xf numFmtId="3" fontId="4" fillId="3" borderId="10" xfId="0" applyNumberFormat="1" applyFont="1" applyFill="1" applyBorder="1" applyAlignment="1">
      <alignment horizontal="center" vertical="center"/>
    </xf>
    <xf numFmtId="3" fontId="4" fillId="3" borderId="37" xfId="0" applyNumberFormat="1" applyFont="1" applyFill="1" applyBorder="1" applyAlignment="1">
      <alignment horizontal="center" vertical="center"/>
    </xf>
    <xf numFmtId="3" fontId="4" fillId="3" borderId="11" xfId="0" applyNumberFormat="1" applyFont="1" applyFill="1" applyBorder="1" applyAlignment="1">
      <alignment horizontal="center" vertical="center"/>
    </xf>
    <xf numFmtId="3" fontId="4" fillId="3" borderId="12" xfId="0" applyNumberFormat="1" applyFont="1" applyFill="1" applyBorder="1" applyAlignment="1">
      <alignment horizontal="center" vertical="center"/>
    </xf>
    <xf numFmtId="3" fontId="4" fillId="3" borderId="15" xfId="0" applyNumberFormat="1" applyFont="1" applyFill="1" applyBorder="1" applyAlignment="1">
      <alignment horizontal="center" vertical="center"/>
    </xf>
    <xf numFmtId="3" fontId="4" fillId="3" borderId="4" xfId="0" applyNumberFormat="1" applyFont="1" applyFill="1" applyBorder="1" applyAlignment="1">
      <alignment horizontal="center" vertical="center"/>
    </xf>
    <xf numFmtId="3" fontId="4" fillId="3" borderId="13" xfId="0" applyNumberFormat="1" applyFont="1" applyFill="1" applyBorder="1" applyAlignment="1">
      <alignment horizontal="center" vertical="center"/>
    </xf>
    <xf numFmtId="3" fontId="4" fillId="3" borderId="16" xfId="0" applyNumberFormat="1" applyFont="1" applyFill="1" applyBorder="1" applyAlignment="1">
      <alignment horizontal="center" vertical="center"/>
    </xf>
    <xf numFmtId="3" fontId="4" fillId="3" borderId="49" xfId="0" applyNumberFormat="1" applyFont="1" applyFill="1" applyBorder="1" applyAlignment="1">
      <alignment horizontal="center" vertical="center"/>
    </xf>
    <xf numFmtId="3" fontId="4" fillId="3" borderId="2" xfId="0" applyNumberFormat="1" applyFont="1" applyFill="1" applyBorder="1" applyAlignment="1">
      <alignment horizontal="center" vertical="center"/>
    </xf>
    <xf numFmtId="3" fontId="7" fillId="3" borderId="18" xfId="0" applyNumberFormat="1" applyFont="1" applyFill="1" applyBorder="1" applyAlignment="1">
      <alignment horizontal="center" vertical="center"/>
    </xf>
    <xf numFmtId="3" fontId="4" fillId="3" borderId="50" xfId="0" applyNumberFormat="1" applyFont="1" applyFill="1" applyBorder="1" applyAlignment="1">
      <alignment horizontal="center" vertical="center"/>
    </xf>
    <xf numFmtId="3" fontId="4" fillId="3" borderId="25" xfId="0" applyNumberFormat="1" applyFont="1" applyFill="1" applyBorder="1" applyAlignment="1">
      <alignment horizontal="center" vertical="center"/>
    </xf>
    <xf numFmtId="3" fontId="4" fillId="3" borderId="18" xfId="0" applyNumberFormat="1" applyFont="1" applyFill="1" applyBorder="1" applyAlignment="1">
      <alignment horizontal="center" vertical="center"/>
    </xf>
    <xf numFmtId="3" fontId="5" fillId="9" borderId="12" xfId="0" applyNumberFormat="1" applyFont="1" applyFill="1" applyBorder="1" applyAlignment="1">
      <alignment horizontal="center" vertical="center"/>
    </xf>
    <xf numFmtId="3" fontId="5" fillId="9" borderId="16" xfId="0" applyNumberFormat="1" applyFont="1" applyFill="1" applyBorder="1" applyAlignment="1">
      <alignment horizontal="center" vertical="center"/>
    </xf>
    <xf numFmtId="3" fontId="5" fillId="5" borderId="16" xfId="0" applyNumberFormat="1" applyFont="1" applyFill="1" applyBorder="1" applyAlignment="1">
      <alignment horizontal="center" vertical="center"/>
    </xf>
    <xf numFmtId="3" fontId="4" fillId="5" borderId="16" xfId="0" applyNumberFormat="1" applyFont="1" applyFill="1" applyBorder="1" applyAlignment="1">
      <alignment horizontal="center" vertical="center"/>
    </xf>
    <xf numFmtId="3" fontId="4" fillId="5" borderId="19" xfId="0" applyNumberFormat="1" applyFont="1" applyFill="1" applyBorder="1" applyAlignment="1">
      <alignment horizontal="center" vertical="center"/>
    </xf>
    <xf numFmtId="3" fontId="11" fillId="9" borderId="13" xfId="0" applyNumberFormat="1" applyFont="1" applyFill="1" applyBorder="1" applyAlignment="1">
      <alignment horizontal="center" vertical="center"/>
    </xf>
    <xf numFmtId="3" fontId="11" fillId="5" borderId="16" xfId="0" applyNumberFormat="1" applyFont="1" applyFill="1" applyBorder="1" applyAlignment="1">
      <alignment horizontal="center" vertical="center"/>
    </xf>
    <xf numFmtId="3" fontId="11" fillId="5" borderId="13" xfId="0" applyNumberFormat="1" applyFont="1" applyFill="1" applyBorder="1" applyAlignment="1">
      <alignment horizontal="center" vertical="center"/>
    </xf>
    <xf numFmtId="3" fontId="11" fillId="9" borderId="18" xfId="0" applyNumberFormat="1" applyFont="1" applyFill="1" applyBorder="1" applyAlignment="1">
      <alignment horizontal="center" vertical="center"/>
    </xf>
    <xf numFmtId="3" fontId="11" fillId="5" borderId="18" xfId="0" applyNumberFormat="1" applyFont="1" applyFill="1" applyBorder="1" applyAlignment="1">
      <alignment horizontal="center" vertical="center"/>
    </xf>
    <xf numFmtId="3" fontId="11" fillId="5" borderId="19" xfId="0" applyNumberFormat="1" applyFont="1" applyFill="1" applyBorder="1" applyAlignment="1">
      <alignment horizontal="center" vertical="center"/>
    </xf>
    <xf numFmtId="3" fontId="4" fillId="2" borderId="37" xfId="0" applyNumberFormat="1" applyFont="1" applyFill="1" applyBorder="1" applyAlignment="1">
      <alignment horizontal="center" vertical="center"/>
    </xf>
    <xf numFmtId="3" fontId="4" fillId="2" borderId="48" xfId="0" applyNumberFormat="1" applyFont="1" applyFill="1" applyBorder="1" applyAlignment="1">
      <alignment horizontal="center" vertical="center"/>
    </xf>
    <xf numFmtId="3" fontId="4" fillId="2" borderId="2" xfId="0" applyNumberFormat="1" applyFont="1" applyFill="1" applyBorder="1" applyAlignment="1">
      <alignment horizontal="center" vertical="center"/>
    </xf>
    <xf numFmtId="3" fontId="4" fillId="2" borderId="49" xfId="0" applyNumberFormat="1" applyFont="1" applyFill="1" applyBorder="1" applyAlignment="1">
      <alignment horizontal="center" vertical="center"/>
    </xf>
    <xf numFmtId="3" fontId="4" fillId="9" borderId="2" xfId="0" applyNumberFormat="1" applyFont="1" applyFill="1" applyBorder="1" applyAlignment="1">
      <alignment horizontal="center" vertical="center"/>
    </xf>
    <xf numFmtId="3" fontId="4" fillId="6" borderId="49" xfId="0" applyNumberFormat="1" applyFont="1" applyFill="1" applyBorder="1" applyAlignment="1">
      <alignment horizontal="center" vertical="center"/>
    </xf>
    <xf numFmtId="3" fontId="4" fillId="6" borderId="2" xfId="0" applyNumberFormat="1" applyFont="1" applyFill="1" applyBorder="1" applyAlignment="1">
      <alignment horizontal="center" vertical="center"/>
    </xf>
    <xf numFmtId="3" fontId="4" fillId="9" borderId="49" xfId="0" applyNumberFormat="1" applyFont="1" applyFill="1" applyBorder="1" applyAlignment="1">
      <alignment horizontal="center" vertical="center"/>
    </xf>
    <xf numFmtId="3" fontId="4" fillId="5" borderId="49" xfId="0" applyNumberFormat="1" applyFont="1" applyFill="1" applyBorder="1" applyAlignment="1">
      <alignment horizontal="center" vertical="center"/>
    </xf>
    <xf numFmtId="3" fontId="4" fillId="5" borderId="2" xfId="0" applyNumberFormat="1" applyFont="1" applyFill="1" applyBorder="1" applyAlignment="1">
      <alignment horizontal="center" vertical="center"/>
    </xf>
    <xf numFmtId="3" fontId="7" fillId="6" borderId="2" xfId="0" applyNumberFormat="1" applyFont="1" applyFill="1" applyBorder="1" applyAlignment="1">
      <alignment horizontal="center" vertical="center"/>
    </xf>
    <xf numFmtId="3" fontId="4" fillId="6" borderId="50" xfId="0" applyNumberFormat="1" applyFont="1" applyFill="1" applyBorder="1" applyAlignment="1">
      <alignment horizontal="center" vertical="center"/>
    </xf>
    <xf numFmtId="3" fontId="4" fillId="2" borderId="50" xfId="0" applyNumberFormat="1" applyFont="1" applyFill="1" applyBorder="1" applyAlignment="1">
      <alignment horizontal="center" vertical="center"/>
    </xf>
    <xf numFmtId="3" fontId="4" fillId="9" borderId="50" xfId="0" applyNumberFormat="1" applyFont="1" applyFill="1" applyBorder="1" applyAlignment="1">
      <alignment horizontal="center" vertical="center"/>
    </xf>
    <xf numFmtId="3" fontId="4" fillId="5" borderId="50" xfId="0" applyNumberFormat="1" applyFont="1" applyFill="1" applyBorder="1" applyAlignment="1">
      <alignment horizontal="center" vertical="center"/>
    </xf>
    <xf numFmtId="3" fontId="4" fillId="5" borderId="25" xfId="0" applyNumberFormat="1" applyFont="1" applyFill="1" applyBorder="1" applyAlignment="1">
      <alignment horizontal="center" vertical="center"/>
    </xf>
    <xf numFmtId="3" fontId="4" fillId="2" borderId="10" xfId="0" applyNumberFormat="1" applyFont="1" applyFill="1" applyBorder="1" applyAlignment="1">
      <alignment horizontal="center" vertical="center"/>
    </xf>
    <xf numFmtId="3" fontId="4" fillId="2" borderId="30" xfId="0" applyNumberFormat="1" applyFont="1" applyFill="1" applyBorder="1" applyAlignment="1">
      <alignment horizontal="center" vertical="center"/>
    </xf>
    <xf numFmtId="3" fontId="4" fillId="2" borderId="20" xfId="0" applyNumberFormat="1" applyFont="1" applyFill="1" applyBorder="1" applyAlignment="1">
      <alignment horizontal="center" vertical="center"/>
    </xf>
    <xf numFmtId="3" fontId="7" fillId="3" borderId="13" xfId="0" applyNumberFormat="1" applyFont="1" applyFill="1" applyBorder="1" applyAlignment="1">
      <alignment horizontal="center" vertical="center" wrapText="1"/>
    </xf>
    <xf numFmtId="173" fontId="4" fillId="37" borderId="13" xfId="0" applyNumberFormat="1" applyFont="1" applyFill="1" applyBorder="1" applyAlignment="1">
      <alignment horizontal="center" vertical="center" wrapText="1"/>
    </xf>
    <xf numFmtId="173" fontId="4" fillId="38" borderId="13" xfId="0" applyNumberFormat="1" applyFont="1" applyFill="1" applyBorder="1" applyAlignment="1">
      <alignment horizontal="center" vertical="center" wrapText="1"/>
    </xf>
    <xf numFmtId="0" fontId="8" fillId="0" borderId="0" xfId="0" applyFont="1" applyAlignment="1">
      <alignment horizontal="right" indent="1"/>
    </xf>
    <xf numFmtId="3" fontId="6" fillId="38" borderId="13" xfId="0" applyNumberFormat="1" applyFont="1" applyFill="1" applyBorder="1" applyAlignment="1">
      <alignment horizontal="center" vertical="center" wrapText="1"/>
    </xf>
    <xf numFmtId="3" fontId="62" fillId="38" borderId="103" xfId="0" applyNumberFormat="1" applyFont="1" applyFill="1" applyBorder="1" applyAlignment="1">
      <alignment horizontal="center" vertical="center"/>
    </xf>
    <xf numFmtId="173" fontId="62" fillId="38" borderId="28" xfId="0" applyNumberFormat="1" applyFont="1" applyFill="1" applyBorder="1" applyAlignment="1">
      <alignment horizontal="center" vertical="center"/>
    </xf>
    <xf numFmtId="0" fontId="3" fillId="0" borderId="0" xfId="0" applyFont="1" applyAlignment="1">
      <alignment horizontal="center" vertical="center"/>
    </xf>
    <xf numFmtId="3" fontId="3" fillId="0" borderId="0" xfId="0" applyNumberFormat="1" applyFont="1" applyAlignment="1">
      <alignment horizontal="center" vertical="center"/>
    </xf>
    <xf numFmtId="0" fontId="3" fillId="0" borderId="13" xfId="0" applyFont="1" applyBorder="1" applyAlignment="1">
      <alignment horizontal="center" vertical="center"/>
    </xf>
    <xf numFmtId="3" fontId="3" fillId="0" borderId="13" xfId="0" applyNumberFormat="1" applyFont="1" applyBorder="1" applyAlignment="1">
      <alignment horizontal="center" vertical="center"/>
    </xf>
    <xf numFmtId="175" fontId="3" fillId="0" borderId="0" xfId="0" applyNumberFormat="1" applyFont="1" applyAlignment="1">
      <alignment horizontal="center" vertical="center"/>
    </xf>
    <xf numFmtId="0" fontId="3" fillId="16" borderId="13" xfId="0" applyFont="1" applyFill="1" applyBorder="1" applyAlignment="1">
      <alignment horizontal="center" vertical="center"/>
    </xf>
    <xf numFmtId="3" fontId="3" fillId="16" borderId="13" xfId="0" applyNumberFormat="1" applyFont="1" applyFill="1" applyBorder="1" applyAlignment="1">
      <alignment horizontal="center" vertical="center"/>
    </xf>
    <xf numFmtId="164" fontId="11" fillId="2" borderId="13" xfId="0" applyNumberFormat="1" applyFont="1" applyFill="1" applyBorder="1" applyAlignment="1">
      <alignment horizontal="center" vertical="center" wrapText="1"/>
    </xf>
    <xf numFmtId="0" fontId="0" fillId="0" borderId="0" xfId="0" applyAlignment="1">
      <alignment wrapText="1"/>
    </xf>
    <xf numFmtId="171" fontId="3" fillId="0" borderId="13" xfId="0" applyNumberFormat="1" applyFont="1" applyBorder="1" applyAlignment="1">
      <alignment horizontal="center" vertical="center"/>
    </xf>
    <xf numFmtId="171" fontId="3" fillId="16" borderId="13" xfId="0" applyNumberFormat="1" applyFont="1" applyFill="1" applyBorder="1" applyAlignment="1">
      <alignment horizontal="center" vertical="center"/>
    </xf>
    <xf numFmtId="0" fontId="3" fillId="0" borderId="11" xfId="0" applyFont="1" applyBorder="1" applyAlignment="1">
      <alignment horizontal="center" vertical="center"/>
    </xf>
    <xf numFmtId="171" fontId="3" fillId="0" borderId="11" xfId="0" applyNumberFormat="1" applyFont="1" applyBorder="1" applyAlignment="1">
      <alignment horizontal="center" vertical="center"/>
    </xf>
    <xf numFmtId="3" fontId="3" fillId="0" borderId="11" xfId="0" applyNumberFormat="1" applyFont="1" applyBorder="1" applyAlignment="1">
      <alignment horizontal="center" vertical="center"/>
    </xf>
    <xf numFmtId="171" fontId="3" fillId="16" borderId="18" xfId="0" applyNumberFormat="1" applyFont="1" applyFill="1" applyBorder="1" applyAlignment="1">
      <alignment horizontal="center" vertical="center"/>
    </xf>
    <xf numFmtId="0" fontId="10" fillId="4" borderId="107" xfId="0" applyFont="1" applyFill="1" applyBorder="1" applyAlignment="1">
      <alignment horizontal="center" vertical="center"/>
    </xf>
    <xf numFmtId="175" fontId="10" fillId="4" borderId="31" xfId="0" applyNumberFormat="1" applyFont="1" applyFill="1" applyBorder="1" applyAlignment="1">
      <alignment horizontal="center" vertical="center"/>
    </xf>
    <xf numFmtId="3" fontId="10" fillId="4" borderId="31" xfId="0" applyNumberFormat="1" applyFont="1" applyFill="1" applyBorder="1" applyAlignment="1">
      <alignment horizontal="center" vertical="center"/>
    </xf>
    <xf numFmtId="0" fontId="3" fillId="0" borderId="15" xfId="0" applyFont="1" applyBorder="1" applyAlignment="1">
      <alignment horizontal="center" vertical="center"/>
    </xf>
    <xf numFmtId="3" fontId="3" fillId="0" borderId="16" xfId="0" applyNumberFormat="1" applyFont="1" applyBorder="1" applyAlignment="1">
      <alignment horizontal="center" vertical="center"/>
    </xf>
    <xf numFmtId="0" fontId="3" fillId="16" borderId="15" xfId="0" applyFont="1" applyFill="1" applyBorder="1" applyAlignment="1">
      <alignment horizontal="center" vertical="center"/>
    </xf>
    <xf numFmtId="3" fontId="3" fillId="16" borderId="16" xfId="0" applyNumberFormat="1" applyFont="1" applyFill="1" applyBorder="1" applyAlignment="1">
      <alignment horizontal="center" vertical="center"/>
    </xf>
    <xf numFmtId="0" fontId="3" fillId="0" borderId="17" xfId="0" applyFont="1" applyBorder="1" applyAlignment="1">
      <alignment horizontal="center" vertical="center"/>
    </xf>
    <xf numFmtId="3" fontId="3" fillId="0" borderId="19" xfId="0" applyNumberFormat="1" applyFont="1" applyBorder="1" applyAlignment="1">
      <alignment horizontal="center" vertical="center"/>
    </xf>
    <xf numFmtId="0" fontId="79" fillId="0" borderId="13" xfId="0" applyFont="1" applyBorder="1" applyAlignment="1">
      <alignment horizontal="center" vertical="center"/>
    </xf>
    <xf numFmtId="171" fontId="79" fillId="0" borderId="13" xfId="0" applyNumberFormat="1" applyFont="1" applyBorder="1" applyAlignment="1">
      <alignment horizontal="center" vertical="center"/>
    </xf>
    <xf numFmtId="3" fontId="79" fillId="0" borderId="13" xfId="0" applyNumberFormat="1" applyFont="1" applyBorder="1" applyAlignment="1">
      <alignment horizontal="center" vertical="center"/>
    </xf>
    <xf numFmtId="0" fontId="79" fillId="16" borderId="13" xfId="0" applyFont="1" applyFill="1" applyBorder="1" applyAlignment="1">
      <alignment horizontal="center" vertical="center"/>
    </xf>
    <xf numFmtId="171" fontId="79" fillId="16" borderId="13" xfId="0" applyNumberFormat="1" applyFont="1" applyFill="1" applyBorder="1" applyAlignment="1">
      <alignment horizontal="center" vertical="center"/>
    </xf>
    <xf numFmtId="3" fontId="79" fillId="16" borderId="13" xfId="0" applyNumberFormat="1" applyFont="1" applyFill="1" applyBorder="1" applyAlignment="1">
      <alignment horizontal="center" vertical="center"/>
    </xf>
    <xf numFmtId="0" fontId="10" fillId="4" borderId="95" xfId="0" applyFont="1" applyFill="1" applyBorder="1" applyAlignment="1">
      <alignment horizontal="center" vertical="center"/>
    </xf>
    <xf numFmtId="3" fontId="10" fillId="4" borderId="94" xfId="0" applyNumberFormat="1" applyFont="1" applyFill="1" applyBorder="1" applyAlignment="1">
      <alignment horizontal="center" vertical="center" wrapText="1"/>
    </xf>
    <xf numFmtId="3" fontId="10" fillId="4" borderId="53" xfId="0" applyNumberFormat="1" applyFont="1" applyFill="1" applyBorder="1" applyAlignment="1">
      <alignment horizontal="center" vertical="center"/>
    </xf>
    <xf numFmtId="4" fontId="3" fillId="0" borderId="13" xfId="0" applyNumberFormat="1" applyFont="1" applyBorder="1" applyAlignment="1">
      <alignment horizontal="center" vertical="center"/>
    </xf>
    <xf numFmtId="4" fontId="3" fillId="16" borderId="13" xfId="0" applyNumberFormat="1" applyFont="1" applyFill="1" applyBorder="1" applyAlignment="1">
      <alignment horizontal="center" vertical="center"/>
    </xf>
    <xf numFmtId="0" fontId="3" fillId="0" borderId="10" xfId="0" applyFont="1" applyBorder="1" applyAlignment="1">
      <alignment horizontal="right" vertical="center" indent="1"/>
    </xf>
    <xf numFmtId="4" fontId="3" fillId="0" borderId="11" xfId="0" applyNumberFormat="1" applyFont="1" applyBorder="1" applyAlignment="1">
      <alignment horizontal="center" vertical="center"/>
    </xf>
    <xf numFmtId="3" fontId="76" fillId="0" borderId="12" xfId="0" applyNumberFormat="1" applyFont="1" applyBorder="1" applyAlignment="1">
      <alignment horizontal="center" vertical="center" wrapText="1"/>
    </xf>
    <xf numFmtId="0" fontId="3" fillId="0" borderId="15" xfId="0" applyFont="1" applyBorder="1" applyAlignment="1">
      <alignment horizontal="right" vertical="center" indent="1"/>
    </xf>
    <xf numFmtId="0" fontId="76" fillId="0" borderId="16" xfId="0" applyFont="1" applyBorder="1" applyAlignment="1">
      <alignment horizontal="left" vertical="center" wrapText="1"/>
    </xf>
    <xf numFmtId="0" fontId="3" fillId="16" borderId="15" xfId="0" applyFont="1" applyFill="1" applyBorder="1" applyAlignment="1">
      <alignment horizontal="right" vertical="center" indent="1"/>
    </xf>
    <xf numFmtId="0" fontId="76" fillId="16" borderId="16" xfId="0" applyFont="1" applyFill="1" applyBorder="1" applyAlignment="1">
      <alignment horizontal="left" vertical="center" wrapText="1"/>
    </xf>
    <xf numFmtId="0" fontId="77" fillId="16" borderId="16" xfId="0" applyFont="1" applyFill="1" applyBorder="1" applyAlignment="1">
      <alignment wrapText="1"/>
    </xf>
    <xf numFmtId="0" fontId="79" fillId="0" borderId="15" xfId="0" applyFont="1" applyBorder="1" applyAlignment="1">
      <alignment horizontal="right" vertical="center" indent="1"/>
    </xf>
    <xf numFmtId="0" fontId="80" fillId="0" borderId="16" xfId="0" applyFont="1" applyBorder="1" applyAlignment="1">
      <alignment horizontal="left" vertical="center" wrapText="1"/>
    </xf>
    <xf numFmtId="0" fontId="79" fillId="16" borderId="15" xfId="0" applyFont="1" applyFill="1" applyBorder="1" applyAlignment="1">
      <alignment horizontal="right" vertical="center" indent="1"/>
    </xf>
    <xf numFmtId="0" fontId="80" fillId="16" borderId="16" xfId="0" applyFont="1" applyFill="1" applyBorder="1" applyAlignment="1">
      <alignment horizontal="left" vertical="center" wrapText="1"/>
    </xf>
    <xf numFmtId="0" fontId="3" fillId="0" borderId="10" xfId="0" applyFont="1" applyBorder="1" applyAlignment="1">
      <alignment horizontal="center" vertical="center"/>
    </xf>
    <xf numFmtId="3" fontId="3" fillId="0" borderId="12" xfId="0" applyNumberFormat="1" applyFont="1" applyBorder="1" applyAlignment="1">
      <alignment horizontal="center" vertical="center"/>
    </xf>
    <xf numFmtId="0" fontId="78" fillId="24" borderId="15" xfId="0" applyFont="1" applyFill="1" applyBorder="1" applyAlignment="1">
      <alignment horizontal="center" vertical="center"/>
    </xf>
    <xf numFmtId="3" fontId="3" fillId="24" borderId="16" xfId="0" applyNumberFormat="1" applyFont="1" applyFill="1" applyBorder="1" applyAlignment="1">
      <alignment horizontal="center" vertical="center"/>
    </xf>
    <xf numFmtId="0" fontId="3" fillId="24" borderId="15" xfId="0" applyFont="1" applyFill="1" applyBorder="1" applyAlignment="1">
      <alignment horizontal="center" vertical="center"/>
    </xf>
    <xf numFmtId="0" fontId="3" fillId="24" borderId="17" xfId="0" applyFont="1" applyFill="1" applyBorder="1" applyAlignment="1">
      <alignment horizontal="center" vertical="center"/>
    </xf>
    <xf numFmtId="3" fontId="3" fillId="24" borderId="19" xfId="0" applyNumberFormat="1" applyFont="1" applyFill="1" applyBorder="1" applyAlignment="1">
      <alignment horizontal="center" vertical="center"/>
    </xf>
    <xf numFmtId="0" fontId="79" fillId="16" borderId="91" xfId="0" applyFont="1" applyFill="1" applyBorder="1" applyAlignment="1">
      <alignment horizontal="right" vertical="center" indent="1"/>
    </xf>
    <xf numFmtId="0" fontId="79" fillId="16" borderId="31" xfId="0" applyFont="1" applyFill="1" applyBorder="1" applyAlignment="1">
      <alignment horizontal="center" vertical="center"/>
    </xf>
    <xf numFmtId="3" fontId="79" fillId="16" borderId="31" xfId="0" applyNumberFormat="1" applyFont="1" applyFill="1" applyBorder="1" applyAlignment="1">
      <alignment horizontal="center" vertical="center"/>
    </xf>
    <xf numFmtId="4" fontId="3" fillId="16" borderId="31" xfId="0" applyNumberFormat="1" applyFont="1" applyFill="1" applyBorder="1" applyAlignment="1">
      <alignment horizontal="center" vertical="center"/>
    </xf>
    <xf numFmtId="0" fontId="80" fillId="16" borderId="47" xfId="0" applyFont="1" applyFill="1" applyBorder="1" applyAlignment="1">
      <alignment horizontal="left" vertical="center" wrapText="1"/>
    </xf>
    <xf numFmtId="0" fontId="0" fillId="0" borderId="13" xfId="0" applyBorder="1"/>
    <xf numFmtId="0" fontId="0" fillId="0" borderId="13" xfId="0" applyBorder="1" applyAlignment="1">
      <alignment wrapText="1"/>
    </xf>
    <xf numFmtId="4" fontId="6" fillId="3" borderId="13" xfId="0" applyNumberFormat="1" applyFont="1" applyFill="1" applyBorder="1" applyAlignment="1">
      <alignment horizontal="center" vertical="center" wrapText="1"/>
    </xf>
    <xf numFmtId="167" fontId="82" fillId="23" borderId="13" xfId="0" applyNumberFormat="1" applyFont="1" applyFill="1" applyBorder="1" applyAlignment="1">
      <alignment horizontal="center" vertical="center" wrapText="1"/>
    </xf>
    <xf numFmtId="0" fontId="0" fillId="16" borderId="13" xfId="0" applyFill="1" applyBorder="1" applyAlignment="1">
      <alignment wrapText="1"/>
    </xf>
    <xf numFmtId="171" fontId="3" fillId="2" borderId="13" xfId="0" applyNumberFormat="1" applyFont="1" applyFill="1" applyBorder="1" applyAlignment="1">
      <alignment horizontal="center" vertical="center"/>
    </xf>
    <xf numFmtId="171" fontId="79" fillId="2" borderId="13" xfId="0" applyNumberFormat="1" applyFont="1" applyFill="1" applyBorder="1" applyAlignment="1">
      <alignment horizontal="center" vertical="center"/>
    </xf>
    <xf numFmtId="171" fontId="79" fillId="2" borderId="31" xfId="0" applyNumberFormat="1" applyFont="1" applyFill="1" applyBorder="1" applyAlignment="1">
      <alignment horizontal="center" vertical="center"/>
    </xf>
    <xf numFmtId="3" fontId="4" fillId="20" borderId="15" xfId="0" applyNumberFormat="1" applyFont="1" applyFill="1" applyBorder="1" applyAlignment="1">
      <alignment horizontal="center" vertical="center"/>
    </xf>
    <xf numFmtId="0" fontId="4" fillId="4" borderId="108" xfId="0" applyFont="1" applyFill="1" applyBorder="1" applyAlignment="1">
      <alignment horizontal="center" vertical="center"/>
    </xf>
    <xf numFmtId="0" fontId="4" fillId="4" borderId="109" xfId="0" applyFont="1" applyFill="1" applyBorder="1" applyAlignment="1">
      <alignment horizontal="center" vertical="center"/>
    </xf>
    <xf numFmtId="0" fontId="4" fillId="4" borderId="110" xfId="0" applyFont="1" applyFill="1" applyBorder="1" applyAlignment="1">
      <alignment horizontal="center" vertical="center"/>
    </xf>
    <xf numFmtId="0" fontId="4" fillId="16" borderId="6" xfId="0" applyFont="1" applyFill="1" applyBorder="1" applyAlignment="1">
      <alignment horizontal="center"/>
    </xf>
    <xf numFmtId="0" fontId="4" fillId="16" borderId="7" xfId="0" applyFont="1" applyFill="1" applyBorder="1" applyAlignment="1">
      <alignment horizontal="center"/>
    </xf>
    <xf numFmtId="0" fontId="4" fillId="16" borderId="8" xfId="0" applyFont="1" applyFill="1" applyBorder="1" applyAlignment="1">
      <alignment horizontal="center"/>
    </xf>
    <xf numFmtId="0" fontId="16" fillId="17" borderId="21" xfId="0" applyFont="1" applyFill="1" applyBorder="1" applyAlignment="1">
      <alignment horizontal="center" vertical="center"/>
    </xf>
    <xf numFmtId="0" fontId="16" fillId="17" borderId="22" xfId="0" applyFont="1" applyFill="1" applyBorder="1" applyAlignment="1">
      <alignment horizontal="center" vertical="center"/>
    </xf>
    <xf numFmtId="0" fontId="16" fillId="17" borderId="23" xfId="0" applyFont="1" applyFill="1" applyBorder="1" applyAlignment="1">
      <alignment horizontal="center" vertical="center"/>
    </xf>
    <xf numFmtId="0" fontId="5" fillId="16" borderId="24" xfId="0" applyFont="1" applyFill="1" applyBorder="1" applyAlignment="1">
      <alignment horizontal="left" vertical="top" wrapText="1" indent="2"/>
    </xf>
    <xf numFmtId="0" fontId="43" fillId="16" borderId="9" xfId="0" applyFont="1" applyFill="1" applyBorder="1" applyAlignment="1">
      <alignment horizontal="left" vertical="top" wrapText="1" indent="2"/>
    </xf>
    <xf numFmtId="0" fontId="43" fillId="16" borderId="25" xfId="0" applyFont="1" applyFill="1" applyBorder="1" applyAlignment="1">
      <alignment horizontal="left" vertical="top" wrapText="1" indent="2"/>
    </xf>
    <xf numFmtId="0" fontId="45" fillId="2" borderId="91" xfId="0" applyFont="1" applyFill="1" applyBorder="1" applyAlignment="1">
      <alignment horizontal="left" vertical="center" indent="2"/>
    </xf>
    <xf numFmtId="0" fontId="45" fillId="2" borderId="31" xfId="0" applyFont="1" applyFill="1" applyBorder="1" applyAlignment="1">
      <alignment horizontal="left" vertical="center" indent="2"/>
    </xf>
    <xf numFmtId="0" fontId="4" fillId="8" borderId="91" xfId="0" applyFont="1" applyFill="1" applyBorder="1" applyAlignment="1">
      <alignment horizontal="right" vertical="center" indent="1"/>
    </xf>
    <xf numFmtId="0" fontId="4" fillId="8" borderId="30" xfId="0" applyFont="1" applyFill="1" applyBorder="1" applyAlignment="1">
      <alignment horizontal="right" vertical="center" indent="1"/>
    </xf>
    <xf numFmtId="0" fontId="4" fillId="8" borderId="31" xfId="0" applyFont="1" applyFill="1" applyBorder="1" applyAlignment="1">
      <alignment horizontal="left" vertical="center" wrapText="1"/>
    </xf>
    <xf numFmtId="0" fontId="4" fillId="8" borderId="29" xfId="0" applyFont="1" applyFill="1" applyBorder="1" applyAlignment="1">
      <alignment horizontal="left" vertical="center" wrapText="1"/>
    </xf>
    <xf numFmtId="0" fontId="45" fillId="10" borderId="15" xfId="0" applyFont="1" applyFill="1" applyBorder="1" applyAlignment="1">
      <alignment horizontal="left" vertical="center" indent="2"/>
    </xf>
    <xf numFmtId="0" fontId="45" fillId="10" borderId="13" xfId="0" applyFont="1" applyFill="1" applyBorder="1" applyAlignment="1">
      <alignment horizontal="left" vertical="center" indent="2"/>
    </xf>
    <xf numFmtId="164" fontId="44" fillId="4" borderId="33" xfId="0" applyNumberFormat="1" applyFont="1" applyFill="1" applyBorder="1" applyAlignment="1">
      <alignment horizontal="center" vertical="center"/>
    </xf>
    <xf numFmtId="164" fontId="44" fillId="4" borderId="48" xfId="0" applyNumberFormat="1" applyFont="1" applyFill="1" applyBorder="1" applyAlignment="1">
      <alignment horizontal="center" vertical="center"/>
    </xf>
    <xf numFmtId="0" fontId="4" fillId="10" borderId="11" xfId="0" applyFont="1" applyFill="1" applyBorder="1" applyAlignment="1">
      <alignment horizontal="left" vertical="center" wrapText="1" indent="2"/>
    </xf>
    <xf numFmtId="0" fontId="4" fillId="10" borderId="12" xfId="0" applyFont="1" applyFill="1" applyBorder="1" applyAlignment="1">
      <alignment horizontal="left" vertical="center" wrapText="1" indent="2"/>
    </xf>
    <xf numFmtId="0" fontId="4" fillId="10" borderId="13" xfId="0" applyFont="1" applyFill="1" applyBorder="1" applyAlignment="1">
      <alignment horizontal="left" vertical="center" wrapText="1" indent="2"/>
    </xf>
    <xf numFmtId="0" fontId="4" fillId="10" borderId="16" xfId="0" applyFont="1" applyFill="1" applyBorder="1" applyAlignment="1">
      <alignment horizontal="left" vertical="center" wrapText="1" indent="2"/>
    </xf>
    <xf numFmtId="0" fontId="4" fillId="10" borderId="18" xfId="0" applyFont="1" applyFill="1" applyBorder="1" applyAlignment="1">
      <alignment horizontal="left" vertical="center" wrapText="1" indent="2"/>
    </xf>
    <xf numFmtId="0" fontId="4" fillId="10" borderId="19" xfId="0" applyFont="1" applyFill="1" applyBorder="1" applyAlignment="1">
      <alignment horizontal="left" vertical="center" wrapText="1" indent="2"/>
    </xf>
    <xf numFmtId="0" fontId="62" fillId="16" borderId="102" xfId="0" applyFont="1" applyFill="1" applyBorder="1" applyAlignment="1">
      <alignment horizontal="center" vertical="center" wrapText="1"/>
    </xf>
    <xf numFmtId="0" fontId="62" fillId="16" borderId="103" xfId="0" applyFont="1" applyFill="1" applyBorder="1" applyAlignment="1">
      <alignment horizontal="center" vertical="center" wrapText="1"/>
    </xf>
    <xf numFmtId="0" fontId="62" fillId="16" borderId="106" xfId="0" applyFont="1" applyFill="1" applyBorder="1" applyAlignment="1">
      <alignment horizontal="center" vertical="center" wrapText="1"/>
    </xf>
    <xf numFmtId="0" fontId="5" fillId="18" borderId="1" xfId="0" applyFont="1" applyFill="1" applyBorder="1" applyAlignment="1">
      <alignment horizontal="center" vertical="center"/>
    </xf>
    <xf numFmtId="0" fontId="5" fillId="18" borderId="101" xfId="0" applyFont="1" applyFill="1" applyBorder="1" applyAlignment="1">
      <alignment horizontal="center" vertical="center"/>
    </xf>
    <xf numFmtId="0" fontId="4" fillId="8" borderId="93" xfId="0" applyFont="1" applyFill="1" applyBorder="1" applyAlignment="1">
      <alignment horizontal="center" wrapText="1"/>
    </xf>
    <xf numFmtId="0" fontId="4" fillId="8" borderId="30" xfId="0" applyFont="1" applyFill="1" applyBorder="1" applyAlignment="1">
      <alignment horizontal="center" wrapText="1"/>
    </xf>
    <xf numFmtId="21" fontId="41" fillId="29" borderId="13" xfId="0" applyNumberFormat="1" applyFont="1" applyFill="1" applyBorder="1" applyAlignment="1">
      <alignment horizontal="center" wrapText="1"/>
    </xf>
    <xf numFmtId="0" fontId="4" fillId="3" borderId="75" xfId="0" applyFont="1" applyFill="1" applyBorder="1" applyAlignment="1">
      <alignment horizontal="right" vertical="center" wrapText="1" indent="1"/>
    </xf>
    <xf numFmtId="0" fontId="4" fillId="3" borderId="4" xfId="0" applyFont="1" applyFill="1" applyBorder="1" applyAlignment="1">
      <alignment horizontal="right" vertical="center" wrapText="1" indent="1"/>
    </xf>
    <xf numFmtId="0" fontId="4" fillId="30" borderId="91" xfId="0" applyFont="1" applyFill="1" applyBorder="1" applyAlignment="1">
      <alignment horizontal="center" vertical="center" wrapText="1"/>
    </xf>
    <xf numFmtId="0" fontId="4" fillId="30" borderId="93" xfId="0" applyFont="1" applyFill="1" applyBorder="1" applyAlignment="1">
      <alignment horizontal="center" vertical="center" wrapText="1"/>
    </xf>
    <xf numFmtId="0" fontId="4" fillId="30" borderId="30" xfId="0" applyFont="1" applyFill="1" applyBorder="1" applyAlignment="1">
      <alignment horizontal="center" vertical="center" wrapText="1"/>
    </xf>
    <xf numFmtId="0" fontId="4" fillId="31" borderId="91" xfId="0" applyFont="1" applyFill="1" applyBorder="1" applyAlignment="1">
      <alignment horizontal="center" vertical="center" wrapText="1"/>
    </xf>
    <xf numFmtId="0" fontId="4" fillId="31" borderId="20" xfId="0" applyFont="1" applyFill="1" applyBorder="1" applyAlignment="1">
      <alignment horizontal="center" vertical="center" wrapText="1"/>
    </xf>
    <xf numFmtId="0" fontId="4" fillId="3" borderId="94" xfId="0" applyFont="1" applyFill="1" applyBorder="1" applyAlignment="1">
      <alignment horizontal="left" vertical="center" wrapText="1" indent="1"/>
    </xf>
    <xf numFmtId="0" fontId="4" fillId="3" borderId="66" xfId="0" applyFont="1" applyFill="1" applyBorder="1" applyAlignment="1">
      <alignment horizontal="left" vertical="center" wrapText="1" indent="1"/>
    </xf>
    <xf numFmtId="0" fontId="4" fillId="3" borderId="74" xfId="0" applyFont="1" applyFill="1" applyBorder="1" applyAlignment="1">
      <alignment horizontal="left" vertical="center" wrapText="1" indent="1"/>
    </xf>
    <xf numFmtId="0" fontId="10" fillId="8" borderId="68" xfId="0" applyFont="1" applyFill="1" applyBorder="1" applyAlignment="1">
      <alignment horizontal="left" vertical="center" wrapText="1" indent="1"/>
    </xf>
    <xf numFmtId="0" fontId="4" fillId="3" borderId="95" xfId="0" applyFont="1" applyFill="1" applyBorder="1" applyAlignment="1">
      <alignment horizontal="center" vertical="center" wrapText="1"/>
    </xf>
    <xf numFmtId="0" fontId="4" fillId="3" borderId="98" xfId="0" applyFont="1" applyFill="1" applyBorder="1" applyAlignment="1">
      <alignment horizontal="center" vertical="center" wrapText="1"/>
    </xf>
    <xf numFmtId="0" fontId="10" fillId="3" borderId="94" xfId="0" applyFont="1" applyFill="1" applyBorder="1" applyAlignment="1">
      <alignment horizontal="left" vertical="center" wrapText="1" indent="1"/>
    </xf>
    <xf numFmtId="0" fontId="10" fillId="3" borderId="99" xfId="0" applyFont="1" applyFill="1" applyBorder="1" applyAlignment="1">
      <alignment horizontal="left" vertical="center" wrapText="1" indent="1"/>
    </xf>
    <xf numFmtId="0" fontId="4" fillId="8" borderId="95" xfId="0" applyFont="1" applyFill="1" applyBorder="1" applyAlignment="1">
      <alignment horizontal="center" vertical="center" wrapText="1"/>
    </xf>
    <xf numFmtId="0" fontId="4" fillId="8" borderId="96" xfId="0" applyFont="1" applyFill="1" applyBorder="1" applyAlignment="1">
      <alignment horizontal="center" vertical="center" wrapText="1"/>
    </xf>
    <xf numFmtId="0" fontId="4" fillId="8" borderId="97" xfId="0" applyFont="1" applyFill="1" applyBorder="1" applyAlignment="1">
      <alignment horizontal="center" vertical="center" wrapText="1"/>
    </xf>
    <xf numFmtId="0" fontId="4" fillId="3" borderId="96" xfId="0" applyFont="1" applyFill="1" applyBorder="1" applyAlignment="1">
      <alignment horizontal="center" vertical="center" wrapText="1"/>
    </xf>
    <xf numFmtId="0" fontId="4" fillId="3" borderId="97" xfId="0" applyFont="1" applyFill="1" applyBorder="1" applyAlignment="1">
      <alignment horizontal="center" vertical="center" wrapText="1"/>
    </xf>
    <xf numFmtId="0" fontId="4" fillId="22" borderId="15" xfId="0" applyFont="1" applyFill="1" applyBorder="1" applyAlignment="1">
      <alignment horizontal="center" vertical="center" wrapText="1"/>
    </xf>
    <xf numFmtId="173" fontId="4" fillId="10" borderId="37" xfId="0" applyNumberFormat="1" applyFont="1" applyFill="1" applyBorder="1" applyAlignment="1">
      <alignment horizontal="center" vertical="center"/>
    </xf>
    <xf numFmtId="0" fontId="4" fillId="10" borderId="12" xfId="0" applyFont="1" applyFill="1" applyBorder="1" applyAlignment="1">
      <alignment horizontal="center" vertical="center"/>
    </xf>
    <xf numFmtId="0" fontId="5" fillId="10" borderId="52" xfId="0" applyFont="1" applyFill="1" applyBorder="1" applyAlignment="1">
      <alignment horizontal="center" vertical="center"/>
    </xf>
    <xf numFmtId="0" fontId="5" fillId="10" borderId="55" xfId="0" applyFont="1" applyFill="1" applyBorder="1" applyAlignment="1">
      <alignment horizontal="center" vertical="center"/>
    </xf>
    <xf numFmtId="0" fontId="6" fillId="20" borderId="51" xfId="0" applyFont="1" applyFill="1" applyBorder="1" applyAlignment="1">
      <alignment horizontal="center" vertical="center"/>
    </xf>
    <xf numFmtId="0" fontId="6" fillId="20" borderId="52" xfId="0" applyFont="1" applyFill="1" applyBorder="1" applyAlignment="1">
      <alignment horizontal="center" vertical="center"/>
    </xf>
    <xf numFmtId="0" fontId="4" fillId="24" borderId="91" xfId="0" applyFont="1" applyFill="1" applyBorder="1" applyAlignment="1">
      <alignment horizontal="center" vertical="center" wrapText="1"/>
    </xf>
    <xf numFmtId="0" fontId="4" fillId="24" borderId="93" xfId="0" applyFont="1" applyFill="1" applyBorder="1" applyAlignment="1">
      <alignment horizontal="center" vertical="center" wrapText="1"/>
    </xf>
    <xf numFmtId="0" fontId="4" fillId="24" borderId="30" xfId="0" applyFont="1" applyFill="1" applyBorder="1" applyAlignment="1">
      <alignment horizontal="center" vertical="center" wrapText="1"/>
    </xf>
    <xf numFmtId="0" fontId="10" fillId="22" borderId="47" xfId="0" applyFont="1" applyFill="1" applyBorder="1" applyAlignment="1">
      <alignment horizontal="left" vertical="center" wrapText="1" indent="1"/>
    </xf>
    <xf numFmtId="0" fontId="10" fillId="22" borderId="105" xfId="0" applyFont="1" applyFill="1" applyBorder="1" applyAlignment="1">
      <alignment horizontal="left" vertical="center" wrapText="1" indent="1"/>
    </xf>
    <xf numFmtId="0" fontId="4" fillId="21" borderId="91" xfId="0" applyFont="1" applyFill="1" applyBorder="1" applyAlignment="1">
      <alignment horizontal="center" vertical="center" wrapText="1"/>
    </xf>
    <xf numFmtId="0" fontId="4" fillId="21" borderId="93" xfId="0" applyFont="1" applyFill="1" applyBorder="1" applyAlignment="1">
      <alignment horizontal="center" vertical="center" wrapText="1"/>
    </xf>
    <xf numFmtId="0" fontId="4" fillId="21" borderId="30" xfId="0" applyFont="1" applyFill="1" applyBorder="1" applyAlignment="1">
      <alignment horizontal="center" vertical="center" wrapText="1"/>
    </xf>
    <xf numFmtId="0" fontId="7" fillId="23" borderId="91" xfId="0" applyFont="1" applyFill="1" applyBorder="1" applyAlignment="1">
      <alignment horizontal="center" vertical="center" wrapText="1"/>
    </xf>
    <xf numFmtId="0" fontId="7" fillId="23" borderId="93" xfId="0" applyFont="1" applyFill="1" applyBorder="1" applyAlignment="1">
      <alignment horizontal="center" vertical="center" wrapText="1"/>
    </xf>
    <xf numFmtId="0" fontId="7" fillId="23" borderId="30" xfId="0" applyFont="1" applyFill="1" applyBorder="1" applyAlignment="1">
      <alignment horizontal="center" vertical="center" wrapText="1"/>
    </xf>
    <xf numFmtId="0" fontId="10" fillId="24" borderId="47" xfId="0" applyFont="1" applyFill="1" applyBorder="1" applyAlignment="1">
      <alignment horizontal="left" vertical="center" wrapText="1" indent="1"/>
    </xf>
    <xf numFmtId="0" fontId="10" fillId="24" borderId="45" xfId="0" applyFont="1" applyFill="1" applyBorder="1" applyAlignment="1">
      <alignment horizontal="left" vertical="center" wrapText="1" indent="1"/>
    </xf>
    <xf numFmtId="0" fontId="6" fillId="2" borderId="6" xfId="0" applyFont="1" applyFill="1" applyBorder="1" applyAlignment="1">
      <alignment horizontal="center" vertical="center" wrapText="1"/>
    </xf>
    <xf numFmtId="0" fontId="6" fillId="2" borderId="7" xfId="0" applyFont="1" applyFill="1" applyBorder="1" applyAlignment="1">
      <alignment horizontal="center" vertical="center" wrapText="1"/>
    </xf>
    <xf numFmtId="0" fontId="6" fillId="2" borderId="7" xfId="0" applyFont="1" applyFill="1" applyBorder="1" applyAlignment="1">
      <alignment horizontal="center" vertical="center"/>
    </xf>
    <xf numFmtId="0" fontId="6" fillId="2" borderId="8" xfId="0" applyFont="1" applyFill="1" applyBorder="1" applyAlignment="1">
      <alignment horizontal="center" vertical="center"/>
    </xf>
    <xf numFmtId="0" fontId="6" fillId="4" borderId="57" xfId="0" applyFont="1" applyFill="1" applyBorder="1" applyAlignment="1">
      <alignment horizontal="center" vertical="center"/>
    </xf>
    <xf numFmtId="0" fontId="6" fillId="4" borderId="56" xfId="0" applyFont="1" applyFill="1" applyBorder="1" applyAlignment="1">
      <alignment horizontal="center" vertical="center"/>
    </xf>
    <xf numFmtId="0" fontId="6" fillId="4" borderId="48" xfId="0" applyFont="1" applyFill="1" applyBorder="1" applyAlignment="1">
      <alignment horizontal="center" vertical="center"/>
    </xf>
    <xf numFmtId="0" fontId="11" fillId="2" borderId="82" xfId="0" applyFont="1" applyFill="1" applyBorder="1" applyAlignment="1">
      <alignment horizontal="center" vertical="center" wrapText="1"/>
    </xf>
    <xf numFmtId="0" fontId="11" fillId="2" borderId="83" xfId="0" applyFont="1" applyFill="1" applyBorder="1" applyAlignment="1">
      <alignment horizontal="center" vertical="center" wrapText="1"/>
    </xf>
    <xf numFmtId="0" fontId="11" fillId="2" borderId="84" xfId="0" applyFont="1" applyFill="1" applyBorder="1" applyAlignment="1">
      <alignment horizontal="center" vertical="center" wrapText="1"/>
    </xf>
    <xf numFmtId="165" fontId="6" fillId="4" borderId="57" xfId="0" applyNumberFormat="1" applyFont="1" applyFill="1" applyBorder="1" applyAlignment="1">
      <alignment horizontal="center" vertical="center" wrapText="1"/>
    </xf>
    <xf numFmtId="165" fontId="6" fillId="4" borderId="56" xfId="0" applyNumberFormat="1" applyFont="1" applyFill="1" applyBorder="1" applyAlignment="1">
      <alignment horizontal="center" vertical="center" wrapText="1"/>
    </xf>
    <xf numFmtId="165" fontId="6" fillId="4" borderId="81" xfId="0" applyNumberFormat="1" applyFont="1" applyFill="1" applyBorder="1" applyAlignment="1">
      <alignment horizontal="center" vertical="center" wrapText="1"/>
    </xf>
    <xf numFmtId="0" fontId="14" fillId="8" borderId="7" xfId="0" applyFont="1" applyFill="1" applyBorder="1" applyAlignment="1">
      <alignment horizontal="left" vertical="center" wrapText="1" indent="1"/>
    </xf>
    <xf numFmtId="0" fontId="14" fillId="8" borderId="8" xfId="0" applyFont="1" applyFill="1" applyBorder="1" applyAlignment="1">
      <alignment horizontal="left" vertical="center" wrapText="1" indent="1"/>
    </xf>
    <xf numFmtId="0" fontId="4" fillId="6" borderId="21" xfId="0" applyFont="1" applyFill="1" applyBorder="1" applyAlignment="1">
      <alignment horizontal="center" vertical="center" wrapText="1"/>
    </xf>
    <xf numFmtId="0" fontId="4" fillId="6" borderId="32" xfId="0" applyFont="1" applyFill="1" applyBorder="1" applyAlignment="1">
      <alignment horizontal="center" vertical="center" wrapText="1"/>
    </xf>
    <xf numFmtId="0" fontId="4" fillId="6" borderId="24" xfId="0" applyFont="1" applyFill="1" applyBorder="1" applyAlignment="1">
      <alignment horizontal="center" vertical="center" wrapText="1"/>
    </xf>
    <xf numFmtId="0" fontId="5" fillId="8" borderId="21" xfId="0" applyFont="1" applyFill="1" applyBorder="1" applyAlignment="1">
      <alignment horizontal="left" vertical="center" indent="2"/>
    </xf>
    <xf numFmtId="0" fontId="5" fillId="8" borderId="22" xfId="0" applyFont="1" applyFill="1" applyBorder="1" applyAlignment="1">
      <alignment horizontal="left" vertical="center" indent="2"/>
    </xf>
    <xf numFmtId="0" fontId="3" fillId="3" borderId="21" xfId="0" applyFont="1" applyFill="1" applyBorder="1" applyAlignment="1">
      <alignment horizontal="center" vertical="center" wrapText="1"/>
    </xf>
    <xf numFmtId="0" fontId="3" fillId="3" borderId="22" xfId="0" applyFont="1" applyFill="1" applyBorder="1" applyAlignment="1">
      <alignment horizontal="center" vertical="center" wrapText="1"/>
    </xf>
    <xf numFmtId="0" fontId="3" fillId="3" borderId="23" xfId="0" applyFont="1" applyFill="1" applyBorder="1" applyAlignment="1">
      <alignment horizontal="center" vertical="center" wrapText="1"/>
    </xf>
    <xf numFmtId="0" fontId="5" fillId="4" borderId="21"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5" fillId="4" borderId="23" xfId="0" applyFont="1" applyFill="1" applyBorder="1" applyAlignment="1">
      <alignment horizontal="center" vertical="center" wrapText="1"/>
    </xf>
    <xf numFmtId="0" fontId="14" fillId="8" borderId="9" xfId="0" applyFont="1" applyFill="1" applyBorder="1" applyAlignment="1">
      <alignment horizontal="left" vertical="center" indent="1"/>
    </xf>
    <xf numFmtId="0" fontId="14" fillId="8" borderId="25" xfId="0" applyFont="1" applyFill="1" applyBorder="1" applyAlignment="1">
      <alignment horizontal="left" vertical="center" indent="1"/>
    </xf>
    <xf numFmtId="0" fontId="16" fillId="3" borderId="21" xfId="0" applyFont="1" applyFill="1" applyBorder="1" applyAlignment="1">
      <alignment horizontal="center" vertical="center" wrapText="1"/>
    </xf>
    <xf numFmtId="0" fontId="16" fillId="3" borderId="22" xfId="0" applyFont="1" applyFill="1" applyBorder="1" applyAlignment="1">
      <alignment horizontal="center" vertical="center" wrapText="1"/>
    </xf>
    <xf numFmtId="0" fontId="16" fillId="3" borderId="23" xfId="0" applyFont="1" applyFill="1" applyBorder="1" applyAlignment="1">
      <alignment horizontal="center" vertical="center" wrapText="1"/>
    </xf>
    <xf numFmtId="0" fontId="14" fillId="8" borderId="0" xfId="0" applyFont="1" applyFill="1" applyAlignment="1">
      <alignment horizontal="left" vertical="center" indent="1"/>
    </xf>
    <xf numFmtId="0" fontId="14" fillId="8" borderId="5" xfId="0" applyFont="1" applyFill="1" applyBorder="1" applyAlignment="1">
      <alignment horizontal="left" vertical="center" indent="1"/>
    </xf>
    <xf numFmtId="0" fontId="14" fillId="8" borderId="22" xfId="0" applyFont="1" applyFill="1" applyBorder="1" applyAlignment="1">
      <alignment horizontal="left" vertical="center" indent="1"/>
    </xf>
    <xf numFmtId="0" fontId="14" fillId="8" borderId="23" xfId="0" applyFont="1" applyFill="1" applyBorder="1" applyAlignment="1">
      <alignment horizontal="left" vertical="center" indent="1"/>
    </xf>
    <xf numFmtId="0" fontId="6" fillId="8" borderId="63" xfId="0" applyFont="1" applyFill="1" applyBorder="1" applyAlignment="1">
      <alignment horizontal="right" vertical="center" wrapText="1" indent="1"/>
    </xf>
    <xf numFmtId="0" fontId="6" fillId="8" borderId="18" xfId="0" applyFont="1" applyFill="1" applyBorder="1" applyAlignment="1">
      <alignment horizontal="right" vertical="center" wrapText="1" indent="1"/>
    </xf>
    <xf numFmtId="0" fontId="18" fillId="4" borderId="58" xfId="0" applyFont="1" applyFill="1" applyBorder="1" applyAlignment="1">
      <alignment horizontal="center" vertical="center" wrapText="1"/>
    </xf>
    <xf numFmtId="0" fontId="29" fillId="4" borderId="59" xfId="0" applyFont="1" applyFill="1" applyBorder="1" applyAlignment="1">
      <alignment horizontal="center" vertical="center" wrapText="1"/>
    </xf>
    <xf numFmtId="0" fontId="29" fillId="4" borderId="60" xfId="0" applyFont="1" applyFill="1" applyBorder="1" applyAlignment="1">
      <alignment horizontal="center" vertical="center" wrapText="1"/>
    </xf>
    <xf numFmtId="0" fontId="23" fillId="8" borderId="61" xfId="0" applyFont="1" applyFill="1" applyBorder="1" applyAlignment="1">
      <alignment horizontal="right" vertical="center" wrapText="1" indent="1"/>
    </xf>
    <xf numFmtId="0" fontId="23" fillId="8" borderId="11" xfId="0" applyFont="1" applyFill="1" applyBorder="1" applyAlignment="1">
      <alignment horizontal="right" vertical="center" wrapText="1" indent="1"/>
    </xf>
    <xf numFmtId="0" fontId="32" fillId="15" borderId="87" xfId="0" applyFont="1" applyFill="1" applyBorder="1" applyAlignment="1">
      <alignment horizontal="center" vertical="center" wrapText="1"/>
    </xf>
    <xf numFmtId="0" fontId="28" fillId="15" borderId="44" xfId="0" applyFont="1" applyFill="1" applyBorder="1" applyAlignment="1">
      <alignment horizontal="center" vertical="center" wrapText="1"/>
    </xf>
    <xf numFmtId="0" fontId="28" fillId="15" borderId="76" xfId="0" applyFont="1" applyFill="1" applyBorder="1" applyAlignment="1">
      <alignment horizontal="center" vertical="center" wrapText="1"/>
    </xf>
    <xf numFmtId="0" fontId="6" fillId="6" borderId="67" xfId="0" applyFont="1" applyFill="1" applyBorder="1" applyAlignment="1">
      <alignment horizontal="center" vertical="center" wrapText="1"/>
    </xf>
    <xf numFmtId="0" fontId="6" fillId="6" borderId="69" xfId="0" applyFont="1" applyFill="1" applyBorder="1" applyAlignment="1">
      <alignment horizontal="center" vertical="center" wrapText="1"/>
    </xf>
    <xf numFmtId="0" fontId="6" fillId="3" borderId="65" xfId="0" applyFont="1" applyFill="1" applyBorder="1" applyAlignment="1">
      <alignment horizontal="right" vertical="center" wrapText="1" indent="1"/>
    </xf>
    <xf numFmtId="0" fontId="6" fillId="3" borderId="54" xfId="0" applyFont="1" applyFill="1" applyBorder="1" applyAlignment="1">
      <alignment horizontal="right" vertical="center" wrapText="1" indent="1"/>
    </xf>
    <xf numFmtId="0" fontId="27" fillId="2" borderId="78" xfId="0" applyFont="1" applyFill="1" applyBorder="1" applyAlignment="1">
      <alignment horizontal="center" vertical="center"/>
    </xf>
    <xf numFmtId="0" fontId="27" fillId="2" borderId="79" xfId="0" applyFont="1" applyFill="1" applyBorder="1" applyAlignment="1">
      <alignment horizontal="center" vertical="center"/>
    </xf>
    <xf numFmtId="0" fontId="27" fillId="2" borderId="80" xfId="0" applyFont="1" applyFill="1" applyBorder="1" applyAlignment="1">
      <alignment horizontal="center" vertical="center"/>
    </xf>
    <xf numFmtId="0" fontId="12" fillId="6" borderId="67" xfId="0" applyFont="1" applyFill="1" applyBorder="1" applyAlignment="1">
      <alignment horizontal="center" vertical="center" wrapText="1"/>
    </xf>
    <xf numFmtId="0" fontId="12" fillId="6" borderId="69" xfId="0" applyFont="1" applyFill="1" applyBorder="1" applyAlignment="1">
      <alignment horizontal="center" vertical="center" wrapText="1"/>
    </xf>
    <xf numFmtId="0" fontId="28" fillId="15" borderId="87" xfId="0" applyFont="1" applyFill="1" applyBorder="1" applyAlignment="1">
      <alignment horizontal="center" vertical="center" wrapText="1"/>
    </xf>
    <xf numFmtId="0" fontId="5" fillId="4" borderId="6" xfId="0" applyFont="1" applyFill="1" applyBorder="1" applyAlignment="1">
      <alignment horizontal="center" vertical="center" wrapText="1"/>
    </xf>
    <xf numFmtId="0" fontId="5" fillId="4" borderId="7" xfId="0" applyFont="1" applyFill="1" applyBorder="1" applyAlignment="1">
      <alignment horizontal="center" vertical="center" wrapText="1"/>
    </xf>
    <xf numFmtId="0" fontId="5" fillId="4" borderId="8" xfId="0" applyFont="1" applyFill="1" applyBorder="1" applyAlignment="1">
      <alignment horizontal="center" vertical="center" wrapText="1"/>
    </xf>
    <xf numFmtId="0" fontId="10" fillId="0" borderId="0" xfId="0" applyFont="1" applyAlignment="1">
      <alignment horizontal="left" vertical="top" wrapText="1"/>
    </xf>
    <xf numFmtId="0" fontId="36" fillId="8" borderId="9" xfId="0" applyFont="1" applyFill="1" applyBorder="1" applyAlignment="1">
      <alignment horizontal="left" vertical="center" wrapText="1" indent="1"/>
    </xf>
    <xf numFmtId="0" fontId="36" fillId="8" borderId="25" xfId="0" applyFont="1" applyFill="1" applyBorder="1" applyAlignment="1">
      <alignment horizontal="left" vertical="center" wrapText="1" indent="1"/>
    </xf>
    <xf numFmtId="0" fontId="3" fillId="3" borderId="6" xfId="0" applyFont="1" applyFill="1" applyBorder="1" applyAlignment="1">
      <alignment horizontal="center" vertical="center" wrapText="1"/>
    </xf>
    <xf numFmtId="0" fontId="3" fillId="3" borderId="7"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4" fillId="6" borderId="14" xfId="0" applyFont="1" applyFill="1" applyBorder="1" applyAlignment="1">
      <alignment horizontal="center" vertical="center" wrapText="1"/>
    </xf>
    <xf numFmtId="0" fontId="4" fillId="6" borderId="89" xfId="0" applyFont="1" applyFill="1" applyBorder="1" applyAlignment="1">
      <alignment horizontal="center" vertical="center" wrapText="1"/>
    </xf>
    <xf numFmtId="0" fontId="4" fillId="6" borderId="90" xfId="0" applyFont="1" applyFill="1" applyBorder="1" applyAlignment="1">
      <alignment horizontal="center" vertical="center" wrapText="1"/>
    </xf>
  </cellXfs>
  <cellStyles count="10">
    <cellStyle name="Comma" xfId="9" builtinId="3"/>
    <cellStyle name="Comma 2" xfId="5" xr:uid="{00000000-0005-0000-0000-000001000000}"/>
    <cellStyle name="Comma 3" xfId="7" xr:uid="{00000000-0005-0000-0000-000002000000}"/>
    <cellStyle name="Normal" xfId="0" builtinId="0"/>
    <cellStyle name="Normal 2" xfId="4" xr:uid="{00000000-0005-0000-0000-000004000000}"/>
    <cellStyle name="Normal 3" xfId="3" xr:uid="{00000000-0005-0000-0000-000005000000}"/>
    <cellStyle name="Normal 4" xfId="6" xr:uid="{00000000-0005-0000-0000-000006000000}"/>
    <cellStyle name="Normal 8" xfId="2" xr:uid="{00000000-0005-0000-0000-000007000000}"/>
    <cellStyle name="Percent" xfId="1" builtinId="5"/>
    <cellStyle name="Percent 2" xfId="8" xr:uid="{00000000-0005-0000-0000-000009000000}"/>
  </cellStyles>
  <dxfs count="0"/>
  <tableStyles count="0" defaultTableStyle="TableStyleMedium2" defaultPivotStyle="PivotStyleLight16"/>
  <colors>
    <mruColors>
      <color rgb="FF99FF66"/>
      <color rgb="FFFFCC66"/>
      <color rgb="FF00FF00"/>
      <color rgb="FFCCFFCC"/>
      <color rgb="FF99FF99"/>
      <color rgb="FF66FFFF"/>
      <color rgb="FFFFFFE1"/>
      <color rgb="FFFFFFCC"/>
      <color rgb="FFF97C0B"/>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2.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7.xml.rels><?xml version="1.0" encoding="UTF-8" standalone="yes"?>
<Relationships xmlns="http://schemas.openxmlformats.org/package/2006/relationships"><Relationship Id="rId3" Type="http://schemas.openxmlformats.org/officeDocument/2006/relationships/themeOverride" Target="../theme/themeOverride6.xml"/><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3" Type="http://schemas.openxmlformats.org/officeDocument/2006/relationships/themeOverride" Target="../theme/themeOverride7.xml"/><Relationship Id="rId2" Type="http://schemas.microsoft.com/office/2011/relationships/chartColorStyle" Target="colors2.xml"/><Relationship Id="rId1" Type="http://schemas.microsoft.com/office/2011/relationships/chartStyle" Target="style2.xml"/></Relationships>
</file>

<file path=xl/charts/_rels/chart9.xml.rels><?xml version="1.0" encoding="UTF-8" standalone="yes"?>
<Relationships xmlns="http://schemas.openxmlformats.org/package/2006/relationships"><Relationship Id="rId3" Type="http://schemas.openxmlformats.org/officeDocument/2006/relationships/themeOverride" Target="../theme/themeOverride8.xml"/><Relationship Id="rId2" Type="http://schemas.microsoft.com/office/2011/relationships/chartColorStyle" Target="colors3.xml"/><Relationship Id="rId1" Type="http://schemas.microsoft.com/office/2011/relationships/chartStyle" Target="style3.xml"/></Relationships>
</file>

<file path=xl/charts/_rels/chart10.xml.rels><?xml version="1.0" encoding="UTF-8" standalone="yes"?>
<Relationships xmlns="http://schemas.openxmlformats.org/package/2006/relationships"><Relationship Id="rId3" Type="http://schemas.openxmlformats.org/officeDocument/2006/relationships/themeOverride" Target="../theme/themeOverride9.xml"/><Relationship Id="rId2" Type="http://schemas.microsoft.com/office/2011/relationships/chartColorStyle" Target="colors4.xml"/><Relationship Id="rId1" Type="http://schemas.microsoft.com/office/2011/relationships/chartStyle" Target="style4.xml"/></Relationships>
</file>

<file path=xl/charts/_rels/chart1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2.xml.rels><?xml version="1.0" encoding="UTF-8" standalone="yes"?>
<Relationships xmlns="http://schemas.openxmlformats.org/package/2006/relationships"><Relationship Id="rId3" Type="http://schemas.openxmlformats.org/officeDocument/2006/relationships/themeOverride" Target="../theme/themeOverride10.xml"/><Relationship Id="rId2" Type="http://schemas.microsoft.com/office/2011/relationships/chartColorStyle" Target="colors6.xml"/><Relationship Id="rId1" Type="http://schemas.microsoft.com/office/2011/relationships/chartStyle" Target="style6.xml"/></Relationships>
</file>

<file path=xl/charts/_rels/chart17.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4745655384448744"/>
          <c:y val="3.4423143280332788E-2"/>
          <c:w val="0.72643934499793039"/>
          <c:h val="0.85599636742112173"/>
        </c:manualLayout>
      </c:layout>
      <c:scatterChart>
        <c:scatterStyle val="smoothMarker"/>
        <c:varyColors val="0"/>
        <c:ser>
          <c:idx val="5"/>
          <c:order val="0"/>
          <c:tx>
            <c:v>TAS</c:v>
          </c:tx>
          <c:spPr>
            <a:ln w="38100">
              <a:solidFill>
                <a:srgbClr val="7030A0"/>
              </a:solidFill>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Model'!$AL$85:$AL$680</c:f>
              <c:numCache>
                <c:formatCode>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5-9BD8-44B8-993E-05CD8EE37252}"/>
            </c:ext>
          </c:extLst>
        </c:ser>
        <c:ser>
          <c:idx val="0"/>
          <c:order val="1"/>
          <c:tx>
            <c:v>Flight Level</c:v>
          </c:tx>
          <c:spPr>
            <a:ln w="38100">
              <a:solidFill>
                <a:sysClr val="windowText" lastClr="000000"/>
              </a:solidFill>
            </a:ln>
          </c:spPr>
          <c:marker>
            <c:symbol val="none"/>
          </c:marker>
          <c:errBars>
            <c:errDir val="y"/>
            <c:errBarType val="both"/>
            <c:errValType val="fixedVal"/>
            <c:noEndCap val="0"/>
            <c:val val="53"/>
            <c:spPr>
              <a:ln w="31750">
                <a:noFill/>
              </a:ln>
            </c:spPr>
          </c:errBars>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Model'!$Y$85:$Y$680</c:f>
              <c:numCache>
                <c:formatCode>0.00</c:formatCode>
                <c:ptCount val="596"/>
                <c:pt idx="0">
                  <c:v>350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6-9BD8-44B8-993E-05CD8EE37252}"/>
            </c:ext>
          </c:extLst>
        </c:ser>
        <c:ser>
          <c:idx val="7"/>
          <c:order val="2"/>
          <c:tx>
            <c:v>Weight</c:v>
          </c:tx>
          <c:spPr>
            <a:ln w="38100">
              <a:solidFill>
                <a:srgbClr val="F79646">
                  <a:lumMod val="75000"/>
                </a:srgbClr>
              </a:solidFill>
            </a:ln>
          </c:spPr>
          <c:marker>
            <c:symbol val="none"/>
          </c:marker>
          <c:dPt>
            <c:idx val="1"/>
            <c:bubble3D val="0"/>
            <c:extLst>
              <c:ext xmlns:c16="http://schemas.microsoft.com/office/drawing/2014/chart" uri="{C3380CC4-5D6E-409C-BE32-E72D297353CC}">
                <c16:uniqueId val="{00000008-9BD8-44B8-993E-05CD8EE37252}"/>
              </c:ext>
            </c:extLst>
          </c:dPt>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Model'!$P$85:$P$680</c:f>
              <c:numCache>
                <c:formatCode>0.000</c:formatCode>
                <c:ptCount val="596"/>
                <c:pt idx="0">
                  <c:v>218.16899999999998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9-9BD8-44B8-993E-05CD8EE37252}"/>
            </c:ext>
          </c:extLst>
        </c:ser>
        <c:ser>
          <c:idx val="3"/>
          <c:order val="4"/>
          <c:tx>
            <c:v>KCAS</c:v>
          </c:tx>
          <c:spPr>
            <a:ln>
              <a:solidFill>
                <a:srgbClr val="4F81BD"/>
              </a:solidFill>
              <a:prstDash val="sysDash"/>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Model'!$AO$85:$AO$680</c:f>
              <c:numCache>
                <c:formatCode>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E-9BD8-44B8-993E-05CD8EE37252}"/>
            </c:ext>
          </c:extLst>
        </c:ser>
        <c:ser>
          <c:idx val="1"/>
          <c:order val="5"/>
          <c:tx>
            <c:v>Total Fuel</c:v>
          </c:tx>
          <c:spPr>
            <a:ln>
              <a:solidFill>
                <a:srgbClr val="00B050"/>
              </a:solidFill>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Model'!$O$85:$O$680</c:f>
              <c:numCache>
                <c:formatCode>0.000</c:formatCode>
                <c:ptCount val="596"/>
                <c:pt idx="0">
                  <c:v>43.8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F-9BD8-44B8-993E-05CD8EE37252}"/>
            </c:ext>
          </c:extLst>
        </c:ser>
        <c:dLbls>
          <c:showLegendKey val="0"/>
          <c:showVal val="0"/>
          <c:showCatName val="0"/>
          <c:showSerName val="0"/>
          <c:showPercent val="0"/>
          <c:showBubbleSize val="0"/>
        </c:dLbls>
        <c:axId val="1161594368"/>
        <c:axId val="1161596288"/>
      </c:scatterChart>
      <c:scatterChart>
        <c:scatterStyle val="smoothMarker"/>
        <c:varyColors val="0"/>
        <c:ser>
          <c:idx val="2"/>
          <c:order val="3"/>
          <c:tx>
            <c:v>Mach</c:v>
          </c:tx>
          <c:spPr>
            <a:ln>
              <a:solidFill>
                <a:srgbClr val="FF0000"/>
              </a:solidFill>
              <a:prstDash val="sysDash"/>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Model'!$AC$85:$AC$680</c:f>
              <c:numCache>
                <c:formatCode>0.0000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D-9BD8-44B8-993E-05CD8EE37252}"/>
            </c:ext>
          </c:extLst>
        </c:ser>
        <c:dLbls>
          <c:showLegendKey val="0"/>
          <c:showVal val="0"/>
          <c:showCatName val="0"/>
          <c:showSerName val="0"/>
          <c:showPercent val="0"/>
          <c:showBubbleSize val="0"/>
        </c:dLbls>
        <c:axId val="1161604480"/>
        <c:axId val="1161602560"/>
      </c:scatterChart>
      <c:valAx>
        <c:axId val="1161594368"/>
        <c:scaling>
          <c:orientation val="minMax"/>
          <c:max val="41706.083343329999"/>
          <c:min val="41705.708333333001"/>
        </c:scaling>
        <c:delete val="0"/>
        <c:axPos val="b"/>
        <c:majorGridlines>
          <c:spPr>
            <a:ln w="19050">
              <a:solidFill>
                <a:schemeClr val="tx1"/>
              </a:solidFill>
            </a:ln>
          </c:spPr>
        </c:majorGridlines>
        <c:minorGridlines/>
        <c:title>
          <c:tx>
            <c:rich>
              <a:bodyPr/>
              <a:lstStyle/>
              <a:p>
                <a:pPr>
                  <a:defRPr sz="1800"/>
                </a:pPr>
                <a:r>
                  <a:rPr lang="en-US" sz="1800"/>
                  <a:t>UTC On 7-8 March 2014</a:t>
                </a:r>
              </a:p>
            </c:rich>
          </c:tx>
          <c:layout>
            <c:manualLayout>
              <c:xMode val="edge"/>
              <c:yMode val="edge"/>
              <c:x val="0.41093354492765904"/>
              <c:y val="0.95050836131991279"/>
            </c:manualLayout>
          </c:layout>
          <c:overlay val="0"/>
        </c:title>
        <c:numFmt formatCode="h:mm;@" sourceLinked="0"/>
        <c:majorTickMark val="out"/>
        <c:minorTickMark val="in"/>
        <c:tickLblPos val="nextTo"/>
        <c:spPr>
          <a:ln w="19050">
            <a:solidFill>
              <a:schemeClr val="tx1"/>
            </a:solidFill>
          </a:ln>
        </c:spPr>
        <c:txPr>
          <a:bodyPr/>
          <a:lstStyle/>
          <a:p>
            <a:pPr>
              <a:defRPr sz="1800" b="1"/>
            </a:pPr>
            <a:endParaRPr lang="en-US"/>
          </a:p>
        </c:txPr>
        <c:crossAx val="1161596288"/>
        <c:crosses val="autoZero"/>
        <c:crossBetween val="midCat"/>
        <c:majorUnit val="4.1666666600000013E-2"/>
        <c:minorUnit val="6.9444444444400023E-3"/>
      </c:valAx>
      <c:valAx>
        <c:axId val="1161596288"/>
        <c:scaling>
          <c:orientation val="minMax"/>
          <c:max val="550"/>
          <c:min val="0"/>
        </c:scaling>
        <c:delete val="0"/>
        <c:axPos val="l"/>
        <c:majorGridlines>
          <c:spPr>
            <a:ln w="19050">
              <a:solidFill>
                <a:schemeClr val="tx1"/>
              </a:solidFill>
            </a:ln>
          </c:spPr>
        </c:majorGridlines>
        <c:minorGridlines/>
        <c:title>
          <c:tx>
            <c:rich>
              <a:bodyPr rot="0" vert="horz"/>
              <a:lstStyle/>
              <a:p>
                <a:pPr>
                  <a:defRPr sz="1600"/>
                </a:pPr>
                <a:r>
                  <a:rPr lang="en-US" sz="1600">
                    <a:solidFill>
                      <a:srgbClr val="7030A0"/>
                    </a:solidFill>
                  </a:rPr>
                  <a:t>True</a:t>
                </a:r>
              </a:p>
              <a:p>
                <a:pPr>
                  <a:defRPr sz="1600"/>
                </a:pPr>
                <a:r>
                  <a:rPr lang="en-US" sz="1600">
                    <a:solidFill>
                      <a:srgbClr val="7030A0"/>
                    </a:solidFill>
                  </a:rPr>
                  <a:t>Air</a:t>
                </a:r>
              </a:p>
              <a:p>
                <a:pPr>
                  <a:defRPr sz="1600"/>
                </a:pPr>
                <a:r>
                  <a:rPr lang="en-US" sz="1600">
                    <a:solidFill>
                      <a:srgbClr val="7030A0"/>
                    </a:solidFill>
                  </a:rPr>
                  <a:t>Speed </a:t>
                </a:r>
              </a:p>
              <a:p>
                <a:pPr>
                  <a:defRPr sz="1600"/>
                </a:pPr>
                <a:r>
                  <a:rPr lang="en-US" sz="1600">
                    <a:solidFill>
                      <a:srgbClr val="7030A0"/>
                    </a:solidFill>
                  </a:rPr>
                  <a:t>(kts)</a:t>
                </a:r>
              </a:p>
              <a:p>
                <a:pPr>
                  <a:defRPr sz="1600"/>
                </a:pPr>
                <a:endParaRPr lang="en-US" sz="1600"/>
              </a:p>
              <a:p>
                <a:pPr>
                  <a:defRPr sz="1600"/>
                </a:pPr>
                <a:endParaRPr lang="en-US" sz="1600"/>
              </a:p>
              <a:p>
                <a:pPr>
                  <a:defRPr sz="1600"/>
                </a:pPr>
                <a:endParaRPr lang="en-US" sz="1600"/>
              </a:p>
              <a:p>
                <a:pPr>
                  <a:defRPr sz="1600"/>
                </a:pPr>
                <a:r>
                  <a:rPr lang="en-US" sz="1600"/>
                  <a:t>Flight</a:t>
                </a:r>
              </a:p>
              <a:p>
                <a:pPr>
                  <a:defRPr sz="1600"/>
                </a:pPr>
                <a:r>
                  <a:rPr lang="en-US" sz="1600"/>
                  <a:t>Level</a:t>
                </a:r>
              </a:p>
              <a:p>
                <a:pPr>
                  <a:defRPr sz="1600"/>
                </a:pPr>
                <a:r>
                  <a:rPr lang="en-US" sz="1600"/>
                  <a:t>(hft)</a:t>
                </a:r>
              </a:p>
              <a:p>
                <a:pPr>
                  <a:defRPr sz="1600"/>
                </a:pPr>
                <a:endParaRPr lang="en-US" sz="1600"/>
              </a:p>
              <a:p>
                <a:pPr>
                  <a:defRPr sz="1600"/>
                </a:pPr>
                <a:endParaRPr lang="en-US" sz="1600"/>
              </a:p>
              <a:p>
                <a:pPr>
                  <a:defRPr sz="1600"/>
                </a:pPr>
                <a:r>
                  <a:rPr lang="en-US" sz="1600">
                    <a:solidFill>
                      <a:srgbClr val="0070C0"/>
                    </a:solidFill>
                  </a:rPr>
                  <a:t>KCAS</a:t>
                </a:r>
              </a:p>
              <a:p>
                <a:pPr>
                  <a:defRPr sz="1600"/>
                </a:pPr>
                <a:r>
                  <a:rPr lang="en-US" sz="1600">
                    <a:solidFill>
                      <a:srgbClr val="0070C0"/>
                    </a:solidFill>
                  </a:rPr>
                  <a:t>(kts)</a:t>
                </a:r>
              </a:p>
              <a:p>
                <a:pPr>
                  <a:defRPr sz="1600"/>
                </a:pPr>
                <a:endParaRPr lang="en-US" sz="1600">
                  <a:solidFill>
                    <a:srgbClr val="0070C0"/>
                  </a:solidFill>
                </a:endParaRPr>
              </a:p>
              <a:p>
                <a:pPr>
                  <a:defRPr sz="1600"/>
                </a:pPr>
                <a:r>
                  <a:rPr lang="en-US" sz="1600">
                    <a:solidFill>
                      <a:schemeClr val="accent6">
                        <a:lumMod val="75000"/>
                      </a:schemeClr>
                    </a:solidFill>
                  </a:rPr>
                  <a:t>Aircraft</a:t>
                </a:r>
              </a:p>
              <a:p>
                <a:pPr>
                  <a:defRPr sz="1600"/>
                </a:pPr>
                <a:r>
                  <a:rPr lang="en-US" sz="1600">
                    <a:solidFill>
                      <a:schemeClr val="accent6">
                        <a:lumMod val="75000"/>
                      </a:schemeClr>
                    </a:solidFill>
                  </a:rPr>
                  <a:t>Weight</a:t>
                </a:r>
              </a:p>
              <a:p>
                <a:pPr>
                  <a:defRPr sz="1600"/>
                </a:pPr>
                <a:r>
                  <a:rPr lang="en-US" sz="1600">
                    <a:solidFill>
                      <a:schemeClr val="accent6">
                        <a:lumMod val="75000"/>
                      </a:schemeClr>
                    </a:solidFill>
                  </a:rPr>
                  <a:t>(tonnes)</a:t>
                </a:r>
              </a:p>
              <a:p>
                <a:pPr>
                  <a:defRPr sz="1600"/>
                </a:pPr>
                <a:endParaRPr lang="en-US" sz="1600">
                  <a:solidFill>
                    <a:srgbClr val="00B050"/>
                  </a:solidFill>
                </a:endParaRPr>
              </a:p>
              <a:p>
                <a:pPr>
                  <a:defRPr sz="1600"/>
                </a:pPr>
                <a:endParaRPr lang="en-US" sz="1600">
                  <a:solidFill>
                    <a:srgbClr val="00B050"/>
                  </a:solidFill>
                </a:endParaRPr>
              </a:p>
              <a:p>
                <a:pPr>
                  <a:defRPr sz="1600"/>
                </a:pPr>
                <a:endParaRPr lang="en-US" sz="1600">
                  <a:solidFill>
                    <a:srgbClr val="00B050"/>
                  </a:solidFill>
                </a:endParaRPr>
              </a:p>
              <a:p>
                <a:pPr>
                  <a:defRPr sz="1600"/>
                </a:pPr>
                <a:endParaRPr lang="en-US" sz="1600">
                  <a:solidFill>
                    <a:srgbClr val="00B050"/>
                  </a:solidFill>
                </a:endParaRPr>
              </a:p>
              <a:p>
                <a:pPr>
                  <a:defRPr sz="1600"/>
                </a:pPr>
                <a:endParaRPr lang="en-US" sz="1600">
                  <a:solidFill>
                    <a:srgbClr val="00B050"/>
                  </a:solidFill>
                </a:endParaRPr>
              </a:p>
              <a:p>
                <a:pPr>
                  <a:defRPr sz="1600"/>
                </a:pPr>
                <a:endParaRPr lang="en-US" sz="1600">
                  <a:solidFill>
                    <a:srgbClr val="00B050"/>
                  </a:solidFill>
                </a:endParaRPr>
              </a:p>
              <a:p>
                <a:pPr>
                  <a:defRPr sz="1600"/>
                </a:pPr>
                <a:r>
                  <a:rPr lang="en-US" sz="1600">
                    <a:solidFill>
                      <a:srgbClr val="00B050"/>
                    </a:solidFill>
                  </a:rPr>
                  <a:t>Total Fuel</a:t>
                </a:r>
              </a:p>
              <a:p>
                <a:pPr>
                  <a:defRPr sz="1600"/>
                </a:pPr>
                <a:r>
                  <a:rPr lang="en-US" sz="1600">
                    <a:solidFill>
                      <a:srgbClr val="00B050"/>
                    </a:solidFill>
                  </a:rPr>
                  <a:t>(tonnes)</a:t>
                </a:r>
              </a:p>
            </c:rich>
          </c:tx>
          <c:layout>
            <c:manualLayout>
              <c:xMode val="edge"/>
              <c:yMode val="edge"/>
              <c:x val="1.1358191752081491E-2"/>
              <c:y val="8.4979521069970254E-2"/>
            </c:manualLayout>
          </c:layout>
          <c:overlay val="0"/>
        </c:title>
        <c:numFmt formatCode="0" sourceLinked="0"/>
        <c:majorTickMark val="out"/>
        <c:minorTickMark val="in"/>
        <c:tickLblPos val="nextTo"/>
        <c:spPr>
          <a:ln w="19050">
            <a:solidFill>
              <a:schemeClr val="tx1"/>
            </a:solidFill>
          </a:ln>
        </c:spPr>
        <c:txPr>
          <a:bodyPr/>
          <a:lstStyle/>
          <a:p>
            <a:pPr>
              <a:defRPr sz="1800" b="1"/>
            </a:pPr>
            <a:endParaRPr lang="en-US"/>
          </a:p>
        </c:txPr>
        <c:crossAx val="1161594368"/>
        <c:crosses val="autoZero"/>
        <c:crossBetween val="midCat"/>
        <c:majorUnit val="50"/>
        <c:minorUnit val="25"/>
      </c:valAx>
      <c:valAx>
        <c:axId val="1161602560"/>
        <c:scaling>
          <c:orientation val="minMax"/>
          <c:max val="1.1000000000000001"/>
          <c:min val="0"/>
        </c:scaling>
        <c:delete val="0"/>
        <c:axPos val="r"/>
        <c:title>
          <c:tx>
            <c:rich>
              <a:bodyPr rot="0" vert="horz"/>
              <a:lstStyle/>
              <a:p>
                <a:pPr>
                  <a:defRPr sz="2000">
                    <a:solidFill>
                      <a:srgbClr val="FF0000"/>
                    </a:solidFill>
                  </a:defRPr>
                </a:pPr>
                <a:r>
                  <a:rPr lang="en-US" sz="2000">
                    <a:solidFill>
                      <a:srgbClr val="FF0000"/>
                    </a:solidFill>
                  </a:rPr>
                  <a:t>Mach</a:t>
                </a:r>
              </a:p>
            </c:rich>
          </c:tx>
          <c:layout>
            <c:manualLayout>
              <c:xMode val="edge"/>
              <c:yMode val="edge"/>
              <c:x val="0.93213680597673765"/>
              <c:y val="0.27718793357909"/>
            </c:manualLayout>
          </c:layout>
          <c:overlay val="0"/>
        </c:title>
        <c:numFmt formatCode="0.00" sourceLinked="0"/>
        <c:majorTickMark val="out"/>
        <c:minorTickMark val="none"/>
        <c:tickLblPos val="nextTo"/>
        <c:txPr>
          <a:bodyPr/>
          <a:lstStyle/>
          <a:p>
            <a:pPr>
              <a:defRPr sz="1800" b="1">
                <a:solidFill>
                  <a:srgbClr val="FF0000"/>
                </a:solidFill>
              </a:defRPr>
            </a:pPr>
            <a:endParaRPr lang="en-US"/>
          </a:p>
        </c:txPr>
        <c:crossAx val="1161604480"/>
        <c:crosses val="max"/>
        <c:crossBetween val="midCat"/>
        <c:majorUnit val="0.1"/>
      </c:valAx>
      <c:valAx>
        <c:axId val="1161604480"/>
        <c:scaling>
          <c:orientation val="minMax"/>
        </c:scaling>
        <c:delete val="1"/>
        <c:axPos val="b"/>
        <c:numFmt formatCode="d\ mmmm\ yyyy\ h:mm" sourceLinked="1"/>
        <c:majorTickMark val="out"/>
        <c:minorTickMark val="none"/>
        <c:tickLblPos val="nextTo"/>
        <c:crossAx val="1161602560"/>
        <c:crosses val="autoZero"/>
        <c:crossBetween val="midCat"/>
      </c:valAx>
      <c:spPr>
        <a:solidFill>
          <a:srgbClr val="FFFFE1"/>
        </a:solidFill>
      </c:spPr>
    </c:plotArea>
    <c:plotVisOnly val="1"/>
    <c:dispBlanksAs val="gap"/>
    <c:showDLblsOverMax val="0"/>
  </c:chart>
  <c:spPr>
    <a:solidFill>
      <a:srgbClr val="9BBB59">
        <a:lumMod val="20000"/>
        <a:lumOff val="80000"/>
      </a:srgbClr>
    </a:solidFill>
    <a:ln w="25400">
      <a:solidFill>
        <a:sysClr val="windowText" lastClr="000000"/>
      </a:solidFill>
    </a:ln>
  </c:sp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6392278747273775"/>
          <c:y val="3.4423128778901295E-2"/>
          <c:w val="0.68151548310188836"/>
          <c:h val="0.83756098105776355"/>
        </c:manualLayout>
      </c:layout>
      <c:scatterChart>
        <c:scatterStyle val="smoothMarker"/>
        <c:varyColors val="0"/>
        <c:ser>
          <c:idx val="1"/>
          <c:order val="0"/>
          <c:tx>
            <c:v>R Fuel Flow</c:v>
          </c:tx>
          <c:spPr>
            <a:ln>
              <a:solidFill>
                <a:srgbClr val="00B050"/>
              </a:solidFill>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Model'!$L$85:$L$680</c:f>
              <c:numCache>
                <c:formatCode>0.00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5-1B6F-4DB6-8BA2-81071C297842}"/>
            </c:ext>
          </c:extLst>
        </c:ser>
        <c:ser>
          <c:idx val="4"/>
          <c:order val="1"/>
          <c:tx>
            <c:v>L Fuel Flow</c:v>
          </c:tx>
          <c:spPr>
            <a:ln>
              <a:solidFill>
                <a:srgbClr val="C0504D">
                  <a:lumMod val="75000"/>
                </a:srgbClr>
              </a:solidFill>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Model'!$K$85:$K$680</c:f>
              <c:numCache>
                <c:formatCode>0.00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6-1B6F-4DB6-8BA2-81071C297842}"/>
            </c:ext>
          </c:extLst>
        </c:ser>
        <c:dLbls>
          <c:showLegendKey val="0"/>
          <c:showVal val="0"/>
          <c:showCatName val="0"/>
          <c:showSerName val="0"/>
          <c:showPercent val="0"/>
          <c:showBubbleSize val="0"/>
        </c:dLbls>
        <c:axId val="1161594368"/>
        <c:axId val="1161596288"/>
      </c:scatterChart>
      <c:scatterChart>
        <c:scatterStyle val="smoothMarker"/>
        <c:varyColors val="0"/>
        <c:ser>
          <c:idx val="0"/>
          <c:order val="2"/>
          <c:tx>
            <c:v>R Fuel Tank</c:v>
          </c:tx>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Model'!$N$85:$N$680</c:f>
              <c:numCache>
                <c:formatCode>0.000</c:formatCode>
                <c:ptCount val="596"/>
                <c:pt idx="0">
                  <c:v>21.827000000000002</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8-1B6F-4DB6-8BA2-81071C297842}"/>
            </c:ext>
          </c:extLst>
        </c:ser>
        <c:ser>
          <c:idx val="2"/>
          <c:order val="3"/>
          <c:tx>
            <c:v>L Fuel Tank</c:v>
          </c:tx>
          <c:spPr>
            <a:ln>
              <a:solidFill>
                <a:srgbClr val="F79646">
                  <a:lumMod val="75000"/>
                </a:srgbClr>
              </a:solidFill>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Model'!$M$85:$M$680</c:f>
              <c:numCache>
                <c:formatCode>0.000</c:formatCode>
                <c:ptCount val="596"/>
                <c:pt idx="0">
                  <c:v>21.972999999999999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1"/>
          <c:extLst>
            <c:ext xmlns:c16="http://schemas.microsoft.com/office/drawing/2014/chart" uri="{C3380CC4-5D6E-409C-BE32-E72D297353CC}">
              <c16:uniqueId val="{00000009-1B6F-4DB6-8BA2-81071C297842}"/>
            </c:ext>
          </c:extLst>
        </c:ser>
        <c:dLbls>
          <c:showLegendKey val="0"/>
          <c:showVal val="0"/>
          <c:showCatName val="0"/>
          <c:showSerName val="0"/>
          <c:showPercent val="0"/>
          <c:showBubbleSize val="0"/>
        </c:dLbls>
        <c:axId val="777463800"/>
        <c:axId val="777461176"/>
      </c:scatterChart>
      <c:valAx>
        <c:axId val="1161594368"/>
        <c:scaling>
          <c:orientation val="minMax"/>
          <c:max val="41706.083343329999"/>
          <c:min val="41705.708333333001"/>
        </c:scaling>
        <c:delete val="0"/>
        <c:axPos val="b"/>
        <c:majorGridlines>
          <c:spPr>
            <a:ln w="19050">
              <a:solidFill>
                <a:schemeClr val="tx1"/>
              </a:solidFill>
            </a:ln>
          </c:spPr>
        </c:majorGridlines>
        <c:minorGridlines/>
        <c:title>
          <c:tx>
            <c:rich>
              <a:bodyPr/>
              <a:lstStyle/>
              <a:p>
                <a:pPr>
                  <a:defRPr sz="1800"/>
                </a:pPr>
                <a:r>
                  <a:rPr lang="en-US" sz="1800"/>
                  <a:t>UTC On 7-8 March 2014</a:t>
                </a:r>
              </a:p>
            </c:rich>
          </c:tx>
          <c:layout>
            <c:manualLayout>
              <c:xMode val="edge"/>
              <c:yMode val="edge"/>
              <c:x val="0.41202924784825945"/>
              <c:y val="0.94062885423527443"/>
            </c:manualLayout>
          </c:layout>
          <c:overlay val="0"/>
        </c:title>
        <c:numFmt formatCode="h:mm;@" sourceLinked="0"/>
        <c:majorTickMark val="out"/>
        <c:minorTickMark val="in"/>
        <c:tickLblPos val="nextTo"/>
        <c:spPr>
          <a:ln w="19050">
            <a:solidFill>
              <a:schemeClr val="tx1"/>
            </a:solidFill>
          </a:ln>
        </c:spPr>
        <c:txPr>
          <a:bodyPr/>
          <a:lstStyle/>
          <a:p>
            <a:pPr>
              <a:defRPr sz="1800" b="1"/>
            </a:pPr>
            <a:endParaRPr lang="en-US"/>
          </a:p>
        </c:txPr>
        <c:crossAx val="1161596288"/>
        <c:crosses val="autoZero"/>
        <c:crossBetween val="midCat"/>
        <c:majorUnit val="4.1666666600000013E-2"/>
        <c:minorUnit val="6.9444444444400023E-3"/>
      </c:valAx>
      <c:valAx>
        <c:axId val="1161596288"/>
        <c:scaling>
          <c:orientation val="minMax"/>
          <c:max val="160"/>
          <c:min val="0"/>
        </c:scaling>
        <c:delete val="0"/>
        <c:axPos val="l"/>
        <c:majorGridlines>
          <c:spPr>
            <a:ln w="19050">
              <a:solidFill>
                <a:schemeClr val="tx1"/>
              </a:solidFill>
            </a:ln>
          </c:spPr>
        </c:majorGridlines>
        <c:minorGridlines/>
        <c:title>
          <c:tx>
            <c:rich>
              <a:bodyPr rot="0" vert="horz"/>
              <a:lstStyle/>
              <a:p>
                <a:pPr>
                  <a:defRPr sz="1800"/>
                </a:pPr>
                <a:r>
                  <a:rPr lang="en-US" sz="1800">
                    <a:solidFill>
                      <a:srgbClr val="00B050"/>
                    </a:solidFill>
                  </a:rPr>
                  <a:t>R Fuel Flow</a:t>
                </a:r>
              </a:p>
              <a:p>
                <a:pPr>
                  <a:defRPr sz="1800"/>
                </a:pPr>
                <a:r>
                  <a:rPr lang="en-US" sz="1400">
                    <a:solidFill>
                      <a:srgbClr val="00B050"/>
                    </a:solidFill>
                  </a:rPr>
                  <a:t>(kg/min)</a:t>
                </a:r>
              </a:p>
              <a:p>
                <a:pPr>
                  <a:defRPr sz="1800"/>
                </a:pPr>
                <a:endParaRPr lang="en-US" sz="1400">
                  <a:solidFill>
                    <a:schemeClr val="accent2">
                      <a:lumMod val="75000"/>
                    </a:schemeClr>
                  </a:solidFill>
                </a:endParaRPr>
              </a:p>
              <a:p>
                <a:pPr>
                  <a:defRPr sz="1800"/>
                </a:pPr>
                <a:r>
                  <a:rPr lang="en-US" sz="1800">
                    <a:solidFill>
                      <a:schemeClr val="accent2">
                        <a:lumMod val="75000"/>
                      </a:schemeClr>
                    </a:solidFill>
                  </a:rPr>
                  <a:t>L Fuel Flow</a:t>
                </a:r>
              </a:p>
              <a:p>
                <a:pPr>
                  <a:defRPr sz="1800"/>
                </a:pPr>
                <a:r>
                  <a:rPr lang="en-US" sz="1400">
                    <a:solidFill>
                      <a:schemeClr val="accent2">
                        <a:lumMod val="75000"/>
                      </a:schemeClr>
                    </a:solidFill>
                  </a:rPr>
                  <a:t>(kg/min)</a:t>
                </a:r>
              </a:p>
              <a:p>
                <a:pPr>
                  <a:defRPr sz="1800"/>
                </a:pPr>
                <a:endParaRPr lang="en-US" sz="1400">
                  <a:solidFill>
                    <a:schemeClr val="accent2">
                      <a:lumMod val="75000"/>
                    </a:schemeClr>
                  </a:solidFill>
                </a:endParaRPr>
              </a:p>
            </c:rich>
          </c:tx>
          <c:layout>
            <c:manualLayout>
              <c:xMode val="edge"/>
              <c:yMode val="edge"/>
              <c:x val="1.0959316764389057E-2"/>
              <c:y val="0.22501178646352901"/>
            </c:manualLayout>
          </c:layout>
          <c:overlay val="0"/>
        </c:title>
        <c:numFmt formatCode="0" sourceLinked="0"/>
        <c:majorTickMark val="out"/>
        <c:minorTickMark val="in"/>
        <c:tickLblPos val="nextTo"/>
        <c:spPr>
          <a:ln w="19050">
            <a:solidFill>
              <a:schemeClr val="tx1"/>
            </a:solidFill>
          </a:ln>
        </c:spPr>
        <c:txPr>
          <a:bodyPr/>
          <a:lstStyle/>
          <a:p>
            <a:pPr>
              <a:defRPr sz="1800" b="1"/>
            </a:pPr>
            <a:endParaRPr lang="en-US"/>
          </a:p>
        </c:txPr>
        <c:crossAx val="1161594368"/>
        <c:crosses val="autoZero"/>
        <c:crossBetween val="midCat"/>
        <c:majorUnit val="10"/>
        <c:minorUnit val="5"/>
      </c:valAx>
      <c:valAx>
        <c:axId val="777461176"/>
        <c:scaling>
          <c:orientation val="minMax"/>
          <c:max val="40"/>
          <c:min val="0"/>
        </c:scaling>
        <c:delete val="0"/>
        <c:axPos val="r"/>
        <c:title>
          <c:tx>
            <c:rich>
              <a:bodyPr rot="0" vert="horz"/>
              <a:lstStyle/>
              <a:p>
                <a:pPr>
                  <a:defRPr sz="1800"/>
                </a:pPr>
                <a:r>
                  <a:rPr lang="en-US" sz="1800">
                    <a:solidFill>
                      <a:schemeClr val="accent6">
                        <a:lumMod val="75000"/>
                      </a:schemeClr>
                    </a:solidFill>
                  </a:rPr>
                  <a:t>L Tank Fuel</a:t>
                </a:r>
              </a:p>
              <a:p>
                <a:pPr>
                  <a:defRPr sz="1800"/>
                </a:pPr>
                <a:r>
                  <a:rPr lang="en-US" sz="1400">
                    <a:solidFill>
                      <a:schemeClr val="accent6">
                        <a:lumMod val="75000"/>
                      </a:schemeClr>
                    </a:solidFill>
                  </a:rPr>
                  <a:t>(tonnes)</a:t>
                </a:r>
              </a:p>
              <a:p>
                <a:pPr>
                  <a:defRPr sz="1800"/>
                </a:pPr>
                <a:endParaRPr lang="en-US" sz="1800"/>
              </a:p>
              <a:p>
                <a:pPr>
                  <a:defRPr sz="1800"/>
                </a:pPr>
                <a:endParaRPr lang="en-US" sz="1800"/>
              </a:p>
              <a:p>
                <a:pPr>
                  <a:defRPr sz="1800"/>
                </a:pPr>
                <a:r>
                  <a:rPr lang="en-US" sz="1800">
                    <a:solidFill>
                      <a:schemeClr val="accent1"/>
                    </a:solidFill>
                  </a:rPr>
                  <a:t>R Tank Fuel</a:t>
                </a:r>
              </a:p>
              <a:p>
                <a:pPr>
                  <a:defRPr sz="1800"/>
                </a:pPr>
                <a:r>
                  <a:rPr lang="en-US" sz="1400">
                    <a:solidFill>
                      <a:schemeClr val="accent1"/>
                    </a:solidFill>
                  </a:rPr>
                  <a:t>(tonnes)</a:t>
                </a:r>
              </a:p>
              <a:p>
                <a:pPr>
                  <a:defRPr sz="1800"/>
                </a:pPr>
                <a:endParaRPr lang="en-US" sz="1800"/>
              </a:p>
              <a:p>
                <a:pPr>
                  <a:defRPr sz="1800"/>
                </a:pPr>
                <a:endParaRPr lang="en-US" sz="1800"/>
              </a:p>
            </c:rich>
          </c:tx>
          <c:layout>
            <c:manualLayout>
              <c:xMode val="edge"/>
              <c:yMode val="edge"/>
              <c:x val="0.88249128221608697"/>
              <c:y val="0.61153280679311783"/>
            </c:manualLayout>
          </c:layout>
          <c:overlay val="0"/>
        </c:title>
        <c:numFmt formatCode="0" sourceLinked="0"/>
        <c:majorTickMark val="out"/>
        <c:minorTickMark val="none"/>
        <c:tickLblPos val="nextTo"/>
        <c:txPr>
          <a:bodyPr/>
          <a:lstStyle/>
          <a:p>
            <a:pPr>
              <a:defRPr sz="1800" b="1"/>
            </a:pPr>
            <a:endParaRPr lang="en-US"/>
          </a:p>
        </c:txPr>
        <c:crossAx val="777463800"/>
        <c:crosses val="max"/>
        <c:crossBetween val="midCat"/>
      </c:valAx>
      <c:valAx>
        <c:axId val="777463800"/>
        <c:scaling>
          <c:orientation val="minMax"/>
        </c:scaling>
        <c:delete val="1"/>
        <c:axPos val="b"/>
        <c:numFmt formatCode="d\ mmmm\ yyyy\ h:mm" sourceLinked="1"/>
        <c:majorTickMark val="out"/>
        <c:minorTickMark val="none"/>
        <c:tickLblPos val="nextTo"/>
        <c:crossAx val="777461176"/>
        <c:crosses val="autoZero"/>
        <c:crossBetween val="midCat"/>
      </c:valAx>
      <c:spPr>
        <a:solidFill>
          <a:srgbClr val="FFFFE1"/>
        </a:solidFill>
      </c:spPr>
    </c:plotArea>
    <c:plotVisOnly val="1"/>
    <c:dispBlanksAs val="gap"/>
    <c:showDLblsOverMax val="0"/>
  </c:chart>
  <c:spPr>
    <a:solidFill>
      <a:srgbClr val="9BBB59">
        <a:lumMod val="20000"/>
        <a:lumOff val="80000"/>
      </a:srgbClr>
    </a:solidFill>
    <a:ln w="25400">
      <a:solidFill>
        <a:sysClr val="windowText" lastClr="000000"/>
      </a:solidFill>
    </a:ln>
  </c:sp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3546263059263985"/>
          <c:y val="3.4423143280332788E-2"/>
          <c:w val="0.73843325445881258"/>
          <c:h val="0.85599636742112173"/>
        </c:manualLayout>
      </c:layout>
      <c:scatterChart>
        <c:scatterStyle val="lineMarker"/>
        <c:varyColors val="0"/>
        <c:ser>
          <c:idx val="5"/>
          <c:order val="0"/>
          <c:tx>
            <c:v>TAS</c:v>
          </c:tx>
          <c:spPr>
            <a:ln w="38100">
              <a:solidFill>
                <a:srgbClr val="7030A0"/>
              </a:solidFill>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Model'!$AL$85:$AL$680</c:f>
              <c:numCache>
                <c:formatCode>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0"/>
          <c:extLst>
            <c:ext xmlns:c16="http://schemas.microsoft.com/office/drawing/2014/chart" uri="{C3380CC4-5D6E-409C-BE32-E72D297353CC}">
              <c16:uniqueId val="{00000000-E407-4737-9DEF-F40B5511C4D3}"/>
            </c:ext>
          </c:extLst>
        </c:ser>
        <c:ser>
          <c:idx val="0"/>
          <c:order val="1"/>
          <c:tx>
            <c:v>Flight Level</c:v>
          </c:tx>
          <c:spPr>
            <a:ln w="38100">
              <a:solidFill>
                <a:sysClr val="windowText" lastClr="000000"/>
              </a:solidFill>
            </a:ln>
          </c:spPr>
          <c:marker>
            <c:symbol val="none"/>
          </c:marker>
          <c:errBars>
            <c:errDir val="y"/>
            <c:errBarType val="both"/>
            <c:errValType val="fixedVal"/>
            <c:noEndCap val="0"/>
            <c:val val="53"/>
            <c:spPr>
              <a:ln w="31750">
                <a:noFill/>
              </a:ln>
            </c:spPr>
          </c:errBars>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Model'!$Y$85:$Y$680</c:f>
              <c:numCache>
                <c:formatCode>0.00</c:formatCode>
                <c:ptCount val="596"/>
                <c:pt idx="0">
                  <c:v>350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0"/>
          <c:extLst>
            <c:ext xmlns:c16="http://schemas.microsoft.com/office/drawing/2014/chart" uri="{C3380CC4-5D6E-409C-BE32-E72D297353CC}">
              <c16:uniqueId val="{00000001-E407-4737-9DEF-F40B5511C4D3}"/>
            </c:ext>
          </c:extLst>
        </c:ser>
        <c:ser>
          <c:idx val="3"/>
          <c:order val="4"/>
          <c:tx>
            <c:v>KCAS</c:v>
          </c:tx>
          <c:spPr>
            <a:ln w="38100">
              <a:solidFill>
                <a:srgbClr val="4F81BD"/>
              </a:solidFill>
              <a:prstDash val="sysDash"/>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Model'!$AO$85:$AO$680</c:f>
              <c:numCache>
                <c:formatCode>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0"/>
          <c:extLst>
            <c:ext xmlns:c16="http://schemas.microsoft.com/office/drawing/2014/chart" uri="{C3380CC4-5D6E-409C-BE32-E72D297353CC}">
              <c16:uniqueId val="{00000004-E407-4737-9DEF-F40B5511C4D3}"/>
            </c:ext>
          </c:extLst>
        </c:ser>
        <c:ser>
          <c:idx val="1"/>
          <c:order val="5"/>
          <c:tx>
            <c:v>Total Fuel X 100</c:v>
          </c:tx>
          <c:spPr>
            <a:ln>
              <a:solidFill>
                <a:srgbClr val="00B050"/>
              </a:solidFill>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Model'!$BY$85:$BY$680</c:f>
              <c:numCache>
                <c:formatCode>0.000</c:formatCode>
                <c:ptCount val="596"/>
                <c:pt idx="0">
                  <c:v>4380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0"/>
          <c:extLst>
            <c:ext xmlns:c16="http://schemas.microsoft.com/office/drawing/2014/chart" uri="{C3380CC4-5D6E-409C-BE32-E72D297353CC}">
              <c16:uniqueId val="{00000005-E407-4737-9DEF-F40B5511C4D3}"/>
            </c:ext>
          </c:extLst>
        </c:ser>
        <c:dLbls>
          <c:showLegendKey val="0"/>
          <c:showVal val="0"/>
          <c:showCatName val="0"/>
          <c:showSerName val="0"/>
          <c:showPercent val="0"/>
          <c:showBubbleSize val="0"/>
        </c:dLbls>
        <c:axId val="1161594368"/>
        <c:axId val="1161596288"/>
        <c:extLst>
          <c:ext xmlns:c15="http://schemas.microsoft.com/office/drawing/2012/chart" uri="{02D57815-91ED-43cb-92C2-25804820EDAC}">
            <c15:filteredScatterSeries>
              <c15:ser>
                <c:idx val="7"/>
                <c:order val="2"/>
                <c:tx>
                  <c:v>Weight</c:v>
                </c:tx>
                <c:spPr>
                  <a:ln w="38100">
                    <a:solidFill>
                      <a:srgbClr val="F79646">
                        <a:lumMod val="75000"/>
                      </a:srgbClr>
                    </a:solidFill>
                  </a:ln>
                </c:spPr>
                <c:marker>
                  <c:symbol val="none"/>
                </c:marker>
                <c:dPt>
                  <c:idx val="1"/>
                  <c:bubble3D val="0"/>
                  <c:extLst>
                    <c:ext xmlns:c16="http://schemas.microsoft.com/office/drawing/2014/chart" uri="{C3380CC4-5D6E-409C-BE32-E72D297353CC}">
                      <c16:uniqueId val="{00000002-E407-4737-9DEF-F40B5511C4D3}"/>
                    </c:ext>
                  </c:extLst>
                </c:dPt>
                <c:xVal>
                  <c:numRef>
                    <c:extLst>
                      <c:ext uri="{02D57815-91ED-43cb-92C2-25804820EDAC}">
                        <c15:formulaRef>
                          <c15:sqref>'Endurance Model'!$J$85:$J$680</c15:sqref>
                        </c15:formulaRef>
                      </c:ext>
                    </c:extLst>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extLst>
                      <c:ext uri="{02D57815-91ED-43cb-92C2-25804820EDAC}">
                        <c15:formulaRef>
                          <c15:sqref>'Endurance Model'!$P$85:$P$680</c15:sqref>
                        </c15:formulaRef>
                      </c:ext>
                    </c:extLst>
                    <c:numCache>
                      <c:formatCode>0.000</c:formatCode>
                      <c:ptCount val="596"/>
                      <c:pt idx="0">
                        <c:v>218.16899999999998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0"/>
                <c:extLst>
                  <c:ext xmlns:c16="http://schemas.microsoft.com/office/drawing/2014/chart" uri="{C3380CC4-5D6E-409C-BE32-E72D297353CC}">
                    <c16:uniqueId val="{00000003-E407-4737-9DEF-F40B5511C4D3}"/>
                  </c:ext>
                </c:extLst>
              </c15:ser>
            </c15:filteredScatterSeries>
          </c:ext>
        </c:extLst>
      </c:scatterChart>
      <c:scatterChart>
        <c:scatterStyle val="lineMarker"/>
        <c:varyColors val="0"/>
        <c:ser>
          <c:idx val="2"/>
          <c:order val="3"/>
          <c:tx>
            <c:v>Mach</c:v>
          </c:tx>
          <c:spPr>
            <a:ln w="38100">
              <a:solidFill>
                <a:srgbClr val="FF0000"/>
              </a:solidFill>
              <a:prstDash val="sysDash"/>
            </a:ln>
          </c:spPr>
          <c:marker>
            <c:symbol val="none"/>
          </c:marker>
          <c:xVal>
            <c:numRef>
              <c:f>'Endurance Model'!$J$85:$J$680</c:f>
              <c:numCache>
                <c:formatCode>d\ mmmm\ yyyy\ h:mm</c:formatCode>
                <c:ptCount val="596"/>
                <c:pt idx="0">
                  <c:v>41705.713194444448</c:v>
                </c:pt>
                <c:pt idx="1">
                  <c:v>41705.713888888895</c:v>
                </c:pt>
                <c:pt idx="2">
                  <c:v>41705.714583333342</c:v>
                </c:pt>
                <c:pt idx="3">
                  <c:v>41705.715277777788</c:v>
                </c:pt>
                <c:pt idx="4">
                  <c:v>41705.715972222235</c:v>
                </c:pt>
                <c:pt idx="5">
                  <c:v>41705.716666666682</c:v>
                </c:pt>
                <c:pt idx="6">
                  <c:v>41705.717361111128</c:v>
                </c:pt>
                <c:pt idx="7">
                  <c:v>41705.718055555575</c:v>
                </c:pt>
                <c:pt idx="8">
                  <c:v>41705.718750000022</c:v>
                </c:pt>
                <c:pt idx="9">
                  <c:v>41705.719444444469</c:v>
                </c:pt>
                <c:pt idx="10">
                  <c:v>41705.720138888915</c:v>
                </c:pt>
                <c:pt idx="11">
                  <c:v>41705.720833333362</c:v>
                </c:pt>
                <c:pt idx="12">
                  <c:v>41705.721527777809</c:v>
                </c:pt>
                <c:pt idx="13">
                  <c:v>41705.722222222255</c:v>
                </c:pt>
                <c:pt idx="14">
                  <c:v>41705.722916666702</c:v>
                </c:pt>
                <c:pt idx="15">
                  <c:v>41705.723611111149</c:v>
                </c:pt>
                <c:pt idx="16">
                  <c:v>41705.724305555595</c:v>
                </c:pt>
                <c:pt idx="17">
                  <c:v>41705.725000000042</c:v>
                </c:pt>
                <c:pt idx="18">
                  <c:v>41705.725694444489</c:v>
                </c:pt>
                <c:pt idx="19">
                  <c:v>41705.726388888936</c:v>
                </c:pt>
                <c:pt idx="20">
                  <c:v>41705.727083333382</c:v>
                </c:pt>
                <c:pt idx="21">
                  <c:v>41705.727777777829</c:v>
                </c:pt>
                <c:pt idx="22">
                  <c:v>41705.728472222276</c:v>
                </c:pt>
                <c:pt idx="23">
                  <c:v>41705.729166666722</c:v>
                </c:pt>
                <c:pt idx="24">
                  <c:v>41705.729861111169</c:v>
                </c:pt>
                <c:pt idx="25">
                  <c:v>41705.730555555616</c:v>
                </c:pt>
                <c:pt idx="26">
                  <c:v>41705.731250000063</c:v>
                </c:pt>
                <c:pt idx="27">
                  <c:v>41705.731944444509</c:v>
                </c:pt>
                <c:pt idx="28">
                  <c:v>41705.732638888956</c:v>
                </c:pt>
                <c:pt idx="29">
                  <c:v>41705.733333333403</c:v>
                </c:pt>
                <c:pt idx="30">
                  <c:v>41705.734027777849</c:v>
                </c:pt>
                <c:pt idx="31">
                  <c:v>41705.734722222296</c:v>
                </c:pt>
                <c:pt idx="32">
                  <c:v>41705.735416666743</c:v>
                </c:pt>
                <c:pt idx="33">
                  <c:v>41705.73611111119</c:v>
                </c:pt>
                <c:pt idx="34">
                  <c:v>41705.736805555636</c:v>
                </c:pt>
                <c:pt idx="35">
                  <c:v>41705.737500000083</c:v>
                </c:pt>
                <c:pt idx="36">
                  <c:v>41705.73819444453</c:v>
                </c:pt>
                <c:pt idx="37">
                  <c:v>41705.738888888976</c:v>
                </c:pt>
                <c:pt idx="38">
                  <c:v>41705.739583333423</c:v>
                </c:pt>
                <c:pt idx="39">
                  <c:v>41705.74027777787</c:v>
                </c:pt>
                <c:pt idx="40">
                  <c:v>41705.740972222316</c:v>
                </c:pt>
                <c:pt idx="41">
                  <c:v>41705.741666666763</c:v>
                </c:pt>
                <c:pt idx="42">
                  <c:v>41705.74236111121</c:v>
                </c:pt>
                <c:pt idx="43">
                  <c:v>41705.743055555657</c:v>
                </c:pt>
                <c:pt idx="44">
                  <c:v>41705.743750000103</c:v>
                </c:pt>
                <c:pt idx="45">
                  <c:v>41705.74444444455</c:v>
                </c:pt>
                <c:pt idx="46">
                  <c:v>41705.745138888997</c:v>
                </c:pt>
                <c:pt idx="47">
                  <c:v>41705.745833333443</c:v>
                </c:pt>
                <c:pt idx="48">
                  <c:v>41705.74652777789</c:v>
                </c:pt>
                <c:pt idx="49">
                  <c:v>41705.747222222337</c:v>
                </c:pt>
                <c:pt idx="50">
                  <c:v>41705.747916666784</c:v>
                </c:pt>
                <c:pt idx="51">
                  <c:v>41705.74861111123</c:v>
                </c:pt>
                <c:pt idx="52">
                  <c:v>41705.749305555677</c:v>
                </c:pt>
                <c:pt idx="53">
                  <c:v>41705.750000000124</c:v>
                </c:pt>
                <c:pt idx="54">
                  <c:v>41705.75069444457</c:v>
                </c:pt>
                <c:pt idx="55">
                  <c:v>41705.751388889017</c:v>
                </c:pt>
                <c:pt idx="56">
                  <c:v>41705.752083333464</c:v>
                </c:pt>
                <c:pt idx="57">
                  <c:v>41705.752777777911</c:v>
                </c:pt>
                <c:pt idx="58">
                  <c:v>41705.753472222357</c:v>
                </c:pt>
                <c:pt idx="59">
                  <c:v>41705.754166666804</c:v>
                </c:pt>
                <c:pt idx="60">
                  <c:v>41705.754861111251</c:v>
                </c:pt>
                <c:pt idx="61">
                  <c:v>41705.755555555697</c:v>
                </c:pt>
                <c:pt idx="62">
                  <c:v>41705.756250000144</c:v>
                </c:pt>
                <c:pt idx="63">
                  <c:v>41705.756944444591</c:v>
                </c:pt>
                <c:pt idx="64">
                  <c:v>41705.757638889037</c:v>
                </c:pt>
                <c:pt idx="65">
                  <c:v>41705.758333333484</c:v>
                </c:pt>
                <c:pt idx="66">
                  <c:v>41705.759027777931</c:v>
                </c:pt>
                <c:pt idx="67">
                  <c:v>41705.759722222378</c:v>
                </c:pt>
                <c:pt idx="68">
                  <c:v>41705.760416666824</c:v>
                </c:pt>
                <c:pt idx="69">
                  <c:v>41705.761111111271</c:v>
                </c:pt>
                <c:pt idx="70">
                  <c:v>41705.761805555718</c:v>
                </c:pt>
                <c:pt idx="71">
                  <c:v>41705.762500000164</c:v>
                </c:pt>
                <c:pt idx="72">
                  <c:v>41705.763194444611</c:v>
                </c:pt>
                <c:pt idx="73">
                  <c:v>41705.763888889058</c:v>
                </c:pt>
                <c:pt idx="74">
                  <c:v>41705.764583333505</c:v>
                </c:pt>
                <c:pt idx="75">
                  <c:v>41705.765277777951</c:v>
                </c:pt>
                <c:pt idx="76">
                  <c:v>41705.765972222398</c:v>
                </c:pt>
                <c:pt idx="77">
                  <c:v>41705.766666666845</c:v>
                </c:pt>
                <c:pt idx="78">
                  <c:v>41705.767361111291</c:v>
                </c:pt>
                <c:pt idx="79">
                  <c:v>41705.768055555738</c:v>
                </c:pt>
                <c:pt idx="80">
                  <c:v>41705.768750000185</c:v>
                </c:pt>
                <c:pt idx="81">
                  <c:v>41705.769444444632</c:v>
                </c:pt>
                <c:pt idx="82">
                  <c:v>41705.770138889078</c:v>
                </c:pt>
                <c:pt idx="83">
                  <c:v>41705.770833333525</c:v>
                </c:pt>
                <c:pt idx="84">
                  <c:v>41705.771527777972</c:v>
                </c:pt>
                <c:pt idx="85">
                  <c:v>41705.772222222418</c:v>
                </c:pt>
                <c:pt idx="86">
                  <c:v>41705.772916666865</c:v>
                </c:pt>
                <c:pt idx="87">
                  <c:v>41705.773611111312</c:v>
                </c:pt>
                <c:pt idx="88">
                  <c:v>41705.774305555758</c:v>
                </c:pt>
                <c:pt idx="89">
                  <c:v>41705.775000000205</c:v>
                </c:pt>
                <c:pt idx="90">
                  <c:v>41705.775694444652</c:v>
                </c:pt>
                <c:pt idx="91">
                  <c:v>41705.776388889099</c:v>
                </c:pt>
                <c:pt idx="92">
                  <c:v>41705.777083333545</c:v>
                </c:pt>
                <c:pt idx="93">
                  <c:v>41705.777777777992</c:v>
                </c:pt>
                <c:pt idx="94">
                  <c:v>41705.778472222439</c:v>
                </c:pt>
                <c:pt idx="95">
                  <c:v>41705.779166666885</c:v>
                </c:pt>
                <c:pt idx="96">
                  <c:v>41705.779861111332</c:v>
                </c:pt>
                <c:pt idx="97">
                  <c:v>41705.780555555779</c:v>
                </c:pt>
                <c:pt idx="98">
                  <c:v>41705.781250000226</c:v>
                </c:pt>
                <c:pt idx="99">
                  <c:v>41705.781944444672</c:v>
                </c:pt>
                <c:pt idx="100">
                  <c:v>41705.782638889119</c:v>
                </c:pt>
                <c:pt idx="101">
                  <c:v>41705.783333333566</c:v>
                </c:pt>
                <c:pt idx="102">
                  <c:v>41705.784027778012</c:v>
                </c:pt>
                <c:pt idx="103">
                  <c:v>41705.784722222459</c:v>
                </c:pt>
                <c:pt idx="104">
                  <c:v>41705.785416666906</c:v>
                </c:pt>
                <c:pt idx="105">
                  <c:v>41705.786111111353</c:v>
                </c:pt>
                <c:pt idx="106">
                  <c:v>41705.786805555799</c:v>
                </c:pt>
                <c:pt idx="107">
                  <c:v>41705.787500000246</c:v>
                </c:pt>
                <c:pt idx="108">
                  <c:v>41705.788194444693</c:v>
                </c:pt>
                <c:pt idx="109">
                  <c:v>41705.788888889139</c:v>
                </c:pt>
                <c:pt idx="110">
                  <c:v>41705.789583333586</c:v>
                </c:pt>
                <c:pt idx="111">
                  <c:v>41705.790277778033</c:v>
                </c:pt>
                <c:pt idx="112">
                  <c:v>41705.790972222479</c:v>
                </c:pt>
                <c:pt idx="113">
                  <c:v>41705.791666666926</c:v>
                </c:pt>
                <c:pt idx="114">
                  <c:v>41705.792361111373</c:v>
                </c:pt>
                <c:pt idx="115">
                  <c:v>41705.79305555582</c:v>
                </c:pt>
                <c:pt idx="116">
                  <c:v>41705.793750000266</c:v>
                </c:pt>
                <c:pt idx="117">
                  <c:v>41705.794444444713</c:v>
                </c:pt>
                <c:pt idx="118">
                  <c:v>41705.79513888916</c:v>
                </c:pt>
                <c:pt idx="119">
                  <c:v>41705.795833333606</c:v>
                </c:pt>
                <c:pt idx="120">
                  <c:v>41705.796527778053</c:v>
                </c:pt>
                <c:pt idx="121">
                  <c:v>41705.7972222225</c:v>
                </c:pt>
                <c:pt idx="122">
                  <c:v>41705.797916666947</c:v>
                </c:pt>
                <c:pt idx="123">
                  <c:v>41705.798611111393</c:v>
                </c:pt>
                <c:pt idx="124">
                  <c:v>41705.79930555584</c:v>
                </c:pt>
                <c:pt idx="125">
                  <c:v>41705.800000000287</c:v>
                </c:pt>
                <c:pt idx="126">
                  <c:v>41705.800694444733</c:v>
                </c:pt>
                <c:pt idx="127">
                  <c:v>41705.80138888918</c:v>
                </c:pt>
                <c:pt idx="128">
                  <c:v>41705.802083333627</c:v>
                </c:pt>
                <c:pt idx="129">
                  <c:v>41705.802777778074</c:v>
                </c:pt>
                <c:pt idx="130">
                  <c:v>41705.80347222252</c:v>
                </c:pt>
                <c:pt idx="131">
                  <c:v>41705.804166666967</c:v>
                </c:pt>
                <c:pt idx="132">
                  <c:v>41705.804861111414</c:v>
                </c:pt>
                <c:pt idx="133">
                  <c:v>41705.80555555586</c:v>
                </c:pt>
                <c:pt idx="134">
                  <c:v>41705.806250000307</c:v>
                </c:pt>
                <c:pt idx="135">
                  <c:v>41705.806944444754</c:v>
                </c:pt>
                <c:pt idx="136">
                  <c:v>41705.8076388892</c:v>
                </c:pt>
                <c:pt idx="137">
                  <c:v>41705.808333333647</c:v>
                </c:pt>
                <c:pt idx="138">
                  <c:v>41705.809027778094</c:v>
                </c:pt>
                <c:pt idx="139">
                  <c:v>41705.809722222541</c:v>
                </c:pt>
                <c:pt idx="140">
                  <c:v>41705.810416666987</c:v>
                </c:pt>
                <c:pt idx="141">
                  <c:v>41705.811111111434</c:v>
                </c:pt>
                <c:pt idx="142">
                  <c:v>41705.811805555881</c:v>
                </c:pt>
                <c:pt idx="143">
                  <c:v>41705.812500000327</c:v>
                </c:pt>
                <c:pt idx="144">
                  <c:v>41705.813194444774</c:v>
                </c:pt>
                <c:pt idx="145">
                  <c:v>41705.813888889221</c:v>
                </c:pt>
                <c:pt idx="146">
                  <c:v>41705.814583333668</c:v>
                </c:pt>
                <c:pt idx="147">
                  <c:v>41705.815277778114</c:v>
                </c:pt>
                <c:pt idx="148">
                  <c:v>41705.815972222561</c:v>
                </c:pt>
                <c:pt idx="149">
                  <c:v>41705.816666667008</c:v>
                </c:pt>
                <c:pt idx="150">
                  <c:v>41705.817361111454</c:v>
                </c:pt>
                <c:pt idx="151">
                  <c:v>41705.818055555901</c:v>
                </c:pt>
                <c:pt idx="152">
                  <c:v>41705.818750000348</c:v>
                </c:pt>
                <c:pt idx="153">
                  <c:v>41705.819444444794</c:v>
                </c:pt>
                <c:pt idx="154">
                  <c:v>41705.820138889241</c:v>
                </c:pt>
                <c:pt idx="155">
                  <c:v>41705.820833333688</c:v>
                </c:pt>
                <c:pt idx="156">
                  <c:v>41705.821527778135</c:v>
                </c:pt>
                <c:pt idx="157">
                  <c:v>41705.822222222581</c:v>
                </c:pt>
                <c:pt idx="158">
                  <c:v>41705.822916667028</c:v>
                </c:pt>
                <c:pt idx="159">
                  <c:v>41705.823611111475</c:v>
                </c:pt>
                <c:pt idx="160">
                  <c:v>41705.824305555921</c:v>
                </c:pt>
                <c:pt idx="161">
                  <c:v>41705.825000000368</c:v>
                </c:pt>
                <c:pt idx="162">
                  <c:v>41705.825694444815</c:v>
                </c:pt>
                <c:pt idx="163">
                  <c:v>41705.826388889262</c:v>
                </c:pt>
                <c:pt idx="164">
                  <c:v>41705.827083333708</c:v>
                </c:pt>
                <c:pt idx="165">
                  <c:v>41705.827777778155</c:v>
                </c:pt>
                <c:pt idx="166">
                  <c:v>41705.828472222602</c:v>
                </c:pt>
                <c:pt idx="167">
                  <c:v>41705.829166667048</c:v>
                </c:pt>
                <c:pt idx="168">
                  <c:v>41705.829861111495</c:v>
                </c:pt>
                <c:pt idx="169">
                  <c:v>41705.830555555942</c:v>
                </c:pt>
                <c:pt idx="170">
                  <c:v>41705.831250000389</c:v>
                </c:pt>
                <c:pt idx="171">
                  <c:v>41705.831944444835</c:v>
                </c:pt>
                <c:pt idx="172">
                  <c:v>41705.832638889282</c:v>
                </c:pt>
                <c:pt idx="173">
                  <c:v>41705.833333333729</c:v>
                </c:pt>
                <c:pt idx="174">
                  <c:v>41705.834027778175</c:v>
                </c:pt>
                <c:pt idx="175">
                  <c:v>41705.834722222622</c:v>
                </c:pt>
                <c:pt idx="176">
                  <c:v>41705.835416667069</c:v>
                </c:pt>
                <c:pt idx="177">
                  <c:v>41705.836111111515</c:v>
                </c:pt>
                <c:pt idx="178">
                  <c:v>41705.836805555962</c:v>
                </c:pt>
                <c:pt idx="179">
                  <c:v>41705.837500000409</c:v>
                </c:pt>
                <c:pt idx="180">
                  <c:v>41705.838194444856</c:v>
                </c:pt>
                <c:pt idx="181">
                  <c:v>41705.838888889302</c:v>
                </c:pt>
                <c:pt idx="182">
                  <c:v>41705.839583333749</c:v>
                </c:pt>
                <c:pt idx="183">
                  <c:v>41705.840277778196</c:v>
                </c:pt>
                <c:pt idx="184">
                  <c:v>41705.840972222642</c:v>
                </c:pt>
                <c:pt idx="185">
                  <c:v>41705.841666667089</c:v>
                </c:pt>
                <c:pt idx="186">
                  <c:v>41705.842361111536</c:v>
                </c:pt>
                <c:pt idx="187">
                  <c:v>41705.843055555983</c:v>
                </c:pt>
                <c:pt idx="188">
                  <c:v>41705.843750000429</c:v>
                </c:pt>
                <c:pt idx="189">
                  <c:v>41705.844444444876</c:v>
                </c:pt>
                <c:pt idx="190">
                  <c:v>41705.845138889323</c:v>
                </c:pt>
                <c:pt idx="191">
                  <c:v>41705.845833333769</c:v>
                </c:pt>
                <c:pt idx="192">
                  <c:v>41705.846527778216</c:v>
                </c:pt>
                <c:pt idx="193">
                  <c:v>41705.847222222663</c:v>
                </c:pt>
                <c:pt idx="194">
                  <c:v>41705.84791666711</c:v>
                </c:pt>
                <c:pt idx="195">
                  <c:v>41705.848611111556</c:v>
                </c:pt>
                <c:pt idx="196">
                  <c:v>41705.849305556003</c:v>
                </c:pt>
                <c:pt idx="197">
                  <c:v>41705.85000000045</c:v>
                </c:pt>
                <c:pt idx="198">
                  <c:v>41705.850694444896</c:v>
                </c:pt>
                <c:pt idx="199">
                  <c:v>41705.851388889343</c:v>
                </c:pt>
                <c:pt idx="200">
                  <c:v>41705.85208333379</c:v>
                </c:pt>
                <c:pt idx="201">
                  <c:v>41705.852777778236</c:v>
                </c:pt>
                <c:pt idx="202">
                  <c:v>41705.853472222683</c:v>
                </c:pt>
                <c:pt idx="203">
                  <c:v>41705.85416666713</c:v>
                </c:pt>
                <c:pt idx="204">
                  <c:v>41705.854861111577</c:v>
                </c:pt>
                <c:pt idx="205">
                  <c:v>41705.855555556023</c:v>
                </c:pt>
                <c:pt idx="206">
                  <c:v>41705.85625000047</c:v>
                </c:pt>
                <c:pt idx="207">
                  <c:v>41705.856944444917</c:v>
                </c:pt>
                <c:pt idx="208">
                  <c:v>41705.857638889363</c:v>
                </c:pt>
                <c:pt idx="209">
                  <c:v>41705.85833333381</c:v>
                </c:pt>
                <c:pt idx="210">
                  <c:v>41705.859027778257</c:v>
                </c:pt>
                <c:pt idx="211">
                  <c:v>41705.859722222704</c:v>
                </c:pt>
                <c:pt idx="212">
                  <c:v>41705.86041666715</c:v>
                </c:pt>
                <c:pt idx="213">
                  <c:v>41705.861111111597</c:v>
                </c:pt>
                <c:pt idx="214">
                  <c:v>41705.861805556044</c:v>
                </c:pt>
                <c:pt idx="215">
                  <c:v>41705.86250000049</c:v>
                </c:pt>
                <c:pt idx="216">
                  <c:v>41705.863194444937</c:v>
                </c:pt>
                <c:pt idx="217">
                  <c:v>41705.863888889384</c:v>
                </c:pt>
                <c:pt idx="218">
                  <c:v>41705.864583333831</c:v>
                </c:pt>
                <c:pt idx="219">
                  <c:v>41705.865277778277</c:v>
                </c:pt>
                <c:pt idx="220">
                  <c:v>41705.865972222724</c:v>
                </c:pt>
                <c:pt idx="221">
                  <c:v>41705.866666667171</c:v>
                </c:pt>
                <c:pt idx="222">
                  <c:v>41705.867361111617</c:v>
                </c:pt>
                <c:pt idx="223">
                  <c:v>41705.868055556064</c:v>
                </c:pt>
                <c:pt idx="224">
                  <c:v>41705.868750000511</c:v>
                </c:pt>
                <c:pt idx="225">
                  <c:v>41705.869444444957</c:v>
                </c:pt>
                <c:pt idx="226">
                  <c:v>41705.870138889404</c:v>
                </c:pt>
                <c:pt idx="227">
                  <c:v>41705.870833333851</c:v>
                </c:pt>
                <c:pt idx="228">
                  <c:v>41705.871527778298</c:v>
                </c:pt>
                <c:pt idx="229">
                  <c:v>41705.872222222744</c:v>
                </c:pt>
                <c:pt idx="230">
                  <c:v>41705.872916667191</c:v>
                </c:pt>
                <c:pt idx="231">
                  <c:v>41705.873611111638</c:v>
                </c:pt>
                <c:pt idx="232">
                  <c:v>41705.874305556084</c:v>
                </c:pt>
                <c:pt idx="233">
                  <c:v>41705.875000000531</c:v>
                </c:pt>
                <c:pt idx="234">
                  <c:v>41705.875694444978</c:v>
                </c:pt>
                <c:pt idx="235">
                  <c:v>41705.876388889425</c:v>
                </c:pt>
                <c:pt idx="236">
                  <c:v>41705.877083333871</c:v>
                </c:pt>
                <c:pt idx="237">
                  <c:v>41705.877777778318</c:v>
                </c:pt>
                <c:pt idx="238">
                  <c:v>41705.878472222765</c:v>
                </c:pt>
                <c:pt idx="239">
                  <c:v>41705.879166667211</c:v>
                </c:pt>
                <c:pt idx="240">
                  <c:v>41705.879861111658</c:v>
                </c:pt>
                <c:pt idx="241">
                  <c:v>41705.880555556105</c:v>
                </c:pt>
                <c:pt idx="242">
                  <c:v>41705.881250000552</c:v>
                </c:pt>
                <c:pt idx="243">
                  <c:v>41705.881944444998</c:v>
                </c:pt>
                <c:pt idx="244">
                  <c:v>41705.882638889445</c:v>
                </c:pt>
                <c:pt idx="245">
                  <c:v>41705.883333333892</c:v>
                </c:pt>
                <c:pt idx="246">
                  <c:v>41705.884027778338</c:v>
                </c:pt>
                <c:pt idx="247">
                  <c:v>41705.884722222785</c:v>
                </c:pt>
                <c:pt idx="248">
                  <c:v>41705.885416667232</c:v>
                </c:pt>
                <c:pt idx="249">
                  <c:v>41705.886111111678</c:v>
                </c:pt>
                <c:pt idx="250">
                  <c:v>41705.886805556125</c:v>
                </c:pt>
                <c:pt idx="251">
                  <c:v>41705.887500000572</c:v>
                </c:pt>
                <c:pt idx="252">
                  <c:v>41705.888194445019</c:v>
                </c:pt>
                <c:pt idx="253">
                  <c:v>41705.888888889465</c:v>
                </c:pt>
                <c:pt idx="254">
                  <c:v>41705.889583333912</c:v>
                </c:pt>
                <c:pt idx="255">
                  <c:v>41705.890277778359</c:v>
                </c:pt>
                <c:pt idx="256">
                  <c:v>41705.890972222805</c:v>
                </c:pt>
                <c:pt idx="257">
                  <c:v>41705.891666667252</c:v>
                </c:pt>
                <c:pt idx="258">
                  <c:v>41705.892361111699</c:v>
                </c:pt>
                <c:pt idx="259">
                  <c:v>41705.893055556146</c:v>
                </c:pt>
                <c:pt idx="260">
                  <c:v>41705.893750000592</c:v>
                </c:pt>
                <c:pt idx="261">
                  <c:v>41705.894444445039</c:v>
                </c:pt>
                <c:pt idx="262">
                  <c:v>41705.895138889486</c:v>
                </c:pt>
                <c:pt idx="263">
                  <c:v>41705.895833333932</c:v>
                </c:pt>
                <c:pt idx="264">
                  <c:v>41705.896527778379</c:v>
                </c:pt>
                <c:pt idx="265">
                  <c:v>41705.897222222826</c:v>
                </c:pt>
                <c:pt idx="266">
                  <c:v>41705.897916667273</c:v>
                </c:pt>
                <c:pt idx="267">
                  <c:v>41705.898611111719</c:v>
                </c:pt>
                <c:pt idx="268">
                  <c:v>41705.899305556166</c:v>
                </c:pt>
                <c:pt idx="269">
                  <c:v>41705.900000000613</c:v>
                </c:pt>
                <c:pt idx="270">
                  <c:v>41705.900694445059</c:v>
                </c:pt>
                <c:pt idx="271">
                  <c:v>41705.901388889506</c:v>
                </c:pt>
                <c:pt idx="272">
                  <c:v>41705.902083333953</c:v>
                </c:pt>
                <c:pt idx="273">
                  <c:v>41705.902777778399</c:v>
                </c:pt>
                <c:pt idx="274">
                  <c:v>41705.903472222846</c:v>
                </c:pt>
                <c:pt idx="275">
                  <c:v>41705.904166667293</c:v>
                </c:pt>
                <c:pt idx="276">
                  <c:v>41705.90486111174</c:v>
                </c:pt>
                <c:pt idx="277">
                  <c:v>41705.905555556186</c:v>
                </c:pt>
                <c:pt idx="278">
                  <c:v>41705.906250000633</c:v>
                </c:pt>
                <c:pt idx="279">
                  <c:v>41705.90694444508</c:v>
                </c:pt>
                <c:pt idx="280">
                  <c:v>41705.907638889526</c:v>
                </c:pt>
                <c:pt idx="281">
                  <c:v>41705.908333333973</c:v>
                </c:pt>
                <c:pt idx="282">
                  <c:v>41705.90902777842</c:v>
                </c:pt>
                <c:pt idx="283">
                  <c:v>41705.909722222867</c:v>
                </c:pt>
                <c:pt idx="284">
                  <c:v>41705.910416667313</c:v>
                </c:pt>
                <c:pt idx="285">
                  <c:v>41705.91111111176</c:v>
                </c:pt>
                <c:pt idx="286">
                  <c:v>41705.911805556207</c:v>
                </c:pt>
                <c:pt idx="287">
                  <c:v>41705.912500000653</c:v>
                </c:pt>
                <c:pt idx="288">
                  <c:v>41705.9131944451</c:v>
                </c:pt>
                <c:pt idx="289">
                  <c:v>41705.913888889547</c:v>
                </c:pt>
                <c:pt idx="290">
                  <c:v>41705.914583333994</c:v>
                </c:pt>
                <c:pt idx="291">
                  <c:v>41705.91527777844</c:v>
                </c:pt>
                <c:pt idx="292">
                  <c:v>41705.915972222887</c:v>
                </c:pt>
                <c:pt idx="293">
                  <c:v>41705.916666667334</c:v>
                </c:pt>
                <c:pt idx="294">
                  <c:v>41705.91736111178</c:v>
                </c:pt>
                <c:pt idx="295">
                  <c:v>41705.918055556227</c:v>
                </c:pt>
                <c:pt idx="296">
                  <c:v>41705.918750000674</c:v>
                </c:pt>
                <c:pt idx="297">
                  <c:v>41705.91944444512</c:v>
                </c:pt>
                <c:pt idx="298">
                  <c:v>41705.920138889567</c:v>
                </c:pt>
                <c:pt idx="299">
                  <c:v>41705.920833334014</c:v>
                </c:pt>
                <c:pt idx="300">
                  <c:v>41705.921527778461</c:v>
                </c:pt>
                <c:pt idx="301">
                  <c:v>41705.922222222907</c:v>
                </c:pt>
                <c:pt idx="302">
                  <c:v>41705.922916667354</c:v>
                </c:pt>
                <c:pt idx="303">
                  <c:v>41705.923611111801</c:v>
                </c:pt>
                <c:pt idx="304">
                  <c:v>41705.924305556247</c:v>
                </c:pt>
                <c:pt idx="305">
                  <c:v>41705.925000000694</c:v>
                </c:pt>
                <c:pt idx="306">
                  <c:v>41705.925694445141</c:v>
                </c:pt>
                <c:pt idx="307">
                  <c:v>41705.926388889588</c:v>
                </c:pt>
                <c:pt idx="308">
                  <c:v>41705.927083334034</c:v>
                </c:pt>
                <c:pt idx="309">
                  <c:v>41705.927777778481</c:v>
                </c:pt>
                <c:pt idx="310">
                  <c:v>41705.928472222928</c:v>
                </c:pt>
                <c:pt idx="311">
                  <c:v>41705.929166667374</c:v>
                </c:pt>
                <c:pt idx="312">
                  <c:v>41705.929861111821</c:v>
                </c:pt>
                <c:pt idx="313">
                  <c:v>41705.930555556268</c:v>
                </c:pt>
                <c:pt idx="314">
                  <c:v>41705.931250000714</c:v>
                </c:pt>
                <c:pt idx="315">
                  <c:v>41705.931944445161</c:v>
                </c:pt>
                <c:pt idx="316">
                  <c:v>41705.932638889608</c:v>
                </c:pt>
                <c:pt idx="317">
                  <c:v>41705.933333334055</c:v>
                </c:pt>
                <c:pt idx="318">
                  <c:v>41705.934027778501</c:v>
                </c:pt>
                <c:pt idx="319">
                  <c:v>41705.934722222948</c:v>
                </c:pt>
                <c:pt idx="320">
                  <c:v>41705.935416667395</c:v>
                </c:pt>
                <c:pt idx="321">
                  <c:v>41705.936111111841</c:v>
                </c:pt>
                <c:pt idx="322">
                  <c:v>41705.936805556288</c:v>
                </c:pt>
                <c:pt idx="323">
                  <c:v>41705.937500000735</c:v>
                </c:pt>
                <c:pt idx="324">
                  <c:v>41705.938194445182</c:v>
                </c:pt>
                <c:pt idx="325">
                  <c:v>41705.938888889628</c:v>
                </c:pt>
                <c:pt idx="326">
                  <c:v>41705.939583334075</c:v>
                </c:pt>
                <c:pt idx="327">
                  <c:v>41705.940277778522</c:v>
                </c:pt>
                <c:pt idx="328">
                  <c:v>41705.940972222968</c:v>
                </c:pt>
                <c:pt idx="329">
                  <c:v>41705.941666667415</c:v>
                </c:pt>
                <c:pt idx="330">
                  <c:v>41705.942361111862</c:v>
                </c:pt>
                <c:pt idx="331">
                  <c:v>41705.943055556309</c:v>
                </c:pt>
                <c:pt idx="332">
                  <c:v>41705.943750000755</c:v>
                </c:pt>
                <c:pt idx="333">
                  <c:v>41705.944444445202</c:v>
                </c:pt>
                <c:pt idx="334">
                  <c:v>41705.945138889649</c:v>
                </c:pt>
                <c:pt idx="335">
                  <c:v>41705.945833334095</c:v>
                </c:pt>
                <c:pt idx="336">
                  <c:v>41705.946527778542</c:v>
                </c:pt>
                <c:pt idx="337">
                  <c:v>41705.947222222989</c:v>
                </c:pt>
                <c:pt idx="338">
                  <c:v>41705.947916667435</c:v>
                </c:pt>
                <c:pt idx="339">
                  <c:v>41705.948611111882</c:v>
                </c:pt>
                <c:pt idx="340">
                  <c:v>41705.949305556329</c:v>
                </c:pt>
                <c:pt idx="341">
                  <c:v>41705.950000000776</c:v>
                </c:pt>
                <c:pt idx="342">
                  <c:v>41705.950694445222</c:v>
                </c:pt>
                <c:pt idx="343">
                  <c:v>41705.951388889669</c:v>
                </c:pt>
                <c:pt idx="344">
                  <c:v>41705.952083334116</c:v>
                </c:pt>
                <c:pt idx="345">
                  <c:v>41705.952777778562</c:v>
                </c:pt>
                <c:pt idx="346">
                  <c:v>41705.953472223009</c:v>
                </c:pt>
                <c:pt idx="347">
                  <c:v>41705.954166667456</c:v>
                </c:pt>
                <c:pt idx="348">
                  <c:v>41705.954861111903</c:v>
                </c:pt>
                <c:pt idx="349">
                  <c:v>41705.955555556349</c:v>
                </c:pt>
                <c:pt idx="350">
                  <c:v>41705.956250000796</c:v>
                </c:pt>
                <c:pt idx="351">
                  <c:v>41705.956944445243</c:v>
                </c:pt>
                <c:pt idx="352">
                  <c:v>41705.957638889689</c:v>
                </c:pt>
                <c:pt idx="353">
                  <c:v>41705.958333334136</c:v>
                </c:pt>
                <c:pt idx="354">
                  <c:v>41705.959027778583</c:v>
                </c:pt>
                <c:pt idx="355">
                  <c:v>41705.95972222303</c:v>
                </c:pt>
                <c:pt idx="356">
                  <c:v>41705.960416667476</c:v>
                </c:pt>
                <c:pt idx="357">
                  <c:v>41705.961111111923</c:v>
                </c:pt>
                <c:pt idx="358">
                  <c:v>41705.96180555637</c:v>
                </c:pt>
                <c:pt idx="359">
                  <c:v>41705.962500000816</c:v>
                </c:pt>
                <c:pt idx="360">
                  <c:v>41705.963194445263</c:v>
                </c:pt>
                <c:pt idx="361">
                  <c:v>41705.96388888971</c:v>
                </c:pt>
                <c:pt idx="362">
                  <c:v>41705.964583334156</c:v>
                </c:pt>
                <c:pt idx="363">
                  <c:v>41705.965277778603</c:v>
                </c:pt>
                <c:pt idx="364">
                  <c:v>41705.96597222305</c:v>
                </c:pt>
                <c:pt idx="365">
                  <c:v>41705.966666667497</c:v>
                </c:pt>
                <c:pt idx="366">
                  <c:v>41705.967361111943</c:v>
                </c:pt>
                <c:pt idx="367">
                  <c:v>41705.96805555639</c:v>
                </c:pt>
                <c:pt idx="368">
                  <c:v>41705.968750000837</c:v>
                </c:pt>
                <c:pt idx="369">
                  <c:v>41705.969444445283</c:v>
                </c:pt>
                <c:pt idx="370">
                  <c:v>41705.97013888973</c:v>
                </c:pt>
                <c:pt idx="371">
                  <c:v>41705.970833334177</c:v>
                </c:pt>
                <c:pt idx="372">
                  <c:v>41705.971527778624</c:v>
                </c:pt>
                <c:pt idx="373">
                  <c:v>41705.97222222307</c:v>
                </c:pt>
                <c:pt idx="374">
                  <c:v>41705.972916667517</c:v>
                </c:pt>
                <c:pt idx="375">
                  <c:v>41705.973611111964</c:v>
                </c:pt>
                <c:pt idx="376">
                  <c:v>41705.97430555641</c:v>
                </c:pt>
                <c:pt idx="377">
                  <c:v>41705.975000000857</c:v>
                </c:pt>
                <c:pt idx="378">
                  <c:v>41705.975694445304</c:v>
                </c:pt>
                <c:pt idx="379">
                  <c:v>41705.976388889751</c:v>
                </c:pt>
                <c:pt idx="380">
                  <c:v>41705.977083334197</c:v>
                </c:pt>
                <c:pt idx="381">
                  <c:v>41705.977777778644</c:v>
                </c:pt>
                <c:pt idx="382">
                  <c:v>41705.978472223091</c:v>
                </c:pt>
                <c:pt idx="383">
                  <c:v>41705.979166667537</c:v>
                </c:pt>
                <c:pt idx="384">
                  <c:v>41705.979861111984</c:v>
                </c:pt>
                <c:pt idx="385">
                  <c:v>41705.980555556431</c:v>
                </c:pt>
                <c:pt idx="386">
                  <c:v>41705.981250000877</c:v>
                </c:pt>
                <c:pt idx="387">
                  <c:v>41705.981944445324</c:v>
                </c:pt>
                <c:pt idx="388">
                  <c:v>41705.982638889771</c:v>
                </c:pt>
                <c:pt idx="389">
                  <c:v>41705.983333334218</c:v>
                </c:pt>
                <c:pt idx="390">
                  <c:v>41705.984027778664</c:v>
                </c:pt>
                <c:pt idx="391">
                  <c:v>41705.984722223111</c:v>
                </c:pt>
                <c:pt idx="392">
                  <c:v>41705.985416667558</c:v>
                </c:pt>
                <c:pt idx="393">
                  <c:v>41705.986111112004</c:v>
                </c:pt>
                <c:pt idx="394">
                  <c:v>41705.986805556451</c:v>
                </c:pt>
                <c:pt idx="395">
                  <c:v>41705.987500000898</c:v>
                </c:pt>
                <c:pt idx="396">
                  <c:v>41705.988194445345</c:v>
                </c:pt>
                <c:pt idx="397">
                  <c:v>41705.988888889791</c:v>
                </c:pt>
                <c:pt idx="398">
                  <c:v>41705.989583334238</c:v>
                </c:pt>
                <c:pt idx="399">
                  <c:v>41705.990277778685</c:v>
                </c:pt>
                <c:pt idx="400">
                  <c:v>41705.990972223131</c:v>
                </c:pt>
                <c:pt idx="401">
                  <c:v>41705.991666667578</c:v>
                </c:pt>
                <c:pt idx="402">
                  <c:v>41705.992361112025</c:v>
                </c:pt>
                <c:pt idx="403">
                  <c:v>41705.993055556472</c:v>
                </c:pt>
                <c:pt idx="404">
                  <c:v>41705.993750000918</c:v>
                </c:pt>
                <c:pt idx="405">
                  <c:v>41705.994444445365</c:v>
                </c:pt>
                <c:pt idx="406">
                  <c:v>41705.995138889812</c:v>
                </c:pt>
                <c:pt idx="407">
                  <c:v>41705.995833334258</c:v>
                </c:pt>
                <c:pt idx="408">
                  <c:v>41705.996527778705</c:v>
                </c:pt>
                <c:pt idx="409">
                  <c:v>41705.997222223152</c:v>
                </c:pt>
                <c:pt idx="410">
                  <c:v>41705.997916667598</c:v>
                </c:pt>
                <c:pt idx="411">
                  <c:v>41705.998611112045</c:v>
                </c:pt>
                <c:pt idx="412">
                  <c:v>41705.999305556492</c:v>
                </c:pt>
                <c:pt idx="413">
                  <c:v>41706.000000000939</c:v>
                </c:pt>
                <c:pt idx="414">
                  <c:v>41706.000694445385</c:v>
                </c:pt>
                <c:pt idx="415">
                  <c:v>41706.001388889832</c:v>
                </c:pt>
                <c:pt idx="416">
                  <c:v>41706.002083334279</c:v>
                </c:pt>
                <c:pt idx="417">
                  <c:v>41706.002777778725</c:v>
                </c:pt>
                <c:pt idx="418">
                  <c:v>41706.003472223172</c:v>
                </c:pt>
                <c:pt idx="419">
                  <c:v>41706.004166667619</c:v>
                </c:pt>
                <c:pt idx="420">
                  <c:v>41706.004861112066</c:v>
                </c:pt>
                <c:pt idx="421">
                  <c:v>41706.005555556512</c:v>
                </c:pt>
                <c:pt idx="422">
                  <c:v>41706.006250000959</c:v>
                </c:pt>
                <c:pt idx="423">
                  <c:v>41706.006944445406</c:v>
                </c:pt>
                <c:pt idx="424">
                  <c:v>41706.007638889852</c:v>
                </c:pt>
                <c:pt idx="425">
                  <c:v>41706.008333334299</c:v>
                </c:pt>
                <c:pt idx="426">
                  <c:v>41706.009027778746</c:v>
                </c:pt>
                <c:pt idx="427">
                  <c:v>41706.009722223193</c:v>
                </c:pt>
                <c:pt idx="428">
                  <c:v>41706.010416667639</c:v>
                </c:pt>
                <c:pt idx="429">
                  <c:v>41706.011111112086</c:v>
                </c:pt>
                <c:pt idx="430">
                  <c:v>41706.011805556533</c:v>
                </c:pt>
                <c:pt idx="431">
                  <c:v>41706.012500000979</c:v>
                </c:pt>
                <c:pt idx="432">
                  <c:v>41706.013194445426</c:v>
                </c:pt>
                <c:pt idx="433">
                  <c:v>41706.013888889873</c:v>
                </c:pt>
                <c:pt idx="434">
                  <c:v>41706.014583334319</c:v>
                </c:pt>
                <c:pt idx="435">
                  <c:v>41706.015277778766</c:v>
                </c:pt>
                <c:pt idx="436">
                  <c:v>41706.015972223213</c:v>
                </c:pt>
                <c:pt idx="437">
                  <c:v>41706.01666666766</c:v>
                </c:pt>
                <c:pt idx="438">
                  <c:v>41706.017361112106</c:v>
                </c:pt>
                <c:pt idx="439">
                  <c:v>41706.018055556553</c:v>
                </c:pt>
                <c:pt idx="440">
                  <c:v>41706.018750001</c:v>
                </c:pt>
                <c:pt idx="441">
                  <c:v>41706.019444445446</c:v>
                </c:pt>
                <c:pt idx="442">
                  <c:v>41706.020138889893</c:v>
                </c:pt>
                <c:pt idx="443">
                  <c:v>41706.02083333434</c:v>
                </c:pt>
                <c:pt idx="444">
                  <c:v>41706.021527778787</c:v>
                </c:pt>
                <c:pt idx="445">
                  <c:v>41706.022222223233</c:v>
                </c:pt>
                <c:pt idx="446">
                  <c:v>41706.02291666768</c:v>
                </c:pt>
                <c:pt idx="447">
                  <c:v>41706.023611112127</c:v>
                </c:pt>
                <c:pt idx="448">
                  <c:v>41706.024305556573</c:v>
                </c:pt>
                <c:pt idx="449">
                  <c:v>41706.02500000102</c:v>
                </c:pt>
                <c:pt idx="450">
                  <c:v>41706.025694445467</c:v>
                </c:pt>
                <c:pt idx="451">
                  <c:v>41706.026388889914</c:v>
                </c:pt>
                <c:pt idx="452">
                  <c:v>41706.02708333436</c:v>
                </c:pt>
                <c:pt idx="453">
                  <c:v>41706.027777778807</c:v>
                </c:pt>
                <c:pt idx="454">
                  <c:v>41706.028472223254</c:v>
                </c:pt>
                <c:pt idx="455">
                  <c:v>41706.0291666677</c:v>
                </c:pt>
                <c:pt idx="456">
                  <c:v>41706.029861112147</c:v>
                </c:pt>
                <c:pt idx="457">
                  <c:v>41706.030555556594</c:v>
                </c:pt>
                <c:pt idx="458">
                  <c:v>41706.03125000104</c:v>
                </c:pt>
                <c:pt idx="459">
                  <c:v>41706.031944445487</c:v>
                </c:pt>
                <c:pt idx="460">
                  <c:v>41706.032638889934</c:v>
                </c:pt>
                <c:pt idx="461">
                  <c:v>41706.033333334381</c:v>
                </c:pt>
                <c:pt idx="462">
                  <c:v>41706.034027778827</c:v>
                </c:pt>
                <c:pt idx="463">
                  <c:v>41706.034722223274</c:v>
                </c:pt>
                <c:pt idx="464">
                  <c:v>41706.035416667721</c:v>
                </c:pt>
                <c:pt idx="465">
                  <c:v>41706.036111112167</c:v>
                </c:pt>
                <c:pt idx="466">
                  <c:v>41706.036805556614</c:v>
                </c:pt>
                <c:pt idx="467">
                  <c:v>41706.037500001061</c:v>
                </c:pt>
                <c:pt idx="468">
                  <c:v>41706.038194445508</c:v>
                </c:pt>
                <c:pt idx="469">
                  <c:v>41706.038888889954</c:v>
                </c:pt>
                <c:pt idx="470">
                  <c:v>41706.039583334401</c:v>
                </c:pt>
                <c:pt idx="471">
                  <c:v>41706.040277778848</c:v>
                </c:pt>
                <c:pt idx="472">
                  <c:v>41706.040972223294</c:v>
                </c:pt>
                <c:pt idx="473">
                  <c:v>41706.041666667741</c:v>
                </c:pt>
                <c:pt idx="474">
                  <c:v>41706.042361112188</c:v>
                </c:pt>
                <c:pt idx="475">
                  <c:v>41706.043055556634</c:v>
                </c:pt>
                <c:pt idx="476">
                  <c:v>41706.043750001081</c:v>
                </c:pt>
                <c:pt idx="477">
                  <c:v>41706.044444445528</c:v>
                </c:pt>
                <c:pt idx="478">
                  <c:v>41706.045138889975</c:v>
                </c:pt>
                <c:pt idx="479">
                  <c:v>41706.045833334421</c:v>
                </c:pt>
                <c:pt idx="480">
                  <c:v>41706.046527778868</c:v>
                </c:pt>
                <c:pt idx="481">
                  <c:v>41706.047222223315</c:v>
                </c:pt>
                <c:pt idx="482">
                  <c:v>41706.047916667761</c:v>
                </c:pt>
                <c:pt idx="483">
                  <c:v>41706.048611112208</c:v>
                </c:pt>
                <c:pt idx="484">
                  <c:v>41706.049305556655</c:v>
                </c:pt>
                <c:pt idx="485">
                  <c:v>41706.050000001102</c:v>
                </c:pt>
                <c:pt idx="486">
                  <c:v>41706.050694445548</c:v>
                </c:pt>
                <c:pt idx="487">
                  <c:v>41706.051388889995</c:v>
                </c:pt>
                <c:pt idx="488">
                  <c:v>41706.052083334442</c:v>
                </c:pt>
                <c:pt idx="489">
                  <c:v>41706.052777778888</c:v>
                </c:pt>
                <c:pt idx="490">
                  <c:v>41706.053472223335</c:v>
                </c:pt>
                <c:pt idx="491">
                  <c:v>41706.054166667782</c:v>
                </c:pt>
                <c:pt idx="492">
                  <c:v>41706.054861112229</c:v>
                </c:pt>
                <c:pt idx="493">
                  <c:v>41706.055555556675</c:v>
                </c:pt>
                <c:pt idx="494">
                  <c:v>41706.056250001122</c:v>
                </c:pt>
                <c:pt idx="495">
                  <c:v>41706.056944445569</c:v>
                </c:pt>
                <c:pt idx="496">
                  <c:v>41706.057638890015</c:v>
                </c:pt>
                <c:pt idx="497">
                  <c:v>41706.058333334462</c:v>
                </c:pt>
                <c:pt idx="498">
                  <c:v>41706.059027778909</c:v>
                </c:pt>
                <c:pt idx="499">
                  <c:v>41706.059722223355</c:v>
                </c:pt>
                <c:pt idx="500">
                  <c:v>41706.060416667802</c:v>
                </c:pt>
                <c:pt idx="501">
                  <c:v>41706.061111112249</c:v>
                </c:pt>
                <c:pt idx="502">
                  <c:v>41706.061805556696</c:v>
                </c:pt>
                <c:pt idx="503">
                  <c:v>41706.062500001142</c:v>
                </c:pt>
                <c:pt idx="504">
                  <c:v>41706.063194445589</c:v>
                </c:pt>
                <c:pt idx="505">
                  <c:v>41706.063888890036</c:v>
                </c:pt>
                <c:pt idx="506">
                  <c:v>41706.064583334482</c:v>
                </c:pt>
                <c:pt idx="507">
                  <c:v>41706.065277778929</c:v>
                </c:pt>
                <c:pt idx="508">
                  <c:v>41706.065972223376</c:v>
                </c:pt>
                <c:pt idx="509">
                  <c:v>41706.066666667823</c:v>
                </c:pt>
                <c:pt idx="510">
                  <c:v>41706.067361112269</c:v>
                </c:pt>
                <c:pt idx="511">
                  <c:v>41706.068055556716</c:v>
                </c:pt>
                <c:pt idx="512">
                  <c:v>41706.068750001163</c:v>
                </c:pt>
                <c:pt idx="513">
                  <c:v>41706.069444445609</c:v>
                </c:pt>
                <c:pt idx="514">
                  <c:v>41706.070138890056</c:v>
                </c:pt>
                <c:pt idx="515">
                  <c:v>41706.070833334503</c:v>
                </c:pt>
                <c:pt idx="516">
                  <c:v>41706.07152777895</c:v>
                </c:pt>
                <c:pt idx="517">
                  <c:v>41706.072222223396</c:v>
                </c:pt>
                <c:pt idx="518">
                  <c:v>41706.072916667843</c:v>
                </c:pt>
                <c:pt idx="519">
                  <c:v>41706.07361111229</c:v>
                </c:pt>
                <c:pt idx="520">
                  <c:v>41706.074305556736</c:v>
                </c:pt>
                <c:pt idx="521">
                  <c:v>41706.075000001183</c:v>
                </c:pt>
                <c:pt idx="522">
                  <c:v>41706.07569444563</c:v>
                </c:pt>
                <c:pt idx="523">
                  <c:v>41706.076388890076</c:v>
                </c:pt>
                <c:pt idx="524">
                  <c:v>41706.077083334523</c:v>
                </c:pt>
                <c:pt idx="525">
                  <c:v>41706.07777777897</c:v>
                </c:pt>
                <c:pt idx="526">
                  <c:v>41706.078472223417</c:v>
                </c:pt>
                <c:pt idx="527">
                  <c:v>41706.079166667863</c:v>
                </c:pt>
                <c:pt idx="528">
                  <c:v>41706.07986111231</c:v>
                </c:pt>
                <c:pt idx="529">
                  <c:v>41706.080555556757</c:v>
                </c:pt>
                <c:pt idx="530">
                  <c:v>41706.081250001203</c:v>
                </c:pt>
                <c:pt idx="531">
                  <c:v>41706.08194444565</c:v>
                </c:pt>
                <c:pt idx="532">
                  <c:v>41706.082638890097</c:v>
                </c:pt>
                <c:pt idx="533">
                  <c:v>41706.083333334544</c:v>
                </c:pt>
                <c:pt idx="534">
                  <c:v>41706.08402777899</c:v>
                </c:pt>
                <c:pt idx="535">
                  <c:v>41706.084722223437</c:v>
                </c:pt>
                <c:pt idx="536">
                  <c:v>41706.085416667884</c:v>
                </c:pt>
                <c:pt idx="537">
                  <c:v>41706.08611111233</c:v>
                </c:pt>
                <c:pt idx="538">
                  <c:v>41706.086805556777</c:v>
                </c:pt>
                <c:pt idx="539">
                  <c:v>41706.087500001224</c:v>
                </c:pt>
                <c:pt idx="540">
                  <c:v>41706.088194445671</c:v>
                </c:pt>
                <c:pt idx="541">
                  <c:v>41706.088888890117</c:v>
                </c:pt>
                <c:pt idx="542">
                  <c:v>41706.089583334564</c:v>
                </c:pt>
                <c:pt idx="543">
                  <c:v>41706.090277779011</c:v>
                </c:pt>
                <c:pt idx="544">
                  <c:v>41706.090972223457</c:v>
                </c:pt>
                <c:pt idx="545">
                  <c:v>41706.091666667904</c:v>
                </c:pt>
                <c:pt idx="546">
                  <c:v>41706.092361112351</c:v>
                </c:pt>
                <c:pt idx="547">
                  <c:v>41706.093055556797</c:v>
                </c:pt>
                <c:pt idx="548">
                  <c:v>41706.093750001244</c:v>
                </c:pt>
                <c:pt idx="549">
                  <c:v>41706.094444445691</c:v>
                </c:pt>
                <c:pt idx="550">
                  <c:v>41706.095138890138</c:v>
                </c:pt>
                <c:pt idx="551">
                  <c:v>41706.095833334584</c:v>
                </c:pt>
                <c:pt idx="552">
                  <c:v>41706.096527779031</c:v>
                </c:pt>
                <c:pt idx="553">
                  <c:v>41706.097222223478</c:v>
                </c:pt>
                <c:pt idx="554">
                  <c:v>41706.097916667924</c:v>
                </c:pt>
                <c:pt idx="555">
                  <c:v>41706.098611112371</c:v>
                </c:pt>
                <c:pt idx="556">
                  <c:v>41706.099305556818</c:v>
                </c:pt>
                <c:pt idx="557">
                  <c:v>41706.100000001265</c:v>
                </c:pt>
                <c:pt idx="558">
                  <c:v>41706.100694445711</c:v>
                </c:pt>
                <c:pt idx="559">
                  <c:v>41706.101388890158</c:v>
                </c:pt>
                <c:pt idx="560">
                  <c:v>41706.102083334605</c:v>
                </c:pt>
                <c:pt idx="561">
                  <c:v>41706.102777779051</c:v>
                </c:pt>
                <c:pt idx="562">
                  <c:v>41706.103472223498</c:v>
                </c:pt>
                <c:pt idx="563">
                  <c:v>41706.104166667945</c:v>
                </c:pt>
                <c:pt idx="564">
                  <c:v>41706.104861112392</c:v>
                </c:pt>
                <c:pt idx="565">
                  <c:v>41706.105555556838</c:v>
                </c:pt>
                <c:pt idx="566">
                  <c:v>41706.106250001285</c:v>
                </c:pt>
                <c:pt idx="567">
                  <c:v>41706.106944445732</c:v>
                </c:pt>
                <c:pt idx="568">
                  <c:v>41706.107638890178</c:v>
                </c:pt>
                <c:pt idx="569">
                  <c:v>41706.108333334625</c:v>
                </c:pt>
                <c:pt idx="570">
                  <c:v>41706.109027779072</c:v>
                </c:pt>
                <c:pt idx="571">
                  <c:v>41706.109722223518</c:v>
                </c:pt>
                <c:pt idx="572">
                  <c:v>41706.110416667965</c:v>
                </c:pt>
                <c:pt idx="573">
                  <c:v>41706.111111112412</c:v>
                </c:pt>
                <c:pt idx="574">
                  <c:v>41706.111805556859</c:v>
                </c:pt>
                <c:pt idx="575">
                  <c:v>41706.112500001305</c:v>
                </c:pt>
                <c:pt idx="576">
                  <c:v>41706.113194445752</c:v>
                </c:pt>
                <c:pt idx="577">
                  <c:v>41706.113888890199</c:v>
                </c:pt>
                <c:pt idx="578">
                  <c:v>41706.114583334645</c:v>
                </c:pt>
                <c:pt idx="579">
                  <c:v>41706.115277779092</c:v>
                </c:pt>
                <c:pt idx="580">
                  <c:v>41706.115972223539</c:v>
                </c:pt>
                <c:pt idx="581">
                  <c:v>41706.116666667986</c:v>
                </c:pt>
                <c:pt idx="582">
                  <c:v>41706.117361112432</c:v>
                </c:pt>
                <c:pt idx="583">
                  <c:v>41706.118055556879</c:v>
                </c:pt>
                <c:pt idx="584">
                  <c:v>41706.118750001326</c:v>
                </c:pt>
                <c:pt idx="585">
                  <c:v>41706.119444445772</c:v>
                </c:pt>
                <c:pt idx="586">
                  <c:v>41706.120138890219</c:v>
                </c:pt>
                <c:pt idx="587">
                  <c:v>41706.120833334666</c:v>
                </c:pt>
                <c:pt idx="588">
                  <c:v>41706.121527779113</c:v>
                </c:pt>
                <c:pt idx="589">
                  <c:v>41706.122222223559</c:v>
                </c:pt>
                <c:pt idx="590">
                  <c:v>41706.122916668006</c:v>
                </c:pt>
                <c:pt idx="591">
                  <c:v>41706.123611112453</c:v>
                </c:pt>
                <c:pt idx="592">
                  <c:v>41706.124305556899</c:v>
                </c:pt>
                <c:pt idx="593">
                  <c:v>41706.125000001346</c:v>
                </c:pt>
                <c:pt idx="594">
                  <c:v>41706.125694445793</c:v>
                </c:pt>
                <c:pt idx="595">
                  <c:v>41706.126388890239</c:v>
                </c:pt>
              </c:numCache>
            </c:numRef>
          </c:xVal>
          <c:yVal>
            <c:numRef>
              <c:f>'Endurance Model'!$AC$85:$AC$680</c:f>
              <c:numCache>
                <c:formatCode>0.0000</c:formatCode>
                <c:ptCount val="5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numCache>
            </c:numRef>
          </c:yVal>
          <c:smooth val="0"/>
          <c:extLst>
            <c:ext xmlns:c16="http://schemas.microsoft.com/office/drawing/2014/chart" uri="{C3380CC4-5D6E-409C-BE32-E72D297353CC}">
              <c16:uniqueId val="{00000006-E407-4737-9DEF-F40B5511C4D3}"/>
            </c:ext>
          </c:extLst>
        </c:ser>
        <c:dLbls>
          <c:showLegendKey val="0"/>
          <c:showVal val="0"/>
          <c:showCatName val="0"/>
          <c:showSerName val="0"/>
          <c:showPercent val="0"/>
          <c:showBubbleSize val="0"/>
        </c:dLbls>
        <c:axId val="1161604480"/>
        <c:axId val="1161602560"/>
      </c:scatterChart>
      <c:valAx>
        <c:axId val="1161594368"/>
        <c:scaling>
          <c:orientation val="minMax"/>
          <c:max val="41706.027777779993"/>
          <c:min val="41705.993055554994"/>
        </c:scaling>
        <c:delete val="0"/>
        <c:axPos val="b"/>
        <c:majorGridlines>
          <c:spPr>
            <a:ln w="19050">
              <a:solidFill>
                <a:schemeClr val="tx1"/>
              </a:solidFill>
            </a:ln>
          </c:spPr>
        </c:majorGridlines>
        <c:minorGridlines/>
        <c:title>
          <c:tx>
            <c:rich>
              <a:bodyPr/>
              <a:lstStyle/>
              <a:p>
                <a:pPr>
                  <a:defRPr sz="1800"/>
                </a:pPr>
                <a:r>
                  <a:rPr lang="en-US" sz="1800"/>
                  <a:t>UTC On 7-8 March 2014</a:t>
                </a:r>
              </a:p>
            </c:rich>
          </c:tx>
          <c:layout>
            <c:manualLayout>
              <c:xMode val="edge"/>
              <c:yMode val="edge"/>
              <c:x val="0.41093354492765904"/>
              <c:y val="0.95050836131991279"/>
            </c:manualLayout>
          </c:layout>
          <c:overlay val="0"/>
        </c:title>
        <c:numFmt formatCode="h:mm;@" sourceLinked="0"/>
        <c:majorTickMark val="out"/>
        <c:minorTickMark val="in"/>
        <c:tickLblPos val="nextTo"/>
        <c:spPr>
          <a:ln w="19050">
            <a:solidFill>
              <a:schemeClr val="tx1"/>
            </a:solidFill>
          </a:ln>
        </c:spPr>
        <c:txPr>
          <a:bodyPr/>
          <a:lstStyle/>
          <a:p>
            <a:pPr>
              <a:defRPr sz="1800" b="1"/>
            </a:pPr>
            <a:endParaRPr lang="en-US"/>
          </a:p>
        </c:txPr>
        <c:crossAx val="1161596288"/>
        <c:crosses val="autoZero"/>
        <c:crossBetween val="midCat"/>
        <c:majorUnit val="6.944444400000002E-3"/>
      </c:valAx>
      <c:valAx>
        <c:axId val="1161596288"/>
        <c:scaling>
          <c:orientation val="minMax"/>
          <c:max val="550"/>
          <c:min val="0"/>
        </c:scaling>
        <c:delete val="0"/>
        <c:axPos val="l"/>
        <c:majorGridlines>
          <c:spPr>
            <a:ln w="19050">
              <a:solidFill>
                <a:schemeClr val="tx1"/>
              </a:solidFill>
            </a:ln>
          </c:spPr>
        </c:majorGridlines>
        <c:minorGridlines/>
        <c:title>
          <c:tx>
            <c:rich>
              <a:bodyPr rot="0" vert="horz"/>
              <a:lstStyle/>
              <a:p>
                <a:pPr>
                  <a:defRPr sz="1600"/>
                </a:pPr>
                <a:r>
                  <a:rPr lang="en-US" sz="1600">
                    <a:solidFill>
                      <a:srgbClr val="7030A0"/>
                    </a:solidFill>
                  </a:rPr>
                  <a:t>True</a:t>
                </a:r>
              </a:p>
              <a:p>
                <a:pPr>
                  <a:defRPr sz="1600"/>
                </a:pPr>
                <a:r>
                  <a:rPr lang="en-US" sz="1600">
                    <a:solidFill>
                      <a:srgbClr val="7030A0"/>
                    </a:solidFill>
                  </a:rPr>
                  <a:t>Air</a:t>
                </a:r>
              </a:p>
              <a:p>
                <a:pPr>
                  <a:defRPr sz="1600"/>
                </a:pPr>
                <a:r>
                  <a:rPr lang="en-US" sz="1600">
                    <a:solidFill>
                      <a:srgbClr val="7030A0"/>
                    </a:solidFill>
                  </a:rPr>
                  <a:t>Speed </a:t>
                </a:r>
              </a:p>
              <a:p>
                <a:pPr>
                  <a:defRPr sz="1600"/>
                </a:pPr>
                <a:r>
                  <a:rPr lang="en-US" sz="1600">
                    <a:solidFill>
                      <a:srgbClr val="7030A0"/>
                    </a:solidFill>
                  </a:rPr>
                  <a:t>(kts)</a:t>
                </a:r>
              </a:p>
              <a:p>
                <a:pPr>
                  <a:defRPr sz="1600"/>
                </a:pPr>
                <a:endParaRPr lang="en-US" sz="1600"/>
              </a:p>
              <a:p>
                <a:pPr>
                  <a:defRPr sz="1600"/>
                </a:pPr>
                <a:endParaRPr lang="en-US" sz="1600"/>
              </a:p>
              <a:p>
                <a:pPr>
                  <a:defRPr sz="1600"/>
                </a:pPr>
                <a:r>
                  <a:rPr lang="en-US" sz="1600"/>
                  <a:t>Flight</a:t>
                </a:r>
              </a:p>
              <a:p>
                <a:pPr>
                  <a:defRPr sz="1600"/>
                </a:pPr>
                <a:r>
                  <a:rPr lang="en-US" sz="1600"/>
                  <a:t>Level</a:t>
                </a:r>
              </a:p>
              <a:p>
                <a:pPr>
                  <a:defRPr sz="1600"/>
                </a:pPr>
                <a:r>
                  <a:rPr lang="en-US" sz="1600"/>
                  <a:t>(hft)</a:t>
                </a:r>
              </a:p>
              <a:p>
                <a:pPr>
                  <a:defRPr sz="1600"/>
                </a:pPr>
                <a:endParaRPr lang="en-US" sz="1600"/>
              </a:p>
              <a:p>
                <a:pPr>
                  <a:defRPr sz="1600"/>
                </a:pPr>
                <a:endParaRPr lang="en-US" sz="1600"/>
              </a:p>
              <a:p>
                <a:pPr>
                  <a:defRPr sz="1600"/>
                </a:pPr>
                <a:endParaRPr lang="en-US" sz="1600"/>
              </a:p>
              <a:p>
                <a:pPr>
                  <a:defRPr sz="1600"/>
                </a:pPr>
                <a:r>
                  <a:rPr lang="en-US" sz="1600">
                    <a:solidFill>
                      <a:srgbClr val="0070C0"/>
                    </a:solidFill>
                  </a:rPr>
                  <a:t>KCAS</a:t>
                </a:r>
              </a:p>
              <a:p>
                <a:pPr>
                  <a:defRPr sz="1600"/>
                </a:pPr>
                <a:r>
                  <a:rPr lang="en-US" sz="1600">
                    <a:solidFill>
                      <a:srgbClr val="0070C0"/>
                    </a:solidFill>
                  </a:rPr>
                  <a:t>(kts)</a:t>
                </a:r>
              </a:p>
              <a:p>
                <a:pPr>
                  <a:defRPr sz="1600"/>
                </a:pPr>
                <a:endParaRPr lang="en-US" sz="1600">
                  <a:solidFill>
                    <a:srgbClr val="00B050"/>
                  </a:solidFill>
                </a:endParaRPr>
              </a:p>
              <a:p>
                <a:pPr>
                  <a:defRPr sz="1600"/>
                </a:pPr>
                <a:endParaRPr lang="en-US" sz="1600">
                  <a:solidFill>
                    <a:srgbClr val="00B050"/>
                  </a:solidFill>
                </a:endParaRPr>
              </a:p>
              <a:p>
                <a:pPr>
                  <a:defRPr sz="1600"/>
                </a:pPr>
                <a:r>
                  <a:rPr lang="en-US" sz="1600">
                    <a:solidFill>
                      <a:srgbClr val="00B050"/>
                    </a:solidFill>
                  </a:rPr>
                  <a:t>Total Fuel </a:t>
                </a:r>
              </a:p>
              <a:p>
                <a:pPr>
                  <a:defRPr sz="1600"/>
                </a:pPr>
                <a:r>
                  <a:rPr lang="en-US" sz="1600">
                    <a:solidFill>
                      <a:srgbClr val="00B050"/>
                    </a:solidFill>
                  </a:rPr>
                  <a:t>X 100</a:t>
                </a:r>
              </a:p>
              <a:p>
                <a:pPr>
                  <a:defRPr sz="1600"/>
                </a:pPr>
                <a:r>
                  <a:rPr lang="en-US" sz="1600">
                    <a:solidFill>
                      <a:srgbClr val="00B050"/>
                    </a:solidFill>
                  </a:rPr>
                  <a:t>(tonnes)</a:t>
                </a:r>
              </a:p>
            </c:rich>
          </c:tx>
          <c:layout>
            <c:manualLayout>
              <c:xMode val="edge"/>
              <c:yMode val="edge"/>
              <c:x val="1.7647822891782277E-2"/>
              <c:y val="0.10757643520589055"/>
            </c:manualLayout>
          </c:layout>
          <c:overlay val="0"/>
        </c:title>
        <c:numFmt formatCode="0" sourceLinked="0"/>
        <c:majorTickMark val="out"/>
        <c:minorTickMark val="in"/>
        <c:tickLblPos val="nextTo"/>
        <c:spPr>
          <a:ln w="19050">
            <a:solidFill>
              <a:schemeClr val="tx1"/>
            </a:solidFill>
          </a:ln>
        </c:spPr>
        <c:txPr>
          <a:bodyPr/>
          <a:lstStyle/>
          <a:p>
            <a:pPr>
              <a:defRPr sz="1800" b="1"/>
            </a:pPr>
            <a:endParaRPr lang="en-US"/>
          </a:p>
        </c:txPr>
        <c:crossAx val="1161594368"/>
        <c:crosses val="autoZero"/>
        <c:crossBetween val="midCat"/>
        <c:majorUnit val="50"/>
        <c:minorUnit val="25"/>
      </c:valAx>
      <c:valAx>
        <c:axId val="1161602560"/>
        <c:scaling>
          <c:orientation val="minMax"/>
          <c:max val="1.1000000000000001"/>
          <c:min val="0"/>
        </c:scaling>
        <c:delete val="0"/>
        <c:axPos val="r"/>
        <c:title>
          <c:tx>
            <c:rich>
              <a:bodyPr rot="0" vert="horz"/>
              <a:lstStyle/>
              <a:p>
                <a:pPr>
                  <a:defRPr sz="2000">
                    <a:solidFill>
                      <a:srgbClr val="FF0000"/>
                    </a:solidFill>
                  </a:defRPr>
                </a:pPr>
                <a:r>
                  <a:rPr lang="en-US" sz="2000">
                    <a:solidFill>
                      <a:srgbClr val="FF0000"/>
                    </a:solidFill>
                  </a:rPr>
                  <a:t>Mach</a:t>
                </a:r>
              </a:p>
            </c:rich>
          </c:tx>
          <c:layout>
            <c:manualLayout>
              <c:xMode val="edge"/>
              <c:yMode val="edge"/>
              <c:x val="0.93422152649657941"/>
              <c:y val="0.42947468761109159"/>
            </c:manualLayout>
          </c:layout>
          <c:overlay val="0"/>
        </c:title>
        <c:numFmt formatCode="0.00" sourceLinked="0"/>
        <c:majorTickMark val="out"/>
        <c:minorTickMark val="none"/>
        <c:tickLblPos val="nextTo"/>
        <c:txPr>
          <a:bodyPr/>
          <a:lstStyle/>
          <a:p>
            <a:pPr>
              <a:defRPr sz="1800" b="1">
                <a:solidFill>
                  <a:srgbClr val="FF0000"/>
                </a:solidFill>
              </a:defRPr>
            </a:pPr>
            <a:endParaRPr lang="en-US"/>
          </a:p>
        </c:txPr>
        <c:crossAx val="1161604480"/>
        <c:crosses val="max"/>
        <c:crossBetween val="midCat"/>
        <c:majorUnit val="0.1"/>
      </c:valAx>
      <c:valAx>
        <c:axId val="1161604480"/>
        <c:scaling>
          <c:orientation val="minMax"/>
        </c:scaling>
        <c:delete val="1"/>
        <c:axPos val="b"/>
        <c:numFmt formatCode="d\ mmmm\ yyyy\ h:mm" sourceLinked="1"/>
        <c:majorTickMark val="out"/>
        <c:minorTickMark val="none"/>
        <c:tickLblPos val="nextTo"/>
        <c:crossAx val="1161602560"/>
        <c:crosses val="autoZero"/>
        <c:crossBetween val="midCat"/>
      </c:valAx>
      <c:spPr>
        <a:solidFill>
          <a:srgbClr val="FFFFE1"/>
        </a:solidFill>
      </c:spPr>
    </c:plotArea>
    <c:plotVisOnly val="1"/>
    <c:dispBlanksAs val="gap"/>
    <c:showDLblsOverMax val="0"/>
  </c:chart>
  <c:spPr>
    <a:solidFill>
      <a:srgbClr val="9BBB59">
        <a:lumMod val="20000"/>
        <a:lumOff val="80000"/>
      </a:srgbClr>
    </a:solidFill>
    <a:ln w="25400">
      <a:solidFill>
        <a:sysClr val="windowText" lastClr="000000"/>
      </a:solidFill>
    </a:ln>
  </c:sp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a:pPr>
            <a:r>
              <a:rPr lang="en-US" sz="2000"/>
              <a:t>Predicted and Observed Main Engines Fuel Exhaustion Time</a:t>
            </a:r>
          </a:p>
          <a:p>
            <a:pPr>
              <a:defRPr sz="2000"/>
            </a:pPr>
            <a:r>
              <a:rPr lang="en-US" sz="2000"/>
              <a:t>for Various Post-18:29</a:t>
            </a:r>
            <a:r>
              <a:rPr lang="en-US" sz="2000" baseline="0"/>
              <a:t> </a:t>
            </a:r>
            <a:r>
              <a:rPr lang="en-US" sz="2000"/>
              <a:t>Airspeeds</a:t>
            </a:r>
          </a:p>
        </c:rich>
      </c:tx>
      <c:layout>
        <c:manualLayout>
          <c:xMode val="edge"/>
          <c:yMode val="edge"/>
          <c:x val="0.15362396310090615"/>
          <c:y val="3.2067514810128553E-2"/>
        </c:manualLayout>
      </c:layout>
      <c:overlay val="0"/>
    </c:title>
    <c:autoTitleDeleted val="0"/>
    <c:plotArea>
      <c:layout>
        <c:manualLayout>
          <c:layoutTarget val="inner"/>
          <c:xMode val="edge"/>
          <c:yMode val="edge"/>
          <c:x val="0.20922155684610008"/>
          <c:y val="0.3331574249187581"/>
          <c:w val="0.73735329618063283"/>
          <c:h val="0.54882335610131316"/>
        </c:manualLayout>
      </c:layout>
      <c:scatterChart>
        <c:scatterStyle val="lineMarker"/>
        <c:varyColors val="0"/>
        <c:ser>
          <c:idx val="1"/>
          <c:order val="8"/>
          <c:tx>
            <c:v>+/- 1 Sigma</c:v>
          </c:tx>
          <c:spPr>
            <a:ln w="38100">
              <a:solidFill>
                <a:sysClr val="windowText" lastClr="000000"/>
              </a:solidFill>
              <a:prstDash val="sysDash"/>
            </a:ln>
          </c:spPr>
          <c:marker>
            <c:symbol val="none"/>
          </c:marker>
          <c:xVal>
            <c:numRef>
              <c:f>('Endurance Model'!$AJ$32,'Endurance Model'!$AJ$32,'Endurance Model'!$AJ$33,'Endurance Model'!$AJ$33)</c:f>
              <c:numCache>
                <c:formatCode>0.000</c:formatCode>
                <c:ptCount val="4"/>
                <c:pt idx="0">
                  <c:v>41706.014930555561</c:v>
                </c:pt>
                <c:pt idx="1">
                  <c:v>41706.014930555561</c:v>
                </c:pt>
                <c:pt idx="2">
                  <c:v>41706.009375000001</c:v>
                </c:pt>
                <c:pt idx="3">
                  <c:v>41706.009375000001</c:v>
                </c:pt>
              </c:numCache>
            </c:numRef>
          </c:xVal>
          <c:yVal>
            <c:numLit>
              <c:formatCode>General</c:formatCode>
              <c:ptCount val="4"/>
              <c:pt idx="0">
                <c:v>0</c:v>
              </c:pt>
              <c:pt idx="1">
                <c:v>500</c:v>
              </c:pt>
              <c:pt idx="2">
                <c:v>500</c:v>
              </c:pt>
              <c:pt idx="3">
                <c:v>0</c:v>
              </c:pt>
            </c:numLit>
          </c:yVal>
          <c:smooth val="0"/>
          <c:extLst>
            <c:ext xmlns:c16="http://schemas.microsoft.com/office/drawing/2014/chart" uri="{C3380CC4-5D6E-409C-BE32-E72D297353CC}">
              <c16:uniqueId val="{0000000A-ED85-462D-802D-40A32A81B041}"/>
            </c:ext>
          </c:extLst>
        </c:ser>
        <c:dLbls>
          <c:showLegendKey val="0"/>
          <c:showVal val="0"/>
          <c:showCatName val="0"/>
          <c:showSerName val="0"/>
          <c:showPercent val="0"/>
          <c:showBubbleSize val="0"/>
        </c:dLbls>
        <c:axId val="1161594368"/>
        <c:axId val="1161596288"/>
      </c:scatterChart>
      <c:scatterChart>
        <c:scatterStyle val="smoothMarker"/>
        <c:varyColors val="0"/>
        <c:ser>
          <c:idx val="0"/>
          <c:order val="0"/>
          <c:tx>
            <c:v>Estimated MEFE from Sat Data</c:v>
          </c:tx>
          <c:spPr>
            <a:ln w="44450">
              <a:solidFill>
                <a:sysClr val="windowText" lastClr="000000"/>
              </a:solidFill>
            </a:ln>
          </c:spPr>
          <c:marker>
            <c:symbol val="none"/>
          </c:marker>
          <c:xVal>
            <c:numRef>
              <c:f>('Endurance Model'!$AI$32,'Endurance Model'!$AI$32)</c:f>
              <c:numCache>
                <c:formatCode>0.000</c:formatCode>
                <c:ptCount val="2"/>
                <c:pt idx="0">
                  <c:v>41706.012152777781</c:v>
                </c:pt>
                <c:pt idx="1">
                  <c:v>41706.012152777781</c:v>
                </c:pt>
              </c:numCache>
            </c:numRef>
          </c:xVal>
          <c:yVal>
            <c:numLit>
              <c:formatCode>General</c:formatCode>
              <c:ptCount val="2"/>
              <c:pt idx="0">
                <c:v>0</c:v>
              </c:pt>
              <c:pt idx="1">
                <c:v>450</c:v>
              </c:pt>
            </c:numLit>
          </c:yVal>
          <c:smooth val="1"/>
          <c:extLst>
            <c:ext xmlns:c16="http://schemas.microsoft.com/office/drawing/2014/chart" uri="{C3380CC4-5D6E-409C-BE32-E72D297353CC}">
              <c16:uniqueId val="{00000009-ED85-462D-802D-40A32A81B041}"/>
            </c:ext>
          </c:extLst>
        </c:ser>
        <c:ser>
          <c:idx val="6"/>
          <c:order val="1"/>
          <c:tx>
            <c:v>M0.84</c:v>
          </c:tx>
          <c:spPr>
            <a:ln w="31750">
              <a:solidFill>
                <a:srgbClr val="4F81BD"/>
              </a:solidFill>
            </a:ln>
          </c:spPr>
          <c:marker>
            <c:symbol val="none"/>
          </c:marker>
          <c:xVal>
            <c:numRef>
              <c:f>'Endurance Model'!$CP$1:$CU$1</c:f>
              <c:numCache>
                <c:formatCode>h:mm</c:formatCode>
                <c:ptCount val="6"/>
                <c:pt idx="0">
                  <c:v>41706.001388889832</c:v>
                </c:pt>
                <c:pt idx="1">
                  <c:v>41706.003472223172</c:v>
                </c:pt>
                <c:pt idx="2">
                  <c:v>41705.999305556492</c:v>
                </c:pt>
                <c:pt idx="3">
                  <c:v>41705.990277778685</c:v>
                </c:pt>
                <c:pt idx="4">
                  <c:v>41705.975694445304</c:v>
                </c:pt>
                <c:pt idx="5">
                  <c:v>41705.960416667476</c:v>
                </c:pt>
              </c:numCache>
            </c:numRef>
          </c:xVal>
          <c:yVal>
            <c:numRef>
              <c:f>'Endurance Model'!$CP$21:$CU$21</c:f>
              <c:numCache>
                <c:formatCode>General</c:formatCode>
                <c:ptCount val="6"/>
                <c:pt idx="0">
                  <c:v>410</c:v>
                </c:pt>
                <c:pt idx="1">
                  <c:v>390</c:v>
                </c:pt>
                <c:pt idx="2">
                  <c:v>370</c:v>
                </c:pt>
                <c:pt idx="3">
                  <c:v>350</c:v>
                </c:pt>
                <c:pt idx="4">
                  <c:v>325</c:v>
                </c:pt>
                <c:pt idx="5">
                  <c:v>300</c:v>
                </c:pt>
              </c:numCache>
            </c:numRef>
          </c:yVal>
          <c:smooth val="1"/>
          <c:extLst>
            <c:ext xmlns:c16="http://schemas.microsoft.com/office/drawing/2014/chart" uri="{C3380CC4-5D6E-409C-BE32-E72D297353CC}">
              <c16:uniqueId val="{0000000E-ED85-462D-802D-40A32A81B041}"/>
            </c:ext>
          </c:extLst>
        </c:ser>
        <c:ser>
          <c:idx val="4"/>
          <c:order val="2"/>
          <c:tx>
            <c:v>LRC</c:v>
          </c:tx>
          <c:spPr>
            <a:ln w="31750">
              <a:solidFill>
                <a:srgbClr val="00B050"/>
              </a:solidFill>
            </a:ln>
          </c:spPr>
          <c:marker>
            <c:symbol val="none"/>
          </c:marker>
          <c:xVal>
            <c:numRef>
              <c:f>'Endurance Model'!$AK$48:$AW$48</c:f>
              <c:numCache>
                <c:formatCode>0.00</c:formatCode>
                <c:ptCount val="13"/>
                <c:pt idx="0">
                  <c:v>41705.997916667598</c:v>
                </c:pt>
                <c:pt idx="1">
                  <c:v>41706.001388889832</c:v>
                </c:pt>
                <c:pt idx="2">
                  <c:v>41706.002083334279</c:v>
                </c:pt>
                <c:pt idx="3">
                  <c:v>41706.002777778725</c:v>
                </c:pt>
                <c:pt idx="4">
                  <c:v>41706.002777778725</c:v>
                </c:pt>
                <c:pt idx="5">
                  <c:v>41706.002777778725</c:v>
                </c:pt>
                <c:pt idx="6">
                  <c:v>41706.002777778725</c:v>
                </c:pt>
                <c:pt idx="7">
                  <c:v>41706.002777778725</c:v>
                </c:pt>
                <c:pt idx="8">
                  <c:v>41706.002777778725</c:v>
                </c:pt>
                <c:pt idx="9">
                  <c:v>41706.003472223172</c:v>
                </c:pt>
                <c:pt idx="10">
                  <c:v>41706.003472223172</c:v>
                </c:pt>
                <c:pt idx="11">
                  <c:v>41706.003472223172</c:v>
                </c:pt>
                <c:pt idx="12">
                  <c:v>41706.002083334279</c:v>
                </c:pt>
              </c:numCache>
            </c:numRef>
          </c:xVal>
          <c:yVal>
            <c:numRef>
              <c:f>'Endurance Model'!$AK$21:$AW$21</c:f>
              <c:numCache>
                <c:formatCode>0.0</c:formatCode>
                <c:ptCount val="13"/>
                <c:pt idx="0">
                  <c:v>200</c:v>
                </c:pt>
                <c:pt idx="1">
                  <c:v>250</c:v>
                </c:pt>
                <c:pt idx="2">
                  <c:v>270</c:v>
                </c:pt>
                <c:pt idx="3">
                  <c:v>290</c:v>
                </c:pt>
                <c:pt idx="4">
                  <c:v>310</c:v>
                </c:pt>
                <c:pt idx="5">
                  <c:v>330</c:v>
                </c:pt>
                <c:pt idx="6">
                  <c:v>350</c:v>
                </c:pt>
                <c:pt idx="7">
                  <c:v>360</c:v>
                </c:pt>
                <c:pt idx="8">
                  <c:v>370</c:v>
                </c:pt>
                <c:pt idx="9">
                  <c:v>380</c:v>
                </c:pt>
                <c:pt idx="10">
                  <c:v>390</c:v>
                </c:pt>
                <c:pt idx="11">
                  <c:v>400</c:v>
                </c:pt>
                <c:pt idx="12">
                  <c:v>410</c:v>
                </c:pt>
              </c:numCache>
            </c:numRef>
          </c:yVal>
          <c:smooth val="1"/>
          <c:extLst>
            <c:ext xmlns:c16="http://schemas.microsoft.com/office/drawing/2014/chart" uri="{C3380CC4-5D6E-409C-BE32-E72D297353CC}">
              <c16:uniqueId val="{00000007-ED85-462D-802D-40A32A81B041}"/>
            </c:ext>
          </c:extLst>
        </c:ser>
        <c:ser>
          <c:idx val="7"/>
          <c:order val="3"/>
          <c:tx>
            <c:v>1-Hour HOLD Then LRC</c:v>
          </c:tx>
          <c:spPr>
            <a:ln w="31750">
              <a:solidFill>
                <a:srgbClr val="66FFFF"/>
              </a:solidFill>
            </a:ln>
          </c:spPr>
          <c:marker>
            <c:symbol val="none"/>
          </c:marker>
          <c:xVal>
            <c:numRef>
              <c:f>'Endurance Model'!$CV$1:$DE$1</c:f>
              <c:numCache>
                <c:formatCode>h:mm</c:formatCode>
                <c:ptCount val="10"/>
                <c:pt idx="0">
                  <c:v>41706.006944445406</c:v>
                </c:pt>
                <c:pt idx="1">
                  <c:v>41706.006944445406</c:v>
                </c:pt>
                <c:pt idx="2">
                  <c:v>41706.006250000959</c:v>
                </c:pt>
                <c:pt idx="3">
                  <c:v>41706.006250000959</c:v>
                </c:pt>
                <c:pt idx="4">
                  <c:v>41706.006944445406</c:v>
                </c:pt>
                <c:pt idx="5">
                  <c:v>41706.006250000959</c:v>
                </c:pt>
                <c:pt idx="6">
                  <c:v>41706.006944445406</c:v>
                </c:pt>
                <c:pt idx="7">
                  <c:v>41706.005555556512</c:v>
                </c:pt>
                <c:pt idx="8">
                  <c:v>41706.004861112066</c:v>
                </c:pt>
                <c:pt idx="9">
                  <c:v>41706.001388889832</c:v>
                </c:pt>
              </c:numCache>
            </c:numRef>
          </c:xVal>
          <c:yVal>
            <c:numRef>
              <c:f>'Endurance Model'!$CV$21:$DE$21</c:f>
              <c:numCache>
                <c:formatCode>General</c:formatCode>
                <c:ptCount val="10"/>
                <c:pt idx="0">
                  <c:v>410</c:v>
                </c:pt>
                <c:pt idx="1">
                  <c:v>390</c:v>
                </c:pt>
                <c:pt idx="2">
                  <c:v>370</c:v>
                </c:pt>
                <c:pt idx="3">
                  <c:v>350</c:v>
                </c:pt>
                <c:pt idx="4">
                  <c:v>330</c:v>
                </c:pt>
                <c:pt idx="5">
                  <c:v>310</c:v>
                </c:pt>
                <c:pt idx="6">
                  <c:v>290</c:v>
                </c:pt>
                <c:pt idx="7">
                  <c:v>270</c:v>
                </c:pt>
                <c:pt idx="8">
                  <c:v>250</c:v>
                </c:pt>
                <c:pt idx="9">
                  <c:v>200</c:v>
                </c:pt>
              </c:numCache>
            </c:numRef>
          </c:yVal>
          <c:smooth val="1"/>
          <c:extLst>
            <c:ext xmlns:c16="http://schemas.microsoft.com/office/drawing/2014/chart" uri="{C3380CC4-5D6E-409C-BE32-E72D297353CC}">
              <c16:uniqueId val="{0000000F-ED85-462D-802D-40A32A81B041}"/>
            </c:ext>
          </c:extLst>
        </c:ser>
        <c:ser>
          <c:idx val="8"/>
          <c:order val="4"/>
          <c:tx>
            <c:v>1-Hour HOLD then LRC (Air Packs OFF)</c:v>
          </c:tx>
          <c:spPr>
            <a:ln w="31750">
              <a:solidFill>
                <a:srgbClr val="C0504D"/>
              </a:solidFill>
              <a:prstDash val="sysDash"/>
            </a:ln>
          </c:spPr>
          <c:marker>
            <c:symbol val="none"/>
          </c:marker>
          <c:xVal>
            <c:numRef>
              <c:f>'Endurance Model'!$DF$1:$DP$1</c:f>
              <c:numCache>
                <c:formatCode>h:mm</c:formatCode>
                <c:ptCount val="11"/>
                <c:pt idx="0">
                  <c:v>41706.011111112086</c:v>
                </c:pt>
                <c:pt idx="1">
                  <c:v>41706.011111112086</c:v>
                </c:pt>
                <c:pt idx="2">
                  <c:v>41706.011111112086</c:v>
                </c:pt>
                <c:pt idx="3">
                  <c:v>41706.010416667639</c:v>
                </c:pt>
                <c:pt idx="4">
                  <c:v>41706.011111112086</c:v>
                </c:pt>
                <c:pt idx="5">
                  <c:v>41706.011111112086</c:v>
                </c:pt>
                <c:pt idx="6">
                  <c:v>41706.011111112086</c:v>
                </c:pt>
                <c:pt idx="7">
                  <c:v>41706.010416667639</c:v>
                </c:pt>
                <c:pt idx="8">
                  <c:v>41706.009027778746</c:v>
                </c:pt>
                <c:pt idx="9">
                  <c:v>41706.007638889852</c:v>
                </c:pt>
                <c:pt idx="10">
                  <c:v>41706.005555556512</c:v>
                </c:pt>
              </c:numCache>
            </c:numRef>
          </c:xVal>
          <c:yVal>
            <c:numRef>
              <c:f>'Endurance Model'!$DF$21:$DP$21</c:f>
              <c:numCache>
                <c:formatCode>General</c:formatCode>
                <c:ptCount val="11"/>
                <c:pt idx="0">
                  <c:v>410</c:v>
                </c:pt>
                <c:pt idx="1">
                  <c:v>390</c:v>
                </c:pt>
                <c:pt idx="2">
                  <c:v>370</c:v>
                </c:pt>
                <c:pt idx="3">
                  <c:v>350</c:v>
                </c:pt>
                <c:pt idx="4">
                  <c:v>330</c:v>
                </c:pt>
                <c:pt idx="5">
                  <c:v>310</c:v>
                </c:pt>
                <c:pt idx="6">
                  <c:v>290</c:v>
                </c:pt>
                <c:pt idx="7">
                  <c:v>270</c:v>
                </c:pt>
                <c:pt idx="8">
                  <c:v>250</c:v>
                </c:pt>
                <c:pt idx="9">
                  <c:v>230</c:v>
                </c:pt>
                <c:pt idx="10">
                  <c:v>200</c:v>
                </c:pt>
              </c:numCache>
            </c:numRef>
          </c:yVal>
          <c:smooth val="1"/>
          <c:extLst>
            <c:ext xmlns:c16="http://schemas.microsoft.com/office/drawing/2014/chart" uri="{C3380CC4-5D6E-409C-BE32-E72D297353CC}">
              <c16:uniqueId val="{00000010-ED85-462D-802D-40A32A81B041}"/>
            </c:ext>
          </c:extLst>
        </c:ser>
        <c:ser>
          <c:idx val="2"/>
          <c:order val="5"/>
          <c:tx>
            <c:v>MRC</c:v>
          </c:tx>
          <c:spPr>
            <a:ln w="31750">
              <a:solidFill>
                <a:srgbClr val="FF0000"/>
              </a:solidFill>
            </a:ln>
          </c:spPr>
          <c:marker>
            <c:symbol val="none"/>
          </c:marker>
          <c:xVal>
            <c:numRef>
              <c:f>'Endurance Model'!$AX$48:$BH$48</c:f>
              <c:numCache>
                <c:formatCode>d\ mmmm\ yyyy\ h:mm:ss</c:formatCode>
                <c:ptCount val="11"/>
                <c:pt idx="0">
                  <c:v>41706.01666666766</c:v>
                </c:pt>
                <c:pt idx="1">
                  <c:v>41706.013194445426</c:v>
                </c:pt>
                <c:pt idx="2">
                  <c:v>41706.013888889873</c:v>
                </c:pt>
                <c:pt idx="3">
                  <c:v>41706.017361112106</c:v>
                </c:pt>
                <c:pt idx="4">
                  <c:v>41706.020138889893</c:v>
                </c:pt>
                <c:pt idx="5">
                  <c:v>41706.020138888889</c:v>
                </c:pt>
                <c:pt idx="6">
                  <c:v>41706.018055556553</c:v>
                </c:pt>
                <c:pt idx="7">
                  <c:v>41706.013888889873</c:v>
                </c:pt>
                <c:pt idx="8">
                  <c:v>41706.012500000979</c:v>
                </c:pt>
                <c:pt idx="9">
                  <c:v>41706.011805556533</c:v>
                </c:pt>
                <c:pt idx="10">
                  <c:v>41706.011111112086</c:v>
                </c:pt>
              </c:numCache>
            </c:numRef>
          </c:xVal>
          <c:yVal>
            <c:numRef>
              <c:f>'Endurance Model'!$AX$21:$BH$21</c:f>
              <c:numCache>
                <c:formatCode>0.0</c:formatCode>
                <c:ptCount val="11"/>
                <c:pt idx="0">
                  <c:v>210</c:v>
                </c:pt>
                <c:pt idx="1">
                  <c:v>230</c:v>
                </c:pt>
                <c:pt idx="2">
                  <c:v>250</c:v>
                </c:pt>
                <c:pt idx="3">
                  <c:v>270</c:v>
                </c:pt>
                <c:pt idx="4">
                  <c:v>290</c:v>
                </c:pt>
                <c:pt idx="5">
                  <c:v>310</c:v>
                </c:pt>
                <c:pt idx="6">
                  <c:v>330</c:v>
                </c:pt>
                <c:pt idx="7">
                  <c:v>350</c:v>
                </c:pt>
                <c:pt idx="8">
                  <c:v>370</c:v>
                </c:pt>
                <c:pt idx="9">
                  <c:v>390</c:v>
                </c:pt>
                <c:pt idx="10">
                  <c:v>400</c:v>
                </c:pt>
              </c:numCache>
            </c:numRef>
          </c:yVal>
          <c:smooth val="1"/>
          <c:extLst>
            <c:ext xmlns:c16="http://schemas.microsoft.com/office/drawing/2014/chart" uri="{C3380CC4-5D6E-409C-BE32-E72D297353CC}">
              <c16:uniqueId val="{0000000B-ED85-462D-802D-40A32A81B041}"/>
            </c:ext>
          </c:extLst>
        </c:ser>
        <c:ser>
          <c:idx val="5"/>
          <c:order val="6"/>
          <c:tx>
            <c:v>250 KCAS</c:v>
          </c:tx>
          <c:spPr>
            <a:ln w="31750">
              <a:solidFill>
                <a:srgbClr val="F79646">
                  <a:lumMod val="75000"/>
                </a:srgbClr>
              </a:solidFill>
            </a:ln>
          </c:spPr>
          <c:marker>
            <c:symbol val="none"/>
          </c:marker>
          <c:xVal>
            <c:numRef>
              <c:f>'Endurance Model'!$CB$48:$CO$48</c:f>
              <c:numCache>
                <c:formatCode>d\ mmmm\ yyyy\ h:mm:ss</c:formatCode>
                <c:ptCount val="14"/>
                <c:pt idx="0">
                  <c:v>41706.018750001</c:v>
                </c:pt>
                <c:pt idx="1">
                  <c:v>41706.014583334319</c:v>
                </c:pt>
                <c:pt idx="2">
                  <c:v>41706.013888889873</c:v>
                </c:pt>
                <c:pt idx="3">
                  <c:v>41706.014583334319</c:v>
                </c:pt>
                <c:pt idx="4">
                  <c:v>41706.018750001</c:v>
                </c:pt>
                <c:pt idx="5">
                  <c:v>41706.018750001</c:v>
                </c:pt>
                <c:pt idx="6">
                  <c:v>41706.02291666768</c:v>
                </c:pt>
                <c:pt idx="7">
                  <c:v>41706.026388889914</c:v>
                </c:pt>
                <c:pt idx="8">
                  <c:v>41706.027777778807</c:v>
                </c:pt>
                <c:pt idx="9">
                  <c:v>41706.027777778807</c:v>
                </c:pt>
                <c:pt idx="10">
                  <c:v>41706.023611112127</c:v>
                </c:pt>
                <c:pt idx="11">
                  <c:v>41706.015277778766</c:v>
                </c:pt>
                <c:pt idx="12">
                  <c:v>41706.011111112086</c:v>
                </c:pt>
                <c:pt idx="13">
                  <c:v>41706.000694445385</c:v>
                </c:pt>
              </c:numCache>
            </c:numRef>
          </c:xVal>
          <c:yVal>
            <c:numRef>
              <c:f>'Endurance Model'!$CB$21:$CO$21</c:f>
              <c:numCache>
                <c:formatCode>0.0</c:formatCode>
                <c:ptCount val="14"/>
                <c:pt idx="0">
                  <c:v>50</c:v>
                </c:pt>
                <c:pt idx="1">
                  <c:v>75</c:v>
                </c:pt>
                <c:pt idx="2">
                  <c:v>80</c:v>
                </c:pt>
                <c:pt idx="3">
                  <c:v>100</c:v>
                </c:pt>
                <c:pt idx="4">
                  <c:v>125</c:v>
                </c:pt>
                <c:pt idx="5">
                  <c:v>125</c:v>
                </c:pt>
                <c:pt idx="6">
                  <c:v>150</c:v>
                </c:pt>
                <c:pt idx="7">
                  <c:v>200</c:v>
                </c:pt>
                <c:pt idx="8">
                  <c:v>250</c:v>
                </c:pt>
                <c:pt idx="9">
                  <c:v>300</c:v>
                </c:pt>
                <c:pt idx="10">
                  <c:v>350</c:v>
                </c:pt>
                <c:pt idx="11">
                  <c:v>390</c:v>
                </c:pt>
                <c:pt idx="12">
                  <c:v>400</c:v>
                </c:pt>
                <c:pt idx="13">
                  <c:v>410</c:v>
                </c:pt>
              </c:numCache>
            </c:numRef>
          </c:yVal>
          <c:smooth val="1"/>
          <c:extLst>
            <c:ext xmlns:c16="http://schemas.microsoft.com/office/drawing/2014/chart" uri="{C3380CC4-5D6E-409C-BE32-E72D297353CC}">
              <c16:uniqueId val="{0000000D-ED85-462D-802D-40A32A81B041}"/>
            </c:ext>
          </c:extLst>
        </c:ser>
        <c:ser>
          <c:idx val="3"/>
          <c:order val="7"/>
          <c:tx>
            <c:v>HOLDING</c:v>
          </c:tx>
          <c:spPr>
            <a:ln w="31750">
              <a:solidFill>
                <a:srgbClr val="7030A0"/>
              </a:solidFill>
            </a:ln>
          </c:spPr>
          <c:marker>
            <c:symbol val="none"/>
          </c:marker>
          <c:xVal>
            <c:numRef>
              <c:f>'Endurance Model'!$BI$48:$CA$48</c:f>
              <c:numCache>
                <c:formatCode>d\ mmmm\ yyyy\ h:mm:ss</c:formatCode>
                <c:ptCount val="19"/>
                <c:pt idx="0" formatCode="General">
                  <c:v>41705.997916667598</c:v>
                </c:pt>
                <c:pt idx="1">
                  <c:v>41706.004861112066</c:v>
                </c:pt>
                <c:pt idx="2">
                  <c:v>41706.013194445426</c:v>
                </c:pt>
                <c:pt idx="3">
                  <c:v>41706.02083333434</c:v>
                </c:pt>
                <c:pt idx="4">
                  <c:v>41706.029861112147</c:v>
                </c:pt>
                <c:pt idx="5">
                  <c:v>41706.037500001061</c:v>
                </c:pt>
                <c:pt idx="6">
                  <c:v>41706.042361112188</c:v>
                </c:pt>
                <c:pt idx="7">
                  <c:v>41706.044444445528</c:v>
                </c:pt>
                <c:pt idx="8">
                  <c:v>41706.044444445528</c:v>
                </c:pt>
                <c:pt idx="9">
                  <c:v>41706.042361112188</c:v>
                </c:pt>
                <c:pt idx="10">
                  <c:v>41706.037500001061</c:v>
                </c:pt>
                <c:pt idx="11">
                  <c:v>41706.032638889934</c:v>
                </c:pt>
                <c:pt idx="12">
                  <c:v>41706.029861112147</c:v>
                </c:pt>
                <c:pt idx="13">
                  <c:v>41706.026388889914</c:v>
                </c:pt>
                <c:pt idx="14">
                  <c:v>41706.020138889893</c:v>
                </c:pt>
                <c:pt idx="15">
                  <c:v>41706.017361112106</c:v>
                </c:pt>
                <c:pt idx="16">
                  <c:v>41706.015277778766</c:v>
                </c:pt>
                <c:pt idx="17">
                  <c:v>41706.012500000979</c:v>
                </c:pt>
                <c:pt idx="18">
                  <c:v>41706.010416667639</c:v>
                </c:pt>
              </c:numCache>
            </c:numRef>
          </c:xVal>
          <c:yVal>
            <c:numRef>
              <c:f>'Endurance Model'!$BI$21:$CA$21</c:f>
              <c:numCache>
                <c:formatCode>0.0</c:formatCode>
                <c:ptCount val="19"/>
                <c:pt idx="0" formatCode="General">
                  <c:v>25</c:v>
                </c:pt>
                <c:pt idx="1">
                  <c:v>50</c:v>
                </c:pt>
                <c:pt idx="2">
                  <c:v>75</c:v>
                </c:pt>
                <c:pt idx="3">
                  <c:v>100</c:v>
                </c:pt>
                <c:pt idx="4">
                  <c:v>125</c:v>
                </c:pt>
                <c:pt idx="5">
                  <c:v>150</c:v>
                </c:pt>
                <c:pt idx="6">
                  <c:v>175</c:v>
                </c:pt>
                <c:pt idx="7">
                  <c:v>200</c:v>
                </c:pt>
                <c:pt idx="8">
                  <c:v>225</c:v>
                </c:pt>
                <c:pt idx="9">
                  <c:v>250</c:v>
                </c:pt>
                <c:pt idx="10">
                  <c:v>275</c:v>
                </c:pt>
                <c:pt idx="11">
                  <c:v>300</c:v>
                </c:pt>
                <c:pt idx="12">
                  <c:v>325</c:v>
                </c:pt>
                <c:pt idx="13">
                  <c:v>350</c:v>
                </c:pt>
                <c:pt idx="14">
                  <c:v>375</c:v>
                </c:pt>
                <c:pt idx="15">
                  <c:v>385</c:v>
                </c:pt>
                <c:pt idx="16">
                  <c:v>395</c:v>
                </c:pt>
                <c:pt idx="17">
                  <c:v>405</c:v>
                </c:pt>
                <c:pt idx="18">
                  <c:v>410</c:v>
                </c:pt>
              </c:numCache>
            </c:numRef>
          </c:yVal>
          <c:smooth val="1"/>
          <c:extLst>
            <c:ext xmlns:c16="http://schemas.microsoft.com/office/drawing/2014/chart" uri="{C3380CC4-5D6E-409C-BE32-E72D297353CC}">
              <c16:uniqueId val="{0000000C-ED85-462D-802D-40A32A81B041}"/>
            </c:ext>
          </c:extLst>
        </c:ser>
        <c:dLbls>
          <c:showLegendKey val="0"/>
          <c:showVal val="0"/>
          <c:showCatName val="0"/>
          <c:showSerName val="0"/>
          <c:showPercent val="0"/>
          <c:showBubbleSize val="0"/>
        </c:dLbls>
        <c:axId val="1161594368"/>
        <c:axId val="1161596288"/>
      </c:scatterChart>
      <c:valAx>
        <c:axId val="1161594368"/>
        <c:scaling>
          <c:orientation val="minMax"/>
          <c:max val="41706.027777779993"/>
          <c:min val="41705.993055554994"/>
        </c:scaling>
        <c:delete val="0"/>
        <c:axPos val="b"/>
        <c:majorGridlines>
          <c:spPr>
            <a:ln w="15875">
              <a:solidFill>
                <a:sysClr val="windowText" lastClr="000000"/>
              </a:solidFill>
            </a:ln>
          </c:spPr>
        </c:majorGridlines>
        <c:minorGridlines/>
        <c:title>
          <c:tx>
            <c:rich>
              <a:bodyPr/>
              <a:lstStyle/>
              <a:p>
                <a:pPr>
                  <a:defRPr sz="2000"/>
                </a:pPr>
                <a:r>
                  <a:rPr lang="en-US" sz="2000"/>
                  <a:t>UTC On 7-8 March 2014</a:t>
                </a:r>
              </a:p>
            </c:rich>
          </c:tx>
          <c:layout>
            <c:manualLayout>
              <c:xMode val="edge"/>
              <c:yMode val="edge"/>
              <c:x val="0.43504701346367497"/>
              <c:y val="0.94206956271896913"/>
            </c:manualLayout>
          </c:layout>
          <c:overlay val="0"/>
        </c:title>
        <c:numFmt formatCode="h:mm;@" sourceLinked="0"/>
        <c:majorTickMark val="out"/>
        <c:minorTickMark val="in"/>
        <c:tickLblPos val="nextTo"/>
        <c:spPr>
          <a:ln w="19050">
            <a:solidFill>
              <a:schemeClr val="tx1"/>
            </a:solidFill>
          </a:ln>
        </c:spPr>
        <c:txPr>
          <a:bodyPr/>
          <a:lstStyle/>
          <a:p>
            <a:pPr>
              <a:defRPr sz="1800" b="1"/>
            </a:pPr>
            <a:endParaRPr lang="en-US"/>
          </a:p>
        </c:txPr>
        <c:crossAx val="1161596288"/>
        <c:crosses val="autoZero"/>
        <c:crossBetween val="midCat"/>
        <c:majorUnit val="6.944444400000002E-3"/>
      </c:valAx>
      <c:valAx>
        <c:axId val="1161596288"/>
        <c:scaling>
          <c:orientation val="minMax"/>
          <c:max val="450"/>
          <c:min val="0"/>
        </c:scaling>
        <c:delete val="0"/>
        <c:axPos val="l"/>
        <c:majorGridlines>
          <c:spPr>
            <a:ln w="15875">
              <a:solidFill>
                <a:sysClr val="windowText" lastClr="000000"/>
              </a:solidFill>
            </a:ln>
          </c:spPr>
        </c:majorGridlines>
        <c:minorGridlines/>
        <c:title>
          <c:tx>
            <c:rich>
              <a:bodyPr rot="0" vert="horz"/>
              <a:lstStyle/>
              <a:p>
                <a:pPr>
                  <a:defRPr sz="2000"/>
                </a:pPr>
                <a:r>
                  <a:rPr lang="en-US" sz="2000"/>
                  <a:t>Post-FMT</a:t>
                </a:r>
              </a:p>
              <a:p>
                <a:pPr>
                  <a:defRPr sz="2000"/>
                </a:pPr>
                <a:r>
                  <a:rPr lang="en-US" sz="2000"/>
                  <a:t>Flight</a:t>
                </a:r>
              </a:p>
              <a:p>
                <a:pPr>
                  <a:defRPr sz="2000"/>
                </a:pPr>
                <a:r>
                  <a:rPr lang="en-US" sz="2000"/>
                  <a:t>Level</a:t>
                </a:r>
              </a:p>
              <a:p>
                <a:pPr>
                  <a:defRPr sz="2000"/>
                </a:pPr>
                <a:r>
                  <a:rPr lang="en-US" sz="2000"/>
                  <a:t>(hft)</a:t>
                </a:r>
              </a:p>
            </c:rich>
          </c:tx>
          <c:layout>
            <c:manualLayout>
              <c:xMode val="edge"/>
              <c:yMode val="edge"/>
              <c:x val="1.5237729964564692E-2"/>
              <c:y val="0.50195494892919346"/>
            </c:manualLayout>
          </c:layout>
          <c:overlay val="0"/>
        </c:title>
        <c:numFmt formatCode="0" sourceLinked="0"/>
        <c:majorTickMark val="out"/>
        <c:minorTickMark val="in"/>
        <c:tickLblPos val="nextTo"/>
        <c:spPr>
          <a:ln w="19050">
            <a:solidFill>
              <a:schemeClr val="tx1"/>
            </a:solidFill>
          </a:ln>
        </c:spPr>
        <c:txPr>
          <a:bodyPr/>
          <a:lstStyle/>
          <a:p>
            <a:pPr>
              <a:defRPr sz="1800" b="1"/>
            </a:pPr>
            <a:endParaRPr lang="en-US"/>
          </a:p>
        </c:txPr>
        <c:crossAx val="1161594368"/>
        <c:crosses val="autoZero"/>
        <c:crossBetween val="midCat"/>
      </c:valAx>
      <c:spPr>
        <a:solidFill>
          <a:srgbClr val="FFFFE1"/>
        </a:solidFill>
        <a:ln w="22225">
          <a:solidFill>
            <a:sysClr val="windowText" lastClr="000000"/>
          </a:solidFill>
        </a:ln>
      </c:spPr>
    </c:plotArea>
    <c:legend>
      <c:legendPos val="t"/>
      <c:layout>
        <c:manualLayout>
          <c:xMode val="edge"/>
          <c:yMode val="edge"/>
          <c:x val="6.8225059275708863E-2"/>
          <c:y val="0.14514769861426607"/>
          <c:w val="0.87347884888354821"/>
          <c:h val="0.15878974833579165"/>
        </c:manualLayout>
      </c:layout>
      <c:overlay val="0"/>
      <c:spPr>
        <a:solidFill>
          <a:srgbClr val="FFFFE1"/>
        </a:solidFill>
        <a:ln w="15875">
          <a:solidFill>
            <a:sysClr val="windowText" lastClr="000000"/>
          </a:solidFill>
        </a:ln>
      </c:spPr>
      <c:txPr>
        <a:bodyPr/>
        <a:lstStyle/>
        <a:p>
          <a:pPr>
            <a:defRPr sz="1600" b="1"/>
          </a:pPr>
          <a:endParaRPr lang="en-US"/>
        </a:p>
      </c:txPr>
    </c:legend>
    <c:plotVisOnly val="1"/>
    <c:dispBlanksAs val="gap"/>
    <c:showDLblsOverMax val="0"/>
  </c:chart>
  <c:spPr>
    <a:solidFill>
      <a:srgbClr val="9BBB59">
        <a:lumMod val="20000"/>
        <a:lumOff val="80000"/>
      </a:srgbClr>
    </a:solidFill>
    <a:ln w="25400">
      <a:solidFill>
        <a:sysClr val="windowText" lastClr="000000"/>
      </a:solidFill>
    </a:ln>
  </c:sp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2000"/>
            </a:pPr>
            <a:r>
              <a:rPr lang="en-US" sz="2000"/>
              <a:t>Predicted Main Engines Fuel Exhaustion Times and Ranges</a:t>
            </a:r>
            <a:r>
              <a:rPr lang="en-US" sz="2000" baseline="0"/>
              <a:t> </a:t>
            </a:r>
            <a:r>
              <a:rPr lang="en-US" sz="2000"/>
              <a:t>for Various Post-18:29</a:t>
            </a:r>
            <a:r>
              <a:rPr lang="en-US" sz="2000" baseline="0"/>
              <a:t> </a:t>
            </a:r>
            <a:r>
              <a:rPr lang="en-US" sz="2000"/>
              <a:t>Airspeeds</a:t>
            </a:r>
          </a:p>
        </c:rich>
      </c:tx>
      <c:layout>
        <c:manualLayout>
          <c:xMode val="edge"/>
          <c:yMode val="edge"/>
          <c:x val="0.19641568258165354"/>
          <c:y val="1.6137215057201566E-2"/>
        </c:manualLayout>
      </c:layout>
      <c:overlay val="0"/>
    </c:title>
    <c:autoTitleDeleted val="0"/>
    <c:plotArea>
      <c:layout>
        <c:manualLayout>
          <c:layoutTarget val="inner"/>
          <c:xMode val="edge"/>
          <c:yMode val="edge"/>
          <c:x val="0.14180720542054312"/>
          <c:y val="0.2220942606174576"/>
          <c:w val="0.82295859852101105"/>
          <c:h val="0.67338102815215151"/>
        </c:manualLayout>
      </c:layout>
      <c:scatterChart>
        <c:scatterStyle val="smoothMarker"/>
        <c:varyColors val="0"/>
        <c:ser>
          <c:idx val="0"/>
          <c:order val="0"/>
          <c:tx>
            <c:v>Estimated MEFE from Sat Data</c:v>
          </c:tx>
          <c:spPr>
            <a:ln w="44450">
              <a:solidFill>
                <a:sysClr val="windowText" lastClr="000000"/>
              </a:solidFill>
            </a:ln>
          </c:spPr>
          <c:marker>
            <c:symbol val="none"/>
          </c:marker>
          <c:xVal>
            <c:numRef>
              <c:f>'Endurance vs Range Plot'!$U$82:$U$83</c:f>
              <c:numCache>
                <c:formatCode>d\ mmmm\ yyyy\ h:mm</c:formatCode>
                <c:ptCount val="2"/>
                <c:pt idx="0">
                  <c:v>41706.011805555558</c:v>
                </c:pt>
                <c:pt idx="1">
                  <c:v>41706.011805555558</c:v>
                </c:pt>
              </c:numCache>
            </c:numRef>
          </c:xVal>
          <c:yVal>
            <c:numRef>
              <c:f>'Endurance vs Range Plot'!$V$82:$V$83</c:f>
              <c:numCache>
                <c:formatCode>#,##0</c:formatCode>
                <c:ptCount val="2"/>
                <c:pt idx="0">
                  <c:v>0</c:v>
                </c:pt>
                <c:pt idx="1">
                  <c:v>5000</c:v>
                </c:pt>
              </c:numCache>
            </c:numRef>
          </c:yVal>
          <c:smooth val="1"/>
          <c:extLst>
            <c:ext xmlns:c16="http://schemas.microsoft.com/office/drawing/2014/chart" uri="{C3380CC4-5D6E-409C-BE32-E72D297353CC}">
              <c16:uniqueId val="{00000000-5240-4563-BF0A-C0EC3BF3B7F5}"/>
            </c:ext>
          </c:extLst>
        </c:ser>
        <c:ser>
          <c:idx val="3"/>
          <c:order val="2"/>
          <c:tx>
            <c:v>HOLDING</c:v>
          </c:tx>
          <c:spPr>
            <a:ln w="31750">
              <a:solidFill>
                <a:srgbClr val="7030A0"/>
              </a:solidFill>
            </a:ln>
          </c:spPr>
          <c:marker>
            <c:symbol val="none"/>
          </c:marker>
          <c:xVal>
            <c:numRef>
              <c:f>'Endurance vs Range Plot'!$D$10:$D$19</c:f>
              <c:numCache>
                <c:formatCode>d\ mmmm\ yyyy\ h:mm</c:formatCode>
                <c:ptCount val="10"/>
                <c:pt idx="0">
                  <c:v>41705.995833333334</c:v>
                </c:pt>
                <c:pt idx="1">
                  <c:v>41706.005555555559</c:v>
                </c:pt>
                <c:pt idx="2">
                  <c:v>41706.022222222222</c:v>
                </c:pt>
                <c:pt idx="3">
                  <c:v>41706.038194444445</c:v>
                </c:pt>
                <c:pt idx="4">
                  <c:v>41706.04583333333</c:v>
                </c:pt>
                <c:pt idx="5">
                  <c:v>41706.04583333333</c:v>
                </c:pt>
                <c:pt idx="6">
                  <c:v>41706.043055555558</c:v>
                </c:pt>
                <c:pt idx="7">
                  <c:v>41706.03402777778</c:v>
                </c:pt>
                <c:pt idx="8">
                  <c:v>41706.027083333334</c:v>
                </c:pt>
                <c:pt idx="9">
                  <c:v>41706.01458333333</c:v>
                </c:pt>
              </c:numCache>
            </c:numRef>
          </c:xVal>
          <c:yVal>
            <c:numRef>
              <c:f>'Endurance vs Range Plot'!$E$10:$E$19</c:f>
              <c:numCache>
                <c:formatCode>#,##0</c:formatCode>
                <c:ptCount val="10"/>
                <c:pt idx="0">
                  <c:v>1219</c:v>
                </c:pt>
                <c:pt idx="1">
                  <c:v>1334</c:v>
                </c:pt>
                <c:pt idx="2">
                  <c:v>1531</c:v>
                </c:pt>
                <c:pt idx="3">
                  <c:v>1752</c:v>
                </c:pt>
                <c:pt idx="4">
                  <c:v>1945</c:v>
                </c:pt>
                <c:pt idx="5">
                  <c:v>2024</c:v>
                </c:pt>
                <c:pt idx="6">
                  <c:v>2158</c:v>
                </c:pt>
                <c:pt idx="7">
                  <c:v>2455</c:v>
                </c:pt>
                <c:pt idx="8">
                  <c:v>2656</c:v>
                </c:pt>
                <c:pt idx="9">
                  <c:v>2793</c:v>
                </c:pt>
              </c:numCache>
            </c:numRef>
          </c:yVal>
          <c:smooth val="1"/>
          <c:extLst>
            <c:ext xmlns:c16="http://schemas.microsoft.com/office/drawing/2014/chart" uri="{C3380CC4-5D6E-409C-BE32-E72D297353CC}">
              <c16:uniqueId val="{00000001-5240-4563-BF0A-C0EC3BF3B7F5}"/>
            </c:ext>
          </c:extLst>
        </c:ser>
        <c:ser>
          <c:idx val="2"/>
          <c:order val="6"/>
          <c:tx>
            <c:v>MRC</c:v>
          </c:tx>
          <c:spPr>
            <a:ln w="31750">
              <a:solidFill>
                <a:srgbClr val="FF0000"/>
              </a:solidFill>
            </a:ln>
          </c:spPr>
          <c:marker>
            <c:symbol val="none"/>
          </c:marker>
          <c:xVal>
            <c:numRef>
              <c:f>'Endurance vs Range Plot'!$D$39:$D$46</c:f>
              <c:numCache>
                <c:formatCode>d\ mmmm\ yyyy\ h:mm</c:formatCode>
                <c:ptCount val="8"/>
                <c:pt idx="0">
                  <c:v>41706.020833333336</c:v>
                </c:pt>
                <c:pt idx="1">
                  <c:v>41706.015277777777</c:v>
                </c:pt>
                <c:pt idx="2">
                  <c:v>41706.013888888891</c:v>
                </c:pt>
                <c:pt idx="3">
                  <c:v>41706.015277777777</c:v>
                </c:pt>
                <c:pt idx="4">
                  <c:v>41706.018055555556</c:v>
                </c:pt>
                <c:pt idx="5">
                  <c:v>41706.021527777775</c:v>
                </c:pt>
                <c:pt idx="6">
                  <c:v>41706.015277777777</c:v>
                </c:pt>
                <c:pt idx="7">
                  <c:v>41706.012499999997</c:v>
                </c:pt>
              </c:numCache>
            </c:numRef>
          </c:xVal>
          <c:yVal>
            <c:numRef>
              <c:f>'Endurance vs Range Plot'!$E$39:$E$46</c:f>
              <c:numCache>
                <c:formatCode>#,##0</c:formatCode>
                <c:ptCount val="8"/>
                <c:pt idx="0">
                  <c:v>2133</c:v>
                </c:pt>
                <c:pt idx="1">
                  <c:v>2242</c:v>
                </c:pt>
                <c:pt idx="2">
                  <c:v>2319</c:v>
                </c:pt>
                <c:pt idx="3">
                  <c:v>2359</c:v>
                </c:pt>
                <c:pt idx="4">
                  <c:v>2427</c:v>
                </c:pt>
                <c:pt idx="5">
                  <c:v>2529</c:v>
                </c:pt>
                <c:pt idx="6">
                  <c:v>2685</c:v>
                </c:pt>
                <c:pt idx="7">
                  <c:v>2793</c:v>
                </c:pt>
              </c:numCache>
            </c:numRef>
          </c:yVal>
          <c:smooth val="1"/>
          <c:extLst>
            <c:ext xmlns:c16="http://schemas.microsoft.com/office/drawing/2014/chart" uri="{C3380CC4-5D6E-409C-BE32-E72D297353CC}">
              <c16:uniqueId val="{00000002-5240-4563-BF0A-C0EC3BF3B7F5}"/>
            </c:ext>
          </c:extLst>
        </c:ser>
        <c:dLbls>
          <c:showLegendKey val="0"/>
          <c:showVal val="0"/>
          <c:showCatName val="0"/>
          <c:showSerName val="0"/>
          <c:showPercent val="0"/>
          <c:showBubbleSize val="0"/>
        </c:dLbls>
        <c:axId val="1161594368"/>
        <c:axId val="1161596288"/>
        <c:extLst>
          <c:ext xmlns:c15="http://schemas.microsoft.com/office/drawing/2012/chart" uri="{02D57815-91ED-43cb-92C2-25804820EDAC}">
            <c15:filteredScatterSeries>
              <c15:ser>
                <c:idx val="6"/>
                <c:order val="8"/>
                <c:tx>
                  <c:v>M0.84</c:v>
                </c:tx>
                <c:spPr>
                  <a:ln w="31750">
                    <a:solidFill>
                      <a:srgbClr val="4F81BD"/>
                    </a:solidFill>
                  </a:ln>
                </c:spPr>
                <c:marker>
                  <c:symbol val="none"/>
                </c:marker>
                <c:xVal>
                  <c:numRef>
                    <c:extLst>
                      <c:ext uri="{02D57815-91ED-43cb-92C2-25804820EDAC}">
                        <c15:formulaRef>
                          <c15:sqref>'Endurance Model'!$CP$1:$CU$1</c15:sqref>
                        </c15:formulaRef>
                      </c:ext>
                    </c:extLst>
                    <c:numCache>
                      <c:formatCode>h:mm</c:formatCode>
                      <c:ptCount val="6"/>
                      <c:pt idx="0">
                        <c:v>41706.001388889832</c:v>
                      </c:pt>
                      <c:pt idx="1">
                        <c:v>41706.003472223172</c:v>
                      </c:pt>
                      <c:pt idx="2">
                        <c:v>41705.999305556492</c:v>
                      </c:pt>
                      <c:pt idx="3">
                        <c:v>41705.990277778685</c:v>
                      </c:pt>
                      <c:pt idx="4">
                        <c:v>41705.975694445304</c:v>
                      </c:pt>
                      <c:pt idx="5">
                        <c:v>41705.960416667476</c:v>
                      </c:pt>
                    </c:numCache>
                  </c:numRef>
                </c:xVal>
                <c:yVal>
                  <c:numRef>
                    <c:extLst>
                      <c:ext uri="{02D57815-91ED-43cb-92C2-25804820EDAC}">
                        <c15:formulaRef>
                          <c15:sqref>'Endurance Model'!$CP$21:$CU$21</c15:sqref>
                        </c15:formulaRef>
                      </c:ext>
                    </c:extLst>
                    <c:numCache>
                      <c:formatCode>General</c:formatCode>
                      <c:ptCount val="6"/>
                      <c:pt idx="0">
                        <c:v>410</c:v>
                      </c:pt>
                      <c:pt idx="1">
                        <c:v>390</c:v>
                      </c:pt>
                      <c:pt idx="2">
                        <c:v>370</c:v>
                      </c:pt>
                      <c:pt idx="3">
                        <c:v>350</c:v>
                      </c:pt>
                      <c:pt idx="4">
                        <c:v>325</c:v>
                      </c:pt>
                      <c:pt idx="5">
                        <c:v>300</c:v>
                      </c:pt>
                    </c:numCache>
                  </c:numRef>
                </c:yVal>
                <c:smooth val="1"/>
                <c:extLst>
                  <c:ext xmlns:c16="http://schemas.microsoft.com/office/drawing/2014/chart" uri="{C3380CC4-5D6E-409C-BE32-E72D297353CC}">
                    <c16:uniqueId val="{00000015-5240-4563-BF0A-C0EC3BF3B7F5}"/>
                  </c:ext>
                </c:extLst>
              </c15:ser>
            </c15:filteredScatterSeries>
            <c15:filteredScatterSeries>
              <c15:ser>
                <c:idx val="7"/>
                <c:order val="9"/>
                <c:tx>
                  <c:v>1-Hour HOLD Then LRC</c:v>
                </c:tx>
                <c:spPr>
                  <a:ln w="31750">
                    <a:solidFill>
                      <a:srgbClr val="66FFFF"/>
                    </a:solidFill>
                  </a:ln>
                </c:spPr>
                <c:marker>
                  <c:symbol val="none"/>
                </c:marker>
                <c:xVal>
                  <c:numRef>
                    <c:extLst xmlns:c15="http://schemas.microsoft.com/office/drawing/2012/chart">
                      <c:ext xmlns:c15="http://schemas.microsoft.com/office/drawing/2012/chart" uri="{02D57815-91ED-43cb-92C2-25804820EDAC}">
                        <c15:formulaRef>
                          <c15:sqref>'Endurance Model'!$CV$1:$DE$1</c15:sqref>
                        </c15:formulaRef>
                      </c:ext>
                    </c:extLst>
                    <c:numCache>
                      <c:formatCode>h:mm</c:formatCode>
                      <c:ptCount val="10"/>
                      <c:pt idx="0">
                        <c:v>41706.006944445406</c:v>
                      </c:pt>
                      <c:pt idx="1">
                        <c:v>41706.006944445406</c:v>
                      </c:pt>
                      <c:pt idx="2">
                        <c:v>41706.006250000959</c:v>
                      </c:pt>
                      <c:pt idx="3">
                        <c:v>41706.006250000959</c:v>
                      </c:pt>
                      <c:pt idx="4">
                        <c:v>41706.006944445406</c:v>
                      </c:pt>
                      <c:pt idx="5">
                        <c:v>41706.006250000959</c:v>
                      </c:pt>
                      <c:pt idx="6">
                        <c:v>41706.006944445406</c:v>
                      </c:pt>
                      <c:pt idx="7">
                        <c:v>41706.005555556512</c:v>
                      </c:pt>
                      <c:pt idx="8">
                        <c:v>41706.004861112066</c:v>
                      </c:pt>
                      <c:pt idx="9">
                        <c:v>41706.001388889832</c:v>
                      </c:pt>
                    </c:numCache>
                  </c:numRef>
                </c:xVal>
                <c:yVal>
                  <c:numRef>
                    <c:extLst xmlns:c15="http://schemas.microsoft.com/office/drawing/2012/chart">
                      <c:ext xmlns:c15="http://schemas.microsoft.com/office/drawing/2012/chart" uri="{02D57815-91ED-43cb-92C2-25804820EDAC}">
                        <c15:formulaRef>
                          <c15:sqref>'Endurance Model'!$CV$21:$DE$21</c15:sqref>
                        </c15:formulaRef>
                      </c:ext>
                    </c:extLst>
                    <c:numCache>
                      <c:formatCode>General</c:formatCode>
                      <c:ptCount val="10"/>
                      <c:pt idx="0">
                        <c:v>410</c:v>
                      </c:pt>
                      <c:pt idx="1">
                        <c:v>390</c:v>
                      </c:pt>
                      <c:pt idx="2">
                        <c:v>370</c:v>
                      </c:pt>
                      <c:pt idx="3">
                        <c:v>350</c:v>
                      </c:pt>
                      <c:pt idx="4">
                        <c:v>330</c:v>
                      </c:pt>
                      <c:pt idx="5">
                        <c:v>310</c:v>
                      </c:pt>
                      <c:pt idx="6">
                        <c:v>290</c:v>
                      </c:pt>
                      <c:pt idx="7">
                        <c:v>270</c:v>
                      </c:pt>
                      <c:pt idx="8">
                        <c:v>250</c:v>
                      </c:pt>
                      <c:pt idx="9">
                        <c:v>200</c:v>
                      </c:pt>
                    </c:numCache>
                  </c:numRef>
                </c:yVal>
                <c:smooth val="1"/>
                <c:extLst xmlns:c15="http://schemas.microsoft.com/office/drawing/2012/chart">
                  <c:ext xmlns:c16="http://schemas.microsoft.com/office/drawing/2014/chart" uri="{C3380CC4-5D6E-409C-BE32-E72D297353CC}">
                    <c16:uniqueId val="{00000016-5240-4563-BF0A-C0EC3BF3B7F5}"/>
                  </c:ext>
                </c:extLst>
              </c15:ser>
            </c15:filteredScatterSeries>
            <c15:filteredScatterSeries>
              <c15:ser>
                <c:idx val="8"/>
                <c:order val="10"/>
                <c:tx>
                  <c:v>1-Hour HOLD then LRC (Air Packs OFF)</c:v>
                </c:tx>
                <c:spPr>
                  <a:ln w="31750">
                    <a:solidFill>
                      <a:srgbClr val="C0504D"/>
                    </a:solidFill>
                    <a:prstDash val="sysDash"/>
                  </a:ln>
                </c:spPr>
                <c:marker>
                  <c:symbol val="none"/>
                </c:marker>
                <c:xVal>
                  <c:numRef>
                    <c:extLst xmlns:c15="http://schemas.microsoft.com/office/drawing/2012/chart">
                      <c:ext xmlns:c15="http://schemas.microsoft.com/office/drawing/2012/chart" uri="{02D57815-91ED-43cb-92C2-25804820EDAC}">
                        <c15:formulaRef>
                          <c15:sqref>'Endurance Model'!$DF$1:$DP$1</c15:sqref>
                        </c15:formulaRef>
                      </c:ext>
                    </c:extLst>
                    <c:numCache>
                      <c:formatCode>h:mm</c:formatCode>
                      <c:ptCount val="11"/>
                      <c:pt idx="0">
                        <c:v>41706.011111112086</c:v>
                      </c:pt>
                      <c:pt idx="1">
                        <c:v>41706.011111112086</c:v>
                      </c:pt>
                      <c:pt idx="2">
                        <c:v>41706.011111112086</c:v>
                      </c:pt>
                      <c:pt idx="3">
                        <c:v>41706.010416667639</c:v>
                      </c:pt>
                      <c:pt idx="4">
                        <c:v>41706.011111112086</c:v>
                      </c:pt>
                      <c:pt idx="5">
                        <c:v>41706.011111112086</c:v>
                      </c:pt>
                      <c:pt idx="6">
                        <c:v>41706.011111112086</c:v>
                      </c:pt>
                      <c:pt idx="7">
                        <c:v>41706.010416667639</c:v>
                      </c:pt>
                      <c:pt idx="8">
                        <c:v>41706.009027778746</c:v>
                      </c:pt>
                      <c:pt idx="9">
                        <c:v>41706.007638889852</c:v>
                      </c:pt>
                      <c:pt idx="10">
                        <c:v>41706.005555556512</c:v>
                      </c:pt>
                    </c:numCache>
                  </c:numRef>
                </c:xVal>
                <c:yVal>
                  <c:numRef>
                    <c:extLst xmlns:c15="http://schemas.microsoft.com/office/drawing/2012/chart">
                      <c:ext xmlns:c15="http://schemas.microsoft.com/office/drawing/2012/chart" uri="{02D57815-91ED-43cb-92C2-25804820EDAC}">
                        <c15:formulaRef>
                          <c15:sqref>'Endurance Model'!$DF$21:$DP$21</c15:sqref>
                        </c15:formulaRef>
                      </c:ext>
                    </c:extLst>
                    <c:numCache>
                      <c:formatCode>General</c:formatCode>
                      <c:ptCount val="11"/>
                      <c:pt idx="0">
                        <c:v>410</c:v>
                      </c:pt>
                      <c:pt idx="1">
                        <c:v>390</c:v>
                      </c:pt>
                      <c:pt idx="2">
                        <c:v>370</c:v>
                      </c:pt>
                      <c:pt idx="3">
                        <c:v>350</c:v>
                      </c:pt>
                      <c:pt idx="4">
                        <c:v>330</c:v>
                      </c:pt>
                      <c:pt idx="5">
                        <c:v>310</c:v>
                      </c:pt>
                      <c:pt idx="6">
                        <c:v>290</c:v>
                      </c:pt>
                      <c:pt idx="7">
                        <c:v>270</c:v>
                      </c:pt>
                      <c:pt idx="8">
                        <c:v>250</c:v>
                      </c:pt>
                      <c:pt idx="9">
                        <c:v>230</c:v>
                      </c:pt>
                      <c:pt idx="10">
                        <c:v>200</c:v>
                      </c:pt>
                    </c:numCache>
                  </c:numRef>
                </c:yVal>
                <c:smooth val="1"/>
                <c:extLst xmlns:c15="http://schemas.microsoft.com/office/drawing/2012/chart">
                  <c:ext xmlns:c16="http://schemas.microsoft.com/office/drawing/2014/chart" uri="{C3380CC4-5D6E-409C-BE32-E72D297353CC}">
                    <c16:uniqueId val="{00000017-5240-4563-BF0A-C0EC3BF3B7F5}"/>
                  </c:ext>
                </c:extLst>
              </c15:ser>
            </c15:filteredScatterSeries>
            <c15:filteredScatterSeries>
              <c15:ser>
                <c:idx val="5"/>
                <c:order val="11"/>
                <c:tx>
                  <c:v>250 KCAS</c:v>
                </c:tx>
                <c:spPr>
                  <a:ln w="31750">
                    <a:solidFill>
                      <a:srgbClr val="F79646">
                        <a:lumMod val="75000"/>
                      </a:srgbClr>
                    </a:solidFill>
                  </a:ln>
                </c:spPr>
                <c:marker>
                  <c:symbol val="none"/>
                </c:marker>
                <c:xVal>
                  <c:numRef>
                    <c:extLst xmlns:c15="http://schemas.microsoft.com/office/drawing/2012/chart">
                      <c:ext xmlns:c15="http://schemas.microsoft.com/office/drawing/2012/chart" uri="{02D57815-91ED-43cb-92C2-25804820EDAC}">
                        <c15:formulaRef>
                          <c15:sqref>'Endurance Model'!$CB$48:$CO$48</c15:sqref>
                        </c15:formulaRef>
                      </c:ext>
                    </c:extLst>
                    <c:numCache>
                      <c:formatCode>d\ mmmm\ yyyy\ h:mm:ss</c:formatCode>
                      <c:ptCount val="14"/>
                      <c:pt idx="0">
                        <c:v>41706.018750001</c:v>
                      </c:pt>
                      <c:pt idx="1">
                        <c:v>41706.014583334319</c:v>
                      </c:pt>
                      <c:pt idx="2">
                        <c:v>41706.013888889873</c:v>
                      </c:pt>
                      <c:pt idx="3">
                        <c:v>41706.014583334319</c:v>
                      </c:pt>
                      <c:pt idx="4">
                        <c:v>41706.018750001</c:v>
                      </c:pt>
                      <c:pt idx="5">
                        <c:v>41706.018750001</c:v>
                      </c:pt>
                      <c:pt idx="6">
                        <c:v>41706.02291666768</c:v>
                      </c:pt>
                      <c:pt idx="7">
                        <c:v>41706.026388889914</c:v>
                      </c:pt>
                      <c:pt idx="8">
                        <c:v>41706.027777778807</c:v>
                      </c:pt>
                      <c:pt idx="9">
                        <c:v>41706.027777778807</c:v>
                      </c:pt>
                      <c:pt idx="10">
                        <c:v>41706.023611112127</c:v>
                      </c:pt>
                      <c:pt idx="11">
                        <c:v>41706.015277778766</c:v>
                      </c:pt>
                      <c:pt idx="12">
                        <c:v>41706.011111112086</c:v>
                      </c:pt>
                      <c:pt idx="13">
                        <c:v>41706.000694445385</c:v>
                      </c:pt>
                    </c:numCache>
                  </c:numRef>
                </c:xVal>
                <c:yVal>
                  <c:numRef>
                    <c:extLst xmlns:c15="http://schemas.microsoft.com/office/drawing/2012/chart">
                      <c:ext xmlns:c15="http://schemas.microsoft.com/office/drawing/2012/chart" uri="{02D57815-91ED-43cb-92C2-25804820EDAC}">
                        <c15:formulaRef>
                          <c15:sqref>'Endurance Model'!$CB$21:$CO$21</c15:sqref>
                        </c15:formulaRef>
                      </c:ext>
                    </c:extLst>
                    <c:numCache>
                      <c:formatCode>0.0</c:formatCode>
                      <c:ptCount val="14"/>
                      <c:pt idx="0">
                        <c:v>50</c:v>
                      </c:pt>
                      <c:pt idx="1">
                        <c:v>75</c:v>
                      </c:pt>
                      <c:pt idx="2">
                        <c:v>80</c:v>
                      </c:pt>
                      <c:pt idx="3">
                        <c:v>100</c:v>
                      </c:pt>
                      <c:pt idx="4">
                        <c:v>125</c:v>
                      </c:pt>
                      <c:pt idx="5">
                        <c:v>125</c:v>
                      </c:pt>
                      <c:pt idx="6">
                        <c:v>150</c:v>
                      </c:pt>
                      <c:pt idx="7">
                        <c:v>200</c:v>
                      </c:pt>
                      <c:pt idx="8">
                        <c:v>250</c:v>
                      </c:pt>
                      <c:pt idx="9">
                        <c:v>300</c:v>
                      </c:pt>
                      <c:pt idx="10">
                        <c:v>350</c:v>
                      </c:pt>
                      <c:pt idx="11">
                        <c:v>390</c:v>
                      </c:pt>
                      <c:pt idx="12">
                        <c:v>400</c:v>
                      </c:pt>
                      <c:pt idx="13">
                        <c:v>410</c:v>
                      </c:pt>
                    </c:numCache>
                  </c:numRef>
                </c:yVal>
                <c:smooth val="1"/>
                <c:extLst xmlns:c15="http://schemas.microsoft.com/office/drawing/2012/chart">
                  <c:ext xmlns:c16="http://schemas.microsoft.com/office/drawing/2014/chart" uri="{C3380CC4-5D6E-409C-BE32-E72D297353CC}">
                    <c16:uniqueId val="{00000018-5240-4563-BF0A-C0EC3BF3B7F5}"/>
                  </c:ext>
                </c:extLst>
              </c15:ser>
            </c15:filteredScatterSeries>
          </c:ext>
        </c:extLst>
      </c:scatterChart>
      <c:scatterChart>
        <c:scatterStyle val="lineMarker"/>
        <c:varyColors val="0"/>
        <c:ser>
          <c:idx val="1"/>
          <c:order val="1"/>
          <c:tx>
            <c:strRef>
              <c:f>'Endurance vs Range Plot'!$T$84</c:f>
              <c:strCache>
                <c:ptCount val="1"/>
                <c:pt idx="0">
                  <c:v>± 4 min 1-σ MEFE</c:v>
                </c:pt>
              </c:strCache>
            </c:strRef>
          </c:tx>
          <c:spPr>
            <a:ln w="25400">
              <a:solidFill>
                <a:sysClr val="windowText" lastClr="000000"/>
              </a:solidFill>
              <a:prstDash val="sysDash"/>
            </a:ln>
          </c:spPr>
          <c:marker>
            <c:symbol val="none"/>
          </c:marker>
          <c:xVal>
            <c:numRef>
              <c:f>('Endurance Model'!$AJ$32,'Endurance Model'!$AJ$32,'Endurance Model'!$AJ$33,'Endurance Model'!$AJ$33)</c:f>
              <c:numCache>
                <c:formatCode>0.000</c:formatCode>
                <c:ptCount val="4"/>
                <c:pt idx="0">
                  <c:v>41706.014930555561</c:v>
                </c:pt>
                <c:pt idx="1">
                  <c:v>41706.014930555561</c:v>
                </c:pt>
                <c:pt idx="2">
                  <c:v>41706.009375000001</c:v>
                </c:pt>
                <c:pt idx="3">
                  <c:v>41706.009375000001</c:v>
                </c:pt>
              </c:numCache>
            </c:numRef>
          </c:xVal>
          <c:yVal>
            <c:numRef>
              <c:f>'Endurance vs Range Plot'!$V$84:$V$87</c:f>
              <c:numCache>
                <c:formatCode>#,##0</c:formatCode>
                <c:ptCount val="4"/>
                <c:pt idx="0">
                  <c:v>0</c:v>
                </c:pt>
                <c:pt idx="1">
                  <c:v>5000</c:v>
                </c:pt>
                <c:pt idx="2">
                  <c:v>5000</c:v>
                </c:pt>
                <c:pt idx="3">
                  <c:v>0</c:v>
                </c:pt>
              </c:numCache>
            </c:numRef>
          </c:yVal>
          <c:smooth val="0"/>
          <c:extLst>
            <c:ext xmlns:c16="http://schemas.microsoft.com/office/drawing/2014/chart" uri="{C3380CC4-5D6E-409C-BE32-E72D297353CC}">
              <c16:uniqueId val="{00000003-5240-4563-BF0A-C0EC3BF3B7F5}"/>
            </c:ext>
          </c:extLst>
        </c:ser>
        <c:ser>
          <c:idx val="23"/>
          <c:order val="3"/>
          <c:tx>
            <c:strRef>
              <c:f>'Endurance vs Range Plot'!$B$4</c:f>
              <c:strCache>
                <c:ptCount val="1"/>
                <c:pt idx="0">
                  <c:v>Holding INOP</c:v>
                </c:pt>
              </c:strCache>
            </c:strRef>
          </c:tx>
          <c:spPr>
            <a:ln w="31750">
              <a:solidFill>
                <a:srgbClr val="00FF00"/>
              </a:solidFill>
            </a:ln>
          </c:spPr>
          <c:marker>
            <c:symbol val="none"/>
          </c:marker>
          <c:xVal>
            <c:numRef>
              <c:f>'Endurance vs Range Plot'!$D$4:$D$9</c:f>
              <c:numCache>
                <c:formatCode>d\ mmmm\ yyyy\ h:mm</c:formatCode>
                <c:ptCount val="6"/>
                <c:pt idx="0">
                  <c:v>41706.095833333333</c:v>
                </c:pt>
                <c:pt idx="1">
                  <c:v>41706.097222222219</c:v>
                </c:pt>
                <c:pt idx="2">
                  <c:v>41706.092361111114</c:v>
                </c:pt>
                <c:pt idx="3">
                  <c:v>41706.086805555555</c:v>
                </c:pt>
                <c:pt idx="4">
                  <c:v>41706.07916666667</c:v>
                </c:pt>
                <c:pt idx="5">
                  <c:v>41706.066666666666</c:v>
                </c:pt>
              </c:numCache>
            </c:numRef>
          </c:xVal>
          <c:yVal>
            <c:numRef>
              <c:f>'Endurance vs Range Plot'!$E$4:$E$9</c:f>
              <c:numCache>
                <c:formatCode>#,##0</c:formatCode>
                <c:ptCount val="6"/>
                <c:pt idx="0">
                  <c:v>1812</c:v>
                </c:pt>
                <c:pt idx="1">
                  <c:v>1899</c:v>
                </c:pt>
                <c:pt idx="2">
                  <c:v>1994</c:v>
                </c:pt>
                <c:pt idx="3">
                  <c:v>2097</c:v>
                </c:pt>
                <c:pt idx="4">
                  <c:v>2200</c:v>
                </c:pt>
                <c:pt idx="5">
                  <c:v>2299</c:v>
                </c:pt>
              </c:numCache>
            </c:numRef>
          </c:yVal>
          <c:smooth val="0"/>
          <c:extLst>
            <c:ext xmlns:c16="http://schemas.microsoft.com/office/drawing/2014/chart" uri="{C3380CC4-5D6E-409C-BE32-E72D297353CC}">
              <c16:uniqueId val="{00000004-5240-4563-BF0A-C0EC3BF3B7F5}"/>
            </c:ext>
          </c:extLst>
        </c:ser>
        <c:ser>
          <c:idx val="4"/>
          <c:order val="4"/>
          <c:tx>
            <c:v>LRC</c:v>
          </c:tx>
          <c:spPr>
            <a:ln w="31750">
              <a:solidFill>
                <a:srgbClr val="00B050"/>
              </a:solidFill>
            </a:ln>
          </c:spPr>
          <c:marker>
            <c:symbol val="none"/>
          </c:marker>
          <c:xVal>
            <c:numRef>
              <c:f>'Endurance vs Range Plot'!$D$25:$D$32</c:f>
              <c:numCache>
                <c:formatCode>d\ mmmm\ yyyy\ h:mm</c:formatCode>
                <c:ptCount val="8"/>
                <c:pt idx="0">
                  <c:v>41705.982638888891</c:v>
                </c:pt>
                <c:pt idx="1">
                  <c:v>41705.987500000003</c:v>
                </c:pt>
                <c:pt idx="2">
                  <c:v>41705.994444444441</c:v>
                </c:pt>
                <c:pt idx="3">
                  <c:v>41705.998611111114</c:v>
                </c:pt>
                <c:pt idx="4">
                  <c:v>41706.00277777778</c:v>
                </c:pt>
                <c:pt idx="5">
                  <c:v>41706.004166666666</c:v>
                </c:pt>
                <c:pt idx="6">
                  <c:v>41706.003472222219</c:v>
                </c:pt>
                <c:pt idx="7">
                  <c:v>41706.004166666666</c:v>
                </c:pt>
              </c:numCache>
            </c:numRef>
          </c:xVal>
          <c:yVal>
            <c:numRef>
              <c:f>'Endurance vs Range Plot'!$E$25:$E$32</c:f>
              <c:numCache>
                <c:formatCode>#,##0</c:formatCode>
                <c:ptCount val="8"/>
                <c:pt idx="0">
                  <c:v>1753</c:v>
                </c:pt>
                <c:pt idx="1">
                  <c:v>1847</c:v>
                </c:pt>
                <c:pt idx="2">
                  <c:v>2014</c:v>
                </c:pt>
                <c:pt idx="3">
                  <c:v>2174</c:v>
                </c:pt>
                <c:pt idx="4">
                  <c:v>2348</c:v>
                </c:pt>
                <c:pt idx="5">
                  <c:v>2515</c:v>
                </c:pt>
                <c:pt idx="6">
                  <c:v>2672</c:v>
                </c:pt>
                <c:pt idx="7">
                  <c:v>2757</c:v>
                </c:pt>
              </c:numCache>
            </c:numRef>
          </c:yVal>
          <c:smooth val="0"/>
          <c:extLst>
            <c:ext xmlns:c16="http://schemas.microsoft.com/office/drawing/2014/chart" uri="{C3380CC4-5D6E-409C-BE32-E72D297353CC}">
              <c16:uniqueId val="{00000005-5240-4563-BF0A-C0EC3BF3B7F5}"/>
            </c:ext>
          </c:extLst>
        </c:ser>
        <c:ser>
          <c:idx val="10"/>
          <c:order val="5"/>
          <c:tx>
            <c:strRef>
              <c:f>'Endurance vs Range Plot'!$B$20</c:f>
              <c:strCache>
                <c:ptCount val="1"/>
                <c:pt idx="0">
                  <c:v>LRC INOP</c:v>
                </c:pt>
              </c:strCache>
            </c:strRef>
          </c:tx>
          <c:spPr>
            <a:ln w="31750">
              <a:solidFill>
                <a:srgbClr val="F79646">
                  <a:lumMod val="75000"/>
                </a:srgbClr>
              </a:solidFill>
            </a:ln>
          </c:spPr>
          <c:marker>
            <c:symbol val="none"/>
          </c:marker>
          <c:xVal>
            <c:numRef>
              <c:f>'Endurance vs Range Plot'!$D$20:$D$24</c:f>
              <c:numCache>
                <c:formatCode>d\ mmmm\ yyyy\ h:mm</c:formatCode>
                <c:ptCount val="5"/>
                <c:pt idx="0">
                  <c:v>41706.039583333331</c:v>
                </c:pt>
                <c:pt idx="1">
                  <c:v>41706.036111111112</c:v>
                </c:pt>
                <c:pt idx="2">
                  <c:v>41706.03125</c:v>
                </c:pt>
                <c:pt idx="3">
                  <c:v>41706.026388888888</c:v>
                </c:pt>
                <c:pt idx="4">
                  <c:v>41706.018750000003</c:v>
                </c:pt>
              </c:numCache>
            </c:numRef>
          </c:xVal>
          <c:yVal>
            <c:numRef>
              <c:f>'Endurance vs Range Plot'!$E$20:$E$24</c:f>
              <c:numCache>
                <c:formatCode>#,##0</c:formatCode>
                <c:ptCount val="5"/>
                <c:pt idx="0">
                  <c:v>2100</c:v>
                </c:pt>
                <c:pt idx="1">
                  <c:v>2147</c:v>
                </c:pt>
                <c:pt idx="2">
                  <c:v>2237</c:v>
                </c:pt>
                <c:pt idx="3">
                  <c:v>2331</c:v>
                </c:pt>
                <c:pt idx="4">
                  <c:v>2389</c:v>
                </c:pt>
              </c:numCache>
            </c:numRef>
          </c:yVal>
          <c:smooth val="0"/>
          <c:extLst>
            <c:ext xmlns:c16="http://schemas.microsoft.com/office/drawing/2014/chart" uri="{C3380CC4-5D6E-409C-BE32-E72D297353CC}">
              <c16:uniqueId val="{00000006-5240-4563-BF0A-C0EC3BF3B7F5}"/>
            </c:ext>
          </c:extLst>
        </c:ser>
        <c:ser>
          <c:idx val="9"/>
          <c:order val="7"/>
          <c:tx>
            <c:v>CI52</c:v>
          </c:tx>
          <c:spPr>
            <a:ln w="31750">
              <a:solidFill>
                <a:srgbClr val="00B0F0"/>
              </a:solidFill>
            </a:ln>
          </c:spPr>
          <c:marker>
            <c:symbol val="none"/>
          </c:marker>
          <c:xVal>
            <c:numRef>
              <c:f>'Endurance vs Range Plot'!$D$33:$D$38</c:f>
              <c:numCache>
                <c:formatCode>d\ mmmm\ yyyy\ h:mm</c:formatCode>
                <c:ptCount val="6"/>
                <c:pt idx="0">
                  <c:v>41706.000694444447</c:v>
                </c:pt>
                <c:pt idx="1">
                  <c:v>41705.995138888888</c:v>
                </c:pt>
                <c:pt idx="2">
                  <c:v>41706.005555555559</c:v>
                </c:pt>
                <c:pt idx="3">
                  <c:v>41706.007638888892</c:v>
                </c:pt>
                <c:pt idx="4">
                  <c:v>41706.009027777778</c:v>
                </c:pt>
                <c:pt idx="5">
                  <c:v>41706.010416666664</c:v>
                </c:pt>
              </c:numCache>
            </c:numRef>
          </c:xVal>
          <c:yVal>
            <c:numRef>
              <c:f>'Endurance vs Range Plot'!$E$33:$E$38</c:f>
              <c:numCache>
                <c:formatCode>#,##0</c:formatCode>
                <c:ptCount val="6"/>
                <c:pt idx="0">
                  <c:v>2157</c:v>
                </c:pt>
                <c:pt idx="1">
                  <c:v>2330</c:v>
                </c:pt>
                <c:pt idx="2">
                  <c:v>2517</c:v>
                </c:pt>
                <c:pt idx="3">
                  <c:v>2681</c:v>
                </c:pt>
                <c:pt idx="4">
                  <c:v>2749</c:v>
                </c:pt>
                <c:pt idx="5">
                  <c:v>2791</c:v>
                </c:pt>
              </c:numCache>
            </c:numRef>
          </c:yVal>
          <c:smooth val="0"/>
          <c:extLst>
            <c:ext xmlns:c16="http://schemas.microsoft.com/office/drawing/2014/chart" uri="{C3380CC4-5D6E-409C-BE32-E72D297353CC}">
              <c16:uniqueId val="{00000007-5240-4563-BF0A-C0EC3BF3B7F5}"/>
            </c:ext>
          </c:extLst>
        </c:ser>
        <c:ser>
          <c:idx val="11"/>
          <c:order val="12"/>
          <c:tx>
            <c:strRef>
              <c:f>'Endurance vs Range Plot'!$B$47</c:f>
              <c:strCache>
                <c:ptCount val="1"/>
                <c:pt idx="0">
                  <c:v>1-hr Hold@FL210+LRC</c:v>
                </c:pt>
              </c:strCache>
            </c:strRef>
          </c:tx>
          <c:spPr>
            <a:ln w="31750">
              <a:solidFill>
                <a:srgbClr val="66FFFF"/>
              </a:solidFill>
            </a:ln>
          </c:spPr>
          <c:marker>
            <c:symbol val="none"/>
          </c:marker>
          <c:xVal>
            <c:numRef>
              <c:f>'Endurance vs Range Plot'!$D$47:$D$50</c:f>
              <c:numCache>
                <c:formatCode>d\ mmmm\ yyyy\ h:mm</c:formatCode>
                <c:ptCount val="4"/>
                <c:pt idx="0">
                  <c:v>41706.007638888892</c:v>
                </c:pt>
                <c:pt idx="1">
                  <c:v>41706.009027777778</c:v>
                </c:pt>
                <c:pt idx="2">
                  <c:v>41706.009027777778</c:v>
                </c:pt>
                <c:pt idx="3">
                  <c:v>41706.009722222225</c:v>
                </c:pt>
              </c:numCache>
            </c:numRef>
          </c:xVal>
          <c:yVal>
            <c:numRef>
              <c:f>'Endurance vs Range Plot'!$E$47:$E$50</c:f>
              <c:numCache>
                <c:formatCode>#,##0</c:formatCode>
                <c:ptCount val="4"/>
                <c:pt idx="0">
                  <c:v>1959</c:v>
                </c:pt>
                <c:pt idx="1">
                  <c:v>2103</c:v>
                </c:pt>
                <c:pt idx="2">
                  <c:v>2238</c:v>
                </c:pt>
                <c:pt idx="3">
                  <c:v>2320</c:v>
                </c:pt>
              </c:numCache>
            </c:numRef>
          </c:yVal>
          <c:smooth val="0"/>
          <c:extLst>
            <c:ext xmlns:c16="http://schemas.microsoft.com/office/drawing/2014/chart" uri="{C3380CC4-5D6E-409C-BE32-E72D297353CC}">
              <c16:uniqueId val="{00000008-5240-4563-BF0A-C0EC3BF3B7F5}"/>
            </c:ext>
          </c:extLst>
        </c:ser>
        <c:ser>
          <c:idx val="24"/>
          <c:order val="13"/>
          <c:tx>
            <c:strRef>
              <c:f>'Endurance vs Range Plot'!$B$51</c:f>
              <c:strCache>
                <c:ptCount val="1"/>
                <c:pt idx="0">
                  <c:v>1-hr Hold@FL210+CI52</c:v>
                </c:pt>
              </c:strCache>
            </c:strRef>
          </c:tx>
          <c:spPr>
            <a:ln w="31750">
              <a:solidFill>
                <a:srgbClr val="EEECE1">
                  <a:lumMod val="50000"/>
                </a:srgbClr>
              </a:solidFill>
            </a:ln>
          </c:spPr>
          <c:marker>
            <c:symbol val="none"/>
          </c:marker>
          <c:xVal>
            <c:numRef>
              <c:f>'Endurance vs Range Plot'!$D$51:$D$54</c:f>
              <c:numCache>
                <c:formatCode>d\ mmmm\ yyyy\ h:mm</c:formatCode>
                <c:ptCount val="4"/>
                <c:pt idx="0">
                  <c:v>41706</c:v>
                </c:pt>
                <c:pt idx="1">
                  <c:v>41706.009722222225</c:v>
                </c:pt>
                <c:pt idx="2">
                  <c:v>41706.011805555558</c:v>
                </c:pt>
                <c:pt idx="3">
                  <c:v>41706.013888888891</c:v>
                </c:pt>
              </c:numCache>
            </c:numRef>
          </c:xVal>
          <c:yVal>
            <c:numRef>
              <c:f>'Endurance vs Range Plot'!$E$51:$E$54</c:f>
              <c:numCache>
                <c:formatCode>#,##0</c:formatCode>
                <c:ptCount val="4"/>
                <c:pt idx="0">
                  <c:v>1937</c:v>
                </c:pt>
                <c:pt idx="1">
                  <c:v>2105</c:v>
                </c:pt>
                <c:pt idx="2">
                  <c:v>2239</c:v>
                </c:pt>
                <c:pt idx="3">
                  <c:v>2340</c:v>
                </c:pt>
              </c:numCache>
            </c:numRef>
          </c:yVal>
          <c:smooth val="0"/>
          <c:extLst>
            <c:ext xmlns:c16="http://schemas.microsoft.com/office/drawing/2014/chart" uri="{C3380CC4-5D6E-409C-BE32-E72D297353CC}">
              <c16:uniqueId val="{00000009-5240-4563-BF0A-C0EC3BF3B7F5}"/>
            </c:ext>
          </c:extLst>
        </c:ser>
        <c:ser>
          <c:idx val="12"/>
          <c:order val="14"/>
          <c:tx>
            <c:strRef>
              <c:f>'Endurance vs Range Plot'!$T$60</c:f>
              <c:strCache>
                <c:ptCount val="1"/>
                <c:pt idx="0">
                  <c:v>40S</c:v>
                </c:pt>
              </c:strCache>
            </c:strRef>
          </c:tx>
          <c:spPr>
            <a:ln w="19050">
              <a:prstDash val="dash"/>
            </a:ln>
          </c:spPr>
          <c:marker>
            <c:symbol val="none"/>
          </c:marker>
          <c:xVal>
            <c:numRef>
              <c:f>'Endurance vs Range Plot'!$U$60:$U$61</c:f>
              <c:numCache>
                <c:formatCode>d\ mmmm\ yyyy\ h:mm</c:formatCode>
                <c:ptCount val="2"/>
                <c:pt idx="0">
                  <c:v>41705.958333333336</c:v>
                </c:pt>
                <c:pt idx="1">
                  <c:v>41706.125</c:v>
                </c:pt>
              </c:numCache>
            </c:numRef>
          </c:xVal>
          <c:yVal>
            <c:numRef>
              <c:f>'Endurance vs Range Plot'!$V$60:$V$61</c:f>
              <c:numCache>
                <c:formatCode>#,##0</c:formatCode>
                <c:ptCount val="2"/>
                <c:pt idx="0">
                  <c:v>2890</c:v>
                </c:pt>
                <c:pt idx="1">
                  <c:v>2890</c:v>
                </c:pt>
              </c:numCache>
            </c:numRef>
          </c:yVal>
          <c:smooth val="0"/>
          <c:extLst>
            <c:ext xmlns:c16="http://schemas.microsoft.com/office/drawing/2014/chart" uri="{C3380CC4-5D6E-409C-BE32-E72D297353CC}">
              <c16:uniqueId val="{0000000A-5240-4563-BF0A-C0EC3BF3B7F5}"/>
            </c:ext>
          </c:extLst>
        </c:ser>
        <c:ser>
          <c:idx val="13"/>
          <c:order val="15"/>
          <c:tx>
            <c:strRef>
              <c:f>'Endurance vs Range Plot'!$T$62</c:f>
              <c:strCache>
                <c:ptCount val="1"/>
                <c:pt idx="0">
                  <c:v>38S</c:v>
                </c:pt>
              </c:strCache>
            </c:strRef>
          </c:tx>
          <c:spPr>
            <a:ln w="19050">
              <a:prstDash val="dash"/>
            </a:ln>
          </c:spPr>
          <c:marker>
            <c:symbol val="none"/>
          </c:marker>
          <c:xVal>
            <c:numRef>
              <c:f>'Endurance vs Range Plot'!$U$62:$U$63</c:f>
              <c:numCache>
                <c:formatCode>d\ mmmm\ yyyy\ h:mm</c:formatCode>
                <c:ptCount val="2"/>
                <c:pt idx="0">
                  <c:v>41705.958333333336</c:v>
                </c:pt>
                <c:pt idx="1">
                  <c:v>41706.125</c:v>
                </c:pt>
              </c:numCache>
            </c:numRef>
          </c:xVal>
          <c:yVal>
            <c:numRef>
              <c:f>'Endurance vs Range Plot'!$V$62:$V$63</c:f>
              <c:numCache>
                <c:formatCode>#,##0</c:formatCode>
                <c:ptCount val="2"/>
                <c:pt idx="0">
                  <c:v>2730</c:v>
                </c:pt>
                <c:pt idx="1">
                  <c:v>2730</c:v>
                </c:pt>
              </c:numCache>
            </c:numRef>
          </c:yVal>
          <c:smooth val="0"/>
          <c:extLst>
            <c:ext xmlns:c16="http://schemas.microsoft.com/office/drawing/2014/chart" uri="{C3380CC4-5D6E-409C-BE32-E72D297353CC}">
              <c16:uniqueId val="{0000000B-5240-4563-BF0A-C0EC3BF3B7F5}"/>
            </c:ext>
          </c:extLst>
        </c:ser>
        <c:ser>
          <c:idx val="14"/>
          <c:order val="16"/>
          <c:tx>
            <c:strRef>
              <c:f>'Endurance vs Range Plot'!$T$64</c:f>
              <c:strCache>
                <c:ptCount val="1"/>
                <c:pt idx="0">
                  <c:v>36S</c:v>
                </c:pt>
              </c:strCache>
            </c:strRef>
          </c:tx>
          <c:spPr>
            <a:ln w="19050">
              <a:prstDash val="dash"/>
            </a:ln>
          </c:spPr>
          <c:marker>
            <c:symbol val="none"/>
          </c:marker>
          <c:xVal>
            <c:numRef>
              <c:f>'Endurance vs Range Plot'!$U$64:$U$65</c:f>
              <c:numCache>
                <c:formatCode>d\ mmmm\ yyyy\ h:mm</c:formatCode>
                <c:ptCount val="2"/>
                <c:pt idx="0">
                  <c:v>41705.958333333336</c:v>
                </c:pt>
                <c:pt idx="1">
                  <c:v>41706.125</c:v>
                </c:pt>
              </c:numCache>
            </c:numRef>
          </c:xVal>
          <c:yVal>
            <c:numRef>
              <c:f>'Endurance vs Range Plot'!$V$64:$V$65</c:f>
              <c:numCache>
                <c:formatCode>#,##0</c:formatCode>
                <c:ptCount val="2"/>
                <c:pt idx="0">
                  <c:v>2585</c:v>
                </c:pt>
                <c:pt idx="1">
                  <c:v>2585</c:v>
                </c:pt>
              </c:numCache>
            </c:numRef>
          </c:yVal>
          <c:smooth val="0"/>
          <c:extLst>
            <c:ext xmlns:c16="http://schemas.microsoft.com/office/drawing/2014/chart" uri="{C3380CC4-5D6E-409C-BE32-E72D297353CC}">
              <c16:uniqueId val="{0000000C-5240-4563-BF0A-C0EC3BF3B7F5}"/>
            </c:ext>
          </c:extLst>
        </c:ser>
        <c:ser>
          <c:idx val="15"/>
          <c:order val="17"/>
          <c:tx>
            <c:strRef>
              <c:f>'Endurance vs Range Plot'!$T$66</c:f>
              <c:strCache>
                <c:ptCount val="1"/>
                <c:pt idx="0">
                  <c:v>34S</c:v>
                </c:pt>
              </c:strCache>
            </c:strRef>
          </c:tx>
          <c:spPr>
            <a:ln w="19050" cmpd="sng">
              <a:solidFill>
                <a:srgbClr val="8064A2"/>
              </a:solidFill>
              <a:prstDash val="dash"/>
            </a:ln>
          </c:spPr>
          <c:marker>
            <c:symbol val="none"/>
          </c:marker>
          <c:xVal>
            <c:numRef>
              <c:f>'Endurance vs Range Plot'!$U$66:$U$67</c:f>
              <c:numCache>
                <c:formatCode>d\ mmmm\ yyyy\ h:mm</c:formatCode>
                <c:ptCount val="2"/>
                <c:pt idx="0">
                  <c:v>41705.958333333336</c:v>
                </c:pt>
                <c:pt idx="1">
                  <c:v>41706.125</c:v>
                </c:pt>
              </c:numCache>
            </c:numRef>
          </c:xVal>
          <c:yVal>
            <c:numRef>
              <c:f>'Endurance vs Range Plot'!$V$66:$V$67</c:f>
              <c:numCache>
                <c:formatCode>#,##0</c:formatCode>
                <c:ptCount val="2"/>
                <c:pt idx="0">
                  <c:v>2460</c:v>
                </c:pt>
                <c:pt idx="1">
                  <c:v>2460</c:v>
                </c:pt>
              </c:numCache>
            </c:numRef>
          </c:yVal>
          <c:smooth val="0"/>
          <c:extLst>
            <c:ext xmlns:c16="http://schemas.microsoft.com/office/drawing/2014/chart" uri="{C3380CC4-5D6E-409C-BE32-E72D297353CC}">
              <c16:uniqueId val="{0000000D-5240-4563-BF0A-C0EC3BF3B7F5}"/>
            </c:ext>
          </c:extLst>
        </c:ser>
        <c:ser>
          <c:idx val="16"/>
          <c:order val="18"/>
          <c:tx>
            <c:strRef>
              <c:f>'Endurance vs Range Plot'!$T$68</c:f>
              <c:strCache>
                <c:ptCount val="1"/>
                <c:pt idx="0">
                  <c:v>32S</c:v>
                </c:pt>
              </c:strCache>
            </c:strRef>
          </c:tx>
          <c:spPr>
            <a:ln w="19050">
              <a:prstDash val="dash"/>
            </a:ln>
          </c:spPr>
          <c:marker>
            <c:symbol val="none"/>
          </c:marker>
          <c:xVal>
            <c:numRef>
              <c:f>'Endurance vs Range Plot'!$U$68:$U$69</c:f>
              <c:numCache>
                <c:formatCode>d\ mmmm\ yyyy\ h:mm</c:formatCode>
                <c:ptCount val="2"/>
                <c:pt idx="0">
                  <c:v>41705.958333333336</c:v>
                </c:pt>
                <c:pt idx="1">
                  <c:v>41706.125</c:v>
                </c:pt>
              </c:numCache>
            </c:numRef>
          </c:xVal>
          <c:yVal>
            <c:numRef>
              <c:f>'Endurance vs Range Plot'!$V$68:$V$69</c:f>
              <c:numCache>
                <c:formatCode>#,##0</c:formatCode>
                <c:ptCount val="2"/>
                <c:pt idx="0">
                  <c:v>2340</c:v>
                </c:pt>
                <c:pt idx="1">
                  <c:v>2340</c:v>
                </c:pt>
              </c:numCache>
            </c:numRef>
          </c:yVal>
          <c:smooth val="0"/>
          <c:extLst>
            <c:ext xmlns:c16="http://schemas.microsoft.com/office/drawing/2014/chart" uri="{C3380CC4-5D6E-409C-BE32-E72D297353CC}">
              <c16:uniqueId val="{0000000E-5240-4563-BF0A-C0EC3BF3B7F5}"/>
            </c:ext>
          </c:extLst>
        </c:ser>
        <c:ser>
          <c:idx val="17"/>
          <c:order val="19"/>
          <c:tx>
            <c:strRef>
              <c:f>'Endurance vs Range Plot'!$T$70</c:f>
              <c:strCache>
                <c:ptCount val="1"/>
                <c:pt idx="0">
                  <c:v>30S</c:v>
                </c:pt>
              </c:strCache>
            </c:strRef>
          </c:tx>
          <c:spPr>
            <a:ln w="19050">
              <a:prstDash val="dash"/>
            </a:ln>
          </c:spPr>
          <c:marker>
            <c:symbol val="none"/>
          </c:marker>
          <c:xVal>
            <c:numRef>
              <c:f>'Endurance vs Range Plot'!$U$70:$U$71</c:f>
              <c:numCache>
                <c:formatCode>d\ mmmm\ yyyy\ h:mm</c:formatCode>
                <c:ptCount val="2"/>
                <c:pt idx="0">
                  <c:v>41705.958333333336</c:v>
                </c:pt>
                <c:pt idx="1">
                  <c:v>41706.125</c:v>
                </c:pt>
              </c:numCache>
            </c:numRef>
          </c:xVal>
          <c:yVal>
            <c:numRef>
              <c:f>'Endurance vs Range Plot'!$V$70:$V$71</c:f>
              <c:numCache>
                <c:formatCode>#,##0</c:formatCode>
                <c:ptCount val="2"/>
                <c:pt idx="0">
                  <c:v>2230</c:v>
                </c:pt>
                <c:pt idx="1">
                  <c:v>2230</c:v>
                </c:pt>
              </c:numCache>
            </c:numRef>
          </c:yVal>
          <c:smooth val="0"/>
          <c:extLst>
            <c:ext xmlns:c16="http://schemas.microsoft.com/office/drawing/2014/chart" uri="{C3380CC4-5D6E-409C-BE32-E72D297353CC}">
              <c16:uniqueId val="{0000000F-5240-4563-BF0A-C0EC3BF3B7F5}"/>
            </c:ext>
          </c:extLst>
        </c:ser>
        <c:ser>
          <c:idx val="18"/>
          <c:order val="20"/>
          <c:tx>
            <c:strRef>
              <c:f>'Endurance vs Range Plot'!$T$72</c:f>
              <c:strCache>
                <c:ptCount val="1"/>
                <c:pt idx="0">
                  <c:v>28S</c:v>
                </c:pt>
              </c:strCache>
            </c:strRef>
          </c:tx>
          <c:spPr>
            <a:ln w="19050">
              <a:prstDash val="dash"/>
            </a:ln>
          </c:spPr>
          <c:marker>
            <c:symbol val="none"/>
          </c:marker>
          <c:xVal>
            <c:numRef>
              <c:f>'Endurance vs Range Plot'!$U$72:$U$73</c:f>
              <c:numCache>
                <c:formatCode>d\ mmmm\ yyyy\ h:mm</c:formatCode>
                <c:ptCount val="2"/>
                <c:pt idx="0">
                  <c:v>41705.958333333336</c:v>
                </c:pt>
                <c:pt idx="1">
                  <c:v>41706.125</c:v>
                </c:pt>
              </c:numCache>
            </c:numRef>
          </c:xVal>
          <c:yVal>
            <c:numRef>
              <c:f>'Endurance vs Range Plot'!$V$72:$V$73</c:f>
              <c:numCache>
                <c:formatCode>#,##0</c:formatCode>
                <c:ptCount val="2"/>
                <c:pt idx="0">
                  <c:v>2110</c:v>
                </c:pt>
                <c:pt idx="1">
                  <c:v>2110</c:v>
                </c:pt>
              </c:numCache>
            </c:numRef>
          </c:yVal>
          <c:smooth val="0"/>
          <c:extLst>
            <c:ext xmlns:c16="http://schemas.microsoft.com/office/drawing/2014/chart" uri="{C3380CC4-5D6E-409C-BE32-E72D297353CC}">
              <c16:uniqueId val="{00000010-5240-4563-BF0A-C0EC3BF3B7F5}"/>
            </c:ext>
          </c:extLst>
        </c:ser>
        <c:ser>
          <c:idx val="19"/>
          <c:order val="21"/>
          <c:tx>
            <c:strRef>
              <c:f>'Endurance vs Range Plot'!$T$74</c:f>
              <c:strCache>
                <c:ptCount val="1"/>
                <c:pt idx="0">
                  <c:v>26S</c:v>
                </c:pt>
              </c:strCache>
            </c:strRef>
          </c:tx>
          <c:spPr>
            <a:ln w="19050">
              <a:prstDash val="dash"/>
            </a:ln>
          </c:spPr>
          <c:marker>
            <c:symbol val="none"/>
          </c:marker>
          <c:xVal>
            <c:numRef>
              <c:f>'Endurance vs Range Plot'!$U$74:$U$75</c:f>
              <c:numCache>
                <c:formatCode>d\ mmmm\ yyyy\ h:mm</c:formatCode>
                <c:ptCount val="2"/>
                <c:pt idx="0">
                  <c:v>41705.958333333336</c:v>
                </c:pt>
                <c:pt idx="1">
                  <c:v>41706.125</c:v>
                </c:pt>
              </c:numCache>
            </c:numRef>
          </c:xVal>
          <c:yVal>
            <c:numRef>
              <c:f>'Endurance vs Range Plot'!$V$74:$V$75</c:f>
              <c:numCache>
                <c:formatCode>#,##0</c:formatCode>
                <c:ptCount val="2"/>
                <c:pt idx="0">
                  <c:v>2010</c:v>
                </c:pt>
                <c:pt idx="1">
                  <c:v>2010</c:v>
                </c:pt>
              </c:numCache>
            </c:numRef>
          </c:yVal>
          <c:smooth val="0"/>
          <c:extLst>
            <c:ext xmlns:c16="http://schemas.microsoft.com/office/drawing/2014/chart" uri="{C3380CC4-5D6E-409C-BE32-E72D297353CC}">
              <c16:uniqueId val="{00000011-5240-4563-BF0A-C0EC3BF3B7F5}"/>
            </c:ext>
          </c:extLst>
        </c:ser>
        <c:ser>
          <c:idx val="20"/>
          <c:order val="22"/>
          <c:tx>
            <c:strRef>
              <c:f>'Endurance vs Range Plot'!$T$76</c:f>
              <c:strCache>
                <c:ptCount val="1"/>
                <c:pt idx="0">
                  <c:v>24S</c:v>
                </c:pt>
              </c:strCache>
            </c:strRef>
          </c:tx>
          <c:spPr>
            <a:ln w="25400">
              <a:prstDash val="dash"/>
            </a:ln>
          </c:spPr>
          <c:marker>
            <c:symbol val="none"/>
          </c:marker>
          <c:xVal>
            <c:numRef>
              <c:f>'Endurance vs Range Plot'!$U$76:$U$77</c:f>
              <c:numCache>
                <c:formatCode>d\ mmmm\ yyyy\ h:mm</c:formatCode>
                <c:ptCount val="2"/>
                <c:pt idx="0">
                  <c:v>41705.958333333336</c:v>
                </c:pt>
                <c:pt idx="1">
                  <c:v>41706.125</c:v>
                </c:pt>
              </c:numCache>
            </c:numRef>
          </c:xVal>
          <c:yVal>
            <c:numRef>
              <c:f>'Endurance vs Range Plot'!$V$76:$V$77</c:f>
              <c:numCache>
                <c:formatCode>#,##0</c:formatCode>
                <c:ptCount val="2"/>
                <c:pt idx="0">
                  <c:v>1900</c:v>
                </c:pt>
                <c:pt idx="1">
                  <c:v>1900</c:v>
                </c:pt>
              </c:numCache>
            </c:numRef>
          </c:yVal>
          <c:smooth val="0"/>
          <c:extLst>
            <c:ext xmlns:c16="http://schemas.microsoft.com/office/drawing/2014/chart" uri="{C3380CC4-5D6E-409C-BE32-E72D297353CC}">
              <c16:uniqueId val="{00000012-5240-4563-BF0A-C0EC3BF3B7F5}"/>
            </c:ext>
          </c:extLst>
        </c:ser>
        <c:ser>
          <c:idx val="21"/>
          <c:order val="23"/>
          <c:tx>
            <c:strRef>
              <c:f>'Endurance vs Range Plot'!$T$78</c:f>
              <c:strCache>
                <c:ptCount val="1"/>
                <c:pt idx="0">
                  <c:v>22S</c:v>
                </c:pt>
              </c:strCache>
            </c:strRef>
          </c:tx>
          <c:spPr>
            <a:ln w="25400">
              <a:prstDash val="dash"/>
            </a:ln>
          </c:spPr>
          <c:marker>
            <c:symbol val="none"/>
          </c:marker>
          <c:xVal>
            <c:numRef>
              <c:f>'Endurance vs Range Plot'!$U$78:$U$79</c:f>
              <c:numCache>
                <c:formatCode>d\ mmmm\ yyyy\ h:mm</c:formatCode>
                <c:ptCount val="2"/>
                <c:pt idx="0">
                  <c:v>41705.958333333336</c:v>
                </c:pt>
                <c:pt idx="1">
                  <c:v>41706.125</c:v>
                </c:pt>
              </c:numCache>
            </c:numRef>
          </c:xVal>
          <c:yVal>
            <c:numRef>
              <c:f>'Endurance vs Range Plot'!$V$78:$V$79</c:f>
              <c:numCache>
                <c:formatCode>#,##0</c:formatCode>
                <c:ptCount val="2"/>
                <c:pt idx="0">
                  <c:v>1800</c:v>
                </c:pt>
                <c:pt idx="1">
                  <c:v>1800</c:v>
                </c:pt>
              </c:numCache>
            </c:numRef>
          </c:yVal>
          <c:smooth val="0"/>
          <c:extLst>
            <c:ext xmlns:c16="http://schemas.microsoft.com/office/drawing/2014/chart" uri="{C3380CC4-5D6E-409C-BE32-E72D297353CC}">
              <c16:uniqueId val="{00000013-5240-4563-BF0A-C0EC3BF3B7F5}"/>
            </c:ext>
          </c:extLst>
        </c:ser>
        <c:ser>
          <c:idx val="22"/>
          <c:order val="24"/>
          <c:tx>
            <c:strRef>
              <c:f>'Endurance vs Range Plot'!$T$80</c:f>
              <c:strCache>
                <c:ptCount val="1"/>
                <c:pt idx="0">
                  <c:v>20S</c:v>
                </c:pt>
              </c:strCache>
            </c:strRef>
          </c:tx>
          <c:spPr>
            <a:ln w="19050">
              <a:prstDash val="dash"/>
            </a:ln>
          </c:spPr>
          <c:marker>
            <c:symbol val="none"/>
          </c:marker>
          <c:xVal>
            <c:numRef>
              <c:f>'Endurance vs Range Plot'!$U$80:$U$81</c:f>
              <c:numCache>
                <c:formatCode>d\ mmmm\ yyyy\ h:mm</c:formatCode>
                <c:ptCount val="2"/>
                <c:pt idx="0">
                  <c:v>41705.958333333336</c:v>
                </c:pt>
                <c:pt idx="1">
                  <c:v>41706.125</c:v>
                </c:pt>
              </c:numCache>
            </c:numRef>
          </c:xVal>
          <c:yVal>
            <c:numRef>
              <c:f>'Endurance vs Range Plot'!$V$80:$V$81</c:f>
              <c:numCache>
                <c:formatCode>#,##0</c:formatCode>
                <c:ptCount val="2"/>
                <c:pt idx="0">
                  <c:v>1710</c:v>
                </c:pt>
                <c:pt idx="1">
                  <c:v>1710</c:v>
                </c:pt>
              </c:numCache>
            </c:numRef>
          </c:yVal>
          <c:smooth val="0"/>
          <c:extLst>
            <c:ext xmlns:c16="http://schemas.microsoft.com/office/drawing/2014/chart" uri="{C3380CC4-5D6E-409C-BE32-E72D297353CC}">
              <c16:uniqueId val="{00000014-5240-4563-BF0A-C0EC3BF3B7F5}"/>
            </c:ext>
          </c:extLst>
        </c:ser>
        <c:ser>
          <c:idx val="25"/>
          <c:order val="25"/>
          <c:tx>
            <c:strRef>
              <c:f>'Endurance vs Range Plot'!$B$55</c:f>
              <c:strCache>
                <c:ptCount val="1"/>
                <c:pt idx="0">
                  <c:v>M0.84</c:v>
                </c:pt>
              </c:strCache>
            </c:strRef>
          </c:tx>
          <c:spPr>
            <a:ln w="41275">
              <a:solidFill>
                <a:srgbClr val="FF0000"/>
              </a:solidFill>
              <a:prstDash val="sysDot"/>
            </a:ln>
          </c:spPr>
          <c:marker>
            <c:symbol val="none"/>
          </c:marker>
          <c:xVal>
            <c:numRef>
              <c:f>'Endurance vs Range Plot'!$D$55:$D$58</c:f>
              <c:numCache>
                <c:formatCode>d\ mmmm\ yyyy\ h:mm</c:formatCode>
                <c:ptCount val="4"/>
                <c:pt idx="0">
                  <c:v>41706.004166666666</c:v>
                </c:pt>
                <c:pt idx="1">
                  <c:v>41706.00277777778</c:v>
                </c:pt>
                <c:pt idx="2">
                  <c:v>41705.996527777781</c:v>
                </c:pt>
                <c:pt idx="3">
                  <c:v>41705.98541666667</c:v>
                </c:pt>
              </c:numCache>
            </c:numRef>
          </c:xVal>
          <c:yVal>
            <c:numRef>
              <c:f>'Endurance vs Range Plot'!$E$55:$E$58</c:f>
              <c:numCache>
                <c:formatCode>#,##0</c:formatCode>
                <c:ptCount val="4"/>
                <c:pt idx="0">
                  <c:v>2758</c:v>
                </c:pt>
                <c:pt idx="1">
                  <c:v>2741</c:v>
                </c:pt>
                <c:pt idx="2">
                  <c:v>2670</c:v>
                </c:pt>
                <c:pt idx="3">
                  <c:v>2564</c:v>
                </c:pt>
              </c:numCache>
            </c:numRef>
          </c:yVal>
          <c:smooth val="0"/>
          <c:extLst>
            <c:ext xmlns:c16="http://schemas.microsoft.com/office/drawing/2014/chart" uri="{C3380CC4-5D6E-409C-BE32-E72D297353CC}">
              <c16:uniqueId val="{00000019-5240-4563-BF0A-C0EC3BF3B7F5}"/>
            </c:ext>
          </c:extLst>
        </c:ser>
        <c:ser>
          <c:idx val="26"/>
          <c:order val="26"/>
          <c:tx>
            <c:strRef>
              <c:f>'Endurance vs Range Plot'!$B$59</c:f>
              <c:strCache>
                <c:ptCount val="1"/>
                <c:pt idx="0">
                  <c:v>M0.82</c:v>
                </c:pt>
              </c:strCache>
            </c:strRef>
          </c:tx>
          <c:spPr>
            <a:ln w="41275">
              <a:solidFill>
                <a:srgbClr val="00FF00"/>
              </a:solidFill>
              <a:prstDash val="sysDot"/>
            </a:ln>
          </c:spPr>
          <c:marker>
            <c:symbol val="none"/>
          </c:marker>
          <c:xVal>
            <c:numRef>
              <c:f>'Endurance vs Range Plot'!$D$59:$D$66</c:f>
              <c:numCache>
                <c:formatCode>d\ mmmm\ yyyy\ h:mm</c:formatCode>
                <c:ptCount val="8"/>
                <c:pt idx="0">
                  <c:v>41706.011805555558</c:v>
                </c:pt>
                <c:pt idx="1">
                  <c:v>41706.013194444444</c:v>
                </c:pt>
                <c:pt idx="2">
                  <c:v>41706.012499999997</c:v>
                </c:pt>
                <c:pt idx="3">
                  <c:v>41706.011111111111</c:v>
                </c:pt>
                <c:pt idx="4">
                  <c:v>41706.009027777778</c:v>
                </c:pt>
                <c:pt idx="5">
                  <c:v>41706.005555555559</c:v>
                </c:pt>
                <c:pt idx="6">
                  <c:v>41706.000694444447</c:v>
                </c:pt>
                <c:pt idx="7">
                  <c:v>41705.995138888888</c:v>
                </c:pt>
              </c:numCache>
            </c:numRef>
          </c:xVal>
          <c:yVal>
            <c:numRef>
              <c:f>'Endurance vs Range Plot'!$E$59:$E$66</c:f>
              <c:numCache>
                <c:formatCode>#,##0</c:formatCode>
                <c:ptCount val="8"/>
                <c:pt idx="0">
                  <c:v>2780</c:v>
                </c:pt>
                <c:pt idx="1">
                  <c:v>2795</c:v>
                </c:pt>
                <c:pt idx="2">
                  <c:v>2788</c:v>
                </c:pt>
                <c:pt idx="3">
                  <c:v>2774</c:v>
                </c:pt>
                <c:pt idx="4">
                  <c:v>2750</c:v>
                </c:pt>
                <c:pt idx="5">
                  <c:v>2711</c:v>
                </c:pt>
                <c:pt idx="6">
                  <c:v>2666</c:v>
                </c:pt>
                <c:pt idx="7">
                  <c:v>2615</c:v>
                </c:pt>
              </c:numCache>
            </c:numRef>
          </c:yVal>
          <c:smooth val="0"/>
          <c:extLst>
            <c:ext xmlns:c16="http://schemas.microsoft.com/office/drawing/2014/chart" uri="{C3380CC4-5D6E-409C-BE32-E72D297353CC}">
              <c16:uniqueId val="{0000001A-5240-4563-BF0A-C0EC3BF3B7F5}"/>
            </c:ext>
          </c:extLst>
        </c:ser>
        <c:ser>
          <c:idx val="27"/>
          <c:order val="27"/>
          <c:tx>
            <c:strRef>
              <c:f>'Endurance vs Range Plot'!$B$67</c:f>
              <c:strCache>
                <c:ptCount val="1"/>
                <c:pt idx="0">
                  <c:v>M0.80</c:v>
                </c:pt>
              </c:strCache>
            </c:strRef>
          </c:tx>
          <c:spPr>
            <a:ln w="41275">
              <a:prstDash val="sysDot"/>
            </a:ln>
          </c:spPr>
          <c:marker>
            <c:symbol val="none"/>
          </c:marker>
          <c:xVal>
            <c:numRef>
              <c:f>'Endurance vs Range Plot'!$D$67:$D$75</c:f>
              <c:numCache>
                <c:formatCode>d\ mmmm\ yyyy\ h:mm</c:formatCode>
                <c:ptCount val="9"/>
                <c:pt idx="0">
                  <c:v>41706.015277777777</c:v>
                </c:pt>
                <c:pt idx="1">
                  <c:v>41706.017361111109</c:v>
                </c:pt>
                <c:pt idx="2">
                  <c:v>41706.017361111109</c:v>
                </c:pt>
                <c:pt idx="3">
                  <c:v>41706.01666666667</c:v>
                </c:pt>
                <c:pt idx="4">
                  <c:v>41706.01458333333</c:v>
                </c:pt>
                <c:pt idx="5">
                  <c:v>41706.011805555558</c:v>
                </c:pt>
                <c:pt idx="6">
                  <c:v>41706.007638888892</c:v>
                </c:pt>
                <c:pt idx="7">
                  <c:v>41706.00277777778</c:v>
                </c:pt>
                <c:pt idx="8">
                  <c:v>41705.997916666667</c:v>
                </c:pt>
              </c:numCache>
            </c:numRef>
          </c:xVal>
          <c:yVal>
            <c:numRef>
              <c:f>'Endurance vs Range Plot'!$E$67:$E$75</c:f>
              <c:numCache>
                <c:formatCode>#,##0</c:formatCode>
                <c:ptCount val="9"/>
                <c:pt idx="0">
                  <c:v>2753</c:v>
                </c:pt>
                <c:pt idx="1">
                  <c:v>2775</c:v>
                </c:pt>
                <c:pt idx="2">
                  <c:v>2775</c:v>
                </c:pt>
                <c:pt idx="3">
                  <c:v>2767</c:v>
                </c:pt>
                <c:pt idx="4">
                  <c:v>2746</c:v>
                </c:pt>
                <c:pt idx="5">
                  <c:v>2715</c:v>
                </c:pt>
                <c:pt idx="6">
                  <c:v>2680</c:v>
                </c:pt>
                <c:pt idx="7">
                  <c:v>2638</c:v>
                </c:pt>
                <c:pt idx="8">
                  <c:v>2594</c:v>
                </c:pt>
              </c:numCache>
            </c:numRef>
          </c:yVal>
          <c:smooth val="0"/>
          <c:extLst>
            <c:ext xmlns:c16="http://schemas.microsoft.com/office/drawing/2014/chart" uri="{C3380CC4-5D6E-409C-BE32-E72D297353CC}">
              <c16:uniqueId val="{0000001B-5240-4563-BF0A-C0EC3BF3B7F5}"/>
            </c:ext>
          </c:extLst>
        </c:ser>
        <c:ser>
          <c:idx val="28"/>
          <c:order val="28"/>
          <c:tx>
            <c:strRef>
              <c:f>'Endurance vs Range Plot'!$B$76</c:f>
              <c:strCache>
                <c:ptCount val="1"/>
                <c:pt idx="0">
                  <c:v>M0.78</c:v>
                </c:pt>
              </c:strCache>
            </c:strRef>
          </c:tx>
          <c:spPr>
            <a:ln w="41275">
              <a:prstDash val="sysDot"/>
            </a:ln>
          </c:spPr>
          <c:marker>
            <c:symbol val="none"/>
          </c:marker>
          <c:xVal>
            <c:numRef>
              <c:f>'Endurance vs Range Plot'!$D$76:$D$84</c:f>
              <c:numCache>
                <c:formatCode>d\ mmmm\ yyyy\ h:mm</c:formatCode>
                <c:ptCount val="9"/>
                <c:pt idx="0">
                  <c:v>41706.01666666667</c:v>
                </c:pt>
                <c:pt idx="1">
                  <c:v>41706.019444444442</c:v>
                </c:pt>
                <c:pt idx="2">
                  <c:v>41706.020138888889</c:v>
                </c:pt>
                <c:pt idx="3">
                  <c:v>41706.017361111109</c:v>
                </c:pt>
                <c:pt idx="4">
                  <c:v>41706.013194444444</c:v>
                </c:pt>
                <c:pt idx="5">
                  <c:v>41706.009722222225</c:v>
                </c:pt>
                <c:pt idx="6">
                  <c:v>41706.005555555559</c:v>
                </c:pt>
                <c:pt idx="7">
                  <c:v>41706.000694444447</c:v>
                </c:pt>
                <c:pt idx="8">
                  <c:v>41705.995833333334</c:v>
                </c:pt>
              </c:numCache>
            </c:numRef>
          </c:xVal>
          <c:yVal>
            <c:numRef>
              <c:f>'Endurance vs Range Plot'!$E$76:$E$84</c:f>
              <c:numCache>
                <c:formatCode>#,##0</c:formatCode>
                <c:ptCount val="9"/>
                <c:pt idx="0">
                  <c:v>2700</c:v>
                </c:pt>
                <c:pt idx="1">
                  <c:v>2730</c:v>
                </c:pt>
                <c:pt idx="2">
                  <c:v>2738</c:v>
                </c:pt>
                <c:pt idx="3">
                  <c:v>2709</c:v>
                </c:pt>
                <c:pt idx="4">
                  <c:v>2676</c:v>
                </c:pt>
                <c:pt idx="5">
                  <c:v>2647</c:v>
                </c:pt>
                <c:pt idx="6">
                  <c:v>2614</c:v>
                </c:pt>
                <c:pt idx="7">
                  <c:v>2573</c:v>
                </c:pt>
                <c:pt idx="8">
                  <c:v>2528</c:v>
                </c:pt>
              </c:numCache>
            </c:numRef>
          </c:yVal>
          <c:smooth val="0"/>
          <c:extLst>
            <c:ext xmlns:c16="http://schemas.microsoft.com/office/drawing/2014/chart" uri="{C3380CC4-5D6E-409C-BE32-E72D297353CC}">
              <c16:uniqueId val="{0000001C-5240-4563-BF0A-C0EC3BF3B7F5}"/>
            </c:ext>
          </c:extLst>
        </c:ser>
        <c:ser>
          <c:idx val="29"/>
          <c:order val="29"/>
          <c:tx>
            <c:strRef>
              <c:f>'Endurance vs Range Plot'!$B$85</c:f>
              <c:strCache>
                <c:ptCount val="1"/>
                <c:pt idx="0">
                  <c:v>M0.74</c:v>
                </c:pt>
              </c:strCache>
            </c:strRef>
          </c:tx>
          <c:spPr>
            <a:ln w="41275">
              <a:prstDash val="sysDot"/>
            </a:ln>
          </c:spPr>
          <c:marker>
            <c:symbol val="none"/>
          </c:marker>
          <c:xVal>
            <c:numRef>
              <c:f>'Endurance vs Range Plot'!$D$85:$D$91</c:f>
              <c:numCache>
                <c:formatCode>d\ mmmm\ yyyy\ h:mm</c:formatCode>
                <c:ptCount val="7"/>
                <c:pt idx="0">
                  <c:v>41706.025000000001</c:v>
                </c:pt>
                <c:pt idx="1">
                  <c:v>41706.027083333334</c:v>
                </c:pt>
                <c:pt idx="2">
                  <c:v>41706.022916666669</c:v>
                </c:pt>
                <c:pt idx="3">
                  <c:v>41706.015277777777</c:v>
                </c:pt>
                <c:pt idx="4">
                  <c:v>41706.010416666664</c:v>
                </c:pt>
                <c:pt idx="5">
                  <c:v>41706.005555555559</c:v>
                </c:pt>
                <c:pt idx="6">
                  <c:v>41706.000694444447</c:v>
                </c:pt>
              </c:numCache>
            </c:numRef>
          </c:xVal>
          <c:yVal>
            <c:numRef>
              <c:f>'Endurance vs Range Plot'!$E$85:$E$91</c:f>
              <c:numCache>
                <c:formatCode>#,##0</c:formatCode>
                <c:ptCount val="7"/>
                <c:pt idx="0">
                  <c:v>2649</c:v>
                </c:pt>
                <c:pt idx="1">
                  <c:v>2672</c:v>
                </c:pt>
                <c:pt idx="2">
                  <c:v>2652</c:v>
                </c:pt>
                <c:pt idx="3">
                  <c:v>2594</c:v>
                </c:pt>
                <c:pt idx="4">
                  <c:v>2555</c:v>
                </c:pt>
                <c:pt idx="5">
                  <c:v>2513</c:v>
                </c:pt>
                <c:pt idx="6">
                  <c:v>2472</c:v>
                </c:pt>
              </c:numCache>
            </c:numRef>
          </c:yVal>
          <c:smooth val="0"/>
          <c:extLst>
            <c:ext xmlns:c16="http://schemas.microsoft.com/office/drawing/2014/chart" uri="{C3380CC4-5D6E-409C-BE32-E72D297353CC}">
              <c16:uniqueId val="{0000001D-5240-4563-BF0A-C0EC3BF3B7F5}"/>
            </c:ext>
          </c:extLst>
        </c:ser>
        <c:ser>
          <c:idx val="30"/>
          <c:order val="30"/>
          <c:tx>
            <c:strRef>
              <c:f>'Endurance vs Range Plot'!$B$92</c:f>
              <c:strCache>
                <c:ptCount val="1"/>
                <c:pt idx="0">
                  <c:v>275 KCAS</c:v>
                </c:pt>
              </c:strCache>
            </c:strRef>
          </c:tx>
          <c:spPr>
            <a:ln w="31750">
              <a:solidFill>
                <a:sysClr val="windowText" lastClr="000000"/>
              </a:solidFill>
            </a:ln>
          </c:spPr>
          <c:marker>
            <c:symbol val="none"/>
          </c:marker>
          <c:xVal>
            <c:numRef>
              <c:f>'Endurance vs Range Plot'!$D$92:$D$98</c:f>
              <c:numCache>
                <c:formatCode>d\ mmmm\ yyyy\ h:mm</c:formatCode>
                <c:ptCount val="7"/>
                <c:pt idx="0">
                  <c:v>41706.010416666664</c:v>
                </c:pt>
                <c:pt idx="1">
                  <c:v>41706.010416666664</c:v>
                </c:pt>
                <c:pt idx="2">
                  <c:v>41706.009722222225</c:v>
                </c:pt>
                <c:pt idx="3">
                  <c:v>41706.008333333331</c:v>
                </c:pt>
                <c:pt idx="4">
                  <c:v>41706.006944444445</c:v>
                </c:pt>
                <c:pt idx="5">
                  <c:v>41706.005555555559</c:v>
                </c:pt>
                <c:pt idx="6">
                  <c:v>41706.004861111112</c:v>
                </c:pt>
              </c:numCache>
            </c:numRef>
          </c:xVal>
          <c:yVal>
            <c:numRef>
              <c:f>'Endurance vs Range Plot'!$E$92:$E$98</c:f>
              <c:numCache>
                <c:formatCode>#,##0</c:formatCode>
                <c:ptCount val="7"/>
                <c:pt idx="0">
                  <c:v>2342</c:v>
                </c:pt>
                <c:pt idx="1">
                  <c:v>2416</c:v>
                </c:pt>
                <c:pt idx="2">
                  <c:v>2484</c:v>
                </c:pt>
                <c:pt idx="3">
                  <c:v>2550</c:v>
                </c:pt>
                <c:pt idx="4">
                  <c:v>2615</c:v>
                </c:pt>
                <c:pt idx="5">
                  <c:v>2642</c:v>
                </c:pt>
                <c:pt idx="6">
                  <c:v>2671</c:v>
                </c:pt>
              </c:numCache>
            </c:numRef>
          </c:yVal>
          <c:smooth val="0"/>
          <c:extLst>
            <c:ext xmlns:c16="http://schemas.microsoft.com/office/drawing/2014/chart" uri="{C3380CC4-5D6E-409C-BE32-E72D297353CC}">
              <c16:uniqueId val="{0000001E-5240-4563-BF0A-C0EC3BF3B7F5}"/>
            </c:ext>
          </c:extLst>
        </c:ser>
        <c:ser>
          <c:idx val="31"/>
          <c:order val="31"/>
          <c:tx>
            <c:strRef>
              <c:f>'Endurance vs Range Plot'!$B$99</c:f>
              <c:strCache>
                <c:ptCount val="1"/>
                <c:pt idx="0">
                  <c:v>250 KCAS</c:v>
                </c:pt>
              </c:strCache>
            </c:strRef>
          </c:tx>
          <c:spPr>
            <a:ln w="31750">
              <a:solidFill>
                <a:srgbClr val="0070C0"/>
              </a:solidFill>
            </a:ln>
          </c:spPr>
          <c:marker>
            <c:symbol val="none"/>
          </c:marker>
          <c:xVal>
            <c:numRef>
              <c:f>'Endurance vs Range Plot'!$D$99:$D$103</c:f>
              <c:numCache>
                <c:formatCode>d\ mmmm\ yyyy\ h:mm</c:formatCode>
                <c:ptCount val="5"/>
                <c:pt idx="0">
                  <c:v>41706.027777777781</c:v>
                </c:pt>
                <c:pt idx="1">
                  <c:v>41706.025000000001</c:v>
                </c:pt>
                <c:pt idx="2">
                  <c:v>41706.020833333336</c:v>
                </c:pt>
                <c:pt idx="3">
                  <c:v>41706.015972222223</c:v>
                </c:pt>
                <c:pt idx="4">
                  <c:v>41706.011805555558</c:v>
                </c:pt>
              </c:numCache>
            </c:numRef>
          </c:xVal>
          <c:yVal>
            <c:numRef>
              <c:f>'Endurance vs Range Plot'!$E$99:$E$103</c:f>
              <c:numCache>
                <c:formatCode>#,##0</c:formatCode>
                <c:ptCount val="5"/>
                <c:pt idx="0">
                  <c:v>2609</c:v>
                </c:pt>
                <c:pt idx="1">
                  <c:v>2667</c:v>
                </c:pt>
                <c:pt idx="2">
                  <c:v>2721</c:v>
                </c:pt>
                <c:pt idx="3">
                  <c:v>2781</c:v>
                </c:pt>
                <c:pt idx="4">
                  <c:v>2792</c:v>
                </c:pt>
              </c:numCache>
            </c:numRef>
          </c:yVal>
          <c:smooth val="0"/>
          <c:extLst>
            <c:ext xmlns:c16="http://schemas.microsoft.com/office/drawing/2014/chart" uri="{C3380CC4-5D6E-409C-BE32-E72D297353CC}">
              <c16:uniqueId val="{0000001F-5240-4563-BF0A-C0EC3BF3B7F5}"/>
            </c:ext>
          </c:extLst>
        </c:ser>
        <c:dLbls>
          <c:showLegendKey val="0"/>
          <c:showVal val="0"/>
          <c:showCatName val="0"/>
          <c:showSerName val="0"/>
          <c:showPercent val="0"/>
          <c:showBubbleSize val="0"/>
        </c:dLbls>
        <c:axId val="1161594368"/>
        <c:axId val="1161596288"/>
      </c:scatterChart>
      <c:valAx>
        <c:axId val="1161594368"/>
        <c:scaling>
          <c:orientation val="minMax"/>
          <c:max val="41706.104166775898"/>
          <c:min val="41705.979166699995"/>
        </c:scaling>
        <c:delete val="0"/>
        <c:axPos val="b"/>
        <c:majorGridlines>
          <c:spPr>
            <a:ln w="15875">
              <a:solidFill>
                <a:sysClr val="windowText" lastClr="000000"/>
              </a:solidFill>
            </a:ln>
          </c:spPr>
        </c:majorGridlines>
        <c:minorGridlines/>
        <c:title>
          <c:tx>
            <c:rich>
              <a:bodyPr/>
              <a:lstStyle/>
              <a:p>
                <a:pPr>
                  <a:defRPr sz="2000"/>
                </a:pPr>
                <a:r>
                  <a:rPr lang="en-US" sz="2000"/>
                  <a:t>MEFE (UTC On 7-8 March 2014)</a:t>
                </a:r>
              </a:p>
            </c:rich>
          </c:tx>
          <c:layout>
            <c:manualLayout>
              <c:xMode val="edge"/>
              <c:yMode val="edge"/>
              <c:x val="0.42914393087043046"/>
              <c:y val="0.94330547622115402"/>
            </c:manualLayout>
          </c:layout>
          <c:overlay val="0"/>
        </c:title>
        <c:numFmt formatCode="h:mm;@" sourceLinked="0"/>
        <c:majorTickMark val="out"/>
        <c:minorTickMark val="in"/>
        <c:tickLblPos val="nextTo"/>
        <c:spPr>
          <a:ln w="19050">
            <a:solidFill>
              <a:schemeClr val="tx1"/>
            </a:solidFill>
          </a:ln>
        </c:spPr>
        <c:txPr>
          <a:bodyPr/>
          <a:lstStyle/>
          <a:p>
            <a:pPr>
              <a:defRPr sz="1600" b="1"/>
            </a:pPr>
            <a:endParaRPr lang="en-US"/>
          </a:p>
        </c:txPr>
        <c:crossAx val="1161596288"/>
        <c:crosses val="autoZero"/>
        <c:crossBetween val="midCat"/>
        <c:majorUnit val="6.944444400000002E-3"/>
      </c:valAx>
      <c:valAx>
        <c:axId val="1161596288"/>
        <c:scaling>
          <c:orientation val="minMax"/>
          <c:max val="3000"/>
          <c:min val="1000"/>
        </c:scaling>
        <c:delete val="0"/>
        <c:axPos val="l"/>
        <c:majorGridlines>
          <c:spPr>
            <a:ln w="15875">
              <a:solidFill>
                <a:sysClr val="windowText" lastClr="000000"/>
              </a:solidFill>
            </a:ln>
          </c:spPr>
        </c:majorGridlines>
        <c:minorGridlines/>
        <c:title>
          <c:tx>
            <c:rich>
              <a:bodyPr rot="0" vert="horz"/>
              <a:lstStyle/>
              <a:p>
                <a:pPr>
                  <a:defRPr sz="2000"/>
                </a:pPr>
                <a:r>
                  <a:rPr lang="en-US" sz="2000"/>
                  <a:t>Post-18:29</a:t>
                </a:r>
              </a:p>
              <a:p>
                <a:pPr>
                  <a:defRPr sz="2000"/>
                </a:pPr>
                <a:r>
                  <a:rPr lang="en-US" sz="2000"/>
                  <a:t>Air Range</a:t>
                </a:r>
              </a:p>
              <a:p>
                <a:pPr>
                  <a:defRPr sz="2000"/>
                </a:pPr>
                <a:r>
                  <a:rPr lang="en-US" sz="2000"/>
                  <a:t>(NM)</a:t>
                </a:r>
              </a:p>
            </c:rich>
          </c:tx>
          <c:layout>
            <c:manualLayout>
              <c:xMode val="edge"/>
              <c:yMode val="edge"/>
              <c:x val="9.8811182819458446E-3"/>
              <c:y val="0.53669708352843515"/>
            </c:manualLayout>
          </c:layout>
          <c:overlay val="0"/>
        </c:title>
        <c:numFmt formatCode="#,##0" sourceLinked="0"/>
        <c:majorTickMark val="out"/>
        <c:minorTickMark val="in"/>
        <c:tickLblPos val="nextTo"/>
        <c:spPr>
          <a:ln w="19050">
            <a:solidFill>
              <a:schemeClr val="tx1"/>
            </a:solidFill>
          </a:ln>
        </c:spPr>
        <c:txPr>
          <a:bodyPr/>
          <a:lstStyle/>
          <a:p>
            <a:pPr>
              <a:defRPr sz="1600" b="1"/>
            </a:pPr>
            <a:endParaRPr lang="en-US"/>
          </a:p>
        </c:txPr>
        <c:crossAx val="1161594368"/>
        <c:crosses val="autoZero"/>
        <c:crossBetween val="midCat"/>
        <c:majorUnit val="200"/>
        <c:minorUnit val="100"/>
      </c:valAx>
      <c:spPr>
        <a:solidFill>
          <a:srgbClr val="FFFFE1"/>
        </a:solidFill>
        <a:ln w="22225">
          <a:solidFill>
            <a:sysClr val="windowText" lastClr="000000"/>
          </a:solidFill>
        </a:ln>
      </c:spPr>
    </c:plotArea>
    <c:legend>
      <c:legendPos val="t"/>
      <c:layout>
        <c:manualLayout>
          <c:xMode val="edge"/>
          <c:yMode val="edge"/>
          <c:x val="1.634916604236996E-2"/>
          <c:y val="6.6820408963518707E-2"/>
          <c:w val="0.94634694706986155"/>
          <c:h val="0.13255318510077505"/>
        </c:manualLayout>
      </c:layout>
      <c:overlay val="0"/>
      <c:spPr>
        <a:solidFill>
          <a:srgbClr val="FFFFE1"/>
        </a:solidFill>
        <a:ln w="15875">
          <a:solidFill>
            <a:sysClr val="windowText" lastClr="000000"/>
          </a:solidFill>
        </a:ln>
      </c:spPr>
      <c:txPr>
        <a:bodyPr/>
        <a:lstStyle/>
        <a:p>
          <a:pPr>
            <a:defRPr sz="1400" b="1"/>
          </a:pPr>
          <a:endParaRPr lang="en-US"/>
        </a:p>
      </c:txPr>
    </c:legend>
    <c:plotVisOnly val="1"/>
    <c:dispBlanksAs val="gap"/>
    <c:showDLblsOverMax val="0"/>
  </c:chart>
  <c:spPr>
    <a:solidFill>
      <a:srgbClr val="9BBB59">
        <a:lumMod val="20000"/>
        <a:lumOff val="80000"/>
      </a:srgbClr>
    </a:solidFill>
    <a:ln w="25400">
      <a:solidFill>
        <a:sysClr val="windowText" lastClr="000000"/>
      </a:solidFill>
    </a:ln>
  </c:sp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'LRC KIAS'!$AS$24</c:f>
              <c:strCache>
                <c:ptCount val="1"/>
              </c:strCache>
            </c:strRef>
          </c:tx>
          <c:trendline>
            <c:trendlineType val="linear"/>
            <c:dispRSqr val="1"/>
            <c:dispEq val="1"/>
            <c:trendlineLbl>
              <c:layout>
                <c:manualLayout>
                  <c:x val="0.35781933508311459"/>
                  <c:y val="-0.18554425488480605"/>
                </c:manualLayout>
              </c:layout>
              <c:numFmt formatCode="#,##0.0000000" sourceLinked="0"/>
            </c:trendlineLbl>
          </c:trendline>
          <c:xVal>
            <c:numRef>
              <c:f>'LRC KIAS'!$AR$25:$AR$29</c:f>
              <c:numCache>
                <c:formatCode>General</c:formatCode>
                <c:ptCount val="5"/>
              </c:numCache>
            </c:numRef>
          </c:xVal>
          <c:yVal>
            <c:numRef>
              <c:f>'LRC KIAS'!$AS$25:$AS$29</c:f>
              <c:numCache>
                <c:formatCode>General</c:formatCode>
                <c:ptCount val="5"/>
              </c:numCache>
            </c:numRef>
          </c:yVal>
          <c:smooth val="0"/>
          <c:extLst>
            <c:ext xmlns:c16="http://schemas.microsoft.com/office/drawing/2014/chart" uri="{C3380CC4-5D6E-409C-BE32-E72D297353CC}">
              <c16:uniqueId val="{00000001-4101-41CD-9E37-051B13F04813}"/>
            </c:ext>
          </c:extLst>
        </c:ser>
        <c:dLbls>
          <c:showLegendKey val="0"/>
          <c:showVal val="0"/>
          <c:showCatName val="0"/>
          <c:showSerName val="0"/>
          <c:showPercent val="0"/>
          <c:showBubbleSize val="0"/>
        </c:dLbls>
        <c:axId val="396276480"/>
        <c:axId val="396278016"/>
      </c:scatterChart>
      <c:valAx>
        <c:axId val="396276480"/>
        <c:scaling>
          <c:orientation val="minMax"/>
          <c:min val="200"/>
        </c:scaling>
        <c:delete val="0"/>
        <c:axPos val="b"/>
        <c:minorGridlines/>
        <c:numFmt formatCode="General" sourceLinked="1"/>
        <c:majorTickMark val="out"/>
        <c:minorTickMark val="none"/>
        <c:tickLblPos val="nextTo"/>
        <c:crossAx val="396278016"/>
        <c:crosses val="autoZero"/>
        <c:crossBetween val="midCat"/>
      </c:valAx>
      <c:valAx>
        <c:axId val="396278016"/>
        <c:scaling>
          <c:orientation val="minMax"/>
          <c:min val="0.60000000000000009"/>
        </c:scaling>
        <c:delete val="0"/>
        <c:axPos val="l"/>
        <c:majorGridlines/>
        <c:numFmt formatCode="General" sourceLinked="1"/>
        <c:majorTickMark val="out"/>
        <c:minorTickMark val="none"/>
        <c:tickLblPos val="nextTo"/>
        <c:crossAx val="396276480"/>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MH370 Configuration</a:t>
            </a:r>
          </a:p>
        </c:rich>
      </c:tx>
      <c:layout>
        <c:manualLayout>
          <c:xMode val="edge"/>
          <c:yMode val="edge"/>
          <c:x val="0.37159756321392706"/>
          <c:y val="1.6528877052319046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86679340110475"/>
          <c:y val="5.9180442068498894E-2"/>
          <c:w val="0.77918180428439465"/>
          <c:h val="0.86386461463547171"/>
        </c:manualLayout>
      </c:layout>
      <c:scatterChart>
        <c:scatterStyle val="lineMarker"/>
        <c:varyColors val="0"/>
        <c:ser>
          <c:idx val="33"/>
          <c:order val="33"/>
          <c:tx>
            <c:v>LRC</c:v>
          </c:tx>
          <c:spPr>
            <a:ln w="25400" cap="rnd">
              <a:noFill/>
              <a:round/>
            </a:ln>
            <a:effectLst/>
          </c:spPr>
          <c:marker>
            <c:symbol val="circle"/>
            <c:size val="8"/>
            <c:spPr>
              <a:solidFill>
                <a:schemeClr val="accent4">
                  <a:lumMod val="50000"/>
                </a:schemeClr>
              </a:solidFill>
              <a:ln w="9525">
                <a:solidFill>
                  <a:schemeClr val="accent4">
                    <a:lumMod val="50000"/>
                  </a:schemeClr>
                </a:solidFill>
              </a:ln>
              <a:effectLst/>
            </c:spPr>
          </c:marker>
          <c:trendline>
            <c:spPr>
              <a:ln w="19050" cap="rnd">
                <a:solidFill>
                  <a:schemeClr val="accent4">
                    <a:lumMod val="50000"/>
                  </a:schemeClr>
                </a:solidFill>
                <a:prstDash val="sysDot"/>
              </a:ln>
              <a:effectLst/>
            </c:spPr>
            <c:trendlineType val="poly"/>
            <c:order val="6"/>
            <c:dispRSqr val="0"/>
            <c:dispEq val="0"/>
          </c:trendline>
          <c:xVal>
            <c:numRef>
              <c:f>'LRC FF'!$AQ$38:$AQ$495</c:f>
              <c:numCache>
                <c:formatCode>General</c:formatCode>
                <c:ptCount val="458"/>
              </c:numCache>
            </c:numRef>
          </c:xVal>
          <c:yVal>
            <c:numRef>
              <c:f>'LRC FF'!$AR$38:$AR$495</c:f>
              <c:numCache>
                <c:formatCode>General</c:formatCode>
                <c:ptCount val="458"/>
              </c:numCache>
            </c:numRef>
          </c:yVal>
          <c:smooth val="0"/>
          <c:extLst>
            <c:ext xmlns:c16="http://schemas.microsoft.com/office/drawing/2014/chart" uri="{C3380CC4-5D6E-409C-BE32-E72D297353CC}">
              <c16:uniqueId val="{00000016-61EC-48D4-8387-7D17A59B32C6}"/>
            </c:ext>
          </c:extLst>
        </c:ser>
        <c:dLbls>
          <c:showLegendKey val="0"/>
          <c:showVal val="0"/>
          <c:showCatName val="0"/>
          <c:showSerName val="0"/>
          <c:showPercent val="0"/>
          <c:showBubbleSize val="0"/>
        </c:dLbls>
        <c:axId val="395770496"/>
        <c:axId val="395801728"/>
        <c:extLst>
          <c:ext xmlns:c15="http://schemas.microsoft.com/office/drawing/2012/chart" uri="{02D57815-91ED-43cb-92C2-25804820EDAC}">
            <c15:filteredScatterSeries>
              <c15:ser>
                <c:idx val="0"/>
                <c:order val="0"/>
                <c:tx>
                  <c:v>M0.84 FL300</c:v>
                </c:tx>
                <c:spPr>
                  <a:ln w="28575"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'M0.84 FF'!$D$62:$D$78</c15:sqref>
                        </c15:formulaRef>
                      </c:ext>
                    </c:extLst>
                    <c:numCache>
                      <c:formatCode>General</c:formatCode>
                      <c:ptCount val="17"/>
                    </c:numCache>
                  </c:numRef>
                </c:xVal>
                <c:yVal>
                  <c:numRef>
                    <c:extLst>
                      <c:ext uri="{02D57815-91ED-43cb-92C2-25804820EDAC}">
                        <c15:formulaRef>
                          <c15:sqref>'M0.84 FF'!$D$39:$D$55</c15:sqref>
                        </c15:formulaRef>
                      </c:ext>
                    </c:extLst>
                    <c:numCache>
                      <c:formatCode>General</c:formatCode>
                      <c:ptCount val="17"/>
                    </c:numCache>
                  </c:numRef>
                </c:yVal>
                <c:smooth val="0"/>
                <c:extLst>
                  <c:ext xmlns:c16="http://schemas.microsoft.com/office/drawing/2014/chart" uri="{C3380CC4-5D6E-409C-BE32-E72D297353CC}">
                    <c16:uniqueId val="{00000000-AE51-4518-A52F-DBA50F0140EC}"/>
                  </c:ext>
                </c:extLst>
              </c15:ser>
            </c15:filteredScatterSeries>
            <c15:filteredScatterSeries>
              <c15:ser>
                <c:idx val="1"/>
                <c:order val="1"/>
                <c:tx>
                  <c:v>M0.84 FL310</c:v>
                </c:tx>
                <c:spPr>
                  <a:ln w="28575" cap="rnd">
                    <a:noFill/>
                    <a:round/>
                  </a:ln>
                  <a:effectLst/>
                </c:spPr>
                <c:marker>
                  <c:symbol val="circle"/>
                  <c:size val="5"/>
                  <c:spPr>
                    <a:solidFill>
                      <a:schemeClr val="accent2"/>
                    </a:solidFill>
                    <a:ln w="9525">
                      <a:solidFill>
                        <a:schemeClr val="accent2"/>
                      </a:solidFill>
                    </a:ln>
                    <a:effectLst/>
                  </c:spPr>
                </c:marker>
                <c:xVal>
                  <c:numRef>
                    <c:extLst xmlns:c15="http://schemas.microsoft.com/office/drawing/2012/chart">
                      <c:ext xmlns:c15="http://schemas.microsoft.com/office/drawing/2012/chart" uri="{02D57815-91ED-43cb-92C2-25804820EDAC}">
                        <c15:formulaRef>
                          <c15:sqref>'M0.84 FF'!$E$62:$E$78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FF'!$E$39:$E$55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1-AE51-4518-A52F-DBA50F0140EC}"/>
                  </c:ext>
                </c:extLst>
              </c15:ser>
            </c15:filteredScatterSeries>
            <c15:filteredScatterSeries>
              <c15:ser>
                <c:idx val="2"/>
                <c:order val="2"/>
                <c:tx>
                  <c:v>M0.84 FL320</c:v>
                </c:tx>
                <c:spPr>
                  <a:ln w="28575" cap="rnd">
                    <a:noFill/>
                    <a:round/>
                  </a:ln>
                  <a:effectLst/>
                </c:spPr>
                <c:marker>
                  <c:symbol val="circle"/>
                  <c:size val="5"/>
                  <c:spPr>
                    <a:solidFill>
                      <a:schemeClr val="accent3"/>
                    </a:solidFill>
                    <a:ln w="9525">
                      <a:solidFill>
                        <a:schemeClr val="accent3"/>
                      </a:solidFill>
                    </a:ln>
                    <a:effectLst/>
                  </c:spPr>
                </c:marker>
                <c:xVal>
                  <c:numRef>
                    <c:extLst xmlns:c15="http://schemas.microsoft.com/office/drawing/2012/chart">
                      <c:ext xmlns:c15="http://schemas.microsoft.com/office/drawing/2012/chart" uri="{02D57815-91ED-43cb-92C2-25804820EDAC}">
                        <c15:formulaRef>
                          <c15:sqref>'M0.84 FF'!$F$62:$F$78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FF'!$F$39:$F$55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2-AE51-4518-A52F-DBA50F0140EC}"/>
                  </c:ext>
                </c:extLst>
              </c15:ser>
            </c15:filteredScatterSeries>
            <c15:filteredScatterSeries>
              <c15:ser>
                <c:idx val="3"/>
                <c:order val="3"/>
                <c:tx>
                  <c:v>M0.84 FL330</c:v>
                </c:tx>
                <c:spPr>
                  <a:ln w="28575" cap="rnd">
                    <a:noFill/>
                    <a:round/>
                  </a:ln>
                  <a:effectLst/>
                </c:spPr>
                <c:marker>
                  <c:symbol val="circle"/>
                  <c:size val="5"/>
                  <c:spPr>
                    <a:solidFill>
                      <a:schemeClr val="accent4"/>
                    </a:solidFill>
                    <a:ln w="9525">
                      <a:solidFill>
                        <a:schemeClr val="accent4"/>
                      </a:solidFill>
                    </a:ln>
                    <a:effectLst/>
                  </c:spPr>
                </c:marker>
                <c:xVal>
                  <c:numRef>
                    <c:extLst xmlns:c15="http://schemas.microsoft.com/office/drawing/2012/chart">
                      <c:ext xmlns:c15="http://schemas.microsoft.com/office/drawing/2012/chart" uri="{02D57815-91ED-43cb-92C2-25804820EDAC}">
                        <c15:formulaRef>
                          <c15:sqref>'M0.84 FF'!$G$62:$G$78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FF'!$G$39:$G$55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3-AE51-4518-A52F-DBA50F0140EC}"/>
                  </c:ext>
                </c:extLst>
              </c15:ser>
            </c15:filteredScatterSeries>
            <c15:filteredScatterSeries>
              <c15:ser>
                <c:idx val="4"/>
                <c:order val="4"/>
                <c:tx>
                  <c:v>M0.84 FL340</c:v>
                </c:tx>
                <c:spPr>
                  <a:ln w="28575" cap="rnd">
                    <a:no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'M0.84 FF'!$H$62:$H$77</c15:sqref>
                        </c15:formulaRef>
                      </c:ext>
                    </c:extLst>
                    <c:numCache>
                      <c:formatCode>General</c:formatCode>
                      <c:ptCount val="16"/>
                    </c:numCache>
                  </c:numRef>
                </c:xVal>
                <c:yVal>
                  <c:numRef>
                    <c:extLst xmlns:c15="http://schemas.microsoft.com/office/drawing/2012/chart">
                      <c:ext xmlns:c15="http://schemas.microsoft.com/office/drawing/2012/chart" uri="{02D57815-91ED-43cb-92C2-25804820EDAC}">
                        <c15:formulaRef>
                          <c15:sqref>'M0.84 FF'!$H$39:$H$54</c15:sqref>
                        </c15:formulaRef>
                      </c:ext>
                    </c:extLst>
                    <c:numCache>
                      <c:formatCode>General</c:formatCode>
                      <c:ptCount val="16"/>
                    </c:numCache>
                  </c:numRef>
                </c:yVal>
                <c:smooth val="0"/>
                <c:extLst xmlns:c15="http://schemas.microsoft.com/office/drawing/2012/chart">
                  <c:ext xmlns:c16="http://schemas.microsoft.com/office/drawing/2014/chart" uri="{C3380CC4-5D6E-409C-BE32-E72D297353CC}">
                    <c16:uniqueId val="{00000004-AE51-4518-A52F-DBA50F0140EC}"/>
                  </c:ext>
                </c:extLst>
              </c15:ser>
            </c15:filteredScatterSeries>
            <c15:filteredScatterSeries>
              <c15:ser>
                <c:idx val="5"/>
                <c:order val="5"/>
                <c:tx>
                  <c:v>M0.84 FL350</c:v>
                </c:tx>
                <c:spPr>
                  <a:ln w="28575" cap="rnd">
                    <a:noFill/>
                    <a:round/>
                  </a:ln>
                  <a:effectLst/>
                </c:spPr>
                <c:marker>
                  <c:symbol val="circle"/>
                  <c:size val="5"/>
                  <c:spPr>
                    <a:solidFill>
                      <a:schemeClr val="accent6"/>
                    </a:solidFill>
                    <a:ln w="9525">
                      <a:solidFill>
                        <a:schemeClr val="accent6"/>
                      </a:solidFill>
                    </a:ln>
                    <a:effectLst/>
                  </c:spPr>
                </c:marker>
                <c:xVal>
                  <c:numRef>
                    <c:extLst xmlns:c15="http://schemas.microsoft.com/office/drawing/2012/chart">
                      <c:ext xmlns:c15="http://schemas.microsoft.com/office/drawing/2012/chart" uri="{02D57815-91ED-43cb-92C2-25804820EDAC}">
                        <c15:formulaRef>
                          <c15:sqref>'M0.84 FF'!$I$62:$I$76</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'M0.84 FF'!$I$39:$I$53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05-AE51-4518-A52F-DBA50F0140EC}"/>
                  </c:ext>
                </c:extLst>
              </c15:ser>
            </c15:filteredScatterSeries>
            <c15:filteredScatterSeries>
              <c15:ser>
                <c:idx val="6"/>
                <c:order val="6"/>
                <c:tx>
                  <c:v>M0.84 FL360</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extLst xmlns:c15="http://schemas.microsoft.com/office/drawing/2012/chart">
                      <c:ext xmlns:c15="http://schemas.microsoft.com/office/drawing/2012/chart" uri="{02D57815-91ED-43cb-92C2-25804820EDAC}">
                        <c15:formulaRef>
                          <c15:sqref>'M0.84 FF'!$J$62:$J$75</c15:sqref>
                        </c15:formulaRef>
                      </c:ext>
                    </c:extLst>
                    <c:numCache>
                      <c:formatCode>General</c:formatCode>
                      <c:ptCount val="14"/>
                    </c:numCache>
                  </c:numRef>
                </c:xVal>
                <c:yVal>
                  <c:numRef>
                    <c:extLst xmlns:c15="http://schemas.microsoft.com/office/drawing/2012/chart">
                      <c:ext xmlns:c15="http://schemas.microsoft.com/office/drawing/2012/chart" uri="{02D57815-91ED-43cb-92C2-25804820EDAC}">
                        <c15:formulaRef>
                          <c15:sqref>'M0.84 FF'!$J$39:$J$52</c15:sqref>
                        </c15:formulaRef>
                      </c:ext>
                    </c:extLst>
                    <c:numCache>
                      <c:formatCode>General</c:formatCode>
                      <c:ptCount val="14"/>
                    </c:numCache>
                  </c:numRef>
                </c:yVal>
                <c:smooth val="0"/>
                <c:extLst xmlns:c15="http://schemas.microsoft.com/office/drawing/2012/chart">
                  <c:ext xmlns:c16="http://schemas.microsoft.com/office/drawing/2014/chart" uri="{C3380CC4-5D6E-409C-BE32-E72D297353CC}">
                    <c16:uniqueId val="{00000006-AE51-4518-A52F-DBA50F0140EC}"/>
                  </c:ext>
                </c:extLst>
              </c15:ser>
            </c15:filteredScatterSeries>
            <c15:filteredScatterSeries>
              <c15:ser>
                <c:idx val="7"/>
                <c:order val="7"/>
                <c:tx>
                  <c:v>M0.84 FL370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'M0.84 FF'!$K$62:$K$74</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'M0.84 FF'!$K$39:$K$51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07-AE51-4518-A52F-DBA50F0140EC}"/>
                  </c:ext>
                </c:extLst>
              </c15:ser>
            </c15:filteredScatterSeries>
            <c15:filteredScatterSeries>
              <c15:ser>
                <c:idx val="8"/>
                <c:order val="8"/>
                <c:tx>
                  <c:v>M0.84 FL380</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'M0.84 FF'!$L$62:$L$72</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'M0.84 FF'!$L$39:$L$49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08-AE51-4518-A52F-DBA50F0140EC}"/>
                  </c:ext>
                </c:extLst>
              </c15:ser>
            </c15:filteredScatterSeries>
            <c15:filteredScatterSeries>
              <c15:ser>
                <c:idx val="9"/>
                <c:order val="9"/>
                <c:tx>
                  <c:v>M0.84 FL390</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'M0.84 FF'!$M$62:$M$71</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'M0.84 FF'!$M$39:$M$48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09-AE51-4518-A52F-DBA50F0140EC}"/>
                  </c:ext>
                </c:extLst>
              </c15:ser>
            </c15:filteredScatterSeries>
            <c15:filteredScatterSeries>
              <c15:ser>
                <c:idx val="10"/>
                <c:order val="10"/>
                <c:tx>
                  <c:v>M0.84 FL400</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extLst xmlns:c15="http://schemas.microsoft.com/office/drawing/2012/chart">
                      <c:ext xmlns:c15="http://schemas.microsoft.com/office/drawing/2012/chart" uri="{02D57815-91ED-43cb-92C2-25804820EDAC}">
                        <c15:formulaRef>
                          <c15:sqref>'M0.84 FF'!$N$62:$N$70</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'M0.84 FF'!$N$39:$N$47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0A-AE51-4518-A52F-DBA50F0140EC}"/>
                  </c:ext>
                </c:extLst>
              </c15:ser>
            </c15:filteredScatterSeries>
            <c15:filteredScatterSeries>
              <c15:ser>
                <c:idx val="11"/>
                <c:order val="11"/>
                <c:tx>
                  <c:v>M0.84 FL410</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extLst xmlns:c15="http://schemas.microsoft.com/office/drawing/2012/chart">
                      <c:ext xmlns:c15="http://schemas.microsoft.com/office/drawing/2012/chart" uri="{02D57815-91ED-43cb-92C2-25804820EDAC}">
                        <c15:formulaRef>
                          <c15:sqref>'M0.84 FF'!$O$62:$O$69</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'M0.84 FF'!$O$39:$O$46</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0B-AE51-4518-A52F-DBA50F0140EC}"/>
                  </c:ext>
                </c:extLst>
              </c15:ser>
            </c15:filteredScatterSeries>
            <c15:filteredScatterSeries>
              <c15:ser>
                <c:idx val="12"/>
                <c:order val="12"/>
                <c:tx>
                  <c:v>M0.84 FL420</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FF'!$P$62:$P$68</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'M0.84 FF'!$P$39:$P$45</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0C-AE51-4518-A52F-DBA50F0140EC}"/>
                  </c:ext>
                </c:extLst>
              </c15:ser>
            </c15:filteredScatterSeries>
            <c15:filteredScatterSeries>
              <c15:ser>
                <c:idx val="13"/>
                <c:order val="13"/>
                <c:tx>
                  <c:v>M0.84 FL430</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FF'!$Q$62:$Q$67</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'M0.84 FF'!$Q$39:$Q$44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0D-AE51-4518-A52F-DBA50F0140EC}"/>
                  </c:ext>
                </c:extLst>
              </c15:ser>
            </c15:filteredScatterSeries>
            <c15:filteredScatterSeries>
              <c15:ser>
                <c:idx val="14"/>
                <c:order val="14"/>
                <c:tx>
                  <c:v>Holding FL15</c:v>
                </c:tx>
                <c:spPr>
                  <a:ln w="25400" cap="rnd">
                    <a:noFill/>
                    <a:round/>
                  </a:ln>
                  <a:effectLst/>
                </c:spPr>
                <c:marker>
                  <c:symbol val="triangle"/>
                  <c:size val="5"/>
                  <c:spPr>
                    <a:solidFill>
                      <a:schemeClr val="accent3">
                        <a:lumMod val="80000"/>
                        <a:lumOff val="20000"/>
                      </a:schemeClr>
                    </a:solidFill>
                    <a:ln w="9525">
                      <a:solidFill>
                        <a:schemeClr val="accent3">
                          <a:lumMod val="80000"/>
                          <a:lumOff val="20000"/>
                        </a:schemeClr>
                      </a:solidFill>
                    </a:ln>
                    <a:effectLst/>
                  </c:spPr>
                </c:marker>
                <c:dPt>
                  <c:idx val="1"/>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31-AE51-4518-A52F-DBA50F0140EC}"/>
                    </c:ext>
                  </c:extLst>
                </c:dPt>
                <c:dPt>
                  <c:idx val="2"/>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C-AE51-4518-A52F-DBA50F0140EC}"/>
                    </c:ext>
                  </c:extLst>
                </c:dPt>
                <c:dPt>
                  <c:idx val="3"/>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32-AE51-4518-A52F-DBA50F0140EC}"/>
                    </c:ext>
                  </c:extLst>
                </c:dPt>
                <c:dPt>
                  <c:idx val="4"/>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7-AE51-4518-A52F-DBA50F0140EC}"/>
                    </c:ext>
                  </c:extLst>
                </c:dPt>
                <c:dPt>
                  <c:idx val="5"/>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6-AE51-4518-A52F-DBA50F0140EC}"/>
                    </c:ext>
                  </c:extLst>
                </c:dPt>
                <c:dPt>
                  <c:idx val="6"/>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4-AE51-4518-A52F-DBA50F0140EC}"/>
                    </c:ext>
                  </c:extLst>
                </c:dPt>
                <c:xVal>
                  <c:numRef>
                    <c:extLst xmlns:c15="http://schemas.microsoft.com/office/drawing/2012/chart">
                      <c:ext xmlns:c15="http://schemas.microsoft.com/office/drawing/2012/chart" uri="{02D57815-91ED-43cb-92C2-25804820EDAC}">
                        <c15:formulaRef>
                          <c15:sqref>'Holding FF'!$D$46:$D$52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FF'!$D$31:$D$37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0E-AE51-4518-A52F-DBA50F0140EC}"/>
                  </c:ext>
                </c:extLst>
              </c15:ser>
            </c15:filteredScatterSeries>
            <c15:filteredScatterSeries>
              <c15:ser>
                <c:idx val="15"/>
                <c:order val="15"/>
                <c:tx>
                  <c:v>Holding FL50</c:v>
                </c:tx>
                <c:spPr>
                  <a:ln w="25400" cap="rnd">
                    <a:noFill/>
                    <a:round/>
                  </a:ln>
                  <a:effectLst/>
                </c:spPr>
                <c:marker>
                  <c:symbol val="triangle"/>
                  <c:size val="5"/>
                  <c:spPr>
                    <a:solidFill>
                      <a:schemeClr val="accent4">
                        <a:lumMod val="80000"/>
                        <a:lumOff val="20000"/>
                      </a:schemeClr>
                    </a:solidFill>
                    <a:ln w="9525">
                      <a:solidFill>
                        <a:schemeClr val="accent4">
                          <a:lumMod val="80000"/>
                          <a:lumOff val="20000"/>
                        </a:schemeClr>
                      </a:solidFill>
                    </a:ln>
                    <a:effectLst/>
                  </c:spPr>
                </c:marker>
                <c:dPt>
                  <c:idx val="0"/>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B-AE51-4518-A52F-DBA50F0140EC}"/>
                    </c:ext>
                  </c:extLst>
                </c:dPt>
                <c:dPt>
                  <c:idx val="1"/>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30-AE51-4518-A52F-DBA50F0140EC}"/>
                    </c:ext>
                  </c:extLst>
                </c:dPt>
                <c:dPt>
                  <c:idx val="2"/>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33-AE51-4518-A52F-DBA50F0140EC}"/>
                    </c:ext>
                  </c:extLst>
                </c:dPt>
                <c:dPt>
                  <c:idx val="3"/>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34-AE51-4518-A52F-DBA50F0140EC}"/>
                    </c:ext>
                  </c:extLst>
                </c:dPt>
                <c:dPt>
                  <c:idx val="4"/>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5-AE51-4518-A52F-DBA50F0140EC}"/>
                    </c:ext>
                  </c:extLst>
                </c:dPt>
                <c:dPt>
                  <c:idx val="5"/>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3-AE51-4518-A52F-DBA50F0140EC}"/>
                    </c:ext>
                  </c:extLst>
                </c:dPt>
                <c:dPt>
                  <c:idx val="6"/>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2-AE51-4518-A52F-DBA50F0140EC}"/>
                    </c:ext>
                  </c:extLst>
                </c:dPt>
                <c:xVal>
                  <c:numRef>
                    <c:extLst xmlns:c15="http://schemas.microsoft.com/office/drawing/2012/chart">
                      <c:ext xmlns:c15="http://schemas.microsoft.com/office/drawing/2012/chart" uri="{02D57815-91ED-43cb-92C2-25804820EDAC}">
                        <c15:formulaRef>
                          <c15:sqref>'Holding FF'!$E$46:$E$52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FF'!$E$31:$E$37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0F-AE51-4518-A52F-DBA50F0140EC}"/>
                  </c:ext>
                </c:extLst>
              </c15:ser>
            </c15:filteredScatterSeries>
            <c15:filteredScatterSeries>
              <c15:ser>
                <c:idx val="16"/>
                <c:order val="16"/>
                <c:tx>
                  <c:v>Holding FL100</c:v>
                </c:tx>
                <c:spPr>
                  <a:ln w="25400" cap="rnd">
                    <a:noFill/>
                    <a:round/>
                  </a:ln>
                  <a:effectLst/>
                </c:spPr>
                <c:marker>
                  <c:symbol val="triangle"/>
                  <c:size val="5"/>
                  <c:spPr>
                    <a:solidFill>
                      <a:schemeClr val="accent5">
                        <a:lumMod val="80000"/>
                        <a:lumOff val="20000"/>
                      </a:schemeClr>
                    </a:solidFill>
                    <a:ln w="9525">
                      <a:solidFill>
                        <a:schemeClr val="accent5">
                          <a:lumMod val="80000"/>
                          <a:lumOff val="20000"/>
                        </a:schemeClr>
                      </a:solidFill>
                    </a:ln>
                    <a:effectLst/>
                  </c:spPr>
                </c:marker>
                <c:dPt>
                  <c:idx val="0"/>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D-AE51-4518-A52F-DBA50F0140EC}"/>
                    </c:ext>
                  </c:extLst>
                </c:dPt>
                <c:dPt>
                  <c:idx val="1"/>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F-AE51-4518-A52F-DBA50F0140EC}"/>
                    </c:ext>
                  </c:extLst>
                </c:dPt>
                <c:dPt>
                  <c:idx val="2"/>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35-AE51-4518-A52F-DBA50F0140EC}"/>
                    </c:ext>
                  </c:extLst>
                </c:dPt>
                <c:dPt>
                  <c:idx val="3"/>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A-AE51-4518-A52F-DBA50F0140EC}"/>
                    </c:ext>
                  </c:extLst>
                </c:dPt>
                <c:dPt>
                  <c:idx val="4"/>
                  <c:marker>
                    <c:symbol val="triangle"/>
                    <c:size val="7"/>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1-AE51-4518-A52F-DBA50F0140EC}"/>
                    </c:ext>
                  </c:extLst>
                </c:dPt>
                <c:xVal>
                  <c:numRef>
                    <c:extLst xmlns:c15="http://schemas.microsoft.com/office/drawing/2012/chart">
                      <c:ext xmlns:c15="http://schemas.microsoft.com/office/drawing/2012/chart" uri="{02D57815-91ED-43cb-92C2-25804820EDAC}">
                        <c15:formulaRef>
                          <c15:sqref>'Holding FF'!$F$46:$F$52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FF'!$F$31:$F$37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0-AE51-4518-A52F-DBA50F0140EC}"/>
                  </c:ext>
                </c:extLst>
              </c15:ser>
            </c15:filteredScatterSeries>
            <c15:filteredScatterSeries>
              <c15:ser>
                <c:idx val="17"/>
                <c:order val="17"/>
                <c:tx>
                  <c:v>Holding FL150</c:v>
                </c:tx>
                <c:spPr>
                  <a:ln w="25400" cap="rnd">
                    <a:noFill/>
                    <a:round/>
                  </a:ln>
                  <a:effectLst/>
                </c:spPr>
                <c:marker>
                  <c:symbol val="triangle"/>
                  <c:size val="5"/>
                  <c:spPr>
                    <a:solidFill>
                      <a:schemeClr val="accent6">
                        <a:lumMod val="80000"/>
                        <a:lumOff val="20000"/>
                      </a:schemeClr>
                    </a:solidFill>
                    <a:ln w="9525">
                      <a:solidFill>
                        <a:schemeClr val="accent6">
                          <a:lumMod val="80000"/>
                          <a:lumOff val="20000"/>
                        </a:schemeClr>
                      </a:solidFill>
                    </a:ln>
                    <a:effectLst/>
                  </c:spPr>
                </c:marker>
                <c:dPt>
                  <c:idx val="0"/>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E-AE51-4518-A52F-DBA50F0140EC}"/>
                    </c:ext>
                  </c:extLst>
                </c:dPt>
                <c:dPt>
                  <c:idx val="1"/>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9-AE51-4518-A52F-DBA50F0140EC}"/>
                    </c:ext>
                  </c:extLst>
                </c:dPt>
                <c:dPt>
                  <c:idx val="2"/>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36-AE51-4518-A52F-DBA50F0140EC}"/>
                    </c:ext>
                  </c:extLst>
                </c:dPt>
                <c:xVal>
                  <c:numRef>
                    <c:extLst xmlns:c15="http://schemas.microsoft.com/office/drawing/2012/chart">
                      <c:ext xmlns:c15="http://schemas.microsoft.com/office/drawing/2012/chart" uri="{02D57815-91ED-43cb-92C2-25804820EDAC}">
                        <c15:formulaRef>
                          <c15:sqref>'Holding FF'!$G$46:$G$52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FF'!$G$31:$G$37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1-AE51-4518-A52F-DBA50F0140EC}"/>
                  </c:ext>
                </c:extLst>
              </c15:ser>
            </c15:filteredScatterSeries>
            <c15:filteredScatterSeries>
              <c15:ser>
                <c:idx val="18"/>
                <c:order val="18"/>
                <c:tx>
                  <c:v>Holding FL200</c:v>
                </c:tx>
                <c:spPr>
                  <a:ln w="25400" cap="rnd">
                    <a:noFill/>
                    <a:round/>
                  </a:ln>
                  <a:effectLst/>
                </c:spPr>
                <c:marker>
                  <c:symbol val="triangle"/>
                  <c:size val="5"/>
                  <c:spPr>
                    <a:solidFill>
                      <a:schemeClr val="accent1">
                        <a:lumMod val="80000"/>
                      </a:schemeClr>
                    </a:solidFill>
                    <a:ln w="9525">
                      <a:solidFill>
                        <a:schemeClr val="accent1">
                          <a:lumMod val="80000"/>
                        </a:schemeClr>
                      </a:solidFill>
                    </a:ln>
                    <a:effectLst/>
                  </c:spPr>
                </c:marker>
                <c:dPt>
                  <c:idx val="0"/>
                  <c:marker>
                    <c:symbol val="circle"/>
                    <c:size val="6"/>
                    <c:spPr>
                      <a:noFill/>
                      <a:ln w="9525">
                        <a:solidFill>
                          <a:schemeClr val="accent1">
                            <a:lumMod val="80000"/>
                          </a:schemeClr>
                        </a:solidFill>
                      </a:ln>
                      <a:effectLst/>
                    </c:spPr>
                  </c:marker>
                  <c:bubble3D val="0"/>
                  <c:extLst xmlns:c15="http://schemas.microsoft.com/office/drawing/2012/chart">
                    <c:ext xmlns:c16="http://schemas.microsoft.com/office/drawing/2014/chart" uri="{C3380CC4-5D6E-409C-BE32-E72D297353CC}">
                      <c16:uniqueId val="{00000028-AE51-4518-A52F-DBA50F0140EC}"/>
                    </c:ext>
                  </c:extLst>
                </c:dPt>
                <c:xVal>
                  <c:numRef>
                    <c:extLst xmlns:c15="http://schemas.microsoft.com/office/drawing/2012/chart">
                      <c:ext xmlns:c15="http://schemas.microsoft.com/office/drawing/2012/chart" uri="{02D57815-91ED-43cb-92C2-25804820EDAC}">
                        <c15:formulaRef>
                          <c15:sqref>'Holding FF'!$H$46:$H$52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FF'!$H$31:$H$37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2-AE51-4518-A52F-DBA50F0140EC}"/>
                  </c:ext>
                </c:extLst>
              </c15:ser>
            </c15:filteredScatterSeries>
            <c15:filteredScatterSeries>
              <c15:ser>
                <c:idx val="19"/>
                <c:order val="19"/>
                <c:tx>
                  <c:v>Holding FL250</c:v>
                </c:tx>
                <c:spPr>
                  <a:ln w="25400" cap="rnd">
                    <a:noFill/>
                    <a:round/>
                  </a:ln>
                  <a:effectLst/>
                </c:spPr>
                <c:marker>
                  <c:symbol val="triangle"/>
                  <c:size val="5"/>
                  <c:spPr>
                    <a:solidFill>
                      <a:schemeClr val="accent2">
                        <a:lumMod val="80000"/>
                      </a:schemeClr>
                    </a:solidFill>
                    <a:ln w="9525">
                      <a:solidFill>
                        <a:schemeClr val="accent2">
                          <a:lumMod val="80000"/>
                        </a:schemeClr>
                      </a:solidFill>
                    </a:ln>
                    <a:effectLst/>
                  </c:spPr>
                </c:marker>
                <c:xVal>
                  <c:numRef>
                    <c:extLst xmlns:c15="http://schemas.microsoft.com/office/drawing/2012/chart">
                      <c:ext xmlns:c15="http://schemas.microsoft.com/office/drawing/2012/chart" uri="{02D57815-91ED-43cb-92C2-25804820EDAC}">
                        <c15:formulaRef>
                          <c15:sqref>'Holding FF'!$I$46:$I$52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FF'!$I$31:$I$37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3-AE51-4518-A52F-DBA50F0140EC}"/>
                  </c:ext>
                </c:extLst>
              </c15:ser>
            </c15:filteredScatterSeries>
            <c15:filteredScatterSeries>
              <c15:ser>
                <c:idx val="20"/>
                <c:order val="20"/>
                <c:tx>
                  <c:v>Holding FL300</c:v>
                </c:tx>
                <c:spPr>
                  <a:ln w="25400" cap="rnd">
                    <a:noFill/>
                    <a:round/>
                  </a:ln>
                  <a:effectLst/>
                </c:spPr>
                <c:marker>
                  <c:symbol val="triangle"/>
                  <c:size val="5"/>
                  <c:spPr>
                    <a:solidFill>
                      <a:schemeClr val="accent3">
                        <a:lumMod val="80000"/>
                      </a:schemeClr>
                    </a:solidFill>
                    <a:ln w="9525">
                      <a:solidFill>
                        <a:schemeClr val="accent3">
                          <a:lumMod val="80000"/>
                        </a:schemeClr>
                      </a:solidFill>
                    </a:ln>
                    <a:effectLst/>
                  </c:spPr>
                </c:marker>
                <c:xVal>
                  <c:numRef>
                    <c:extLst xmlns:c15="http://schemas.microsoft.com/office/drawing/2012/chart">
                      <c:ext xmlns:c15="http://schemas.microsoft.com/office/drawing/2012/chart" uri="{02D57815-91ED-43cb-92C2-25804820EDAC}">
                        <c15:formulaRef>
                          <c15:sqref>'Holding FF'!$J$45:$J$52</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'Holding FF'!$J$30:$J$37</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14-AE51-4518-A52F-DBA50F0140EC}"/>
                  </c:ext>
                </c:extLst>
              </c15:ser>
            </c15:filteredScatterSeries>
            <c15:filteredScatterSeries>
              <c15:ser>
                <c:idx val="21"/>
                <c:order val="21"/>
                <c:tx>
                  <c:v>Holding FL350</c:v>
                </c:tx>
                <c:spPr>
                  <a:ln w="25400" cap="rnd">
                    <a:noFill/>
                    <a:round/>
                  </a:ln>
                  <a:effectLst/>
                </c:spPr>
                <c:marker>
                  <c:symbol val="triangle"/>
                  <c:size val="5"/>
                  <c:spPr>
                    <a:solidFill>
                      <a:schemeClr val="accent4">
                        <a:lumMod val="80000"/>
                      </a:schemeClr>
                    </a:solidFill>
                    <a:ln w="9525">
                      <a:solidFill>
                        <a:schemeClr val="accent4">
                          <a:lumMod val="80000"/>
                        </a:schemeClr>
                      </a:solidFill>
                    </a:ln>
                    <a:effectLst/>
                  </c:spPr>
                </c:marker>
                <c:xVal>
                  <c:numRef>
                    <c:extLst xmlns:c15="http://schemas.microsoft.com/office/drawing/2012/chart">
                      <c:ext xmlns:c15="http://schemas.microsoft.com/office/drawing/2012/chart" uri="{02D57815-91ED-43cb-92C2-25804820EDAC}">
                        <c15:formulaRef>
                          <c15:sqref>'Holding FF'!$K$45:$K$51</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FF'!$K$30:$K$36</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5-AE51-4518-A52F-DBA50F0140EC}"/>
                  </c:ext>
                </c:extLst>
              </c15:ser>
            </c15:filteredScatterSeries>
            <c15:filteredScatterSeries>
              <c15:ser>
                <c:idx val="22"/>
                <c:order val="22"/>
                <c:tx>
                  <c:v>Holding FL400</c:v>
                </c:tx>
                <c:spPr>
                  <a:ln w="25400" cap="rnd">
                    <a:noFill/>
                    <a:round/>
                  </a:ln>
                  <a:effectLst/>
                </c:spPr>
                <c:marker>
                  <c:symbol val="triangle"/>
                  <c:size val="5"/>
                  <c:spPr>
                    <a:solidFill>
                      <a:schemeClr val="accent5">
                        <a:lumMod val="80000"/>
                      </a:schemeClr>
                    </a:solidFill>
                    <a:ln w="9525">
                      <a:solidFill>
                        <a:schemeClr val="accent5">
                          <a:lumMod val="80000"/>
                        </a:schemeClr>
                      </a:solidFill>
                    </a:ln>
                    <a:effectLst/>
                  </c:spPr>
                </c:marker>
                <c:xVal>
                  <c:numRef>
                    <c:extLst xmlns:c15="http://schemas.microsoft.com/office/drawing/2012/chart">
                      <c:ext xmlns:c15="http://schemas.microsoft.com/office/drawing/2012/chart" uri="{02D57815-91ED-43cb-92C2-25804820EDAC}">
                        <c15:formulaRef>
                          <c15:sqref>'Holding FF'!$L$44:$L$48</c15:sqref>
                        </c15:formulaRef>
                      </c:ext>
                    </c:extLst>
                    <c:numCache>
                      <c:formatCode>General</c:formatCode>
                      <c:ptCount val="5"/>
                    </c:numCache>
                  </c:numRef>
                </c:xVal>
                <c:yVal>
                  <c:numRef>
                    <c:extLst xmlns:c15="http://schemas.microsoft.com/office/drawing/2012/chart">
                      <c:ext xmlns:c15="http://schemas.microsoft.com/office/drawing/2012/chart" uri="{02D57815-91ED-43cb-92C2-25804820EDAC}">
                        <c15:formulaRef>
                          <c15:sqref>'Holding FF'!$L$29:$L$33</c15:sqref>
                        </c15:formulaRef>
                      </c:ext>
                    </c:extLst>
                    <c:numCache>
                      <c:formatCode>General</c:formatCode>
                      <c:ptCount val="5"/>
                    </c:numCache>
                  </c:numRef>
                </c:yVal>
                <c:smooth val="0"/>
                <c:extLst xmlns:c15="http://schemas.microsoft.com/office/drawing/2012/chart">
                  <c:ext xmlns:c16="http://schemas.microsoft.com/office/drawing/2014/chart" uri="{C3380CC4-5D6E-409C-BE32-E72D297353CC}">
                    <c16:uniqueId val="{00000016-AE51-4518-A52F-DBA50F0140EC}"/>
                  </c:ext>
                </c:extLst>
              </c15:ser>
            </c15:filteredScatterSeries>
            <c15:filteredScatterSeries>
              <c15:ser>
                <c:idx val="23"/>
                <c:order val="23"/>
                <c:tx>
                  <c:v>Holding FL430</c:v>
                </c:tx>
                <c:spPr>
                  <a:ln w="25400" cap="rnd">
                    <a:noFill/>
                    <a:round/>
                  </a:ln>
                  <a:effectLst/>
                </c:spPr>
                <c:marker>
                  <c:symbol val="triangle"/>
                  <c:size val="5"/>
                  <c:spPr>
                    <a:solidFill>
                      <a:schemeClr val="accent6">
                        <a:lumMod val="80000"/>
                      </a:schemeClr>
                    </a:solidFill>
                    <a:ln w="9525">
                      <a:solidFill>
                        <a:schemeClr val="accent6">
                          <a:lumMod val="80000"/>
                        </a:schemeClr>
                      </a:solidFill>
                    </a:ln>
                    <a:effectLst/>
                  </c:spPr>
                </c:marker>
                <c:xVal>
                  <c:numRef>
                    <c:extLst xmlns:c15="http://schemas.microsoft.com/office/drawing/2012/chart">
                      <c:ext xmlns:c15="http://schemas.microsoft.com/office/drawing/2012/chart" uri="{02D57815-91ED-43cb-92C2-25804820EDAC}">
                        <c15:formulaRef>
                          <c15:sqref>'Holding FF'!$M$44:$M$46</c15:sqref>
                        </c15:formulaRef>
                      </c:ext>
                    </c:extLst>
                    <c:numCache>
                      <c:formatCode>General</c:formatCode>
                      <c:ptCount val="3"/>
                    </c:numCache>
                  </c:numRef>
                </c:xVal>
                <c:yVal>
                  <c:numRef>
                    <c:extLst xmlns:c15="http://schemas.microsoft.com/office/drawing/2012/chart">
                      <c:ext xmlns:c15="http://schemas.microsoft.com/office/drawing/2012/chart" uri="{02D57815-91ED-43cb-92C2-25804820EDAC}">
                        <c15:formulaRef>
                          <c15:sqref>'Holding FF'!$M$29:$M$31</c15:sqref>
                        </c15:formulaRef>
                      </c:ext>
                    </c:extLst>
                    <c:numCache>
                      <c:formatCode>General</c:formatCode>
                      <c:ptCount val="3"/>
                    </c:numCache>
                  </c:numRef>
                </c:yVal>
                <c:smooth val="0"/>
                <c:extLst xmlns:c15="http://schemas.microsoft.com/office/drawing/2012/chart">
                  <c:ext xmlns:c16="http://schemas.microsoft.com/office/drawing/2014/chart" uri="{C3380CC4-5D6E-409C-BE32-E72D297353CC}">
                    <c16:uniqueId val="{00000017-AE51-4518-A52F-DBA50F0140EC}"/>
                  </c:ext>
                </c:extLst>
              </c15:ser>
            </c15:filteredScatterSeries>
            <c15:filteredScatterSeries>
              <c15:ser>
                <c:idx val="24"/>
                <c:order val="24"/>
                <c:tx>
                  <c:v>LRC FL60</c:v>
                </c:tx>
                <c:spPr>
                  <a:ln w="25400" cap="rnd">
                    <a:noFill/>
                    <a:round/>
                  </a:ln>
                  <a:effectLst/>
                </c:spPr>
                <c:marker>
                  <c:symbol val="diamond"/>
                  <c:size val="6"/>
                  <c:spPr>
                    <a:solidFill>
                      <a:schemeClr val="accent1">
                        <a:lumMod val="60000"/>
                        <a:lumOff val="40000"/>
                      </a:schemeClr>
                    </a:solidFill>
                    <a:ln w="9525">
                      <a:solidFill>
                        <a:schemeClr val="accent1">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FF'!$D$61:$D$70</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'LRC FF'!$D$39:$D$48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18-AE51-4518-A52F-DBA50F0140EC}"/>
                  </c:ext>
                </c:extLst>
              </c15:ser>
            </c15:filteredScatterSeries>
            <c15:filteredScatterSeries>
              <c15:ser>
                <c:idx val="31"/>
                <c:order val="25"/>
                <c:tx>
                  <c:v>LRC FL100</c:v>
                </c:tx>
                <c:spPr>
                  <a:ln w="25400" cap="rnd">
                    <a:noFill/>
                    <a:round/>
                  </a:ln>
                  <a:effectLst/>
                </c:spPr>
                <c:marker>
                  <c:symbol val="diamond"/>
                  <c:size val="6"/>
                  <c:spPr>
                    <a:solidFill>
                      <a:schemeClr val="accent2">
                        <a:lumMod val="50000"/>
                      </a:schemeClr>
                    </a:solidFill>
                    <a:ln w="9525">
                      <a:solidFill>
                        <a:schemeClr val="accent2">
                          <a:lumMod val="50000"/>
                        </a:schemeClr>
                      </a:solidFill>
                    </a:ln>
                    <a:effectLst/>
                  </c:spPr>
                </c:marker>
                <c:xVal>
                  <c:numRef>
                    <c:extLst xmlns:c15="http://schemas.microsoft.com/office/drawing/2012/chart">
                      <c:ext xmlns:c15="http://schemas.microsoft.com/office/drawing/2012/chart" uri="{02D57815-91ED-43cb-92C2-25804820EDAC}">
                        <c15:formulaRef>
                          <c15:sqref>'LRC FF'!$F$61:$F$71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FF'!$F$39:$F$49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1F-AE51-4518-A52F-DBA50F0140EC}"/>
                  </c:ext>
                </c:extLst>
              </c15:ser>
            </c15:filteredScatterSeries>
            <c15:filteredScatterSeries>
              <c15:ser>
                <c:idx val="32"/>
                <c:order val="26"/>
                <c:tx>
                  <c:v>LRC FL150</c:v>
                </c:tx>
                <c:spPr>
                  <a:ln w="25400" cap="rnd">
                    <a:noFill/>
                    <a:round/>
                  </a:ln>
                  <a:effectLst/>
                </c:spPr>
                <c:marker>
                  <c:symbol val="diamond"/>
                  <c:size val="6"/>
                  <c:spPr>
                    <a:solidFill>
                      <a:schemeClr val="accent3">
                        <a:lumMod val="50000"/>
                      </a:schemeClr>
                    </a:solidFill>
                    <a:ln w="9525">
                      <a:solidFill>
                        <a:schemeClr val="accent3">
                          <a:lumMod val="50000"/>
                        </a:schemeClr>
                      </a:solidFill>
                    </a:ln>
                    <a:effectLst/>
                  </c:spPr>
                </c:marker>
                <c:xVal>
                  <c:numRef>
                    <c:extLst xmlns:c15="http://schemas.microsoft.com/office/drawing/2012/chart">
                      <c:ext xmlns:c15="http://schemas.microsoft.com/office/drawing/2012/chart" uri="{02D57815-91ED-43cb-92C2-25804820EDAC}">
                        <c15:formulaRef>
                          <c15:sqref>'LRC FF'!$J$61:$J$71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FF'!$J$39:$J$49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20-AE51-4518-A52F-DBA50F0140EC}"/>
                  </c:ext>
                </c:extLst>
              </c15:ser>
            </c15:filteredScatterSeries>
            <c15:filteredScatterSeries>
              <c15:ser>
                <c:idx val="28"/>
                <c:order val="27"/>
                <c:tx>
                  <c:v>LRC FL200</c:v>
                </c:tx>
                <c:spPr>
                  <a:ln w="25400" cap="rnd">
                    <a:noFill/>
                    <a:round/>
                  </a:ln>
                  <a:effectLst/>
                </c:spPr>
                <c:marker>
                  <c:symbol val="diamond"/>
                  <c:size val="6"/>
                  <c:spPr>
                    <a:solidFill>
                      <a:schemeClr val="accent5">
                        <a:lumMod val="60000"/>
                        <a:lumOff val="40000"/>
                      </a:schemeClr>
                    </a:solidFill>
                    <a:ln w="9525">
                      <a:solidFill>
                        <a:schemeClr val="accent5">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FF'!$O$61:$O$72</c15:sqref>
                        </c15:formulaRef>
                      </c:ext>
                    </c:extLst>
                    <c:numCache>
                      <c:formatCode>General</c:formatCode>
                      <c:ptCount val="12"/>
                    </c:numCache>
                  </c:numRef>
                </c:xVal>
                <c:yVal>
                  <c:numRef>
                    <c:extLst xmlns:c15="http://schemas.microsoft.com/office/drawing/2012/chart">
                      <c:ext xmlns:c15="http://schemas.microsoft.com/office/drawing/2012/chart" uri="{02D57815-91ED-43cb-92C2-25804820EDAC}">
                        <c15:formulaRef>
                          <c15:sqref>'LRC FF'!$O$39:$O$50</c15:sqref>
                        </c15:formulaRef>
                      </c:ext>
                    </c:extLst>
                    <c:numCache>
                      <c:formatCode>General</c:formatCode>
                      <c:ptCount val="12"/>
                    </c:numCache>
                  </c:numRef>
                </c:yVal>
                <c:smooth val="0"/>
                <c:extLst xmlns:c15="http://schemas.microsoft.com/office/drawing/2012/chart">
                  <c:ext xmlns:c16="http://schemas.microsoft.com/office/drawing/2014/chart" uri="{C3380CC4-5D6E-409C-BE32-E72D297353CC}">
                    <c16:uniqueId val="{0000001C-AE51-4518-A52F-DBA50F0140EC}"/>
                  </c:ext>
                </c:extLst>
              </c15:ser>
            </c15:filteredScatterSeries>
            <c15:filteredScatterSeries>
              <c15:ser>
                <c:idx val="29"/>
                <c:order val="28"/>
                <c:tx>
                  <c:v>LRC FL250</c:v>
                </c:tx>
                <c:spPr>
                  <a:ln w="25400" cap="rnd">
                    <a:noFill/>
                    <a:round/>
                  </a:ln>
                  <a:effectLst/>
                </c:spPr>
                <c:marker>
                  <c:symbol val="diamond"/>
                  <c:size val="6"/>
                  <c:spPr>
                    <a:solidFill>
                      <a:schemeClr val="accent6">
                        <a:lumMod val="60000"/>
                        <a:lumOff val="40000"/>
                      </a:schemeClr>
                    </a:solidFill>
                    <a:ln w="9525">
                      <a:solidFill>
                        <a:schemeClr val="accent6">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FF'!$T$61:$T$73</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'LRC FF'!$T$39:$T$51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1D-AE51-4518-A52F-DBA50F0140EC}"/>
                  </c:ext>
                </c:extLst>
              </c15:ser>
            </c15:filteredScatterSeries>
            <c15:filteredScatterSeries>
              <c15:ser>
                <c:idx val="26"/>
                <c:order val="29"/>
                <c:tx>
                  <c:v>LRC FL300</c:v>
                </c:tx>
                <c:spPr>
                  <a:ln w="25400" cap="rnd">
                    <a:noFill/>
                    <a:round/>
                  </a:ln>
                  <a:effectLst/>
                </c:spPr>
                <c:marker>
                  <c:symbol val="diamond"/>
                  <c:size val="6"/>
                  <c:spPr>
                    <a:solidFill>
                      <a:schemeClr val="accent3">
                        <a:lumMod val="60000"/>
                        <a:lumOff val="40000"/>
                      </a:schemeClr>
                    </a:solidFill>
                    <a:ln w="9525">
                      <a:solidFill>
                        <a:schemeClr val="accent3">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FF'!$Y$61:$Y$77</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'LRC FF'!$Y$39:$Y$55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1A-AE51-4518-A52F-DBA50F0140EC}"/>
                  </c:ext>
                </c:extLst>
              </c15:ser>
            </c15:filteredScatterSeries>
            <c15:filteredScatterSeries>
              <c15:ser>
                <c:idx val="27"/>
                <c:order val="30"/>
                <c:tx>
                  <c:v>LRC FL350</c:v>
                </c:tx>
                <c:spPr>
                  <a:ln w="25400" cap="rnd">
                    <a:noFill/>
                    <a:round/>
                  </a:ln>
                  <a:effectLst/>
                </c:spPr>
                <c:marker>
                  <c:symbol val="diamond"/>
                  <c:size val="6"/>
                  <c:spPr>
                    <a:solidFill>
                      <a:schemeClr val="accent4">
                        <a:lumMod val="60000"/>
                        <a:lumOff val="40000"/>
                      </a:schemeClr>
                    </a:solidFill>
                    <a:ln w="9525">
                      <a:solidFill>
                        <a:schemeClr val="accent4">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FF'!$AD$61:$AD$75</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'LRC FF'!$AD$39:$AD$53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1B-AE51-4518-A52F-DBA50F0140EC}"/>
                  </c:ext>
                </c:extLst>
              </c15:ser>
            </c15:filteredScatterSeries>
            <c15:filteredScatterSeries>
              <c15:ser>
                <c:idx val="30"/>
                <c:order val="31"/>
                <c:tx>
                  <c:v>LRC FL400</c:v>
                </c:tx>
                <c:spPr>
                  <a:ln w="25400" cap="rnd">
                    <a:noFill/>
                    <a:round/>
                  </a:ln>
                  <a:effectLst/>
                </c:spPr>
                <c:marker>
                  <c:symbol val="diamond"/>
                  <c:size val="6"/>
                  <c:spPr>
                    <a:solidFill>
                      <a:schemeClr val="accent1">
                        <a:lumMod val="50000"/>
                      </a:schemeClr>
                    </a:solidFill>
                    <a:ln w="9525">
                      <a:solidFill>
                        <a:schemeClr val="accent1">
                          <a:lumMod val="50000"/>
                        </a:schemeClr>
                      </a:solidFill>
                    </a:ln>
                    <a:effectLst/>
                  </c:spPr>
                </c:marker>
                <c:xVal>
                  <c:numRef>
                    <c:extLst xmlns:c15="http://schemas.microsoft.com/office/drawing/2012/chart">
                      <c:ext xmlns:c15="http://schemas.microsoft.com/office/drawing/2012/chart" uri="{02D57815-91ED-43cb-92C2-25804820EDAC}">
                        <c15:formulaRef>
                          <c15:sqref>'LRC FF'!$AI$61:$AI$69</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'LRC FF'!$AI$39:$AI$47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1E-AE51-4518-A52F-DBA50F0140EC}"/>
                  </c:ext>
                </c:extLst>
              </c15:ser>
            </c15:filteredScatterSeries>
            <c15:filteredScatterSeries>
              <c15:ser>
                <c:idx val="25"/>
                <c:order val="32"/>
                <c:tx>
                  <c:v>LRC FL430</c:v>
                </c:tx>
                <c:spPr>
                  <a:ln w="25400" cap="rnd">
                    <a:noFill/>
                    <a:round/>
                  </a:ln>
                  <a:effectLst/>
                </c:spPr>
                <c:marker>
                  <c:symbol val="diamond"/>
                  <c:size val="6"/>
                  <c:spPr>
                    <a:solidFill>
                      <a:schemeClr val="accent2">
                        <a:lumMod val="60000"/>
                        <a:lumOff val="40000"/>
                      </a:schemeClr>
                    </a:solidFill>
                    <a:ln w="9525">
                      <a:solidFill>
                        <a:schemeClr val="accent2">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FF'!$AL$61:$AL$66</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'LRC FF'!$AL$39:$AL$44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19-AE51-4518-A52F-DBA50F0140EC}"/>
                  </c:ext>
                </c:extLst>
              </c15:ser>
            </c15:filteredScatterSeries>
            <c15:filteredScatterSeries>
              <c15:ser>
                <c:idx val="34"/>
                <c:order val="34"/>
                <c:tx>
                  <c:v>Best-Fit</c:v>
                </c:tx>
                <c:spPr>
                  <a:ln w="25400" cap="rnd">
                    <a:solidFill>
                      <a:srgbClr val="FF0000"/>
                    </a:solidFill>
                    <a:round/>
                  </a:ln>
                  <a:effectLst/>
                </c:spPr>
                <c:marker>
                  <c:symbol val="none"/>
                </c:marker>
                <c:xVal>
                  <c:numRef>
                    <c:extLst xmlns:c15="http://schemas.microsoft.com/office/drawing/2012/chart">
                      <c:ext xmlns:c15="http://schemas.microsoft.com/office/drawing/2012/chart" uri="{02D57815-91ED-43cb-92C2-25804820EDAC}">
                        <c15:formulaRef>
                          <c15:sqref>'LRC Mach'!$BH$5:$BH$230</c15:sqref>
                        </c15:formulaRef>
                      </c:ext>
                    </c:extLst>
                    <c:numCache>
                      <c:formatCode>General</c:formatCode>
                      <c:ptCount val="226"/>
                    </c:numCache>
                  </c:numRef>
                </c:xVal>
                <c:yVal>
                  <c:numRef>
                    <c:extLst xmlns:c15="http://schemas.microsoft.com/office/drawing/2012/chart">
                      <c:ext xmlns:c15="http://schemas.microsoft.com/office/drawing/2012/chart" uri="{02D57815-91ED-43cb-92C2-25804820EDAC}">
                        <c15:formulaRef>
                          <c15:sqref>'LRC Mach'!$BL$5:$BL$230</c15:sqref>
                        </c15:formulaRef>
                      </c:ext>
                    </c:extLst>
                    <c:numCache>
                      <c:formatCode>General</c:formatCode>
                      <c:ptCount val="226"/>
                    </c:numCache>
                  </c:numRef>
                </c:yVal>
                <c:smooth val="0"/>
                <c:extLst xmlns:c15="http://schemas.microsoft.com/office/drawing/2012/chart">
                  <c:ext xmlns:c16="http://schemas.microsoft.com/office/drawing/2014/chart" uri="{C3380CC4-5D6E-409C-BE32-E72D297353CC}">
                    <c16:uniqueId val="{00000018-54EA-4677-8E79-4C7ABC556542}"/>
                  </c:ext>
                </c:extLst>
              </c15:ser>
            </c15:filteredScatterSeries>
          </c:ext>
        </c:extLst>
      </c:scatterChart>
      <c:valAx>
        <c:axId val="395770496"/>
        <c:scaling>
          <c:orientation val="minMax"/>
          <c:min val="500"/>
        </c:scaling>
        <c:delete val="0"/>
        <c:axPos val="b"/>
        <c:majorGridlines>
          <c:spPr>
            <a:ln w="9525" cap="flat" cmpd="sng" algn="ctr">
              <a:solidFill>
                <a:schemeClr val="tx1">
                  <a:lumMod val="15000"/>
                  <a:lumOff val="85000"/>
                </a:schemeClr>
              </a:solidFill>
              <a:round/>
            </a:ln>
            <a:effectLst/>
          </c:spPr>
        </c:majorGridlines>
        <c:minorGridlines>
          <c:spPr>
            <a:ln w="1587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Weight / delta</a:t>
                </a:r>
              </a:p>
            </c:rich>
          </c:tx>
          <c:layout>
            <c:manualLayout>
              <c:xMode val="edge"/>
              <c:yMode val="edge"/>
              <c:x val="0.40936921435669482"/>
              <c:y val="0.96274522989125022"/>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801728"/>
        <c:crosses val="autoZero"/>
        <c:crossBetween val="midCat"/>
        <c:minorUnit val="50"/>
      </c:valAx>
      <c:valAx>
        <c:axId val="39580172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2 * (Fuel Flow - FF</a:t>
                </a:r>
                <a:r>
                  <a:rPr lang="en-US" sz="2000" b="1" baseline="-25000"/>
                  <a:t>offset</a:t>
                </a:r>
                <a:r>
                  <a:rPr lang="en-US" sz="2000" b="1"/>
                  <a:t>) / </a:t>
                </a:r>
                <a:r>
                  <a:rPr lang="en-US" sz="2000" b="1">
                    <a:latin typeface="Symbol" panose="05050102010706020507" pitchFamily="18" charset="2"/>
                  </a:rPr>
                  <a:t>Q</a:t>
                </a:r>
                <a:r>
                  <a:rPr lang="en-US" sz="2000" b="1" baseline="-25000"/>
                  <a:t>T</a:t>
                </a:r>
                <a:r>
                  <a:rPr lang="en-US" sz="2000" b="1" baseline="30000"/>
                  <a:t>X </a:t>
                </a:r>
                <a:r>
                  <a:rPr lang="en-US" sz="2000" b="1"/>
                  <a:t>  / Weight  (kg/hr/MT)</a:t>
                </a:r>
              </a:p>
            </c:rich>
          </c:tx>
          <c:layout>
            <c:manualLayout>
              <c:xMode val="edge"/>
              <c:yMode val="edge"/>
              <c:x val="2.0837031919734423E-2"/>
              <c:y val="0.24225582773490589"/>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770496"/>
        <c:crosses val="autoZero"/>
        <c:crossBetween val="midCat"/>
      </c:valAx>
      <c:spPr>
        <a:solidFill>
          <a:srgbClr val="FFFFCC"/>
        </a:solidFill>
        <a:ln>
          <a:noFill/>
        </a:ln>
        <a:effectLst/>
      </c:spPr>
    </c:plotArea>
    <c:legend>
      <c:legendPos val="r"/>
      <c:layout>
        <c:manualLayout>
          <c:xMode val="edge"/>
          <c:yMode val="edge"/>
          <c:x val="0.91199138601423702"/>
          <c:y val="0.10779452958189438"/>
          <c:w val="6.5114809431650433E-2"/>
          <c:h val="3.3497679542398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MH370 Configuration</a:t>
            </a:r>
          </a:p>
        </c:rich>
      </c:tx>
      <c:layout>
        <c:manualLayout>
          <c:xMode val="edge"/>
          <c:yMode val="edge"/>
          <c:x val="0.37159756321392706"/>
          <c:y val="1.6528877052319046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86679340110475"/>
          <c:y val="5.9180442068498894E-2"/>
          <c:w val="0.77918180428439465"/>
          <c:h val="0.86386461463547171"/>
        </c:manualLayout>
      </c:layout>
      <c:scatterChart>
        <c:scatterStyle val="lineMarker"/>
        <c:varyColors val="0"/>
        <c:ser>
          <c:idx val="33"/>
          <c:order val="33"/>
          <c:tx>
            <c:v>LRC</c:v>
          </c:tx>
          <c:spPr>
            <a:ln w="25400" cap="rnd">
              <a:noFill/>
              <a:round/>
            </a:ln>
            <a:effectLst/>
          </c:spPr>
          <c:marker>
            <c:symbol val="circle"/>
            <c:size val="8"/>
            <c:spPr>
              <a:solidFill>
                <a:schemeClr val="accent4">
                  <a:lumMod val="50000"/>
                </a:schemeClr>
              </a:solidFill>
              <a:ln w="9525">
                <a:solidFill>
                  <a:schemeClr val="accent4">
                    <a:lumMod val="50000"/>
                  </a:schemeClr>
                </a:solidFill>
              </a:ln>
              <a:effectLst/>
            </c:spPr>
          </c:marker>
          <c:trendline>
            <c:spPr>
              <a:ln w="19050" cap="rnd">
                <a:solidFill>
                  <a:schemeClr val="accent4">
                    <a:lumMod val="50000"/>
                  </a:schemeClr>
                </a:solidFill>
                <a:prstDash val="sysDot"/>
              </a:ln>
              <a:effectLst/>
            </c:spPr>
            <c:trendlineType val="poly"/>
            <c:order val="6"/>
            <c:dispRSqr val="1"/>
            <c:dispEq val="1"/>
            <c:trendlineLbl>
              <c:numFmt formatCode="0.000000E+00" sourceLinked="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rendlineLbl>
          </c:trendline>
          <c:xVal>
            <c:numRef>
              <c:f>'LRC FF'!$AQ$38:$AQ$495</c:f>
              <c:numCache>
                <c:formatCode>General</c:formatCode>
                <c:ptCount val="458"/>
              </c:numCache>
            </c:numRef>
          </c:xVal>
          <c:yVal>
            <c:numRef>
              <c:f>'LRC FF'!$AR$38:$AR$495</c:f>
              <c:numCache>
                <c:formatCode>General</c:formatCode>
                <c:ptCount val="458"/>
              </c:numCache>
            </c:numRef>
          </c:yVal>
          <c:smooth val="0"/>
          <c:extLst>
            <c:ext xmlns:c16="http://schemas.microsoft.com/office/drawing/2014/chart" uri="{C3380CC4-5D6E-409C-BE32-E72D297353CC}">
              <c16:uniqueId val="{00000001-72F4-40FA-AC77-5C3379DE5E64}"/>
            </c:ext>
          </c:extLst>
        </c:ser>
        <c:dLbls>
          <c:showLegendKey val="0"/>
          <c:showVal val="0"/>
          <c:showCatName val="0"/>
          <c:showSerName val="0"/>
          <c:showPercent val="0"/>
          <c:showBubbleSize val="0"/>
        </c:dLbls>
        <c:axId val="395770496"/>
        <c:axId val="395801728"/>
        <c:extLst>
          <c:ext xmlns:c15="http://schemas.microsoft.com/office/drawing/2012/chart" uri="{02D57815-91ED-43cb-92C2-25804820EDAC}">
            <c15:filteredScatterSeries>
              <c15:ser>
                <c:idx val="0"/>
                <c:order val="0"/>
                <c:tx>
                  <c:v>M0.84 FL300</c:v>
                </c:tx>
                <c:spPr>
                  <a:ln w="28575"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'M0.84 FF'!$D$62:$D$78</c15:sqref>
                        </c15:formulaRef>
                      </c:ext>
                    </c:extLst>
                    <c:numCache>
                      <c:formatCode>General</c:formatCode>
                      <c:ptCount val="17"/>
                    </c:numCache>
                  </c:numRef>
                </c:xVal>
                <c:yVal>
                  <c:numRef>
                    <c:extLst>
                      <c:ext uri="{02D57815-91ED-43cb-92C2-25804820EDAC}">
                        <c15:formulaRef>
                          <c15:sqref>'M0.84 FF'!$D$39:$D$55</c15:sqref>
                        </c15:formulaRef>
                      </c:ext>
                    </c:extLst>
                    <c:numCache>
                      <c:formatCode>General</c:formatCode>
                      <c:ptCount val="17"/>
                    </c:numCache>
                  </c:numRef>
                </c:yVal>
                <c:smooth val="0"/>
                <c:extLst>
                  <c:ext xmlns:c16="http://schemas.microsoft.com/office/drawing/2014/chart" uri="{C3380CC4-5D6E-409C-BE32-E72D297353CC}">
                    <c16:uniqueId val="{00000002-72F4-40FA-AC77-5C3379DE5E64}"/>
                  </c:ext>
                </c:extLst>
              </c15:ser>
            </c15:filteredScatterSeries>
            <c15:filteredScatterSeries>
              <c15:ser>
                <c:idx val="1"/>
                <c:order val="1"/>
                <c:tx>
                  <c:v>M0.84 FL310</c:v>
                </c:tx>
                <c:spPr>
                  <a:ln w="28575" cap="rnd">
                    <a:noFill/>
                    <a:round/>
                  </a:ln>
                  <a:effectLst/>
                </c:spPr>
                <c:marker>
                  <c:symbol val="circle"/>
                  <c:size val="5"/>
                  <c:spPr>
                    <a:solidFill>
                      <a:schemeClr val="accent2"/>
                    </a:solidFill>
                    <a:ln w="9525">
                      <a:solidFill>
                        <a:schemeClr val="accent2"/>
                      </a:solidFill>
                    </a:ln>
                    <a:effectLst/>
                  </c:spPr>
                </c:marker>
                <c:xVal>
                  <c:numRef>
                    <c:extLst xmlns:c15="http://schemas.microsoft.com/office/drawing/2012/chart">
                      <c:ext xmlns:c15="http://schemas.microsoft.com/office/drawing/2012/chart" uri="{02D57815-91ED-43cb-92C2-25804820EDAC}">
                        <c15:formulaRef>
                          <c15:sqref>'M0.84 FF'!$E$62:$E$78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FF'!$E$39:$E$55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3-72F4-40FA-AC77-5C3379DE5E64}"/>
                  </c:ext>
                </c:extLst>
              </c15:ser>
            </c15:filteredScatterSeries>
            <c15:filteredScatterSeries>
              <c15:ser>
                <c:idx val="2"/>
                <c:order val="2"/>
                <c:tx>
                  <c:v>M0.84 FL320</c:v>
                </c:tx>
                <c:spPr>
                  <a:ln w="28575" cap="rnd">
                    <a:noFill/>
                    <a:round/>
                  </a:ln>
                  <a:effectLst/>
                </c:spPr>
                <c:marker>
                  <c:symbol val="circle"/>
                  <c:size val="5"/>
                  <c:spPr>
                    <a:solidFill>
                      <a:schemeClr val="accent3"/>
                    </a:solidFill>
                    <a:ln w="9525">
                      <a:solidFill>
                        <a:schemeClr val="accent3"/>
                      </a:solidFill>
                    </a:ln>
                    <a:effectLst/>
                  </c:spPr>
                </c:marker>
                <c:xVal>
                  <c:numRef>
                    <c:extLst xmlns:c15="http://schemas.microsoft.com/office/drawing/2012/chart">
                      <c:ext xmlns:c15="http://schemas.microsoft.com/office/drawing/2012/chart" uri="{02D57815-91ED-43cb-92C2-25804820EDAC}">
                        <c15:formulaRef>
                          <c15:sqref>'M0.84 FF'!$F$62:$F$78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FF'!$F$39:$F$55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4-72F4-40FA-AC77-5C3379DE5E64}"/>
                  </c:ext>
                </c:extLst>
              </c15:ser>
            </c15:filteredScatterSeries>
            <c15:filteredScatterSeries>
              <c15:ser>
                <c:idx val="3"/>
                <c:order val="3"/>
                <c:tx>
                  <c:v>M0.84 FL330</c:v>
                </c:tx>
                <c:spPr>
                  <a:ln w="28575" cap="rnd">
                    <a:noFill/>
                    <a:round/>
                  </a:ln>
                  <a:effectLst/>
                </c:spPr>
                <c:marker>
                  <c:symbol val="circle"/>
                  <c:size val="5"/>
                  <c:spPr>
                    <a:solidFill>
                      <a:schemeClr val="accent4"/>
                    </a:solidFill>
                    <a:ln w="9525">
                      <a:solidFill>
                        <a:schemeClr val="accent4"/>
                      </a:solidFill>
                    </a:ln>
                    <a:effectLst/>
                  </c:spPr>
                </c:marker>
                <c:xVal>
                  <c:numRef>
                    <c:extLst xmlns:c15="http://schemas.microsoft.com/office/drawing/2012/chart">
                      <c:ext xmlns:c15="http://schemas.microsoft.com/office/drawing/2012/chart" uri="{02D57815-91ED-43cb-92C2-25804820EDAC}">
                        <c15:formulaRef>
                          <c15:sqref>'M0.84 FF'!$G$62:$G$78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FF'!$G$39:$G$55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5-72F4-40FA-AC77-5C3379DE5E64}"/>
                  </c:ext>
                </c:extLst>
              </c15:ser>
            </c15:filteredScatterSeries>
            <c15:filteredScatterSeries>
              <c15:ser>
                <c:idx val="4"/>
                <c:order val="4"/>
                <c:tx>
                  <c:v>M0.84 FL340</c:v>
                </c:tx>
                <c:spPr>
                  <a:ln w="28575" cap="rnd">
                    <a:no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'M0.84 FF'!$H$62:$H$77</c15:sqref>
                        </c15:formulaRef>
                      </c:ext>
                    </c:extLst>
                    <c:numCache>
                      <c:formatCode>General</c:formatCode>
                      <c:ptCount val="16"/>
                    </c:numCache>
                  </c:numRef>
                </c:xVal>
                <c:yVal>
                  <c:numRef>
                    <c:extLst xmlns:c15="http://schemas.microsoft.com/office/drawing/2012/chart">
                      <c:ext xmlns:c15="http://schemas.microsoft.com/office/drawing/2012/chart" uri="{02D57815-91ED-43cb-92C2-25804820EDAC}">
                        <c15:formulaRef>
                          <c15:sqref>'M0.84 FF'!$H$39:$H$54</c15:sqref>
                        </c15:formulaRef>
                      </c:ext>
                    </c:extLst>
                    <c:numCache>
                      <c:formatCode>General</c:formatCode>
                      <c:ptCount val="16"/>
                    </c:numCache>
                  </c:numRef>
                </c:yVal>
                <c:smooth val="0"/>
                <c:extLst xmlns:c15="http://schemas.microsoft.com/office/drawing/2012/chart">
                  <c:ext xmlns:c16="http://schemas.microsoft.com/office/drawing/2014/chart" uri="{C3380CC4-5D6E-409C-BE32-E72D297353CC}">
                    <c16:uniqueId val="{00000006-72F4-40FA-AC77-5C3379DE5E64}"/>
                  </c:ext>
                </c:extLst>
              </c15:ser>
            </c15:filteredScatterSeries>
            <c15:filteredScatterSeries>
              <c15:ser>
                <c:idx val="5"/>
                <c:order val="5"/>
                <c:tx>
                  <c:v>M0.84 FL350</c:v>
                </c:tx>
                <c:spPr>
                  <a:ln w="28575" cap="rnd">
                    <a:noFill/>
                    <a:round/>
                  </a:ln>
                  <a:effectLst/>
                </c:spPr>
                <c:marker>
                  <c:symbol val="circle"/>
                  <c:size val="5"/>
                  <c:spPr>
                    <a:solidFill>
                      <a:schemeClr val="accent6"/>
                    </a:solidFill>
                    <a:ln w="9525">
                      <a:solidFill>
                        <a:schemeClr val="accent6"/>
                      </a:solidFill>
                    </a:ln>
                    <a:effectLst/>
                  </c:spPr>
                </c:marker>
                <c:xVal>
                  <c:numRef>
                    <c:extLst xmlns:c15="http://schemas.microsoft.com/office/drawing/2012/chart">
                      <c:ext xmlns:c15="http://schemas.microsoft.com/office/drawing/2012/chart" uri="{02D57815-91ED-43cb-92C2-25804820EDAC}">
                        <c15:formulaRef>
                          <c15:sqref>'M0.84 FF'!$I$62:$I$76</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'M0.84 FF'!$I$39:$I$53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07-72F4-40FA-AC77-5C3379DE5E64}"/>
                  </c:ext>
                </c:extLst>
              </c15:ser>
            </c15:filteredScatterSeries>
            <c15:filteredScatterSeries>
              <c15:ser>
                <c:idx val="6"/>
                <c:order val="6"/>
                <c:tx>
                  <c:v>M0.84 FL360</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extLst xmlns:c15="http://schemas.microsoft.com/office/drawing/2012/chart">
                      <c:ext xmlns:c15="http://schemas.microsoft.com/office/drawing/2012/chart" uri="{02D57815-91ED-43cb-92C2-25804820EDAC}">
                        <c15:formulaRef>
                          <c15:sqref>'M0.84 FF'!$J$62:$J$75</c15:sqref>
                        </c15:formulaRef>
                      </c:ext>
                    </c:extLst>
                    <c:numCache>
                      <c:formatCode>General</c:formatCode>
                      <c:ptCount val="14"/>
                    </c:numCache>
                  </c:numRef>
                </c:xVal>
                <c:yVal>
                  <c:numRef>
                    <c:extLst xmlns:c15="http://schemas.microsoft.com/office/drawing/2012/chart">
                      <c:ext xmlns:c15="http://schemas.microsoft.com/office/drawing/2012/chart" uri="{02D57815-91ED-43cb-92C2-25804820EDAC}">
                        <c15:formulaRef>
                          <c15:sqref>'M0.84 FF'!$J$39:$J$52</c15:sqref>
                        </c15:formulaRef>
                      </c:ext>
                    </c:extLst>
                    <c:numCache>
                      <c:formatCode>General</c:formatCode>
                      <c:ptCount val="14"/>
                    </c:numCache>
                  </c:numRef>
                </c:yVal>
                <c:smooth val="0"/>
                <c:extLst xmlns:c15="http://schemas.microsoft.com/office/drawing/2012/chart">
                  <c:ext xmlns:c16="http://schemas.microsoft.com/office/drawing/2014/chart" uri="{C3380CC4-5D6E-409C-BE32-E72D297353CC}">
                    <c16:uniqueId val="{00000008-72F4-40FA-AC77-5C3379DE5E64}"/>
                  </c:ext>
                </c:extLst>
              </c15:ser>
            </c15:filteredScatterSeries>
            <c15:filteredScatterSeries>
              <c15:ser>
                <c:idx val="7"/>
                <c:order val="7"/>
                <c:tx>
                  <c:v>M0.84 FL370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'M0.84 FF'!$K$62:$K$74</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'M0.84 FF'!$K$39:$K$51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09-72F4-40FA-AC77-5C3379DE5E64}"/>
                  </c:ext>
                </c:extLst>
              </c15:ser>
            </c15:filteredScatterSeries>
            <c15:filteredScatterSeries>
              <c15:ser>
                <c:idx val="8"/>
                <c:order val="8"/>
                <c:tx>
                  <c:v>M0.84 FL380</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'M0.84 FF'!$L$62:$L$72</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'M0.84 FF'!$L$39:$L$49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0A-72F4-40FA-AC77-5C3379DE5E64}"/>
                  </c:ext>
                </c:extLst>
              </c15:ser>
            </c15:filteredScatterSeries>
            <c15:filteredScatterSeries>
              <c15:ser>
                <c:idx val="9"/>
                <c:order val="9"/>
                <c:tx>
                  <c:v>M0.84 FL390</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'M0.84 FF'!$M$62:$M$71</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'M0.84 FF'!$M$39:$M$48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0B-72F4-40FA-AC77-5C3379DE5E64}"/>
                  </c:ext>
                </c:extLst>
              </c15:ser>
            </c15:filteredScatterSeries>
            <c15:filteredScatterSeries>
              <c15:ser>
                <c:idx val="10"/>
                <c:order val="10"/>
                <c:tx>
                  <c:v>M0.84 FL400</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extLst xmlns:c15="http://schemas.microsoft.com/office/drawing/2012/chart">
                      <c:ext xmlns:c15="http://schemas.microsoft.com/office/drawing/2012/chart" uri="{02D57815-91ED-43cb-92C2-25804820EDAC}">
                        <c15:formulaRef>
                          <c15:sqref>'M0.84 FF'!$N$62:$N$70</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'M0.84 FF'!$N$39:$N$47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0C-72F4-40FA-AC77-5C3379DE5E64}"/>
                  </c:ext>
                </c:extLst>
              </c15:ser>
            </c15:filteredScatterSeries>
            <c15:filteredScatterSeries>
              <c15:ser>
                <c:idx val="11"/>
                <c:order val="11"/>
                <c:tx>
                  <c:v>M0.84 FL410</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extLst xmlns:c15="http://schemas.microsoft.com/office/drawing/2012/chart">
                      <c:ext xmlns:c15="http://schemas.microsoft.com/office/drawing/2012/chart" uri="{02D57815-91ED-43cb-92C2-25804820EDAC}">
                        <c15:formulaRef>
                          <c15:sqref>'M0.84 FF'!$O$62:$O$69</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'M0.84 FF'!$O$39:$O$46</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0D-72F4-40FA-AC77-5C3379DE5E64}"/>
                  </c:ext>
                </c:extLst>
              </c15:ser>
            </c15:filteredScatterSeries>
            <c15:filteredScatterSeries>
              <c15:ser>
                <c:idx val="12"/>
                <c:order val="12"/>
                <c:tx>
                  <c:v>M0.84 FL420</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FF'!$P$62:$P$68</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'M0.84 FF'!$P$39:$P$45</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0E-72F4-40FA-AC77-5C3379DE5E64}"/>
                  </c:ext>
                </c:extLst>
              </c15:ser>
            </c15:filteredScatterSeries>
            <c15:filteredScatterSeries>
              <c15:ser>
                <c:idx val="13"/>
                <c:order val="13"/>
                <c:tx>
                  <c:v>M0.84 FL430</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FF'!$Q$62:$Q$67</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'M0.84 FF'!$Q$39:$Q$44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0F-72F4-40FA-AC77-5C3379DE5E64}"/>
                  </c:ext>
                </c:extLst>
              </c15:ser>
            </c15:filteredScatterSeries>
            <c15:filteredScatterSeries>
              <c15:ser>
                <c:idx val="14"/>
                <c:order val="14"/>
                <c:tx>
                  <c:v>Holding FL15</c:v>
                </c:tx>
                <c:spPr>
                  <a:ln w="25400" cap="rnd">
                    <a:noFill/>
                    <a:round/>
                  </a:ln>
                  <a:effectLst/>
                </c:spPr>
                <c:marker>
                  <c:symbol val="triangle"/>
                  <c:size val="5"/>
                  <c:spPr>
                    <a:solidFill>
                      <a:schemeClr val="accent3">
                        <a:lumMod val="80000"/>
                        <a:lumOff val="20000"/>
                      </a:schemeClr>
                    </a:solidFill>
                    <a:ln w="9525">
                      <a:solidFill>
                        <a:schemeClr val="accent3">
                          <a:lumMod val="80000"/>
                          <a:lumOff val="20000"/>
                        </a:schemeClr>
                      </a:solidFill>
                    </a:ln>
                    <a:effectLst/>
                  </c:spPr>
                </c:marker>
                <c:dPt>
                  <c:idx val="1"/>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0-72F4-40FA-AC77-5C3379DE5E64}"/>
                    </c:ext>
                  </c:extLst>
                </c:dPt>
                <c:dPt>
                  <c:idx val="2"/>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1-72F4-40FA-AC77-5C3379DE5E64}"/>
                    </c:ext>
                  </c:extLst>
                </c:dPt>
                <c:dPt>
                  <c:idx val="3"/>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2-72F4-40FA-AC77-5C3379DE5E64}"/>
                    </c:ext>
                  </c:extLst>
                </c:dPt>
                <c:dPt>
                  <c:idx val="4"/>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3-72F4-40FA-AC77-5C3379DE5E64}"/>
                    </c:ext>
                  </c:extLst>
                </c:dPt>
                <c:dPt>
                  <c:idx val="5"/>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4-72F4-40FA-AC77-5C3379DE5E64}"/>
                    </c:ext>
                  </c:extLst>
                </c:dPt>
                <c:dPt>
                  <c:idx val="6"/>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5-72F4-40FA-AC77-5C3379DE5E64}"/>
                    </c:ext>
                  </c:extLst>
                </c:dPt>
                <c:xVal>
                  <c:numRef>
                    <c:extLst xmlns:c15="http://schemas.microsoft.com/office/drawing/2012/chart">
                      <c:ext xmlns:c15="http://schemas.microsoft.com/office/drawing/2012/chart" uri="{02D57815-91ED-43cb-92C2-25804820EDAC}">
                        <c15:formulaRef>
                          <c15:sqref>'Holding FF'!$D$46:$D$52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FF'!$D$31:$D$37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6-72F4-40FA-AC77-5C3379DE5E64}"/>
                  </c:ext>
                </c:extLst>
              </c15:ser>
            </c15:filteredScatterSeries>
            <c15:filteredScatterSeries>
              <c15:ser>
                <c:idx val="15"/>
                <c:order val="15"/>
                <c:tx>
                  <c:v>Holding FL50</c:v>
                </c:tx>
                <c:spPr>
                  <a:ln w="25400" cap="rnd">
                    <a:noFill/>
                    <a:round/>
                  </a:ln>
                  <a:effectLst/>
                </c:spPr>
                <c:marker>
                  <c:symbol val="triangle"/>
                  <c:size val="5"/>
                  <c:spPr>
                    <a:solidFill>
                      <a:schemeClr val="accent4">
                        <a:lumMod val="80000"/>
                        <a:lumOff val="20000"/>
                      </a:schemeClr>
                    </a:solidFill>
                    <a:ln w="9525">
                      <a:solidFill>
                        <a:schemeClr val="accent4">
                          <a:lumMod val="80000"/>
                          <a:lumOff val="20000"/>
                        </a:schemeClr>
                      </a:solidFill>
                    </a:ln>
                    <a:effectLst/>
                  </c:spPr>
                </c:marker>
                <c:dPt>
                  <c:idx val="0"/>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7-72F4-40FA-AC77-5C3379DE5E64}"/>
                    </c:ext>
                  </c:extLst>
                </c:dPt>
                <c:dPt>
                  <c:idx val="1"/>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8-72F4-40FA-AC77-5C3379DE5E64}"/>
                    </c:ext>
                  </c:extLst>
                </c:dPt>
                <c:dPt>
                  <c:idx val="2"/>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9-72F4-40FA-AC77-5C3379DE5E64}"/>
                    </c:ext>
                  </c:extLst>
                </c:dPt>
                <c:dPt>
                  <c:idx val="3"/>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A-72F4-40FA-AC77-5C3379DE5E64}"/>
                    </c:ext>
                  </c:extLst>
                </c:dPt>
                <c:dPt>
                  <c:idx val="4"/>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B-72F4-40FA-AC77-5C3379DE5E64}"/>
                    </c:ext>
                  </c:extLst>
                </c:dPt>
                <c:dPt>
                  <c:idx val="5"/>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C-72F4-40FA-AC77-5C3379DE5E64}"/>
                    </c:ext>
                  </c:extLst>
                </c:dPt>
                <c:dPt>
                  <c:idx val="6"/>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D-72F4-40FA-AC77-5C3379DE5E64}"/>
                    </c:ext>
                  </c:extLst>
                </c:dPt>
                <c:xVal>
                  <c:numRef>
                    <c:extLst xmlns:c15="http://schemas.microsoft.com/office/drawing/2012/chart">
                      <c:ext xmlns:c15="http://schemas.microsoft.com/office/drawing/2012/chart" uri="{02D57815-91ED-43cb-92C2-25804820EDAC}">
                        <c15:formulaRef>
                          <c15:sqref>'Holding FF'!$E$46:$E$52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FF'!$E$31:$E$37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E-72F4-40FA-AC77-5C3379DE5E64}"/>
                  </c:ext>
                </c:extLst>
              </c15:ser>
            </c15:filteredScatterSeries>
            <c15:filteredScatterSeries>
              <c15:ser>
                <c:idx val="16"/>
                <c:order val="16"/>
                <c:tx>
                  <c:v>Holding FL100</c:v>
                </c:tx>
                <c:spPr>
                  <a:ln w="25400" cap="rnd">
                    <a:noFill/>
                    <a:round/>
                  </a:ln>
                  <a:effectLst/>
                </c:spPr>
                <c:marker>
                  <c:symbol val="triangle"/>
                  <c:size val="5"/>
                  <c:spPr>
                    <a:solidFill>
                      <a:schemeClr val="accent5">
                        <a:lumMod val="80000"/>
                        <a:lumOff val="20000"/>
                      </a:schemeClr>
                    </a:solidFill>
                    <a:ln w="9525">
                      <a:solidFill>
                        <a:schemeClr val="accent5">
                          <a:lumMod val="80000"/>
                          <a:lumOff val="20000"/>
                        </a:schemeClr>
                      </a:solidFill>
                    </a:ln>
                    <a:effectLst/>
                  </c:spPr>
                </c:marker>
                <c:dPt>
                  <c:idx val="0"/>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F-72F4-40FA-AC77-5C3379DE5E64}"/>
                    </c:ext>
                  </c:extLst>
                </c:dPt>
                <c:dPt>
                  <c:idx val="1"/>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0-72F4-40FA-AC77-5C3379DE5E64}"/>
                    </c:ext>
                  </c:extLst>
                </c:dPt>
                <c:dPt>
                  <c:idx val="2"/>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1-72F4-40FA-AC77-5C3379DE5E64}"/>
                    </c:ext>
                  </c:extLst>
                </c:dPt>
                <c:dPt>
                  <c:idx val="3"/>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2-72F4-40FA-AC77-5C3379DE5E64}"/>
                    </c:ext>
                  </c:extLst>
                </c:dPt>
                <c:dPt>
                  <c:idx val="4"/>
                  <c:marker>
                    <c:symbol val="triangle"/>
                    <c:size val="7"/>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3-72F4-40FA-AC77-5C3379DE5E64}"/>
                    </c:ext>
                  </c:extLst>
                </c:dPt>
                <c:xVal>
                  <c:numRef>
                    <c:extLst xmlns:c15="http://schemas.microsoft.com/office/drawing/2012/chart">
                      <c:ext xmlns:c15="http://schemas.microsoft.com/office/drawing/2012/chart" uri="{02D57815-91ED-43cb-92C2-25804820EDAC}">
                        <c15:formulaRef>
                          <c15:sqref>'Holding FF'!$F$46:$F$52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FF'!$F$31:$F$37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4-72F4-40FA-AC77-5C3379DE5E64}"/>
                  </c:ext>
                </c:extLst>
              </c15:ser>
            </c15:filteredScatterSeries>
            <c15:filteredScatterSeries>
              <c15:ser>
                <c:idx val="17"/>
                <c:order val="17"/>
                <c:tx>
                  <c:v>Holding FL150</c:v>
                </c:tx>
                <c:spPr>
                  <a:ln w="25400" cap="rnd">
                    <a:noFill/>
                    <a:round/>
                  </a:ln>
                  <a:effectLst/>
                </c:spPr>
                <c:marker>
                  <c:symbol val="triangle"/>
                  <c:size val="5"/>
                  <c:spPr>
                    <a:solidFill>
                      <a:schemeClr val="accent6">
                        <a:lumMod val="80000"/>
                        <a:lumOff val="20000"/>
                      </a:schemeClr>
                    </a:solidFill>
                    <a:ln w="9525">
                      <a:solidFill>
                        <a:schemeClr val="accent6">
                          <a:lumMod val="80000"/>
                          <a:lumOff val="20000"/>
                        </a:schemeClr>
                      </a:solidFill>
                    </a:ln>
                    <a:effectLst/>
                  </c:spPr>
                </c:marker>
                <c:dPt>
                  <c:idx val="0"/>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5-72F4-40FA-AC77-5C3379DE5E64}"/>
                    </c:ext>
                  </c:extLst>
                </c:dPt>
                <c:dPt>
                  <c:idx val="1"/>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6-72F4-40FA-AC77-5C3379DE5E64}"/>
                    </c:ext>
                  </c:extLst>
                </c:dPt>
                <c:dPt>
                  <c:idx val="2"/>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7-72F4-40FA-AC77-5C3379DE5E64}"/>
                    </c:ext>
                  </c:extLst>
                </c:dPt>
                <c:xVal>
                  <c:numRef>
                    <c:extLst xmlns:c15="http://schemas.microsoft.com/office/drawing/2012/chart">
                      <c:ext xmlns:c15="http://schemas.microsoft.com/office/drawing/2012/chart" uri="{02D57815-91ED-43cb-92C2-25804820EDAC}">
                        <c15:formulaRef>
                          <c15:sqref>'Holding FF'!$G$46:$G$52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FF'!$G$31:$G$37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8-72F4-40FA-AC77-5C3379DE5E64}"/>
                  </c:ext>
                </c:extLst>
              </c15:ser>
            </c15:filteredScatterSeries>
            <c15:filteredScatterSeries>
              <c15:ser>
                <c:idx val="18"/>
                <c:order val="18"/>
                <c:tx>
                  <c:v>Holding FL200</c:v>
                </c:tx>
                <c:spPr>
                  <a:ln w="25400" cap="rnd">
                    <a:noFill/>
                    <a:round/>
                  </a:ln>
                  <a:effectLst/>
                </c:spPr>
                <c:marker>
                  <c:symbol val="triangle"/>
                  <c:size val="5"/>
                  <c:spPr>
                    <a:solidFill>
                      <a:schemeClr val="accent1">
                        <a:lumMod val="80000"/>
                      </a:schemeClr>
                    </a:solidFill>
                    <a:ln w="9525">
                      <a:solidFill>
                        <a:schemeClr val="accent1">
                          <a:lumMod val="80000"/>
                        </a:schemeClr>
                      </a:solidFill>
                    </a:ln>
                    <a:effectLst/>
                  </c:spPr>
                </c:marker>
                <c:dPt>
                  <c:idx val="0"/>
                  <c:marker>
                    <c:symbol val="circle"/>
                    <c:size val="6"/>
                    <c:spPr>
                      <a:noFill/>
                      <a:ln w="9525">
                        <a:solidFill>
                          <a:schemeClr val="accent1">
                            <a:lumMod val="80000"/>
                          </a:schemeClr>
                        </a:solidFill>
                      </a:ln>
                      <a:effectLst/>
                    </c:spPr>
                  </c:marker>
                  <c:bubble3D val="0"/>
                  <c:extLst xmlns:c15="http://schemas.microsoft.com/office/drawing/2012/chart">
                    <c:ext xmlns:c16="http://schemas.microsoft.com/office/drawing/2014/chart" uri="{C3380CC4-5D6E-409C-BE32-E72D297353CC}">
                      <c16:uniqueId val="{00000029-72F4-40FA-AC77-5C3379DE5E64}"/>
                    </c:ext>
                  </c:extLst>
                </c:dPt>
                <c:xVal>
                  <c:numRef>
                    <c:extLst xmlns:c15="http://schemas.microsoft.com/office/drawing/2012/chart">
                      <c:ext xmlns:c15="http://schemas.microsoft.com/office/drawing/2012/chart" uri="{02D57815-91ED-43cb-92C2-25804820EDAC}">
                        <c15:formulaRef>
                          <c15:sqref>'Holding FF'!$H$46:$H$52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FF'!$H$31:$H$37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A-72F4-40FA-AC77-5C3379DE5E64}"/>
                  </c:ext>
                </c:extLst>
              </c15:ser>
            </c15:filteredScatterSeries>
            <c15:filteredScatterSeries>
              <c15:ser>
                <c:idx val="19"/>
                <c:order val="19"/>
                <c:tx>
                  <c:v>Holding FL250</c:v>
                </c:tx>
                <c:spPr>
                  <a:ln w="25400" cap="rnd">
                    <a:noFill/>
                    <a:round/>
                  </a:ln>
                  <a:effectLst/>
                </c:spPr>
                <c:marker>
                  <c:symbol val="triangle"/>
                  <c:size val="5"/>
                  <c:spPr>
                    <a:solidFill>
                      <a:schemeClr val="accent2">
                        <a:lumMod val="80000"/>
                      </a:schemeClr>
                    </a:solidFill>
                    <a:ln w="9525">
                      <a:solidFill>
                        <a:schemeClr val="accent2">
                          <a:lumMod val="80000"/>
                        </a:schemeClr>
                      </a:solidFill>
                    </a:ln>
                    <a:effectLst/>
                  </c:spPr>
                </c:marker>
                <c:xVal>
                  <c:numRef>
                    <c:extLst xmlns:c15="http://schemas.microsoft.com/office/drawing/2012/chart">
                      <c:ext xmlns:c15="http://schemas.microsoft.com/office/drawing/2012/chart" uri="{02D57815-91ED-43cb-92C2-25804820EDAC}">
                        <c15:formulaRef>
                          <c15:sqref>'Holding FF'!$I$46:$I$52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FF'!$I$31:$I$37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B-72F4-40FA-AC77-5C3379DE5E64}"/>
                  </c:ext>
                </c:extLst>
              </c15:ser>
            </c15:filteredScatterSeries>
            <c15:filteredScatterSeries>
              <c15:ser>
                <c:idx val="20"/>
                <c:order val="20"/>
                <c:tx>
                  <c:v>Holding FL300</c:v>
                </c:tx>
                <c:spPr>
                  <a:ln w="25400" cap="rnd">
                    <a:noFill/>
                    <a:round/>
                  </a:ln>
                  <a:effectLst/>
                </c:spPr>
                <c:marker>
                  <c:symbol val="triangle"/>
                  <c:size val="5"/>
                  <c:spPr>
                    <a:solidFill>
                      <a:schemeClr val="accent3">
                        <a:lumMod val="80000"/>
                      </a:schemeClr>
                    </a:solidFill>
                    <a:ln w="9525">
                      <a:solidFill>
                        <a:schemeClr val="accent3">
                          <a:lumMod val="80000"/>
                        </a:schemeClr>
                      </a:solidFill>
                    </a:ln>
                    <a:effectLst/>
                  </c:spPr>
                </c:marker>
                <c:xVal>
                  <c:numRef>
                    <c:extLst xmlns:c15="http://schemas.microsoft.com/office/drawing/2012/chart">
                      <c:ext xmlns:c15="http://schemas.microsoft.com/office/drawing/2012/chart" uri="{02D57815-91ED-43cb-92C2-25804820EDAC}">
                        <c15:formulaRef>
                          <c15:sqref>'Holding FF'!$J$45:$J$52</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'Holding FF'!$J$30:$J$37</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2C-72F4-40FA-AC77-5C3379DE5E64}"/>
                  </c:ext>
                </c:extLst>
              </c15:ser>
            </c15:filteredScatterSeries>
            <c15:filteredScatterSeries>
              <c15:ser>
                <c:idx val="21"/>
                <c:order val="21"/>
                <c:tx>
                  <c:v>Holding FL350</c:v>
                </c:tx>
                <c:spPr>
                  <a:ln w="25400" cap="rnd">
                    <a:noFill/>
                    <a:round/>
                  </a:ln>
                  <a:effectLst/>
                </c:spPr>
                <c:marker>
                  <c:symbol val="triangle"/>
                  <c:size val="5"/>
                  <c:spPr>
                    <a:solidFill>
                      <a:schemeClr val="accent4">
                        <a:lumMod val="80000"/>
                      </a:schemeClr>
                    </a:solidFill>
                    <a:ln w="9525">
                      <a:solidFill>
                        <a:schemeClr val="accent4">
                          <a:lumMod val="80000"/>
                        </a:schemeClr>
                      </a:solidFill>
                    </a:ln>
                    <a:effectLst/>
                  </c:spPr>
                </c:marker>
                <c:xVal>
                  <c:numRef>
                    <c:extLst xmlns:c15="http://schemas.microsoft.com/office/drawing/2012/chart">
                      <c:ext xmlns:c15="http://schemas.microsoft.com/office/drawing/2012/chart" uri="{02D57815-91ED-43cb-92C2-25804820EDAC}">
                        <c15:formulaRef>
                          <c15:sqref>'Holding FF'!$K$45:$K$51</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FF'!$K$30:$K$36</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D-72F4-40FA-AC77-5C3379DE5E64}"/>
                  </c:ext>
                </c:extLst>
              </c15:ser>
            </c15:filteredScatterSeries>
            <c15:filteredScatterSeries>
              <c15:ser>
                <c:idx val="22"/>
                <c:order val="22"/>
                <c:tx>
                  <c:v>Holding FL400</c:v>
                </c:tx>
                <c:spPr>
                  <a:ln w="25400" cap="rnd">
                    <a:noFill/>
                    <a:round/>
                  </a:ln>
                  <a:effectLst/>
                </c:spPr>
                <c:marker>
                  <c:symbol val="triangle"/>
                  <c:size val="5"/>
                  <c:spPr>
                    <a:solidFill>
                      <a:schemeClr val="accent5">
                        <a:lumMod val="80000"/>
                      </a:schemeClr>
                    </a:solidFill>
                    <a:ln w="9525">
                      <a:solidFill>
                        <a:schemeClr val="accent5">
                          <a:lumMod val="80000"/>
                        </a:schemeClr>
                      </a:solidFill>
                    </a:ln>
                    <a:effectLst/>
                  </c:spPr>
                </c:marker>
                <c:xVal>
                  <c:numRef>
                    <c:extLst xmlns:c15="http://schemas.microsoft.com/office/drawing/2012/chart">
                      <c:ext xmlns:c15="http://schemas.microsoft.com/office/drawing/2012/chart" uri="{02D57815-91ED-43cb-92C2-25804820EDAC}">
                        <c15:formulaRef>
                          <c15:sqref>'Holding FF'!$L$44:$L$48</c15:sqref>
                        </c15:formulaRef>
                      </c:ext>
                    </c:extLst>
                    <c:numCache>
                      <c:formatCode>General</c:formatCode>
                      <c:ptCount val="5"/>
                    </c:numCache>
                  </c:numRef>
                </c:xVal>
                <c:yVal>
                  <c:numRef>
                    <c:extLst xmlns:c15="http://schemas.microsoft.com/office/drawing/2012/chart">
                      <c:ext xmlns:c15="http://schemas.microsoft.com/office/drawing/2012/chart" uri="{02D57815-91ED-43cb-92C2-25804820EDAC}">
                        <c15:formulaRef>
                          <c15:sqref>'Holding FF'!$L$29:$L$33</c15:sqref>
                        </c15:formulaRef>
                      </c:ext>
                    </c:extLst>
                    <c:numCache>
                      <c:formatCode>General</c:formatCode>
                      <c:ptCount val="5"/>
                    </c:numCache>
                  </c:numRef>
                </c:yVal>
                <c:smooth val="0"/>
                <c:extLst xmlns:c15="http://schemas.microsoft.com/office/drawing/2012/chart">
                  <c:ext xmlns:c16="http://schemas.microsoft.com/office/drawing/2014/chart" uri="{C3380CC4-5D6E-409C-BE32-E72D297353CC}">
                    <c16:uniqueId val="{0000002E-72F4-40FA-AC77-5C3379DE5E64}"/>
                  </c:ext>
                </c:extLst>
              </c15:ser>
            </c15:filteredScatterSeries>
            <c15:filteredScatterSeries>
              <c15:ser>
                <c:idx val="23"/>
                <c:order val="23"/>
                <c:tx>
                  <c:v>Holding FL430</c:v>
                </c:tx>
                <c:spPr>
                  <a:ln w="25400" cap="rnd">
                    <a:noFill/>
                    <a:round/>
                  </a:ln>
                  <a:effectLst/>
                </c:spPr>
                <c:marker>
                  <c:symbol val="triangle"/>
                  <c:size val="5"/>
                  <c:spPr>
                    <a:solidFill>
                      <a:schemeClr val="accent6">
                        <a:lumMod val="80000"/>
                      </a:schemeClr>
                    </a:solidFill>
                    <a:ln w="9525">
                      <a:solidFill>
                        <a:schemeClr val="accent6">
                          <a:lumMod val="80000"/>
                        </a:schemeClr>
                      </a:solidFill>
                    </a:ln>
                    <a:effectLst/>
                  </c:spPr>
                </c:marker>
                <c:xVal>
                  <c:numRef>
                    <c:extLst xmlns:c15="http://schemas.microsoft.com/office/drawing/2012/chart">
                      <c:ext xmlns:c15="http://schemas.microsoft.com/office/drawing/2012/chart" uri="{02D57815-91ED-43cb-92C2-25804820EDAC}">
                        <c15:formulaRef>
                          <c15:sqref>'Holding FF'!$M$44:$M$46</c15:sqref>
                        </c15:formulaRef>
                      </c:ext>
                    </c:extLst>
                    <c:numCache>
                      <c:formatCode>General</c:formatCode>
                      <c:ptCount val="3"/>
                    </c:numCache>
                  </c:numRef>
                </c:xVal>
                <c:yVal>
                  <c:numRef>
                    <c:extLst xmlns:c15="http://schemas.microsoft.com/office/drawing/2012/chart">
                      <c:ext xmlns:c15="http://schemas.microsoft.com/office/drawing/2012/chart" uri="{02D57815-91ED-43cb-92C2-25804820EDAC}">
                        <c15:formulaRef>
                          <c15:sqref>'Holding FF'!$M$29:$M$31</c15:sqref>
                        </c15:formulaRef>
                      </c:ext>
                    </c:extLst>
                    <c:numCache>
                      <c:formatCode>General</c:formatCode>
                      <c:ptCount val="3"/>
                    </c:numCache>
                  </c:numRef>
                </c:yVal>
                <c:smooth val="0"/>
                <c:extLst xmlns:c15="http://schemas.microsoft.com/office/drawing/2012/chart">
                  <c:ext xmlns:c16="http://schemas.microsoft.com/office/drawing/2014/chart" uri="{C3380CC4-5D6E-409C-BE32-E72D297353CC}">
                    <c16:uniqueId val="{0000002F-72F4-40FA-AC77-5C3379DE5E64}"/>
                  </c:ext>
                </c:extLst>
              </c15:ser>
            </c15:filteredScatterSeries>
            <c15:filteredScatterSeries>
              <c15:ser>
                <c:idx val="24"/>
                <c:order val="24"/>
                <c:tx>
                  <c:v>LRC FL60</c:v>
                </c:tx>
                <c:spPr>
                  <a:ln w="25400" cap="rnd">
                    <a:noFill/>
                    <a:round/>
                  </a:ln>
                  <a:effectLst/>
                </c:spPr>
                <c:marker>
                  <c:symbol val="diamond"/>
                  <c:size val="6"/>
                  <c:spPr>
                    <a:solidFill>
                      <a:schemeClr val="accent1">
                        <a:lumMod val="60000"/>
                        <a:lumOff val="40000"/>
                      </a:schemeClr>
                    </a:solidFill>
                    <a:ln w="9525">
                      <a:solidFill>
                        <a:schemeClr val="accent1">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FF'!$D$61:$D$70</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'LRC FF'!$D$39:$D$48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30-72F4-40FA-AC77-5C3379DE5E64}"/>
                  </c:ext>
                </c:extLst>
              </c15:ser>
            </c15:filteredScatterSeries>
            <c15:filteredScatterSeries>
              <c15:ser>
                <c:idx val="31"/>
                <c:order val="25"/>
                <c:tx>
                  <c:v>LRC FL100</c:v>
                </c:tx>
                <c:spPr>
                  <a:ln w="25400" cap="rnd">
                    <a:noFill/>
                    <a:round/>
                  </a:ln>
                  <a:effectLst/>
                </c:spPr>
                <c:marker>
                  <c:symbol val="diamond"/>
                  <c:size val="6"/>
                  <c:spPr>
                    <a:solidFill>
                      <a:schemeClr val="accent2">
                        <a:lumMod val="50000"/>
                      </a:schemeClr>
                    </a:solidFill>
                    <a:ln w="9525">
                      <a:solidFill>
                        <a:schemeClr val="accent2">
                          <a:lumMod val="50000"/>
                        </a:schemeClr>
                      </a:solidFill>
                    </a:ln>
                    <a:effectLst/>
                  </c:spPr>
                </c:marker>
                <c:xVal>
                  <c:numRef>
                    <c:extLst xmlns:c15="http://schemas.microsoft.com/office/drawing/2012/chart">
                      <c:ext xmlns:c15="http://schemas.microsoft.com/office/drawing/2012/chart" uri="{02D57815-91ED-43cb-92C2-25804820EDAC}">
                        <c15:formulaRef>
                          <c15:sqref>'LRC FF'!$F$61:$F$71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FF'!$F$39:$F$49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31-72F4-40FA-AC77-5C3379DE5E64}"/>
                  </c:ext>
                </c:extLst>
              </c15:ser>
            </c15:filteredScatterSeries>
            <c15:filteredScatterSeries>
              <c15:ser>
                <c:idx val="32"/>
                <c:order val="26"/>
                <c:tx>
                  <c:v>LRC FL150</c:v>
                </c:tx>
                <c:spPr>
                  <a:ln w="25400" cap="rnd">
                    <a:noFill/>
                    <a:round/>
                  </a:ln>
                  <a:effectLst/>
                </c:spPr>
                <c:marker>
                  <c:symbol val="diamond"/>
                  <c:size val="6"/>
                  <c:spPr>
                    <a:solidFill>
                      <a:schemeClr val="accent3">
                        <a:lumMod val="50000"/>
                      </a:schemeClr>
                    </a:solidFill>
                    <a:ln w="9525">
                      <a:solidFill>
                        <a:schemeClr val="accent3">
                          <a:lumMod val="50000"/>
                        </a:schemeClr>
                      </a:solidFill>
                    </a:ln>
                    <a:effectLst/>
                  </c:spPr>
                </c:marker>
                <c:xVal>
                  <c:numRef>
                    <c:extLst xmlns:c15="http://schemas.microsoft.com/office/drawing/2012/chart">
                      <c:ext xmlns:c15="http://schemas.microsoft.com/office/drawing/2012/chart" uri="{02D57815-91ED-43cb-92C2-25804820EDAC}">
                        <c15:formulaRef>
                          <c15:sqref>'LRC FF'!$J$61:$J$71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FF'!$J$39:$J$49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32-72F4-40FA-AC77-5C3379DE5E64}"/>
                  </c:ext>
                </c:extLst>
              </c15:ser>
            </c15:filteredScatterSeries>
            <c15:filteredScatterSeries>
              <c15:ser>
                <c:idx val="28"/>
                <c:order val="27"/>
                <c:tx>
                  <c:v>LRC FL200</c:v>
                </c:tx>
                <c:spPr>
                  <a:ln w="25400" cap="rnd">
                    <a:noFill/>
                    <a:round/>
                  </a:ln>
                  <a:effectLst/>
                </c:spPr>
                <c:marker>
                  <c:symbol val="diamond"/>
                  <c:size val="6"/>
                  <c:spPr>
                    <a:solidFill>
                      <a:schemeClr val="accent5">
                        <a:lumMod val="60000"/>
                        <a:lumOff val="40000"/>
                      </a:schemeClr>
                    </a:solidFill>
                    <a:ln w="9525">
                      <a:solidFill>
                        <a:schemeClr val="accent5">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FF'!$O$61:$O$72</c15:sqref>
                        </c15:formulaRef>
                      </c:ext>
                    </c:extLst>
                    <c:numCache>
                      <c:formatCode>General</c:formatCode>
                      <c:ptCount val="12"/>
                    </c:numCache>
                  </c:numRef>
                </c:xVal>
                <c:yVal>
                  <c:numRef>
                    <c:extLst xmlns:c15="http://schemas.microsoft.com/office/drawing/2012/chart">
                      <c:ext xmlns:c15="http://schemas.microsoft.com/office/drawing/2012/chart" uri="{02D57815-91ED-43cb-92C2-25804820EDAC}">
                        <c15:formulaRef>
                          <c15:sqref>'LRC FF'!$O$39:$O$50</c15:sqref>
                        </c15:formulaRef>
                      </c:ext>
                    </c:extLst>
                    <c:numCache>
                      <c:formatCode>General</c:formatCode>
                      <c:ptCount val="12"/>
                    </c:numCache>
                  </c:numRef>
                </c:yVal>
                <c:smooth val="0"/>
                <c:extLst xmlns:c15="http://schemas.microsoft.com/office/drawing/2012/chart">
                  <c:ext xmlns:c16="http://schemas.microsoft.com/office/drawing/2014/chart" uri="{C3380CC4-5D6E-409C-BE32-E72D297353CC}">
                    <c16:uniqueId val="{00000033-72F4-40FA-AC77-5C3379DE5E64}"/>
                  </c:ext>
                </c:extLst>
              </c15:ser>
            </c15:filteredScatterSeries>
            <c15:filteredScatterSeries>
              <c15:ser>
                <c:idx val="29"/>
                <c:order val="28"/>
                <c:tx>
                  <c:v>LRC FL250</c:v>
                </c:tx>
                <c:spPr>
                  <a:ln w="25400" cap="rnd">
                    <a:noFill/>
                    <a:round/>
                  </a:ln>
                  <a:effectLst/>
                </c:spPr>
                <c:marker>
                  <c:symbol val="diamond"/>
                  <c:size val="6"/>
                  <c:spPr>
                    <a:solidFill>
                      <a:schemeClr val="accent6">
                        <a:lumMod val="60000"/>
                        <a:lumOff val="40000"/>
                      </a:schemeClr>
                    </a:solidFill>
                    <a:ln w="9525">
                      <a:solidFill>
                        <a:schemeClr val="accent6">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FF'!$T$61:$T$73</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'LRC FF'!$T$39:$T$51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34-72F4-40FA-AC77-5C3379DE5E64}"/>
                  </c:ext>
                </c:extLst>
              </c15:ser>
            </c15:filteredScatterSeries>
            <c15:filteredScatterSeries>
              <c15:ser>
                <c:idx val="26"/>
                <c:order val="29"/>
                <c:tx>
                  <c:v>LRC FL300</c:v>
                </c:tx>
                <c:spPr>
                  <a:ln w="25400" cap="rnd">
                    <a:noFill/>
                    <a:round/>
                  </a:ln>
                  <a:effectLst/>
                </c:spPr>
                <c:marker>
                  <c:symbol val="diamond"/>
                  <c:size val="6"/>
                  <c:spPr>
                    <a:solidFill>
                      <a:schemeClr val="accent3">
                        <a:lumMod val="60000"/>
                        <a:lumOff val="40000"/>
                      </a:schemeClr>
                    </a:solidFill>
                    <a:ln w="9525">
                      <a:solidFill>
                        <a:schemeClr val="accent3">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FF'!$Y$61:$Y$77</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'LRC FF'!$Y$39:$Y$55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35-72F4-40FA-AC77-5C3379DE5E64}"/>
                  </c:ext>
                </c:extLst>
              </c15:ser>
            </c15:filteredScatterSeries>
            <c15:filteredScatterSeries>
              <c15:ser>
                <c:idx val="27"/>
                <c:order val="30"/>
                <c:tx>
                  <c:v>LRC FL350</c:v>
                </c:tx>
                <c:spPr>
                  <a:ln w="25400" cap="rnd">
                    <a:noFill/>
                    <a:round/>
                  </a:ln>
                  <a:effectLst/>
                </c:spPr>
                <c:marker>
                  <c:symbol val="diamond"/>
                  <c:size val="6"/>
                  <c:spPr>
                    <a:solidFill>
                      <a:schemeClr val="accent4">
                        <a:lumMod val="60000"/>
                        <a:lumOff val="40000"/>
                      </a:schemeClr>
                    </a:solidFill>
                    <a:ln w="9525">
                      <a:solidFill>
                        <a:schemeClr val="accent4">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FF'!$AD$61:$AD$75</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'LRC FF'!$AD$39:$AD$53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36-72F4-40FA-AC77-5C3379DE5E64}"/>
                  </c:ext>
                </c:extLst>
              </c15:ser>
            </c15:filteredScatterSeries>
            <c15:filteredScatterSeries>
              <c15:ser>
                <c:idx val="30"/>
                <c:order val="31"/>
                <c:tx>
                  <c:v>LRC FL400</c:v>
                </c:tx>
                <c:spPr>
                  <a:ln w="25400" cap="rnd">
                    <a:noFill/>
                    <a:round/>
                  </a:ln>
                  <a:effectLst/>
                </c:spPr>
                <c:marker>
                  <c:symbol val="diamond"/>
                  <c:size val="6"/>
                  <c:spPr>
                    <a:solidFill>
                      <a:schemeClr val="accent1">
                        <a:lumMod val="50000"/>
                      </a:schemeClr>
                    </a:solidFill>
                    <a:ln w="9525">
                      <a:solidFill>
                        <a:schemeClr val="accent1">
                          <a:lumMod val="50000"/>
                        </a:schemeClr>
                      </a:solidFill>
                    </a:ln>
                    <a:effectLst/>
                  </c:spPr>
                </c:marker>
                <c:xVal>
                  <c:numRef>
                    <c:extLst xmlns:c15="http://schemas.microsoft.com/office/drawing/2012/chart">
                      <c:ext xmlns:c15="http://schemas.microsoft.com/office/drawing/2012/chart" uri="{02D57815-91ED-43cb-92C2-25804820EDAC}">
                        <c15:formulaRef>
                          <c15:sqref>'LRC FF'!$AI$61:$AI$69</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'LRC FF'!$AI$39:$AI$47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37-72F4-40FA-AC77-5C3379DE5E64}"/>
                  </c:ext>
                </c:extLst>
              </c15:ser>
            </c15:filteredScatterSeries>
            <c15:filteredScatterSeries>
              <c15:ser>
                <c:idx val="25"/>
                <c:order val="32"/>
                <c:tx>
                  <c:v>LRC FL430</c:v>
                </c:tx>
                <c:spPr>
                  <a:ln w="25400" cap="rnd">
                    <a:noFill/>
                    <a:round/>
                  </a:ln>
                  <a:effectLst/>
                </c:spPr>
                <c:marker>
                  <c:symbol val="diamond"/>
                  <c:size val="6"/>
                  <c:spPr>
                    <a:solidFill>
                      <a:schemeClr val="accent2">
                        <a:lumMod val="60000"/>
                        <a:lumOff val="40000"/>
                      </a:schemeClr>
                    </a:solidFill>
                    <a:ln w="9525">
                      <a:solidFill>
                        <a:schemeClr val="accent2">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FF'!$AL$61:$AL$66</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'LRC FF'!$AL$39:$AL$44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38-72F4-40FA-AC77-5C3379DE5E64}"/>
                  </c:ext>
                </c:extLst>
              </c15:ser>
            </c15:filteredScatterSeries>
            <c15:filteredScatterSeries>
              <c15:ser>
                <c:idx val="34"/>
                <c:order val="34"/>
                <c:tx>
                  <c:v>Best-Fit</c:v>
                </c:tx>
                <c:spPr>
                  <a:ln w="25400" cap="rnd">
                    <a:solidFill>
                      <a:srgbClr val="FF0000"/>
                    </a:solidFill>
                    <a:round/>
                  </a:ln>
                  <a:effectLst/>
                </c:spPr>
                <c:marker>
                  <c:symbol val="none"/>
                </c:marker>
                <c:xVal>
                  <c:numRef>
                    <c:extLst xmlns:c15="http://schemas.microsoft.com/office/drawing/2012/chart">
                      <c:ext xmlns:c15="http://schemas.microsoft.com/office/drawing/2012/chart" uri="{02D57815-91ED-43cb-92C2-25804820EDAC}">
                        <c15:formulaRef>
                          <c15:sqref>'LRC Mach'!$BH$5:$BH$230</c15:sqref>
                        </c15:formulaRef>
                      </c:ext>
                    </c:extLst>
                    <c:numCache>
                      <c:formatCode>General</c:formatCode>
                      <c:ptCount val="226"/>
                    </c:numCache>
                  </c:numRef>
                </c:xVal>
                <c:yVal>
                  <c:numRef>
                    <c:extLst xmlns:c15="http://schemas.microsoft.com/office/drawing/2012/chart">
                      <c:ext xmlns:c15="http://schemas.microsoft.com/office/drawing/2012/chart" uri="{02D57815-91ED-43cb-92C2-25804820EDAC}">
                        <c15:formulaRef>
                          <c15:sqref>'LRC Mach'!$BL$5:$BL$230</c15:sqref>
                        </c15:formulaRef>
                      </c:ext>
                    </c:extLst>
                    <c:numCache>
                      <c:formatCode>General</c:formatCode>
                      <c:ptCount val="226"/>
                    </c:numCache>
                  </c:numRef>
                </c:yVal>
                <c:smooth val="0"/>
                <c:extLst xmlns:c15="http://schemas.microsoft.com/office/drawing/2012/chart">
                  <c:ext xmlns:c16="http://schemas.microsoft.com/office/drawing/2014/chart" uri="{C3380CC4-5D6E-409C-BE32-E72D297353CC}">
                    <c16:uniqueId val="{00000039-72F4-40FA-AC77-5C3379DE5E64}"/>
                  </c:ext>
                </c:extLst>
              </c15:ser>
            </c15:filteredScatterSeries>
          </c:ext>
        </c:extLst>
      </c:scatterChart>
      <c:valAx>
        <c:axId val="395770496"/>
        <c:scaling>
          <c:orientation val="minMax"/>
          <c:min val="500"/>
        </c:scaling>
        <c:delete val="0"/>
        <c:axPos val="b"/>
        <c:majorGridlines>
          <c:spPr>
            <a:ln w="9525" cap="flat" cmpd="sng" algn="ctr">
              <a:solidFill>
                <a:schemeClr val="tx1">
                  <a:lumMod val="15000"/>
                  <a:lumOff val="85000"/>
                </a:schemeClr>
              </a:solidFill>
              <a:round/>
            </a:ln>
            <a:effectLst/>
          </c:spPr>
        </c:majorGridlines>
        <c:minorGridlines>
          <c:spPr>
            <a:ln w="1587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Weight / delta</a:t>
                </a:r>
              </a:p>
            </c:rich>
          </c:tx>
          <c:layout>
            <c:manualLayout>
              <c:xMode val="edge"/>
              <c:yMode val="edge"/>
              <c:x val="0.40936921435669482"/>
              <c:y val="0.96274522989125022"/>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801728"/>
        <c:crosses val="autoZero"/>
        <c:crossBetween val="midCat"/>
        <c:minorUnit val="50"/>
      </c:valAx>
      <c:valAx>
        <c:axId val="39580172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2 * (Fuel Flow - FF</a:t>
                </a:r>
                <a:r>
                  <a:rPr lang="en-US" sz="2000" b="1" baseline="-25000"/>
                  <a:t>offset</a:t>
                </a:r>
                <a:r>
                  <a:rPr lang="en-US" sz="2000" b="1"/>
                  <a:t>) / </a:t>
                </a:r>
                <a:r>
                  <a:rPr lang="en-US" sz="2000" b="1">
                    <a:latin typeface="Symbol" panose="05050102010706020507" pitchFamily="18" charset="2"/>
                  </a:rPr>
                  <a:t>Q</a:t>
                </a:r>
                <a:r>
                  <a:rPr lang="en-US" sz="2000" b="1" baseline="-25000"/>
                  <a:t>T</a:t>
                </a:r>
                <a:r>
                  <a:rPr lang="en-US" sz="2000" b="1" baseline="30000"/>
                  <a:t>X </a:t>
                </a:r>
                <a:r>
                  <a:rPr lang="en-US" sz="2000" b="1"/>
                  <a:t>  / Weight  (kg/hr/MT)</a:t>
                </a:r>
              </a:p>
            </c:rich>
          </c:tx>
          <c:layout>
            <c:manualLayout>
              <c:xMode val="edge"/>
              <c:yMode val="edge"/>
              <c:x val="2.0837031919734423E-2"/>
              <c:y val="0.24225582773490589"/>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770496"/>
        <c:crosses val="autoZero"/>
        <c:crossBetween val="midCat"/>
      </c:valAx>
      <c:spPr>
        <a:solidFill>
          <a:srgbClr val="FFFFCC"/>
        </a:solidFill>
        <a:ln>
          <a:noFill/>
        </a:ln>
        <a:effectLst/>
      </c:spPr>
    </c:plotArea>
    <c:legend>
      <c:legendPos val="r"/>
      <c:layout>
        <c:manualLayout>
          <c:xMode val="edge"/>
          <c:yMode val="edge"/>
          <c:x val="0.91199138601423702"/>
          <c:y val="0.10779452958189438"/>
          <c:w val="6.5114809431650433E-2"/>
          <c:h val="3.3497679542398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MH370 Configuration</a:t>
            </a:r>
          </a:p>
        </c:rich>
      </c:tx>
      <c:layout>
        <c:manualLayout>
          <c:xMode val="edge"/>
          <c:yMode val="edge"/>
          <c:x val="0.37159756321392706"/>
          <c:y val="1.6528877052319046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86679340110475"/>
          <c:y val="5.9180442068498894E-2"/>
          <c:w val="0.77918180428439465"/>
          <c:h val="0.86386461463547171"/>
        </c:manualLayout>
      </c:layout>
      <c:scatterChart>
        <c:scatterStyle val="lineMarker"/>
        <c:varyColors val="0"/>
        <c:ser>
          <c:idx val="33"/>
          <c:order val="33"/>
          <c:tx>
            <c:v>LRC</c:v>
          </c:tx>
          <c:spPr>
            <a:ln w="25400" cap="rnd">
              <a:noFill/>
              <a:round/>
            </a:ln>
            <a:effectLst/>
          </c:spPr>
          <c:marker>
            <c:symbol val="circle"/>
            <c:size val="8"/>
            <c:spPr>
              <a:solidFill>
                <a:schemeClr val="accent4">
                  <a:lumMod val="50000"/>
                </a:schemeClr>
              </a:solidFill>
              <a:ln w="9525">
                <a:solidFill>
                  <a:schemeClr val="accent4">
                    <a:lumMod val="50000"/>
                  </a:schemeClr>
                </a:solidFill>
              </a:ln>
              <a:effectLst/>
            </c:spPr>
          </c:marker>
          <c:trendline>
            <c:spPr>
              <a:ln w="19050" cap="rnd">
                <a:solidFill>
                  <a:schemeClr val="accent4">
                    <a:lumMod val="50000"/>
                  </a:schemeClr>
                </a:solidFill>
                <a:prstDash val="sysDot"/>
              </a:ln>
              <a:effectLst/>
            </c:spPr>
            <c:trendlineType val="poly"/>
            <c:order val="6"/>
            <c:dispRSqr val="0"/>
            <c:dispEq val="0"/>
          </c:trendline>
          <c:xVal>
            <c:numRef>
              <c:f>'LRC FF'!$BE$38:$BE$495</c:f>
              <c:numCache>
                <c:formatCode>General</c:formatCode>
                <c:ptCount val="458"/>
              </c:numCache>
            </c:numRef>
          </c:xVal>
          <c:yVal>
            <c:numRef>
              <c:f>'LRC FF'!$AR$38:$AR$495</c:f>
              <c:numCache>
                <c:formatCode>General</c:formatCode>
                <c:ptCount val="458"/>
              </c:numCache>
            </c:numRef>
          </c:yVal>
          <c:smooth val="0"/>
          <c:extLst>
            <c:ext xmlns:c16="http://schemas.microsoft.com/office/drawing/2014/chart" uri="{C3380CC4-5D6E-409C-BE32-E72D297353CC}">
              <c16:uniqueId val="{00000001-05F6-4A32-AB4D-90977753917E}"/>
            </c:ext>
          </c:extLst>
        </c:ser>
        <c:dLbls>
          <c:showLegendKey val="0"/>
          <c:showVal val="0"/>
          <c:showCatName val="0"/>
          <c:showSerName val="0"/>
          <c:showPercent val="0"/>
          <c:showBubbleSize val="0"/>
        </c:dLbls>
        <c:axId val="395770496"/>
        <c:axId val="395801728"/>
        <c:extLst>
          <c:ext xmlns:c15="http://schemas.microsoft.com/office/drawing/2012/chart" uri="{02D57815-91ED-43cb-92C2-25804820EDAC}">
            <c15:filteredScatterSeries>
              <c15:ser>
                <c:idx val="0"/>
                <c:order val="0"/>
                <c:tx>
                  <c:v>M0.84 FL300</c:v>
                </c:tx>
                <c:spPr>
                  <a:ln w="28575"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'M0.84 FF'!$D$62:$D$78</c15:sqref>
                        </c15:formulaRef>
                      </c:ext>
                    </c:extLst>
                    <c:numCache>
                      <c:formatCode>General</c:formatCode>
                      <c:ptCount val="17"/>
                    </c:numCache>
                  </c:numRef>
                </c:xVal>
                <c:yVal>
                  <c:numRef>
                    <c:extLst>
                      <c:ext uri="{02D57815-91ED-43cb-92C2-25804820EDAC}">
                        <c15:formulaRef>
                          <c15:sqref>'M0.84 FF'!$D$39:$D$55</c15:sqref>
                        </c15:formulaRef>
                      </c:ext>
                    </c:extLst>
                    <c:numCache>
                      <c:formatCode>General</c:formatCode>
                      <c:ptCount val="17"/>
                    </c:numCache>
                  </c:numRef>
                </c:yVal>
                <c:smooth val="0"/>
                <c:extLst>
                  <c:ext xmlns:c16="http://schemas.microsoft.com/office/drawing/2014/chart" uri="{C3380CC4-5D6E-409C-BE32-E72D297353CC}">
                    <c16:uniqueId val="{00000002-05F6-4A32-AB4D-90977753917E}"/>
                  </c:ext>
                </c:extLst>
              </c15:ser>
            </c15:filteredScatterSeries>
            <c15:filteredScatterSeries>
              <c15:ser>
                <c:idx val="1"/>
                <c:order val="1"/>
                <c:tx>
                  <c:v>M0.84 FL310</c:v>
                </c:tx>
                <c:spPr>
                  <a:ln w="28575" cap="rnd">
                    <a:noFill/>
                    <a:round/>
                  </a:ln>
                  <a:effectLst/>
                </c:spPr>
                <c:marker>
                  <c:symbol val="circle"/>
                  <c:size val="5"/>
                  <c:spPr>
                    <a:solidFill>
                      <a:schemeClr val="accent2"/>
                    </a:solidFill>
                    <a:ln w="9525">
                      <a:solidFill>
                        <a:schemeClr val="accent2"/>
                      </a:solidFill>
                    </a:ln>
                    <a:effectLst/>
                  </c:spPr>
                </c:marker>
                <c:xVal>
                  <c:numRef>
                    <c:extLst xmlns:c15="http://schemas.microsoft.com/office/drawing/2012/chart">
                      <c:ext xmlns:c15="http://schemas.microsoft.com/office/drawing/2012/chart" uri="{02D57815-91ED-43cb-92C2-25804820EDAC}">
                        <c15:formulaRef>
                          <c15:sqref>'M0.84 FF'!$E$62:$E$78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FF'!$E$39:$E$55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3-05F6-4A32-AB4D-90977753917E}"/>
                  </c:ext>
                </c:extLst>
              </c15:ser>
            </c15:filteredScatterSeries>
            <c15:filteredScatterSeries>
              <c15:ser>
                <c:idx val="2"/>
                <c:order val="2"/>
                <c:tx>
                  <c:v>M0.84 FL320</c:v>
                </c:tx>
                <c:spPr>
                  <a:ln w="28575" cap="rnd">
                    <a:noFill/>
                    <a:round/>
                  </a:ln>
                  <a:effectLst/>
                </c:spPr>
                <c:marker>
                  <c:symbol val="circle"/>
                  <c:size val="5"/>
                  <c:spPr>
                    <a:solidFill>
                      <a:schemeClr val="accent3"/>
                    </a:solidFill>
                    <a:ln w="9525">
                      <a:solidFill>
                        <a:schemeClr val="accent3"/>
                      </a:solidFill>
                    </a:ln>
                    <a:effectLst/>
                  </c:spPr>
                </c:marker>
                <c:xVal>
                  <c:numRef>
                    <c:extLst xmlns:c15="http://schemas.microsoft.com/office/drawing/2012/chart">
                      <c:ext xmlns:c15="http://schemas.microsoft.com/office/drawing/2012/chart" uri="{02D57815-91ED-43cb-92C2-25804820EDAC}">
                        <c15:formulaRef>
                          <c15:sqref>'M0.84 FF'!$F$62:$F$78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FF'!$F$39:$F$55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4-05F6-4A32-AB4D-90977753917E}"/>
                  </c:ext>
                </c:extLst>
              </c15:ser>
            </c15:filteredScatterSeries>
            <c15:filteredScatterSeries>
              <c15:ser>
                <c:idx val="3"/>
                <c:order val="3"/>
                <c:tx>
                  <c:v>M0.84 FL330</c:v>
                </c:tx>
                <c:spPr>
                  <a:ln w="28575" cap="rnd">
                    <a:noFill/>
                    <a:round/>
                  </a:ln>
                  <a:effectLst/>
                </c:spPr>
                <c:marker>
                  <c:symbol val="circle"/>
                  <c:size val="5"/>
                  <c:spPr>
                    <a:solidFill>
                      <a:schemeClr val="accent4"/>
                    </a:solidFill>
                    <a:ln w="9525">
                      <a:solidFill>
                        <a:schemeClr val="accent4"/>
                      </a:solidFill>
                    </a:ln>
                    <a:effectLst/>
                  </c:spPr>
                </c:marker>
                <c:xVal>
                  <c:numRef>
                    <c:extLst xmlns:c15="http://schemas.microsoft.com/office/drawing/2012/chart">
                      <c:ext xmlns:c15="http://schemas.microsoft.com/office/drawing/2012/chart" uri="{02D57815-91ED-43cb-92C2-25804820EDAC}">
                        <c15:formulaRef>
                          <c15:sqref>'M0.84 FF'!$G$62:$G$78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FF'!$G$39:$G$55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5-05F6-4A32-AB4D-90977753917E}"/>
                  </c:ext>
                </c:extLst>
              </c15:ser>
            </c15:filteredScatterSeries>
            <c15:filteredScatterSeries>
              <c15:ser>
                <c:idx val="4"/>
                <c:order val="4"/>
                <c:tx>
                  <c:v>M0.84 FL340</c:v>
                </c:tx>
                <c:spPr>
                  <a:ln w="28575" cap="rnd">
                    <a:no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'M0.84 FF'!$H$62:$H$77</c15:sqref>
                        </c15:formulaRef>
                      </c:ext>
                    </c:extLst>
                    <c:numCache>
                      <c:formatCode>General</c:formatCode>
                      <c:ptCount val="16"/>
                    </c:numCache>
                  </c:numRef>
                </c:xVal>
                <c:yVal>
                  <c:numRef>
                    <c:extLst xmlns:c15="http://schemas.microsoft.com/office/drawing/2012/chart">
                      <c:ext xmlns:c15="http://schemas.microsoft.com/office/drawing/2012/chart" uri="{02D57815-91ED-43cb-92C2-25804820EDAC}">
                        <c15:formulaRef>
                          <c15:sqref>'M0.84 FF'!$H$39:$H$54</c15:sqref>
                        </c15:formulaRef>
                      </c:ext>
                    </c:extLst>
                    <c:numCache>
                      <c:formatCode>General</c:formatCode>
                      <c:ptCount val="16"/>
                    </c:numCache>
                  </c:numRef>
                </c:yVal>
                <c:smooth val="0"/>
                <c:extLst xmlns:c15="http://schemas.microsoft.com/office/drawing/2012/chart">
                  <c:ext xmlns:c16="http://schemas.microsoft.com/office/drawing/2014/chart" uri="{C3380CC4-5D6E-409C-BE32-E72D297353CC}">
                    <c16:uniqueId val="{00000006-05F6-4A32-AB4D-90977753917E}"/>
                  </c:ext>
                </c:extLst>
              </c15:ser>
            </c15:filteredScatterSeries>
            <c15:filteredScatterSeries>
              <c15:ser>
                <c:idx val="5"/>
                <c:order val="5"/>
                <c:tx>
                  <c:v>M0.84 FL350</c:v>
                </c:tx>
                <c:spPr>
                  <a:ln w="28575" cap="rnd">
                    <a:noFill/>
                    <a:round/>
                  </a:ln>
                  <a:effectLst/>
                </c:spPr>
                <c:marker>
                  <c:symbol val="circle"/>
                  <c:size val="5"/>
                  <c:spPr>
                    <a:solidFill>
                      <a:schemeClr val="accent6"/>
                    </a:solidFill>
                    <a:ln w="9525">
                      <a:solidFill>
                        <a:schemeClr val="accent6"/>
                      </a:solidFill>
                    </a:ln>
                    <a:effectLst/>
                  </c:spPr>
                </c:marker>
                <c:xVal>
                  <c:numRef>
                    <c:extLst xmlns:c15="http://schemas.microsoft.com/office/drawing/2012/chart">
                      <c:ext xmlns:c15="http://schemas.microsoft.com/office/drawing/2012/chart" uri="{02D57815-91ED-43cb-92C2-25804820EDAC}">
                        <c15:formulaRef>
                          <c15:sqref>'M0.84 FF'!$I$62:$I$76</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'M0.84 FF'!$I$39:$I$53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07-05F6-4A32-AB4D-90977753917E}"/>
                  </c:ext>
                </c:extLst>
              </c15:ser>
            </c15:filteredScatterSeries>
            <c15:filteredScatterSeries>
              <c15:ser>
                <c:idx val="6"/>
                <c:order val="6"/>
                <c:tx>
                  <c:v>M0.84 FL360</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extLst xmlns:c15="http://schemas.microsoft.com/office/drawing/2012/chart">
                      <c:ext xmlns:c15="http://schemas.microsoft.com/office/drawing/2012/chart" uri="{02D57815-91ED-43cb-92C2-25804820EDAC}">
                        <c15:formulaRef>
                          <c15:sqref>'M0.84 FF'!$J$62:$J$75</c15:sqref>
                        </c15:formulaRef>
                      </c:ext>
                    </c:extLst>
                    <c:numCache>
                      <c:formatCode>General</c:formatCode>
                      <c:ptCount val="14"/>
                    </c:numCache>
                  </c:numRef>
                </c:xVal>
                <c:yVal>
                  <c:numRef>
                    <c:extLst xmlns:c15="http://schemas.microsoft.com/office/drawing/2012/chart">
                      <c:ext xmlns:c15="http://schemas.microsoft.com/office/drawing/2012/chart" uri="{02D57815-91ED-43cb-92C2-25804820EDAC}">
                        <c15:formulaRef>
                          <c15:sqref>'M0.84 FF'!$J$39:$J$52</c15:sqref>
                        </c15:formulaRef>
                      </c:ext>
                    </c:extLst>
                    <c:numCache>
                      <c:formatCode>General</c:formatCode>
                      <c:ptCount val="14"/>
                    </c:numCache>
                  </c:numRef>
                </c:yVal>
                <c:smooth val="0"/>
                <c:extLst xmlns:c15="http://schemas.microsoft.com/office/drawing/2012/chart">
                  <c:ext xmlns:c16="http://schemas.microsoft.com/office/drawing/2014/chart" uri="{C3380CC4-5D6E-409C-BE32-E72D297353CC}">
                    <c16:uniqueId val="{00000008-05F6-4A32-AB4D-90977753917E}"/>
                  </c:ext>
                </c:extLst>
              </c15:ser>
            </c15:filteredScatterSeries>
            <c15:filteredScatterSeries>
              <c15:ser>
                <c:idx val="7"/>
                <c:order val="7"/>
                <c:tx>
                  <c:v>M0.84 FL370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'M0.84 FF'!$K$62:$K$74</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'M0.84 FF'!$K$39:$K$51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09-05F6-4A32-AB4D-90977753917E}"/>
                  </c:ext>
                </c:extLst>
              </c15:ser>
            </c15:filteredScatterSeries>
            <c15:filteredScatterSeries>
              <c15:ser>
                <c:idx val="8"/>
                <c:order val="8"/>
                <c:tx>
                  <c:v>M0.84 FL380</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'M0.84 FF'!$L$62:$L$72</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'M0.84 FF'!$L$39:$L$49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0A-05F6-4A32-AB4D-90977753917E}"/>
                  </c:ext>
                </c:extLst>
              </c15:ser>
            </c15:filteredScatterSeries>
            <c15:filteredScatterSeries>
              <c15:ser>
                <c:idx val="9"/>
                <c:order val="9"/>
                <c:tx>
                  <c:v>M0.84 FL390</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'M0.84 FF'!$M$62:$M$71</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'M0.84 FF'!$M$39:$M$48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0B-05F6-4A32-AB4D-90977753917E}"/>
                  </c:ext>
                </c:extLst>
              </c15:ser>
            </c15:filteredScatterSeries>
            <c15:filteredScatterSeries>
              <c15:ser>
                <c:idx val="10"/>
                <c:order val="10"/>
                <c:tx>
                  <c:v>M0.84 FL400</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extLst xmlns:c15="http://schemas.microsoft.com/office/drawing/2012/chart">
                      <c:ext xmlns:c15="http://schemas.microsoft.com/office/drawing/2012/chart" uri="{02D57815-91ED-43cb-92C2-25804820EDAC}">
                        <c15:formulaRef>
                          <c15:sqref>'M0.84 FF'!$N$62:$N$70</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'M0.84 FF'!$N$39:$N$47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0C-05F6-4A32-AB4D-90977753917E}"/>
                  </c:ext>
                </c:extLst>
              </c15:ser>
            </c15:filteredScatterSeries>
            <c15:filteredScatterSeries>
              <c15:ser>
                <c:idx val="11"/>
                <c:order val="11"/>
                <c:tx>
                  <c:v>M0.84 FL410</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extLst xmlns:c15="http://schemas.microsoft.com/office/drawing/2012/chart">
                      <c:ext xmlns:c15="http://schemas.microsoft.com/office/drawing/2012/chart" uri="{02D57815-91ED-43cb-92C2-25804820EDAC}">
                        <c15:formulaRef>
                          <c15:sqref>'M0.84 FF'!$O$62:$O$69</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'M0.84 FF'!$O$39:$O$46</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0D-05F6-4A32-AB4D-90977753917E}"/>
                  </c:ext>
                </c:extLst>
              </c15:ser>
            </c15:filteredScatterSeries>
            <c15:filteredScatterSeries>
              <c15:ser>
                <c:idx val="12"/>
                <c:order val="12"/>
                <c:tx>
                  <c:v>M0.84 FL420</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FF'!$P$62:$P$68</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'M0.84 FF'!$P$39:$P$45</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0E-05F6-4A32-AB4D-90977753917E}"/>
                  </c:ext>
                </c:extLst>
              </c15:ser>
            </c15:filteredScatterSeries>
            <c15:filteredScatterSeries>
              <c15:ser>
                <c:idx val="13"/>
                <c:order val="13"/>
                <c:tx>
                  <c:v>M0.84 FL430</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FF'!$Q$62:$Q$67</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'M0.84 FF'!$Q$39:$Q$44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0F-05F6-4A32-AB4D-90977753917E}"/>
                  </c:ext>
                </c:extLst>
              </c15:ser>
            </c15:filteredScatterSeries>
            <c15:filteredScatterSeries>
              <c15:ser>
                <c:idx val="14"/>
                <c:order val="14"/>
                <c:tx>
                  <c:v>Holding FL15</c:v>
                </c:tx>
                <c:spPr>
                  <a:ln w="25400" cap="rnd">
                    <a:noFill/>
                    <a:round/>
                  </a:ln>
                  <a:effectLst/>
                </c:spPr>
                <c:marker>
                  <c:symbol val="triangle"/>
                  <c:size val="5"/>
                  <c:spPr>
                    <a:solidFill>
                      <a:schemeClr val="accent3">
                        <a:lumMod val="80000"/>
                        <a:lumOff val="20000"/>
                      </a:schemeClr>
                    </a:solidFill>
                    <a:ln w="9525">
                      <a:solidFill>
                        <a:schemeClr val="accent3">
                          <a:lumMod val="80000"/>
                          <a:lumOff val="20000"/>
                        </a:schemeClr>
                      </a:solidFill>
                    </a:ln>
                    <a:effectLst/>
                  </c:spPr>
                </c:marker>
                <c:dPt>
                  <c:idx val="1"/>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0-05F6-4A32-AB4D-90977753917E}"/>
                    </c:ext>
                  </c:extLst>
                </c:dPt>
                <c:dPt>
                  <c:idx val="2"/>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1-05F6-4A32-AB4D-90977753917E}"/>
                    </c:ext>
                  </c:extLst>
                </c:dPt>
                <c:dPt>
                  <c:idx val="3"/>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2-05F6-4A32-AB4D-90977753917E}"/>
                    </c:ext>
                  </c:extLst>
                </c:dPt>
                <c:dPt>
                  <c:idx val="4"/>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3-05F6-4A32-AB4D-90977753917E}"/>
                    </c:ext>
                  </c:extLst>
                </c:dPt>
                <c:dPt>
                  <c:idx val="5"/>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4-05F6-4A32-AB4D-90977753917E}"/>
                    </c:ext>
                  </c:extLst>
                </c:dPt>
                <c:dPt>
                  <c:idx val="6"/>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5-05F6-4A32-AB4D-90977753917E}"/>
                    </c:ext>
                  </c:extLst>
                </c:dPt>
                <c:xVal>
                  <c:numRef>
                    <c:extLst xmlns:c15="http://schemas.microsoft.com/office/drawing/2012/chart">
                      <c:ext xmlns:c15="http://schemas.microsoft.com/office/drawing/2012/chart" uri="{02D57815-91ED-43cb-92C2-25804820EDAC}">
                        <c15:formulaRef>
                          <c15:sqref>'Holding FF'!$D$46:$D$52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FF'!$D$31:$D$37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6-05F6-4A32-AB4D-90977753917E}"/>
                  </c:ext>
                </c:extLst>
              </c15:ser>
            </c15:filteredScatterSeries>
            <c15:filteredScatterSeries>
              <c15:ser>
                <c:idx val="15"/>
                <c:order val="15"/>
                <c:tx>
                  <c:v>Holding FL50</c:v>
                </c:tx>
                <c:spPr>
                  <a:ln w="25400" cap="rnd">
                    <a:noFill/>
                    <a:round/>
                  </a:ln>
                  <a:effectLst/>
                </c:spPr>
                <c:marker>
                  <c:symbol val="triangle"/>
                  <c:size val="5"/>
                  <c:spPr>
                    <a:solidFill>
                      <a:schemeClr val="accent4">
                        <a:lumMod val="80000"/>
                        <a:lumOff val="20000"/>
                      </a:schemeClr>
                    </a:solidFill>
                    <a:ln w="9525">
                      <a:solidFill>
                        <a:schemeClr val="accent4">
                          <a:lumMod val="80000"/>
                          <a:lumOff val="20000"/>
                        </a:schemeClr>
                      </a:solidFill>
                    </a:ln>
                    <a:effectLst/>
                  </c:spPr>
                </c:marker>
                <c:dPt>
                  <c:idx val="0"/>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7-05F6-4A32-AB4D-90977753917E}"/>
                    </c:ext>
                  </c:extLst>
                </c:dPt>
                <c:dPt>
                  <c:idx val="1"/>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8-05F6-4A32-AB4D-90977753917E}"/>
                    </c:ext>
                  </c:extLst>
                </c:dPt>
                <c:dPt>
                  <c:idx val="2"/>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9-05F6-4A32-AB4D-90977753917E}"/>
                    </c:ext>
                  </c:extLst>
                </c:dPt>
                <c:dPt>
                  <c:idx val="3"/>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A-05F6-4A32-AB4D-90977753917E}"/>
                    </c:ext>
                  </c:extLst>
                </c:dPt>
                <c:dPt>
                  <c:idx val="4"/>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B-05F6-4A32-AB4D-90977753917E}"/>
                    </c:ext>
                  </c:extLst>
                </c:dPt>
                <c:dPt>
                  <c:idx val="5"/>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C-05F6-4A32-AB4D-90977753917E}"/>
                    </c:ext>
                  </c:extLst>
                </c:dPt>
                <c:dPt>
                  <c:idx val="6"/>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D-05F6-4A32-AB4D-90977753917E}"/>
                    </c:ext>
                  </c:extLst>
                </c:dPt>
                <c:xVal>
                  <c:numRef>
                    <c:extLst xmlns:c15="http://schemas.microsoft.com/office/drawing/2012/chart">
                      <c:ext xmlns:c15="http://schemas.microsoft.com/office/drawing/2012/chart" uri="{02D57815-91ED-43cb-92C2-25804820EDAC}">
                        <c15:formulaRef>
                          <c15:sqref>'Holding FF'!$E$46:$E$52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FF'!$E$31:$E$37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E-05F6-4A32-AB4D-90977753917E}"/>
                  </c:ext>
                </c:extLst>
              </c15:ser>
            </c15:filteredScatterSeries>
            <c15:filteredScatterSeries>
              <c15:ser>
                <c:idx val="16"/>
                <c:order val="16"/>
                <c:tx>
                  <c:v>Holding FL100</c:v>
                </c:tx>
                <c:spPr>
                  <a:ln w="25400" cap="rnd">
                    <a:noFill/>
                    <a:round/>
                  </a:ln>
                  <a:effectLst/>
                </c:spPr>
                <c:marker>
                  <c:symbol val="triangle"/>
                  <c:size val="5"/>
                  <c:spPr>
                    <a:solidFill>
                      <a:schemeClr val="accent5">
                        <a:lumMod val="80000"/>
                        <a:lumOff val="20000"/>
                      </a:schemeClr>
                    </a:solidFill>
                    <a:ln w="9525">
                      <a:solidFill>
                        <a:schemeClr val="accent5">
                          <a:lumMod val="80000"/>
                          <a:lumOff val="20000"/>
                        </a:schemeClr>
                      </a:solidFill>
                    </a:ln>
                    <a:effectLst/>
                  </c:spPr>
                </c:marker>
                <c:dPt>
                  <c:idx val="0"/>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F-05F6-4A32-AB4D-90977753917E}"/>
                    </c:ext>
                  </c:extLst>
                </c:dPt>
                <c:dPt>
                  <c:idx val="1"/>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0-05F6-4A32-AB4D-90977753917E}"/>
                    </c:ext>
                  </c:extLst>
                </c:dPt>
                <c:dPt>
                  <c:idx val="2"/>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1-05F6-4A32-AB4D-90977753917E}"/>
                    </c:ext>
                  </c:extLst>
                </c:dPt>
                <c:dPt>
                  <c:idx val="3"/>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2-05F6-4A32-AB4D-90977753917E}"/>
                    </c:ext>
                  </c:extLst>
                </c:dPt>
                <c:dPt>
                  <c:idx val="4"/>
                  <c:marker>
                    <c:symbol val="triangle"/>
                    <c:size val="7"/>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3-05F6-4A32-AB4D-90977753917E}"/>
                    </c:ext>
                  </c:extLst>
                </c:dPt>
                <c:xVal>
                  <c:numRef>
                    <c:extLst xmlns:c15="http://schemas.microsoft.com/office/drawing/2012/chart">
                      <c:ext xmlns:c15="http://schemas.microsoft.com/office/drawing/2012/chart" uri="{02D57815-91ED-43cb-92C2-25804820EDAC}">
                        <c15:formulaRef>
                          <c15:sqref>'Holding FF'!$F$46:$F$52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FF'!$F$31:$F$37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4-05F6-4A32-AB4D-90977753917E}"/>
                  </c:ext>
                </c:extLst>
              </c15:ser>
            </c15:filteredScatterSeries>
            <c15:filteredScatterSeries>
              <c15:ser>
                <c:idx val="17"/>
                <c:order val="17"/>
                <c:tx>
                  <c:v>Holding FL150</c:v>
                </c:tx>
                <c:spPr>
                  <a:ln w="25400" cap="rnd">
                    <a:noFill/>
                    <a:round/>
                  </a:ln>
                  <a:effectLst/>
                </c:spPr>
                <c:marker>
                  <c:symbol val="triangle"/>
                  <c:size val="5"/>
                  <c:spPr>
                    <a:solidFill>
                      <a:schemeClr val="accent6">
                        <a:lumMod val="80000"/>
                        <a:lumOff val="20000"/>
                      </a:schemeClr>
                    </a:solidFill>
                    <a:ln w="9525">
                      <a:solidFill>
                        <a:schemeClr val="accent6">
                          <a:lumMod val="80000"/>
                          <a:lumOff val="20000"/>
                        </a:schemeClr>
                      </a:solidFill>
                    </a:ln>
                    <a:effectLst/>
                  </c:spPr>
                </c:marker>
                <c:dPt>
                  <c:idx val="0"/>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5-05F6-4A32-AB4D-90977753917E}"/>
                    </c:ext>
                  </c:extLst>
                </c:dPt>
                <c:dPt>
                  <c:idx val="1"/>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6-05F6-4A32-AB4D-90977753917E}"/>
                    </c:ext>
                  </c:extLst>
                </c:dPt>
                <c:dPt>
                  <c:idx val="2"/>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7-05F6-4A32-AB4D-90977753917E}"/>
                    </c:ext>
                  </c:extLst>
                </c:dPt>
                <c:xVal>
                  <c:numRef>
                    <c:extLst xmlns:c15="http://schemas.microsoft.com/office/drawing/2012/chart">
                      <c:ext xmlns:c15="http://schemas.microsoft.com/office/drawing/2012/chart" uri="{02D57815-91ED-43cb-92C2-25804820EDAC}">
                        <c15:formulaRef>
                          <c15:sqref>'Holding FF'!$G$46:$G$52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FF'!$G$31:$G$37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8-05F6-4A32-AB4D-90977753917E}"/>
                  </c:ext>
                </c:extLst>
              </c15:ser>
            </c15:filteredScatterSeries>
            <c15:filteredScatterSeries>
              <c15:ser>
                <c:idx val="18"/>
                <c:order val="18"/>
                <c:tx>
                  <c:v>Holding FL200</c:v>
                </c:tx>
                <c:spPr>
                  <a:ln w="25400" cap="rnd">
                    <a:noFill/>
                    <a:round/>
                  </a:ln>
                  <a:effectLst/>
                </c:spPr>
                <c:marker>
                  <c:symbol val="triangle"/>
                  <c:size val="5"/>
                  <c:spPr>
                    <a:solidFill>
                      <a:schemeClr val="accent1">
                        <a:lumMod val="80000"/>
                      </a:schemeClr>
                    </a:solidFill>
                    <a:ln w="9525">
                      <a:solidFill>
                        <a:schemeClr val="accent1">
                          <a:lumMod val="80000"/>
                        </a:schemeClr>
                      </a:solidFill>
                    </a:ln>
                    <a:effectLst/>
                  </c:spPr>
                </c:marker>
                <c:dPt>
                  <c:idx val="0"/>
                  <c:marker>
                    <c:symbol val="circle"/>
                    <c:size val="6"/>
                    <c:spPr>
                      <a:noFill/>
                      <a:ln w="9525">
                        <a:solidFill>
                          <a:schemeClr val="accent1">
                            <a:lumMod val="80000"/>
                          </a:schemeClr>
                        </a:solidFill>
                      </a:ln>
                      <a:effectLst/>
                    </c:spPr>
                  </c:marker>
                  <c:bubble3D val="0"/>
                  <c:extLst xmlns:c15="http://schemas.microsoft.com/office/drawing/2012/chart">
                    <c:ext xmlns:c16="http://schemas.microsoft.com/office/drawing/2014/chart" uri="{C3380CC4-5D6E-409C-BE32-E72D297353CC}">
                      <c16:uniqueId val="{00000029-05F6-4A32-AB4D-90977753917E}"/>
                    </c:ext>
                  </c:extLst>
                </c:dPt>
                <c:xVal>
                  <c:numRef>
                    <c:extLst xmlns:c15="http://schemas.microsoft.com/office/drawing/2012/chart">
                      <c:ext xmlns:c15="http://schemas.microsoft.com/office/drawing/2012/chart" uri="{02D57815-91ED-43cb-92C2-25804820EDAC}">
                        <c15:formulaRef>
                          <c15:sqref>'Holding FF'!$H$46:$H$52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FF'!$H$31:$H$37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A-05F6-4A32-AB4D-90977753917E}"/>
                  </c:ext>
                </c:extLst>
              </c15:ser>
            </c15:filteredScatterSeries>
            <c15:filteredScatterSeries>
              <c15:ser>
                <c:idx val="19"/>
                <c:order val="19"/>
                <c:tx>
                  <c:v>Holding FL250</c:v>
                </c:tx>
                <c:spPr>
                  <a:ln w="25400" cap="rnd">
                    <a:noFill/>
                    <a:round/>
                  </a:ln>
                  <a:effectLst/>
                </c:spPr>
                <c:marker>
                  <c:symbol val="triangle"/>
                  <c:size val="5"/>
                  <c:spPr>
                    <a:solidFill>
                      <a:schemeClr val="accent2">
                        <a:lumMod val="80000"/>
                      </a:schemeClr>
                    </a:solidFill>
                    <a:ln w="9525">
                      <a:solidFill>
                        <a:schemeClr val="accent2">
                          <a:lumMod val="80000"/>
                        </a:schemeClr>
                      </a:solidFill>
                    </a:ln>
                    <a:effectLst/>
                  </c:spPr>
                </c:marker>
                <c:xVal>
                  <c:numRef>
                    <c:extLst xmlns:c15="http://schemas.microsoft.com/office/drawing/2012/chart">
                      <c:ext xmlns:c15="http://schemas.microsoft.com/office/drawing/2012/chart" uri="{02D57815-91ED-43cb-92C2-25804820EDAC}">
                        <c15:formulaRef>
                          <c15:sqref>'Holding FF'!$I$46:$I$52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FF'!$I$31:$I$37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B-05F6-4A32-AB4D-90977753917E}"/>
                  </c:ext>
                </c:extLst>
              </c15:ser>
            </c15:filteredScatterSeries>
            <c15:filteredScatterSeries>
              <c15:ser>
                <c:idx val="20"/>
                <c:order val="20"/>
                <c:tx>
                  <c:v>Holding FL300</c:v>
                </c:tx>
                <c:spPr>
                  <a:ln w="25400" cap="rnd">
                    <a:noFill/>
                    <a:round/>
                  </a:ln>
                  <a:effectLst/>
                </c:spPr>
                <c:marker>
                  <c:symbol val="triangle"/>
                  <c:size val="5"/>
                  <c:spPr>
                    <a:solidFill>
                      <a:schemeClr val="accent3">
                        <a:lumMod val="80000"/>
                      </a:schemeClr>
                    </a:solidFill>
                    <a:ln w="9525">
                      <a:solidFill>
                        <a:schemeClr val="accent3">
                          <a:lumMod val="80000"/>
                        </a:schemeClr>
                      </a:solidFill>
                    </a:ln>
                    <a:effectLst/>
                  </c:spPr>
                </c:marker>
                <c:xVal>
                  <c:numRef>
                    <c:extLst xmlns:c15="http://schemas.microsoft.com/office/drawing/2012/chart">
                      <c:ext xmlns:c15="http://schemas.microsoft.com/office/drawing/2012/chart" uri="{02D57815-91ED-43cb-92C2-25804820EDAC}">
                        <c15:formulaRef>
                          <c15:sqref>'Holding FF'!$J$45:$J$52</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'Holding FF'!$J$30:$J$37</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2C-05F6-4A32-AB4D-90977753917E}"/>
                  </c:ext>
                </c:extLst>
              </c15:ser>
            </c15:filteredScatterSeries>
            <c15:filteredScatterSeries>
              <c15:ser>
                <c:idx val="21"/>
                <c:order val="21"/>
                <c:tx>
                  <c:v>Holding FL350</c:v>
                </c:tx>
                <c:spPr>
                  <a:ln w="25400" cap="rnd">
                    <a:noFill/>
                    <a:round/>
                  </a:ln>
                  <a:effectLst/>
                </c:spPr>
                <c:marker>
                  <c:symbol val="triangle"/>
                  <c:size val="5"/>
                  <c:spPr>
                    <a:solidFill>
                      <a:schemeClr val="accent4">
                        <a:lumMod val="80000"/>
                      </a:schemeClr>
                    </a:solidFill>
                    <a:ln w="9525">
                      <a:solidFill>
                        <a:schemeClr val="accent4">
                          <a:lumMod val="80000"/>
                        </a:schemeClr>
                      </a:solidFill>
                    </a:ln>
                    <a:effectLst/>
                  </c:spPr>
                </c:marker>
                <c:xVal>
                  <c:numRef>
                    <c:extLst xmlns:c15="http://schemas.microsoft.com/office/drawing/2012/chart">
                      <c:ext xmlns:c15="http://schemas.microsoft.com/office/drawing/2012/chart" uri="{02D57815-91ED-43cb-92C2-25804820EDAC}">
                        <c15:formulaRef>
                          <c15:sqref>'Holding FF'!$K$45:$K$51</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FF'!$K$30:$K$36</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D-05F6-4A32-AB4D-90977753917E}"/>
                  </c:ext>
                </c:extLst>
              </c15:ser>
            </c15:filteredScatterSeries>
            <c15:filteredScatterSeries>
              <c15:ser>
                <c:idx val="22"/>
                <c:order val="22"/>
                <c:tx>
                  <c:v>Holding FL400</c:v>
                </c:tx>
                <c:spPr>
                  <a:ln w="25400" cap="rnd">
                    <a:noFill/>
                    <a:round/>
                  </a:ln>
                  <a:effectLst/>
                </c:spPr>
                <c:marker>
                  <c:symbol val="triangle"/>
                  <c:size val="5"/>
                  <c:spPr>
                    <a:solidFill>
                      <a:schemeClr val="accent5">
                        <a:lumMod val="80000"/>
                      </a:schemeClr>
                    </a:solidFill>
                    <a:ln w="9525">
                      <a:solidFill>
                        <a:schemeClr val="accent5">
                          <a:lumMod val="80000"/>
                        </a:schemeClr>
                      </a:solidFill>
                    </a:ln>
                    <a:effectLst/>
                  </c:spPr>
                </c:marker>
                <c:xVal>
                  <c:numRef>
                    <c:extLst xmlns:c15="http://schemas.microsoft.com/office/drawing/2012/chart">
                      <c:ext xmlns:c15="http://schemas.microsoft.com/office/drawing/2012/chart" uri="{02D57815-91ED-43cb-92C2-25804820EDAC}">
                        <c15:formulaRef>
                          <c15:sqref>'Holding FF'!$L$44:$L$48</c15:sqref>
                        </c15:formulaRef>
                      </c:ext>
                    </c:extLst>
                    <c:numCache>
                      <c:formatCode>General</c:formatCode>
                      <c:ptCount val="5"/>
                    </c:numCache>
                  </c:numRef>
                </c:xVal>
                <c:yVal>
                  <c:numRef>
                    <c:extLst xmlns:c15="http://schemas.microsoft.com/office/drawing/2012/chart">
                      <c:ext xmlns:c15="http://schemas.microsoft.com/office/drawing/2012/chart" uri="{02D57815-91ED-43cb-92C2-25804820EDAC}">
                        <c15:formulaRef>
                          <c15:sqref>'Holding FF'!$L$29:$L$33</c15:sqref>
                        </c15:formulaRef>
                      </c:ext>
                    </c:extLst>
                    <c:numCache>
                      <c:formatCode>General</c:formatCode>
                      <c:ptCount val="5"/>
                    </c:numCache>
                  </c:numRef>
                </c:yVal>
                <c:smooth val="0"/>
                <c:extLst xmlns:c15="http://schemas.microsoft.com/office/drawing/2012/chart">
                  <c:ext xmlns:c16="http://schemas.microsoft.com/office/drawing/2014/chart" uri="{C3380CC4-5D6E-409C-BE32-E72D297353CC}">
                    <c16:uniqueId val="{0000002E-05F6-4A32-AB4D-90977753917E}"/>
                  </c:ext>
                </c:extLst>
              </c15:ser>
            </c15:filteredScatterSeries>
            <c15:filteredScatterSeries>
              <c15:ser>
                <c:idx val="23"/>
                <c:order val="23"/>
                <c:tx>
                  <c:v>Holding FL430</c:v>
                </c:tx>
                <c:spPr>
                  <a:ln w="25400" cap="rnd">
                    <a:noFill/>
                    <a:round/>
                  </a:ln>
                  <a:effectLst/>
                </c:spPr>
                <c:marker>
                  <c:symbol val="triangle"/>
                  <c:size val="5"/>
                  <c:spPr>
                    <a:solidFill>
                      <a:schemeClr val="accent6">
                        <a:lumMod val="80000"/>
                      </a:schemeClr>
                    </a:solidFill>
                    <a:ln w="9525">
                      <a:solidFill>
                        <a:schemeClr val="accent6">
                          <a:lumMod val="80000"/>
                        </a:schemeClr>
                      </a:solidFill>
                    </a:ln>
                    <a:effectLst/>
                  </c:spPr>
                </c:marker>
                <c:xVal>
                  <c:numRef>
                    <c:extLst xmlns:c15="http://schemas.microsoft.com/office/drawing/2012/chart">
                      <c:ext xmlns:c15="http://schemas.microsoft.com/office/drawing/2012/chart" uri="{02D57815-91ED-43cb-92C2-25804820EDAC}">
                        <c15:formulaRef>
                          <c15:sqref>'Holding FF'!$M$44:$M$46</c15:sqref>
                        </c15:formulaRef>
                      </c:ext>
                    </c:extLst>
                    <c:numCache>
                      <c:formatCode>General</c:formatCode>
                      <c:ptCount val="3"/>
                    </c:numCache>
                  </c:numRef>
                </c:xVal>
                <c:yVal>
                  <c:numRef>
                    <c:extLst xmlns:c15="http://schemas.microsoft.com/office/drawing/2012/chart">
                      <c:ext xmlns:c15="http://schemas.microsoft.com/office/drawing/2012/chart" uri="{02D57815-91ED-43cb-92C2-25804820EDAC}">
                        <c15:formulaRef>
                          <c15:sqref>'Holding FF'!$M$29:$M$31</c15:sqref>
                        </c15:formulaRef>
                      </c:ext>
                    </c:extLst>
                    <c:numCache>
                      <c:formatCode>General</c:formatCode>
                      <c:ptCount val="3"/>
                    </c:numCache>
                  </c:numRef>
                </c:yVal>
                <c:smooth val="0"/>
                <c:extLst xmlns:c15="http://schemas.microsoft.com/office/drawing/2012/chart">
                  <c:ext xmlns:c16="http://schemas.microsoft.com/office/drawing/2014/chart" uri="{C3380CC4-5D6E-409C-BE32-E72D297353CC}">
                    <c16:uniqueId val="{0000002F-05F6-4A32-AB4D-90977753917E}"/>
                  </c:ext>
                </c:extLst>
              </c15:ser>
            </c15:filteredScatterSeries>
            <c15:filteredScatterSeries>
              <c15:ser>
                <c:idx val="24"/>
                <c:order val="24"/>
                <c:tx>
                  <c:v>LRC FL60</c:v>
                </c:tx>
                <c:spPr>
                  <a:ln w="25400" cap="rnd">
                    <a:noFill/>
                    <a:round/>
                  </a:ln>
                  <a:effectLst/>
                </c:spPr>
                <c:marker>
                  <c:symbol val="diamond"/>
                  <c:size val="6"/>
                  <c:spPr>
                    <a:solidFill>
                      <a:schemeClr val="accent1">
                        <a:lumMod val="60000"/>
                        <a:lumOff val="40000"/>
                      </a:schemeClr>
                    </a:solidFill>
                    <a:ln w="9525">
                      <a:solidFill>
                        <a:schemeClr val="accent1">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FF'!$D$61:$D$70</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'LRC FF'!$D$39:$D$48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30-05F6-4A32-AB4D-90977753917E}"/>
                  </c:ext>
                </c:extLst>
              </c15:ser>
            </c15:filteredScatterSeries>
            <c15:filteredScatterSeries>
              <c15:ser>
                <c:idx val="31"/>
                <c:order val="25"/>
                <c:tx>
                  <c:v>LRC FL100</c:v>
                </c:tx>
                <c:spPr>
                  <a:ln w="25400" cap="rnd">
                    <a:noFill/>
                    <a:round/>
                  </a:ln>
                  <a:effectLst/>
                </c:spPr>
                <c:marker>
                  <c:symbol val="diamond"/>
                  <c:size val="6"/>
                  <c:spPr>
                    <a:solidFill>
                      <a:schemeClr val="accent2">
                        <a:lumMod val="50000"/>
                      </a:schemeClr>
                    </a:solidFill>
                    <a:ln w="9525">
                      <a:solidFill>
                        <a:schemeClr val="accent2">
                          <a:lumMod val="50000"/>
                        </a:schemeClr>
                      </a:solidFill>
                    </a:ln>
                    <a:effectLst/>
                  </c:spPr>
                </c:marker>
                <c:xVal>
                  <c:numRef>
                    <c:extLst xmlns:c15="http://schemas.microsoft.com/office/drawing/2012/chart">
                      <c:ext xmlns:c15="http://schemas.microsoft.com/office/drawing/2012/chart" uri="{02D57815-91ED-43cb-92C2-25804820EDAC}">
                        <c15:formulaRef>
                          <c15:sqref>'LRC FF'!$F$61:$F$71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FF'!$F$39:$F$49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31-05F6-4A32-AB4D-90977753917E}"/>
                  </c:ext>
                </c:extLst>
              </c15:ser>
            </c15:filteredScatterSeries>
            <c15:filteredScatterSeries>
              <c15:ser>
                <c:idx val="32"/>
                <c:order val="26"/>
                <c:tx>
                  <c:v>LRC FL150</c:v>
                </c:tx>
                <c:spPr>
                  <a:ln w="25400" cap="rnd">
                    <a:noFill/>
                    <a:round/>
                  </a:ln>
                  <a:effectLst/>
                </c:spPr>
                <c:marker>
                  <c:symbol val="diamond"/>
                  <c:size val="6"/>
                  <c:spPr>
                    <a:solidFill>
                      <a:schemeClr val="accent3">
                        <a:lumMod val="50000"/>
                      </a:schemeClr>
                    </a:solidFill>
                    <a:ln w="9525">
                      <a:solidFill>
                        <a:schemeClr val="accent3">
                          <a:lumMod val="50000"/>
                        </a:schemeClr>
                      </a:solidFill>
                    </a:ln>
                    <a:effectLst/>
                  </c:spPr>
                </c:marker>
                <c:xVal>
                  <c:numRef>
                    <c:extLst xmlns:c15="http://schemas.microsoft.com/office/drawing/2012/chart">
                      <c:ext xmlns:c15="http://schemas.microsoft.com/office/drawing/2012/chart" uri="{02D57815-91ED-43cb-92C2-25804820EDAC}">
                        <c15:formulaRef>
                          <c15:sqref>'LRC FF'!$J$61:$J$71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FF'!$J$39:$J$49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32-05F6-4A32-AB4D-90977753917E}"/>
                  </c:ext>
                </c:extLst>
              </c15:ser>
            </c15:filteredScatterSeries>
            <c15:filteredScatterSeries>
              <c15:ser>
                <c:idx val="28"/>
                <c:order val="27"/>
                <c:tx>
                  <c:v>LRC FL200</c:v>
                </c:tx>
                <c:spPr>
                  <a:ln w="25400" cap="rnd">
                    <a:noFill/>
                    <a:round/>
                  </a:ln>
                  <a:effectLst/>
                </c:spPr>
                <c:marker>
                  <c:symbol val="diamond"/>
                  <c:size val="6"/>
                  <c:spPr>
                    <a:solidFill>
                      <a:schemeClr val="accent5">
                        <a:lumMod val="60000"/>
                        <a:lumOff val="40000"/>
                      </a:schemeClr>
                    </a:solidFill>
                    <a:ln w="9525">
                      <a:solidFill>
                        <a:schemeClr val="accent5">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FF'!$O$61:$O$72</c15:sqref>
                        </c15:formulaRef>
                      </c:ext>
                    </c:extLst>
                    <c:numCache>
                      <c:formatCode>General</c:formatCode>
                      <c:ptCount val="12"/>
                    </c:numCache>
                  </c:numRef>
                </c:xVal>
                <c:yVal>
                  <c:numRef>
                    <c:extLst xmlns:c15="http://schemas.microsoft.com/office/drawing/2012/chart">
                      <c:ext xmlns:c15="http://schemas.microsoft.com/office/drawing/2012/chart" uri="{02D57815-91ED-43cb-92C2-25804820EDAC}">
                        <c15:formulaRef>
                          <c15:sqref>'LRC FF'!$O$39:$O$50</c15:sqref>
                        </c15:formulaRef>
                      </c:ext>
                    </c:extLst>
                    <c:numCache>
                      <c:formatCode>General</c:formatCode>
                      <c:ptCount val="12"/>
                    </c:numCache>
                  </c:numRef>
                </c:yVal>
                <c:smooth val="0"/>
                <c:extLst xmlns:c15="http://schemas.microsoft.com/office/drawing/2012/chart">
                  <c:ext xmlns:c16="http://schemas.microsoft.com/office/drawing/2014/chart" uri="{C3380CC4-5D6E-409C-BE32-E72D297353CC}">
                    <c16:uniqueId val="{00000033-05F6-4A32-AB4D-90977753917E}"/>
                  </c:ext>
                </c:extLst>
              </c15:ser>
            </c15:filteredScatterSeries>
            <c15:filteredScatterSeries>
              <c15:ser>
                <c:idx val="29"/>
                <c:order val="28"/>
                <c:tx>
                  <c:v>LRC FL250</c:v>
                </c:tx>
                <c:spPr>
                  <a:ln w="25400" cap="rnd">
                    <a:noFill/>
                    <a:round/>
                  </a:ln>
                  <a:effectLst/>
                </c:spPr>
                <c:marker>
                  <c:symbol val="diamond"/>
                  <c:size val="6"/>
                  <c:spPr>
                    <a:solidFill>
                      <a:schemeClr val="accent6">
                        <a:lumMod val="60000"/>
                        <a:lumOff val="40000"/>
                      </a:schemeClr>
                    </a:solidFill>
                    <a:ln w="9525">
                      <a:solidFill>
                        <a:schemeClr val="accent6">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FF'!$T$61:$T$73</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'LRC FF'!$T$39:$T$51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34-05F6-4A32-AB4D-90977753917E}"/>
                  </c:ext>
                </c:extLst>
              </c15:ser>
            </c15:filteredScatterSeries>
            <c15:filteredScatterSeries>
              <c15:ser>
                <c:idx val="26"/>
                <c:order val="29"/>
                <c:tx>
                  <c:v>LRC FL300</c:v>
                </c:tx>
                <c:spPr>
                  <a:ln w="25400" cap="rnd">
                    <a:noFill/>
                    <a:round/>
                  </a:ln>
                  <a:effectLst/>
                </c:spPr>
                <c:marker>
                  <c:symbol val="diamond"/>
                  <c:size val="6"/>
                  <c:spPr>
                    <a:solidFill>
                      <a:schemeClr val="accent3">
                        <a:lumMod val="60000"/>
                        <a:lumOff val="40000"/>
                      </a:schemeClr>
                    </a:solidFill>
                    <a:ln w="9525">
                      <a:solidFill>
                        <a:schemeClr val="accent3">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FF'!$Y$61:$Y$77</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'LRC FF'!$Y$39:$Y$55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35-05F6-4A32-AB4D-90977753917E}"/>
                  </c:ext>
                </c:extLst>
              </c15:ser>
            </c15:filteredScatterSeries>
            <c15:filteredScatterSeries>
              <c15:ser>
                <c:idx val="27"/>
                <c:order val="30"/>
                <c:tx>
                  <c:v>LRC FL350</c:v>
                </c:tx>
                <c:spPr>
                  <a:ln w="25400" cap="rnd">
                    <a:noFill/>
                    <a:round/>
                  </a:ln>
                  <a:effectLst/>
                </c:spPr>
                <c:marker>
                  <c:symbol val="diamond"/>
                  <c:size val="6"/>
                  <c:spPr>
                    <a:solidFill>
                      <a:schemeClr val="accent4">
                        <a:lumMod val="60000"/>
                        <a:lumOff val="40000"/>
                      </a:schemeClr>
                    </a:solidFill>
                    <a:ln w="9525">
                      <a:solidFill>
                        <a:schemeClr val="accent4">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FF'!$AD$61:$AD$75</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'LRC FF'!$AD$39:$AD$53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36-05F6-4A32-AB4D-90977753917E}"/>
                  </c:ext>
                </c:extLst>
              </c15:ser>
            </c15:filteredScatterSeries>
            <c15:filteredScatterSeries>
              <c15:ser>
                <c:idx val="30"/>
                <c:order val="31"/>
                <c:tx>
                  <c:v>LRC FL400</c:v>
                </c:tx>
                <c:spPr>
                  <a:ln w="25400" cap="rnd">
                    <a:noFill/>
                    <a:round/>
                  </a:ln>
                  <a:effectLst/>
                </c:spPr>
                <c:marker>
                  <c:symbol val="diamond"/>
                  <c:size val="6"/>
                  <c:spPr>
                    <a:solidFill>
                      <a:schemeClr val="accent1">
                        <a:lumMod val="50000"/>
                      </a:schemeClr>
                    </a:solidFill>
                    <a:ln w="9525">
                      <a:solidFill>
                        <a:schemeClr val="accent1">
                          <a:lumMod val="50000"/>
                        </a:schemeClr>
                      </a:solidFill>
                    </a:ln>
                    <a:effectLst/>
                  </c:spPr>
                </c:marker>
                <c:xVal>
                  <c:numRef>
                    <c:extLst xmlns:c15="http://schemas.microsoft.com/office/drawing/2012/chart">
                      <c:ext xmlns:c15="http://schemas.microsoft.com/office/drawing/2012/chart" uri="{02D57815-91ED-43cb-92C2-25804820EDAC}">
                        <c15:formulaRef>
                          <c15:sqref>'LRC FF'!$AI$61:$AI$69</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'LRC FF'!$AI$39:$AI$47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37-05F6-4A32-AB4D-90977753917E}"/>
                  </c:ext>
                </c:extLst>
              </c15:ser>
            </c15:filteredScatterSeries>
            <c15:filteredScatterSeries>
              <c15:ser>
                <c:idx val="25"/>
                <c:order val="32"/>
                <c:tx>
                  <c:v>LRC FL430</c:v>
                </c:tx>
                <c:spPr>
                  <a:ln w="25400" cap="rnd">
                    <a:noFill/>
                    <a:round/>
                  </a:ln>
                  <a:effectLst/>
                </c:spPr>
                <c:marker>
                  <c:symbol val="diamond"/>
                  <c:size val="6"/>
                  <c:spPr>
                    <a:solidFill>
                      <a:schemeClr val="accent2">
                        <a:lumMod val="60000"/>
                        <a:lumOff val="40000"/>
                      </a:schemeClr>
                    </a:solidFill>
                    <a:ln w="9525">
                      <a:solidFill>
                        <a:schemeClr val="accent2">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FF'!$AL$61:$AL$66</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'LRC FF'!$AL$39:$AL$44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38-05F6-4A32-AB4D-90977753917E}"/>
                  </c:ext>
                </c:extLst>
              </c15:ser>
            </c15:filteredScatterSeries>
            <c15:filteredScatterSeries>
              <c15:ser>
                <c:idx val="34"/>
                <c:order val="34"/>
                <c:tx>
                  <c:v>Best-Fit</c:v>
                </c:tx>
                <c:spPr>
                  <a:ln w="25400" cap="rnd">
                    <a:solidFill>
                      <a:srgbClr val="FF0000"/>
                    </a:solidFill>
                    <a:round/>
                  </a:ln>
                  <a:effectLst/>
                </c:spPr>
                <c:marker>
                  <c:symbol val="none"/>
                </c:marker>
                <c:xVal>
                  <c:numRef>
                    <c:extLst xmlns:c15="http://schemas.microsoft.com/office/drawing/2012/chart">
                      <c:ext xmlns:c15="http://schemas.microsoft.com/office/drawing/2012/chart" uri="{02D57815-91ED-43cb-92C2-25804820EDAC}">
                        <c15:formulaRef>
                          <c15:sqref>'LRC Mach'!$BH$5:$BH$230</c15:sqref>
                        </c15:formulaRef>
                      </c:ext>
                    </c:extLst>
                    <c:numCache>
                      <c:formatCode>General</c:formatCode>
                      <c:ptCount val="226"/>
                    </c:numCache>
                  </c:numRef>
                </c:xVal>
                <c:yVal>
                  <c:numRef>
                    <c:extLst xmlns:c15="http://schemas.microsoft.com/office/drawing/2012/chart">
                      <c:ext xmlns:c15="http://schemas.microsoft.com/office/drawing/2012/chart" uri="{02D57815-91ED-43cb-92C2-25804820EDAC}">
                        <c15:formulaRef>
                          <c15:sqref>'LRC Mach'!$BL$5:$BL$230</c15:sqref>
                        </c15:formulaRef>
                      </c:ext>
                    </c:extLst>
                    <c:numCache>
                      <c:formatCode>General</c:formatCode>
                      <c:ptCount val="226"/>
                    </c:numCache>
                  </c:numRef>
                </c:yVal>
                <c:smooth val="0"/>
                <c:extLst xmlns:c15="http://schemas.microsoft.com/office/drawing/2012/chart">
                  <c:ext xmlns:c16="http://schemas.microsoft.com/office/drawing/2014/chart" uri="{C3380CC4-5D6E-409C-BE32-E72D297353CC}">
                    <c16:uniqueId val="{00000039-05F6-4A32-AB4D-90977753917E}"/>
                  </c:ext>
                </c:extLst>
              </c15:ser>
            </c15:filteredScatterSeries>
          </c:ext>
        </c:extLst>
      </c:scatterChart>
      <c:valAx>
        <c:axId val="39577049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1587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Weight / delta</a:t>
                </a:r>
              </a:p>
            </c:rich>
          </c:tx>
          <c:layout>
            <c:manualLayout>
              <c:xMode val="edge"/>
              <c:yMode val="edge"/>
              <c:x val="0.40936921435669482"/>
              <c:y val="0.96274522989125022"/>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801728"/>
        <c:crosses val="autoZero"/>
        <c:crossBetween val="midCat"/>
      </c:valAx>
      <c:valAx>
        <c:axId val="39580172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2 * (Fuel Flow - FF</a:t>
                </a:r>
                <a:r>
                  <a:rPr lang="en-US" sz="2000" b="1" baseline="-25000"/>
                  <a:t>offset</a:t>
                </a:r>
                <a:r>
                  <a:rPr lang="en-US" sz="2000" b="1"/>
                  <a:t>) / </a:t>
                </a:r>
                <a:r>
                  <a:rPr lang="en-US" sz="2000" b="1">
                    <a:latin typeface="Symbol" panose="05050102010706020507" pitchFamily="18" charset="2"/>
                  </a:rPr>
                  <a:t>Q</a:t>
                </a:r>
                <a:r>
                  <a:rPr lang="en-US" sz="2000" b="1" baseline="-25000"/>
                  <a:t>T</a:t>
                </a:r>
                <a:r>
                  <a:rPr lang="en-US" sz="2000" b="1" baseline="30000"/>
                  <a:t>X </a:t>
                </a:r>
                <a:r>
                  <a:rPr lang="en-US" sz="2000" b="1"/>
                  <a:t>  / Weight  (kg/hr/MT)</a:t>
                </a:r>
              </a:p>
            </c:rich>
          </c:tx>
          <c:layout>
            <c:manualLayout>
              <c:xMode val="edge"/>
              <c:yMode val="edge"/>
              <c:x val="2.0837031919734423E-2"/>
              <c:y val="0.24225582773490589"/>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770496"/>
        <c:crosses val="autoZero"/>
        <c:crossBetween val="midCat"/>
      </c:valAx>
      <c:spPr>
        <a:solidFill>
          <a:srgbClr val="FFFFCC"/>
        </a:solidFill>
        <a:ln>
          <a:noFill/>
        </a:ln>
        <a:effectLst/>
      </c:spPr>
    </c:plotArea>
    <c:legend>
      <c:legendPos val="r"/>
      <c:layout>
        <c:manualLayout>
          <c:xMode val="edge"/>
          <c:yMode val="edge"/>
          <c:x val="0.91199138601423702"/>
          <c:y val="0.10779452958189438"/>
          <c:w val="6.5114809431650433E-2"/>
          <c:h val="3.34976795423981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20182216200906641"/>
          <c:y val="2.6110187143615876E-2"/>
          <c:w val="0.62336063646842099"/>
          <c:h val="0.82334640321814079"/>
        </c:manualLayout>
      </c:layout>
      <c:scatterChart>
        <c:scatterStyle val="lineMarker"/>
        <c:varyColors val="0"/>
        <c:ser>
          <c:idx val="2"/>
          <c:order val="0"/>
          <c:tx>
            <c:v>LRC from Boeing FPPM</c:v>
          </c:tx>
          <c:spPr>
            <a:ln w="28575" cap="rnd">
              <a:noFill/>
              <a:round/>
            </a:ln>
            <a:effectLst/>
          </c:spPr>
          <c:marker>
            <c:symbol val="circle"/>
            <c:size val="5"/>
            <c:spPr>
              <a:solidFill>
                <a:srgbClr val="66FFFF"/>
              </a:solidFill>
              <a:ln w="12700">
                <a:solidFill>
                  <a:sysClr val="windowText" lastClr="000000"/>
                </a:solidFill>
              </a:ln>
              <a:effectLst/>
            </c:spPr>
          </c:marker>
          <c:trendline>
            <c:spPr>
              <a:ln w="19050" cap="rnd">
                <a:solidFill>
                  <a:sysClr val="windowText" lastClr="000000"/>
                </a:solidFill>
                <a:prstDash val="sysDash"/>
              </a:ln>
              <a:effectLst/>
            </c:spPr>
            <c:trendlineType val="poly"/>
            <c:order val="6"/>
            <c:dispRSqr val="1"/>
            <c:dispEq val="1"/>
            <c:trendlineLbl>
              <c:layout>
                <c:manualLayout>
                  <c:x val="3.5132611710305663E-2"/>
                  <c:y val="-0.11594164059815258"/>
                </c:manualLayout>
              </c:layout>
              <c:numFmt formatCode="0.000000E+00" sourceLinked="0"/>
              <c:spPr>
                <a:solidFill>
                  <a:srgbClr val="F79646">
                    <a:lumMod val="40000"/>
                    <a:lumOff val="60000"/>
                  </a:srgbClr>
                </a:solidFill>
                <a:ln w="12700">
                  <a:solidFill>
                    <a:sysClr val="windowText" lastClr="000000"/>
                  </a:solidFill>
                </a:ln>
                <a:effectLst/>
              </c:spPr>
              <c:txPr>
                <a:bodyPr rot="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trendlineLbl>
          </c:trendline>
          <c:xVal>
            <c:numRef>
              <c:f>'LRC FF'!$AQ$38:$AQ$212</c:f>
              <c:numCache>
                <c:formatCode>General</c:formatCode>
                <c:ptCount val="175"/>
              </c:numCache>
            </c:numRef>
          </c:xVal>
          <c:yVal>
            <c:numRef>
              <c:f>'LRC FF'!$AR$38:$AR$212</c:f>
              <c:numCache>
                <c:formatCode>General</c:formatCode>
                <c:ptCount val="175"/>
              </c:numCache>
            </c:numRef>
          </c:yVal>
          <c:smooth val="0"/>
          <c:extLst>
            <c:ext xmlns:c16="http://schemas.microsoft.com/office/drawing/2014/chart" uri="{C3380CC4-5D6E-409C-BE32-E72D297353CC}">
              <c16:uniqueId val="{00000001-A974-46B6-944C-2F1867AAE7BD}"/>
            </c:ext>
          </c:extLst>
        </c:ser>
        <c:dLbls>
          <c:showLegendKey val="0"/>
          <c:showVal val="0"/>
          <c:showCatName val="0"/>
          <c:showSerName val="0"/>
          <c:showPercent val="0"/>
          <c:showBubbleSize val="0"/>
        </c:dLbls>
        <c:axId val="395770496"/>
        <c:axId val="395801728"/>
        <c:extLst>
          <c:ext xmlns:c15="http://schemas.microsoft.com/office/drawing/2012/chart" uri="{02D57815-91ED-43cb-92C2-25804820EDAC}">
            <c15:filteredScatterSeries>
              <c15:ser>
                <c:idx val="3"/>
                <c:order val="1"/>
                <c:tx>
                  <c:v>LRC Best-Fit Polynomial</c:v>
                </c:tx>
                <c:spPr>
                  <a:ln w="28575" cap="rnd">
                    <a:solidFill>
                      <a:sysClr val="windowText" lastClr="000000"/>
                    </a:solidFill>
                    <a:round/>
                  </a:ln>
                  <a:effectLst/>
                </c:spPr>
                <c:marker>
                  <c:symbol val="none"/>
                </c:marker>
                <c:xVal>
                  <c:numRef>
                    <c:extLst>
                      <c:ext uri="{02D57815-91ED-43cb-92C2-25804820EDAC}">
                        <c15:formulaRef>
                          <c15:sqref>'LRC Mach'!$BH$5:$BH$230</c15:sqref>
                        </c15:formulaRef>
                      </c:ext>
                    </c:extLst>
                    <c:numCache>
                      <c:formatCode>General</c:formatCode>
                      <c:ptCount val="226"/>
                    </c:numCache>
                  </c:numRef>
                </c:xVal>
                <c:yVal>
                  <c:numRef>
                    <c:extLst>
                      <c:ext uri="{02D57815-91ED-43cb-92C2-25804820EDAC}">
                        <c15:formulaRef>
                          <c15:sqref>'LRC Mach'!$BQ$5:$BQ$230</c15:sqref>
                        </c15:formulaRef>
                      </c:ext>
                    </c:extLst>
                    <c:numCache>
                      <c:formatCode>General</c:formatCode>
                      <c:ptCount val="226"/>
                    </c:numCache>
                  </c:numRef>
                </c:yVal>
                <c:smooth val="0"/>
                <c:extLst>
                  <c:ext xmlns:c16="http://schemas.microsoft.com/office/drawing/2014/chart" uri="{C3380CC4-5D6E-409C-BE32-E72D297353CC}">
                    <c16:uniqueId val="{00000002-A974-46B6-944C-2F1867AAE7BD}"/>
                  </c:ext>
                </c:extLst>
              </c15:ser>
            </c15:filteredScatterSeries>
            <c15:filteredScatterSeries>
              <c15:ser>
                <c:idx val="0"/>
                <c:order val="2"/>
                <c:tx>
                  <c:v>LRC + 1%</c:v>
                </c:tx>
                <c:spPr>
                  <a:ln w="25400" cap="rnd">
                    <a:solidFill>
                      <a:srgbClr val="FF0000"/>
                    </a:solidFill>
                    <a:prstDash val="sysDash"/>
                    <a:round/>
                  </a:ln>
                  <a:effectLst/>
                </c:spPr>
                <c:marker>
                  <c:symbol val="none"/>
                </c:marker>
                <c:xVal>
                  <c:numRef>
                    <c:extLst xmlns:c15="http://schemas.microsoft.com/office/drawing/2012/chart">
                      <c:ext xmlns:c15="http://schemas.microsoft.com/office/drawing/2012/chart" uri="{02D57815-91ED-43cb-92C2-25804820EDAC}">
                        <c15:formulaRef>
                          <c15:sqref>'LRC Mach'!$BH$5:$BH$230</c15:sqref>
                        </c15:formulaRef>
                      </c:ext>
                    </c:extLst>
                    <c:numCache>
                      <c:formatCode>General</c:formatCode>
                      <c:ptCount val="226"/>
                    </c:numCache>
                  </c:numRef>
                </c:xVal>
                <c:yVal>
                  <c:numRef>
                    <c:extLst xmlns:c15="http://schemas.microsoft.com/office/drawing/2012/chart">
                      <c:ext xmlns:c15="http://schemas.microsoft.com/office/drawing/2012/chart" uri="{02D57815-91ED-43cb-92C2-25804820EDAC}">
                        <c15:formulaRef>
                          <c15:sqref>'LRC Mach'!$BR$5:$BR$230</c15:sqref>
                        </c15:formulaRef>
                      </c:ext>
                    </c:extLst>
                    <c:numCache>
                      <c:formatCode>General</c:formatCode>
                      <c:ptCount val="226"/>
                    </c:numCache>
                  </c:numRef>
                </c:yVal>
                <c:smooth val="0"/>
                <c:extLst xmlns:c15="http://schemas.microsoft.com/office/drawing/2012/chart">
                  <c:ext xmlns:c16="http://schemas.microsoft.com/office/drawing/2014/chart" uri="{C3380CC4-5D6E-409C-BE32-E72D297353CC}">
                    <c16:uniqueId val="{00000003-A974-46B6-944C-2F1867AAE7BD}"/>
                  </c:ext>
                </c:extLst>
              </c15:ser>
            </c15:filteredScatterSeries>
            <c15:filteredScatterSeries>
              <c15:ser>
                <c:idx val="1"/>
                <c:order val="3"/>
                <c:tx>
                  <c:v>LRC - 1%</c:v>
                </c:tx>
                <c:spPr>
                  <a:ln w="25400" cap="rnd">
                    <a:solidFill>
                      <a:srgbClr val="4F81BD"/>
                    </a:solidFill>
                    <a:prstDash val="sysDash"/>
                    <a:round/>
                  </a:ln>
                  <a:effectLst/>
                </c:spPr>
                <c:marker>
                  <c:symbol val="none"/>
                </c:marker>
                <c:xVal>
                  <c:numRef>
                    <c:extLst xmlns:c15="http://schemas.microsoft.com/office/drawing/2012/chart">
                      <c:ext xmlns:c15="http://schemas.microsoft.com/office/drawing/2012/chart" uri="{02D57815-91ED-43cb-92C2-25804820EDAC}">
                        <c15:formulaRef>
                          <c15:sqref>'LRC Mach'!$BH$5:$BH$230</c15:sqref>
                        </c15:formulaRef>
                      </c:ext>
                    </c:extLst>
                    <c:numCache>
                      <c:formatCode>General</c:formatCode>
                      <c:ptCount val="226"/>
                    </c:numCache>
                  </c:numRef>
                </c:xVal>
                <c:yVal>
                  <c:numRef>
                    <c:extLst xmlns:c15="http://schemas.microsoft.com/office/drawing/2012/chart">
                      <c:ext xmlns:c15="http://schemas.microsoft.com/office/drawing/2012/chart" uri="{02D57815-91ED-43cb-92C2-25804820EDAC}">
                        <c15:formulaRef>
                          <c15:sqref>'LRC Mach'!$BS$5:$BS$230</c15:sqref>
                        </c15:formulaRef>
                      </c:ext>
                    </c:extLst>
                    <c:numCache>
                      <c:formatCode>General</c:formatCode>
                      <c:ptCount val="226"/>
                    </c:numCache>
                  </c:numRef>
                </c:yVal>
                <c:smooth val="0"/>
                <c:extLst xmlns:c15="http://schemas.microsoft.com/office/drawing/2012/chart">
                  <c:ext xmlns:c16="http://schemas.microsoft.com/office/drawing/2014/chart" uri="{C3380CC4-5D6E-409C-BE32-E72D297353CC}">
                    <c16:uniqueId val="{00000004-A974-46B6-944C-2F1867AAE7BD}"/>
                  </c:ext>
                </c:extLst>
              </c15:ser>
            </c15:filteredScatterSeries>
            <c15:filteredScatterSeries>
              <c15:ser>
                <c:idx val="4"/>
                <c:order val="4"/>
                <c:tx>
                  <c:v>MH92</c:v>
                </c:tx>
                <c:spPr>
                  <a:ln w="25400" cap="rnd">
                    <a:no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#REF!</c15:sqref>
                        </c15:formulaRef>
                      </c:ext>
                    </c:extLst>
                  </c:numRef>
                </c:xVal>
                <c:yVal>
                  <c:numRef>
                    <c:extLst xmlns:c15="http://schemas.microsoft.com/office/drawing/2012/chart">
                      <c:ext xmlns:c15="http://schemas.microsoft.com/office/drawing/2012/chart" uri="{02D57815-91ED-43cb-92C2-25804820EDAC}">
                        <c15:formulaRef>
                          <c15:sqref>#REF!</c15:sqref>
                        </c15:formulaRef>
                      </c:ext>
                    </c:extLst>
                    <c:numCache>
                      <c:formatCode>General</c:formatCode>
                      <c:ptCount val="1"/>
                      <c:pt idx="0">
                        <c:v>1</c:v>
                      </c:pt>
                    </c:numCache>
                  </c:numRef>
                </c:yVal>
                <c:smooth val="0"/>
                <c:extLst xmlns:c15="http://schemas.microsoft.com/office/drawing/2012/chart">
                  <c:ext xmlns:c16="http://schemas.microsoft.com/office/drawing/2014/chart" uri="{C3380CC4-5D6E-409C-BE32-E72D297353CC}">
                    <c16:uniqueId val="{00000005-A974-46B6-944C-2F1867AAE7BD}"/>
                  </c:ext>
                </c:extLst>
              </c15:ser>
            </c15:filteredScatterSeries>
            <c15:filteredScatterSeries>
              <c15:ser>
                <c:idx val="5"/>
                <c:order val="5"/>
                <c:spPr>
                  <a:ln w="25400" cap="rnd">
                    <a:noFill/>
                    <a:round/>
                  </a:ln>
                  <a:effectLst/>
                </c:spPr>
                <c:marker>
                  <c:symbol val="circle"/>
                  <c:size val="5"/>
                  <c:spPr>
                    <a:solidFill>
                      <a:schemeClr val="accent6"/>
                    </a:solidFill>
                    <a:ln w="9525">
                      <a:solidFill>
                        <a:schemeClr val="accent6"/>
                      </a:solidFill>
                    </a:ln>
                    <a:effectLst/>
                  </c:spPr>
                </c:marker>
                <c:yVal>
                  <c:numLit>
                    <c:formatCode>General</c:formatCode>
                    <c:ptCount val="1"/>
                    <c:pt idx="0">
                      <c:v>1</c:v>
                    </c:pt>
                  </c:numLit>
                </c:yVal>
                <c:smooth val="0"/>
                <c:extLst xmlns:c15="http://schemas.microsoft.com/office/drawing/2012/chart">
                  <c:ext xmlns:c16="http://schemas.microsoft.com/office/drawing/2014/chart" uri="{C3380CC4-5D6E-409C-BE32-E72D297353CC}">
                    <c16:uniqueId val="{00000006-A974-46B6-944C-2F1867AAE7BD}"/>
                  </c:ext>
                </c:extLst>
              </c15:ser>
            </c15:filteredScatterSeries>
          </c:ext>
        </c:extLst>
      </c:scatterChart>
      <c:valAx>
        <c:axId val="395770496"/>
        <c:scaling>
          <c:orientation val="minMax"/>
          <c:max val="1300"/>
          <c:min val="500"/>
        </c:scaling>
        <c:delete val="0"/>
        <c:axPos val="b"/>
        <c:majorGridlines>
          <c:spPr>
            <a:ln w="12700" cap="flat" cmpd="sng" algn="ctr">
              <a:solidFill>
                <a:sysClr val="windowText" lastClr="000000"/>
              </a:solidFill>
              <a:round/>
            </a:ln>
            <a:effectLst/>
          </c:spPr>
        </c:majorGridlines>
        <c:minorGridlines>
          <c:spPr>
            <a:ln w="9525" cap="flat" cmpd="sng" algn="ctr">
              <a:solidFill>
                <a:srgbClr val="EEECE1">
                  <a:lumMod val="75000"/>
                </a:srgbClr>
              </a:solidFill>
              <a:round/>
            </a:ln>
            <a:effectLst/>
          </c:spPr>
        </c:minorGridlines>
        <c:title>
          <c:tx>
            <c:rich>
              <a:bodyPr rot="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r>
                  <a:rPr lang="en-US" sz="2400" b="1" i="0" u="none" strike="noStrike" baseline="0">
                    <a:effectLst/>
                  </a:rPr>
                  <a:t>W₀ </a:t>
                </a:r>
                <a:r>
                  <a:rPr lang="en-US" sz="2400" b="1">
                    <a:solidFill>
                      <a:sysClr val="windowText" lastClr="000000"/>
                    </a:solidFill>
                  </a:rPr>
                  <a:t>  = Weight / </a:t>
                </a:r>
                <a:r>
                  <a:rPr lang="en-US" sz="2400" b="1">
                    <a:solidFill>
                      <a:sysClr val="windowText" lastClr="000000"/>
                    </a:solidFill>
                    <a:latin typeface="Symbol" panose="05050102010706020507" pitchFamily="18" charset="2"/>
                  </a:rPr>
                  <a:t>d </a:t>
                </a:r>
                <a:r>
                  <a:rPr lang="en-US" sz="2400" b="1">
                    <a:solidFill>
                      <a:sysClr val="windowText" lastClr="000000"/>
                    </a:solidFill>
                    <a:latin typeface="+mn-lt"/>
                  </a:rPr>
                  <a:t>(tonne)</a:t>
                </a:r>
              </a:p>
            </c:rich>
          </c:tx>
          <c:layout>
            <c:manualLayout>
              <c:xMode val="edge"/>
              <c:yMode val="edge"/>
              <c:x val="0.38213345989194175"/>
              <c:y val="0.92512423079861827"/>
            </c:manualLayout>
          </c:layout>
          <c:overlay val="0"/>
          <c:spPr>
            <a:noFill/>
            <a:ln>
              <a:noFill/>
            </a:ln>
            <a:effectLst/>
          </c:spPr>
          <c:txPr>
            <a:bodyPr rot="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endParaRPr lang="en-US"/>
          </a:p>
        </c:txPr>
        <c:crossAx val="395801728"/>
        <c:crosses val="autoZero"/>
        <c:crossBetween val="midCat"/>
        <c:majorUnit val="100"/>
        <c:minorUnit val="50"/>
      </c:valAx>
      <c:valAx>
        <c:axId val="395801728"/>
        <c:scaling>
          <c:orientation val="minMax"/>
          <c:max val="32"/>
          <c:min val="10"/>
        </c:scaling>
        <c:delete val="0"/>
        <c:axPos val="l"/>
        <c:majorGridlines>
          <c:spPr>
            <a:ln w="12700" cap="flat" cmpd="sng" algn="ctr">
              <a:solidFill>
                <a:sysClr val="windowText" lastClr="000000"/>
              </a:solidFill>
              <a:round/>
            </a:ln>
            <a:effectLst/>
          </c:spPr>
        </c:majorGridlines>
        <c:minorGridlines>
          <c:spPr>
            <a:ln w="9525" cap="flat" cmpd="sng" algn="ctr">
              <a:solidFill>
                <a:srgbClr val="EEECE1">
                  <a:lumMod val="75000"/>
                </a:srgbClr>
              </a:solidFill>
              <a:round/>
            </a:ln>
            <a:effectLst/>
          </c:spPr>
        </c:minorGridlines>
        <c:title>
          <c:tx>
            <c:rich>
              <a:bodyPr rot="0" spcFirstLastPara="1" vertOverflow="ellipsis" wrap="square" anchor="ctr" anchorCtr="1"/>
              <a:lstStyle/>
              <a:p>
                <a:pPr>
                  <a:defRPr sz="2400" b="1" i="0" u="none" strike="noStrike" kern="1200" baseline="0">
                    <a:solidFill>
                      <a:sysClr val="windowText" lastClr="000000"/>
                    </a:solidFill>
                    <a:latin typeface="+mn-lt"/>
                    <a:ea typeface="+mn-ea"/>
                    <a:cs typeface="+mn-cs"/>
                  </a:defRPr>
                </a:pPr>
                <a:r>
                  <a:rPr lang="en-US" sz="2400" b="1" i="0">
                    <a:solidFill>
                      <a:sysClr val="windowText" lastClr="000000"/>
                    </a:solidFill>
                  </a:rPr>
                  <a:t>f</a:t>
                </a:r>
                <a:r>
                  <a:rPr lang="en-US" sz="2400" b="1" i="0" baseline="-25000">
                    <a:solidFill>
                      <a:sysClr val="windowText" lastClr="000000"/>
                    </a:solidFill>
                  </a:rPr>
                  <a:t>4</a:t>
                </a:r>
                <a:r>
                  <a:rPr lang="en-US" sz="2400" b="1" i="0">
                    <a:solidFill>
                      <a:sysClr val="windowText" lastClr="000000"/>
                    </a:solidFill>
                  </a:rPr>
                  <a:t>(W</a:t>
                </a:r>
                <a:r>
                  <a:rPr lang="en-US" sz="2400" b="1" i="0" baseline="-25000">
                    <a:solidFill>
                      <a:sysClr val="windowText" lastClr="000000"/>
                    </a:solidFill>
                  </a:rPr>
                  <a:t>0</a:t>
                </a:r>
                <a:r>
                  <a:rPr lang="en-US" sz="2400" b="1" i="0">
                    <a:solidFill>
                      <a:sysClr val="windowText" lastClr="000000"/>
                    </a:solidFill>
                  </a:rPr>
                  <a:t>) = CFF</a:t>
                </a:r>
                <a:r>
                  <a:rPr lang="en-US" sz="2400" b="1" i="0" baseline="-25000">
                    <a:solidFill>
                      <a:sysClr val="windowText" lastClr="000000"/>
                    </a:solidFill>
                  </a:rPr>
                  <a:t>TOTAL</a:t>
                </a:r>
                <a:endParaRPr lang="en-US" sz="2400" b="1" i="0" baseline="0">
                  <a:solidFill>
                    <a:sysClr val="windowText" lastClr="000000"/>
                  </a:solidFill>
                </a:endParaRPr>
              </a:p>
              <a:p>
                <a:pPr>
                  <a:defRPr sz="2400" b="1">
                    <a:solidFill>
                      <a:sysClr val="windowText" lastClr="000000"/>
                    </a:solidFill>
                  </a:defRPr>
                </a:pPr>
                <a:r>
                  <a:rPr lang="en-US" sz="2400" b="1" i="0" baseline="0">
                    <a:solidFill>
                      <a:sysClr val="windowText" lastClr="000000"/>
                    </a:solidFill>
                  </a:rPr>
                  <a:t>(LRC at ISA)  </a:t>
                </a:r>
                <a:r>
                  <a:rPr lang="en-US" sz="2400" b="1" baseline="0">
                    <a:solidFill>
                      <a:sysClr val="windowText" lastClr="000000"/>
                    </a:solidFill>
                  </a:rPr>
                  <a:t> (tonne/hr/2 engines)</a:t>
                </a:r>
              </a:p>
            </c:rich>
          </c:tx>
          <c:layout>
            <c:manualLayout>
              <c:xMode val="edge"/>
              <c:yMode val="edge"/>
              <c:x val="2.6556105605436437E-4"/>
              <c:y val="0.39501234440242777"/>
            </c:manualLayout>
          </c:layout>
          <c:overlay val="0"/>
          <c:spPr>
            <a:noFill/>
            <a:ln>
              <a:noFill/>
            </a:ln>
            <a:effectLst/>
          </c:spPr>
          <c:txPr>
            <a:bodyPr rot="0" spcFirstLastPara="1" vertOverflow="ellipsis" wrap="square" anchor="ctr" anchorCtr="1"/>
            <a:lstStyle/>
            <a:p>
              <a:pPr>
                <a:defRPr sz="2400" b="1" i="0" u="none" strike="noStrike" kern="1200" baseline="0">
                  <a:solidFill>
                    <a:sysClr val="windowText" lastClr="000000"/>
                  </a:solidFill>
                  <a:latin typeface="+mn-lt"/>
                  <a:ea typeface="+mn-ea"/>
                  <a:cs typeface="+mn-cs"/>
                </a:defRPr>
              </a:pPr>
              <a:endParaRPr lang="en-US"/>
            </a:p>
          </c:txPr>
        </c:title>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endParaRPr lang="en-US"/>
          </a:p>
        </c:txPr>
        <c:crossAx val="395770496"/>
        <c:crosses val="autoZero"/>
        <c:crossBetween val="midCat"/>
      </c:valAx>
      <c:spPr>
        <a:solidFill>
          <a:srgbClr val="FFFFCC"/>
        </a:solidFill>
        <a:ln w="19050">
          <a:solidFill>
            <a:sysClr val="windowText" lastClr="000000"/>
          </a:solidFill>
        </a:ln>
        <a:effectLst/>
      </c:spPr>
    </c:plotArea>
    <c:legend>
      <c:legendPos val="r"/>
      <c:layout>
        <c:manualLayout>
          <c:xMode val="edge"/>
          <c:yMode val="edge"/>
          <c:x val="0.84124073428488755"/>
          <c:y val="0.28105037698364665"/>
          <c:w val="0.1358763584985048"/>
          <c:h val="0.33015405664283526"/>
        </c:manualLayout>
      </c:layout>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solidFill>
      <a:schemeClr val="bg2">
        <a:lumMod val="90000"/>
      </a:schemeClr>
    </a:solidFill>
    <a:ln w="19050" cap="flat" cmpd="sng" algn="ctr">
      <a:solidFill>
        <a:sysClr val="windowText" lastClr="000000"/>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MH370 Configuration - M0.84</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049216479762443"/>
          <c:y val="7.5849384198768882E-2"/>
          <c:w val="0.77856440607117072"/>
          <c:h val="0.79302160110462649"/>
        </c:manualLayout>
      </c:layout>
      <c:scatterChart>
        <c:scatterStyle val="lineMarker"/>
        <c:varyColors val="0"/>
        <c:ser>
          <c:idx val="0"/>
          <c:order val="0"/>
          <c:tx>
            <c:v>M0.84 FL300</c:v>
          </c:tx>
          <c:spPr>
            <a:ln w="28575" cap="rnd">
              <a:noFill/>
              <a:round/>
            </a:ln>
            <a:effectLst/>
          </c:spPr>
          <c:marker>
            <c:symbol val="circle"/>
            <c:size val="5"/>
            <c:spPr>
              <a:solidFill>
                <a:schemeClr val="accent1"/>
              </a:solidFill>
              <a:ln w="9525">
                <a:solidFill>
                  <a:schemeClr val="accent1"/>
                </a:solidFill>
              </a:ln>
              <a:effectLst/>
            </c:spPr>
          </c:marker>
          <c:xVal>
            <c:numRef>
              <c:f>'M0.84 FF'!$D$62:$D$78</c:f>
              <c:numCache>
                <c:formatCode>General</c:formatCode>
                <c:ptCount val="17"/>
              </c:numCache>
            </c:numRef>
          </c:xVal>
          <c:yVal>
            <c:numRef>
              <c:f>'M0.84 FF'!$D$39:$D$55</c:f>
              <c:numCache>
                <c:formatCode>General</c:formatCode>
                <c:ptCount val="17"/>
              </c:numCache>
            </c:numRef>
          </c:yVal>
          <c:smooth val="0"/>
          <c:extLst>
            <c:ext xmlns:c16="http://schemas.microsoft.com/office/drawing/2014/chart" uri="{C3380CC4-5D6E-409C-BE32-E72D297353CC}">
              <c16:uniqueId val="{00000000-4876-4D42-98AF-9FF324E0E4EF}"/>
            </c:ext>
          </c:extLst>
        </c:ser>
        <c:ser>
          <c:idx val="1"/>
          <c:order val="1"/>
          <c:tx>
            <c:v>M0.84 FL310</c:v>
          </c:tx>
          <c:spPr>
            <a:ln w="28575" cap="rnd">
              <a:noFill/>
              <a:round/>
            </a:ln>
            <a:effectLst/>
          </c:spPr>
          <c:marker>
            <c:symbol val="circle"/>
            <c:size val="5"/>
            <c:spPr>
              <a:solidFill>
                <a:schemeClr val="accent2"/>
              </a:solidFill>
              <a:ln w="9525">
                <a:solidFill>
                  <a:schemeClr val="accent2"/>
                </a:solidFill>
              </a:ln>
              <a:effectLst/>
            </c:spPr>
          </c:marker>
          <c:xVal>
            <c:numRef>
              <c:f>'M0.84 FF'!$E$62:$E$78</c:f>
              <c:numCache>
                <c:formatCode>General</c:formatCode>
                <c:ptCount val="17"/>
              </c:numCache>
            </c:numRef>
          </c:xVal>
          <c:yVal>
            <c:numRef>
              <c:f>'M0.84 FF'!$E$39:$E$55</c:f>
              <c:numCache>
                <c:formatCode>General</c:formatCode>
                <c:ptCount val="17"/>
              </c:numCache>
            </c:numRef>
          </c:yVal>
          <c:smooth val="0"/>
          <c:extLst>
            <c:ext xmlns:c16="http://schemas.microsoft.com/office/drawing/2014/chart" uri="{C3380CC4-5D6E-409C-BE32-E72D297353CC}">
              <c16:uniqueId val="{00000001-4876-4D42-98AF-9FF324E0E4EF}"/>
            </c:ext>
          </c:extLst>
        </c:ser>
        <c:ser>
          <c:idx val="2"/>
          <c:order val="2"/>
          <c:tx>
            <c:v>M0.84 FL320</c:v>
          </c:tx>
          <c:spPr>
            <a:ln w="28575" cap="rnd">
              <a:noFill/>
              <a:round/>
            </a:ln>
            <a:effectLst/>
          </c:spPr>
          <c:marker>
            <c:symbol val="circle"/>
            <c:size val="5"/>
            <c:spPr>
              <a:solidFill>
                <a:schemeClr val="accent3"/>
              </a:solidFill>
              <a:ln w="9525">
                <a:solidFill>
                  <a:schemeClr val="accent3"/>
                </a:solidFill>
              </a:ln>
              <a:effectLst/>
            </c:spPr>
          </c:marker>
          <c:xVal>
            <c:numRef>
              <c:f>'M0.84 FF'!$F$62:$F$78</c:f>
              <c:numCache>
                <c:formatCode>General</c:formatCode>
                <c:ptCount val="17"/>
              </c:numCache>
            </c:numRef>
          </c:xVal>
          <c:yVal>
            <c:numRef>
              <c:f>'M0.84 FF'!$F$39:$F$55</c:f>
              <c:numCache>
                <c:formatCode>General</c:formatCode>
                <c:ptCount val="17"/>
              </c:numCache>
            </c:numRef>
          </c:yVal>
          <c:smooth val="0"/>
          <c:extLst>
            <c:ext xmlns:c16="http://schemas.microsoft.com/office/drawing/2014/chart" uri="{C3380CC4-5D6E-409C-BE32-E72D297353CC}">
              <c16:uniqueId val="{00000002-4876-4D42-98AF-9FF324E0E4EF}"/>
            </c:ext>
          </c:extLst>
        </c:ser>
        <c:ser>
          <c:idx val="3"/>
          <c:order val="3"/>
          <c:tx>
            <c:v>M0.84 FL330</c:v>
          </c:tx>
          <c:spPr>
            <a:ln w="28575" cap="rnd">
              <a:noFill/>
              <a:round/>
            </a:ln>
            <a:effectLst/>
          </c:spPr>
          <c:marker>
            <c:symbol val="circle"/>
            <c:size val="5"/>
            <c:spPr>
              <a:solidFill>
                <a:schemeClr val="accent4"/>
              </a:solidFill>
              <a:ln w="9525">
                <a:solidFill>
                  <a:schemeClr val="accent4"/>
                </a:solidFill>
              </a:ln>
              <a:effectLst/>
            </c:spPr>
          </c:marker>
          <c:xVal>
            <c:numRef>
              <c:f>'M0.84 FF'!$G$62:$G$78</c:f>
              <c:numCache>
                <c:formatCode>General</c:formatCode>
                <c:ptCount val="17"/>
              </c:numCache>
            </c:numRef>
          </c:xVal>
          <c:yVal>
            <c:numRef>
              <c:f>'M0.84 FF'!$G$39:$G$55</c:f>
              <c:numCache>
                <c:formatCode>General</c:formatCode>
                <c:ptCount val="17"/>
              </c:numCache>
            </c:numRef>
          </c:yVal>
          <c:smooth val="0"/>
          <c:extLst>
            <c:ext xmlns:c16="http://schemas.microsoft.com/office/drawing/2014/chart" uri="{C3380CC4-5D6E-409C-BE32-E72D297353CC}">
              <c16:uniqueId val="{00000003-4876-4D42-98AF-9FF324E0E4EF}"/>
            </c:ext>
          </c:extLst>
        </c:ser>
        <c:ser>
          <c:idx val="4"/>
          <c:order val="4"/>
          <c:tx>
            <c:v>M0.84 FL340</c:v>
          </c:tx>
          <c:spPr>
            <a:ln w="28575" cap="rnd">
              <a:noFill/>
              <a:round/>
            </a:ln>
            <a:effectLst/>
          </c:spPr>
          <c:marker>
            <c:symbol val="circle"/>
            <c:size val="5"/>
            <c:spPr>
              <a:solidFill>
                <a:schemeClr val="accent5"/>
              </a:solidFill>
              <a:ln w="9525">
                <a:solidFill>
                  <a:schemeClr val="accent5"/>
                </a:solidFill>
              </a:ln>
              <a:effectLst/>
            </c:spPr>
          </c:marker>
          <c:xVal>
            <c:numRef>
              <c:f>'M0.84 FF'!$H$62:$H$77</c:f>
              <c:numCache>
                <c:formatCode>General</c:formatCode>
                <c:ptCount val="16"/>
              </c:numCache>
            </c:numRef>
          </c:xVal>
          <c:yVal>
            <c:numRef>
              <c:f>'M0.84 FF'!$H$39:$H$54</c:f>
              <c:numCache>
                <c:formatCode>General</c:formatCode>
                <c:ptCount val="16"/>
              </c:numCache>
            </c:numRef>
          </c:yVal>
          <c:smooth val="0"/>
          <c:extLst>
            <c:ext xmlns:c16="http://schemas.microsoft.com/office/drawing/2014/chart" uri="{C3380CC4-5D6E-409C-BE32-E72D297353CC}">
              <c16:uniqueId val="{00000004-4876-4D42-98AF-9FF324E0E4EF}"/>
            </c:ext>
          </c:extLst>
        </c:ser>
        <c:ser>
          <c:idx val="5"/>
          <c:order val="5"/>
          <c:tx>
            <c:v>M0.84 FL350</c:v>
          </c:tx>
          <c:spPr>
            <a:ln w="28575" cap="rnd">
              <a:noFill/>
              <a:round/>
            </a:ln>
            <a:effectLst/>
          </c:spPr>
          <c:marker>
            <c:symbol val="circle"/>
            <c:size val="5"/>
            <c:spPr>
              <a:solidFill>
                <a:schemeClr val="accent6"/>
              </a:solidFill>
              <a:ln w="9525">
                <a:solidFill>
                  <a:schemeClr val="accent6"/>
                </a:solidFill>
              </a:ln>
              <a:effectLst/>
            </c:spPr>
          </c:marker>
          <c:xVal>
            <c:numRef>
              <c:f>'M0.84 FF'!$I$62:$I$76</c:f>
              <c:numCache>
                <c:formatCode>General</c:formatCode>
                <c:ptCount val="15"/>
              </c:numCache>
            </c:numRef>
          </c:xVal>
          <c:yVal>
            <c:numRef>
              <c:f>'M0.84 FF'!$I$39:$I$53</c:f>
              <c:numCache>
                <c:formatCode>General</c:formatCode>
                <c:ptCount val="15"/>
              </c:numCache>
            </c:numRef>
          </c:yVal>
          <c:smooth val="0"/>
          <c:extLst>
            <c:ext xmlns:c16="http://schemas.microsoft.com/office/drawing/2014/chart" uri="{C3380CC4-5D6E-409C-BE32-E72D297353CC}">
              <c16:uniqueId val="{00000005-4876-4D42-98AF-9FF324E0E4EF}"/>
            </c:ext>
          </c:extLst>
        </c:ser>
        <c:ser>
          <c:idx val="6"/>
          <c:order val="6"/>
          <c:tx>
            <c:v>M0.84 FL360</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'M0.84 FF'!$J$62:$J$75</c:f>
              <c:numCache>
                <c:formatCode>General</c:formatCode>
                <c:ptCount val="14"/>
              </c:numCache>
            </c:numRef>
          </c:xVal>
          <c:yVal>
            <c:numRef>
              <c:f>'M0.84 FF'!$J$39:$J$52</c:f>
              <c:numCache>
                <c:formatCode>General</c:formatCode>
                <c:ptCount val="14"/>
              </c:numCache>
            </c:numRef>
          </c:yVal>
          <c:smooth val="0"/>
          <c:extLst>
            <c:ext xmlns:c16="http://schemas.microsoft.com/office/drawing/2014/chart" uri="{C3380CC4-5D6E-409C-BE32-E72D297353CC}">
              <c16:uniqueId val="{00000006-4876-4D42-98AF-9FF324E0E4EF}"/>
            </c:ext>
          </c:extLst>
        </c:ser>
        <c:ser>
          <c:idx val="7"/>
          <c:order val="7"/>
          <c:tx>
            <c:v>M0.84 FL370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'M0.84 FF'!$K$62:$K$74</c:f>
              <c:numCache>
                <c:formatCode>General</c:formatCode>
                <c:ptCount val="13"/>
              </c:numCache>
            </c:numRef>
          </c:xVal>
          <c:yVal>
            <c:numRef>
              <c:f>'M0.84 FF'!$K$39:$K$51</c:f>
              <c:numCache>
                <c:formatCode>General</c:formatCode>
                <c:ptCount val="13"/>
              </c:numCache>
            </c:numRef>
          </c:yVal>
          <c:smooth val="0"/>
          <c:extLst>
            <c:ext xmlns:c16="http://schemas.microsoft.com/office/drawing/2014/chart" uri="{C3380CC4-5D6E-409C-BE32-E72D297353CC}">
              <c16:uniqueId val="{00000007-4876-4D42-98AF-9FF324E0E4EF}"/>
            </c:ext>
          </c:extLst>
        </c:ser>
        <c:ser>
          <c:idx val="8"/>
          <c:order val="8"/>
          <c:tx>
            <c:v>M0.84 FL380</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trendline>
            <c:spPr>
              <a:ln w="31750" cap="rnd">
                <a:solidFill>
                  <a:sysClr val="windowText" lastClr="000000"/>
                </a:solidFill>
                <a:prstDash val="solid"/>
              </a:ln>
              <a:effectLst/>
            </c:spPr>
            <c:trendlineType val="poly"/>
            <c:order val="3"/>
            <c:dispRSqr val="0"/>
            <c:dispEq val="0"/>
          </c:trendline>
          <c:xVal>
            <c:numRef>
              <c:f>'M0.84 FF'!$L$62:$L$72</c:f>
              <c:numCache>
                <c:formatCode>General</c:formatCode>
                <c:ptCount val="11"/>
              </c:numCache>
            </c:numRef>
          </c:xVal>
          <c:yVal>
            <c:numRef>
              <c:f>'M0.84 FF'!$L$39:$L$49</c:f>
              <c:numCache>
                <c:formatCode>General</c:formatCode>
                <c:ptCount val="11"/>
              </c:numCache>
            </c:numRef>
          </c:yVal>
          <c:smooth val="0"/>
          <c:extLst>
            <c:ext xmlns:c16="http://schemas.microsoft.com/office/drawing/2014/chart" uri="{C3380CC4-5D6E-409C-BE32-E72D297353CC}">
              <c16:uniqueId val="{00000008-4876-4D42-98AF-9FF324E0E4EF}"/>
            </c:ext>
          </c:extLst>
        </c:ser>
        <c:ser>
          <c:idx val="9"/>
          <c:order val="9"/>
          <c:tx>
            <c:v>M0.84 FL390</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'M0.84 FF'!$M$62:$M$71</c:f>
              <c:numCache>
                <c:formatCode>General</c:formatCode>
                <c:ptCount val="10"/>
              </c:numCache>
            </c:numRef>
          </c:xVal>
          <c:yVal>
            <c:numRef>
              <c:f>'M0.84 FF'!$M$39:$M$48</c:f>
              <c:numCache>
                <c:formatCode>General</c:formatCode>
                <c:ptCount val="10"/>
              </c:numCache>
            </c:numRef>
          </c:yVal>
          <c:smooth val="0"/>
          <c:extLst>
            <c:ext xmlns:c16="http://schemas.microsoft.com/office/drawing/2014/chart" uri="{C3380CC4-5D6E-409C-BE32-E72D297353CC}">
              <c16:uniqueId val="{00000009-4876-4D42-98AF-9FF324E0E4EF}"/>
            </c:ext>
          </c:extLst>
        </c:ser>
        <c:ser>
          <c:idx val="10"/>
          <c:order val="10"/>
          <c:tx>
            <c:v>M0.84 FL400</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f>'M0.84 FF'!$N$62:$N$70</c:f>
              <c:numCache>
                <c:formatCode>General</c:formatCode>
                <c:ptCount val="9"/>
              </c:numCache>
            </c:numRef>
          </c:xVal>
          <c:yVal>
            <c:numRef>
              <c:f>'M0.84 FF'!$N$39:$N$47</c:f>
              <c:numCache>
                <c:formatCode>General</c:formatCode>
                <c:ptCount val="9"/>
              </c:numCache>
            </c:numRef>
          </c:yVal>
          <c:smooth val="0"/>
          <c:extLst>
            <c:ext xmlns:c16="http://schemas.microsoft.com/office/drawing/2014/chart" uri="{C3380CC4-5D6E-409C-BE32-E72D297353CC}">
              <c16:uniqueId val="{0000000A-4876-4D42-98AF-9FF324E0E4EF}"/>
            </c:ext>
          </c:extLst>
        </c:ser>
        <c:ser>
          <c:idx val="11"/>
          <c:order val="11"/>
          <c:tx>
            <c:v>M0.84 FL410</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f>'M0.84 FF'!$O$62:$O$69</c:f>
              <c:numCache>
                <c:formatCode>General</c:formatCode>
                <c:ptCount val="8"/>
              </c:numCache>
            </c:numRef>
          </c:xVal>
          <c:yVal>
            <c:numRef>
              <c:f>'M0.84 FF'!$O$39:$O$46</c:f>
              <c:numCache>
                <c:formatCode>General</c:formatCode>
                <c:ptCount val="8"/>
              </c:numCache>
            </c:numRef>
          </c:yVal>
          <c:smooth val="0"/>
          <c:extLst>
            <c:ext xmlns:c16="http://schemas.microsoft.com/office/drawing/2014/chart" uri="{C3380CC4-5D6E-409C-BE32-E72D297353CC}">
              <c16:uniqueId val="{0000000B-4876-4D42-98AF-9FF324E0E4EF}"/>
            </c:ext>
          </c:extLst>
        </c:ser>
        <c:ser>
          <c:idx val="12"/>
          <c:order val="12"/>
          <c:tx>
            <c:v>M0.84 FL420</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'M0.84 FF'!$P$62:$P$68</c:f>
              <c:numCache>
                <c:formatCode>General</c:formatCode>
                <c:ptCount val="7"/>
              </c:numCache>
            </c:numRef>
          </c:xVal>
          <c:yVal>
            <c:numRef>
              <c:f>'M0.84 FF'!$P$39:$P$45</c:f>
              <c:numCache>
                <c:formatCode>General</c:formatCode>
                <c:ptCount val="7"/>
              </c:numCache>
            </c:numRef>
          </c:yVal>
          <c:smooth val="0"/>
          <c:extLst>
            <c:ext xmlns:c16="http://schemas.microsoft.com/office/drawing/2014/chart" uri="{C3380CC4-5D6E-409C-BE32-E72D297353CC}">
              <c16:uniqueId val="{0000000C-4876-4D42-98AF-9FF324E0E4EF}"/>
            </c:ext>
          </c:extLst>
        </c:ser>
        <c:ser>
          <c:idx val="13"/>
          <c:order val="13"/>
          <c:tx>
            <c:v>M0.84 FL430</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'M0.84 FF'!$Q$62:$Q$67</c:f>
              <c:numCache>
                <c:formatCode>General</c:formatCode>
                <c:ptCount val="6"/>
              </c:numCache>
            </c:numRef>
          </c:xVal>
          <c:yVal>
            <c:numRef>
              <c:f>'M0.84 FF'!$Q$39:$Q$44</c:f>
              <c:numCache>
                <c:formatCode>General</c:formatCode>
                <c:ptCount val="6"/>
              </c:numCache>
            </c:numRef>
          </c:yVal>
          <c:smooth val="0"/>
          <c:extLst>
            <c:ext xmlns:c16="http://schemas.microsoft.com/office/drawing/2014/chart" uri="{C3380CC4-5D6E-409C-BE32-E72D297353CC}">
              <c16:uniqueId val="{0000000D-4876-4D42-98AF-9FF324E0E4EF}"/>
            </c:ext>
          </c:extLst>
        </c:ser>
        <c:dLbls>
          <c:showLegendKey val="0"/>
          <c:showVal val="0"/>
          <c:showCatName val="0"/>
          <c:showSerName val="0"/>
          <c:showPercent val="0"/>
          <c:showBubbleSize val="0"/>
        </c:dLbls>
        <c:axId val="192048512"/>
        <c:axId val="192051072"/>
      </c:scatterChart>
      <c:valAx>
        <c:axId val="192048512"/>
        <c:scaling>
          <c:orientation val="minMax"/>
        </c:scaling>
        <c:delete val="0"/>
        <c:axPos val="b"/>
        <c:majorGridlines>
          <c:spPr>
            <a:ln w="9525" cap="flat" cmpd="sng" algn="ctr">
              <a:solidFill>
                <a:schemeClr val="tx1">
                  <a:lumMod val="15000"/>
                  <a:lumOff val="85000"/>
                </a:schemeClr>
              </a:solidFill>
              <a:round/>
            </a:ln>
            <a:effectLst/>
          </c:spPr>
        </c:majorGridlines>
        <c:minorGridlines>
          <c:spPr>
            <a:ln w="1587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Weight / delta</a:t>
                </a:r>
              </a:p>
            </c:rich>
          </c:tx>
          <c:layout>
            <c:manualLayout>
              <c:xMode val="edge"/>
              <c:yMode val="edge"/>
              <c:x val="0.46035114356521034"/>
              <c:y val="0.94091878587072131"/>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92051072"/>
        <c:crosses val="autoZero"/>
        <c:crossBetween val="midCat"/>
        <c:minorUnit val="100"/>
      </c:valAx>
      <c:valAx>
        <c:axId val="192051072"/>
        <c:scaling>
          <c:orientation val="minMax"/>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US" sz="1600" b="1"/>
                  <a:t>2 * (Fuel Flow - FF_offset) / (theta^0.68)  / Weight  (kg/hr/MT)</a:t>
                </a:r>
              </a:p>
            </c:rich>
          </c:tx>
          <c:layout>
            <c:manualLayout>
              <c:xMode val="edge"/>
              <c:yMode val="edge"/>
              <c:x val="2.0837064980855309E-2"/>
              <c:y val="0.11515506000729542"/>
            </c:manualLayout>
          </c:layout>
          <c:overlay val="0"/>
          <c:spPr>
            <a:noFill/>
            <a:ln>
              <a:noFill/>
            </a:ln>
            <a:effectLst/>
          </c:spPr>
          <c:txPr>
            <a:bodyPr rot="-54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92048512"/>
        <c:crosses val="autoZero"/>
        <c:crossBetween val="midCat"/>
      </c:valAx>
      <c:spPr>
        <a:solidFill>
          <a:srgbClr val="FFFFCC"/>
        </a:solidFill>
        <a:ln>
          <a:noFill/>
        </a:ln>
        <a:effectLst/>
      </c:spPr>
    </c:plotArea>
    <c:legend>
      <c:legendPos val="r"/>
      <c:layout>
        <c:manualLayout>
          <c:xMode val="edge"/>
          <c:yMode val="edge"/>
          <c:x val="0.88842201983254299"/>
          <c:y val="0.31114993209547259"/>
          <c:w val="0.10415319991464424"/>
          <c:h val="0.4346927084706660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US" sz="1800" b="1"/>
              <a:t>MH370 Configuration</a:t>
            </a:r>
          </a:p>
        </c:rich>
      </c:tx>
      <c:layout>
        <c:manualLayout>
          <c:xMode val="edge"/>
          <c:yMode val="edge"/>
          <c:x val="0.3367228462047388"/>
          <c:y val="1.3543524013463789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286679340110475"/>
          <c:y val="5.9180442068498894E-2"/>
          <c:w val="0.77918180428439465"/>
          <c:h val="0.86386461463547171"/>
        </c:manualLayout>
      </c:layout>
      <c:scatterChart>
        <c:scatterStyle val="lineMarker"/>
        <c:varyColors val="0"/>
        <c:ser>
          <c:idx val="33"/>
          <c:order val="33"/>
          <c:tx>
            <c:v>LRC</c:v>
          </c:tx>
          <c:spPr>
            <a:ln w="25400" cap="rnd">
              <a:noFill/>
              <a:round/>
            </a:ln>
            <a:effectLst/>
          </c:spPr>
          <c:marker>
            <c:symbol val="circle"/>
            <c:size val="8"/>
            <c:spPr>
              <a:solidFill>
                <a:schemeClr val="accent4">
                  <a:lumMod val="50000"/>
                </a:schemeClr>
              </a:solidFill>
              <a:ln w="9525">
                <a:solidFill>
                  <a:schemeClr val="accent4">
                    <a:lumMod val="50000"/>
                  </a:schemeClr>
                </a:solidFill>
              </a:ln>
              <a:effectLst/>
            </c:spPr>
          </c:marker>
          <c:trendline>
            <c:spPr>
              <a:ln w="34925" cap="rnd">
                <a:solidFill>
                  <a:srgbClr val="FF0000"/>
                </a:solidFill>
                <a:prstDash val="solid"/>
              </a:ln>
              <a:effectLst/>
            </c:spPr>
            <c:trendlineType val="poly"/>
            <c:order val="6"/>
            <c:dispRSqr val="1"/>
            <c:dispEq val="1"/>
            <c:trendlineLbl>
              <c:layout>
                <c:manualLayout>
                  <c:x val="-1.0818388976772886E-2"/>
                  <c:y val="6.4349541467538717E-3"/>
                </c:manualLayout>
              </c:layout>
              <c:numFmt formatCode="0.000000E+00" sourceLinked="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trendlineLbl>
          </c:trendline>
          <c:xVal>
            <c:numRef>
              <c:f>'LRC FF'!$AQ$38:$AQ$495</c:f>
              <c:numCache>
                <c:formatCode>General</c:formatCode>
                <c:ptCount val="458"/>
              </c:numCache>
            </c:numRef>
          </c:xVal>
          <c:yVal>
            <c:numRef>
              <c:f>'LRC FF'!$AR$38:$AR$495</c:f>
              <c:numCache>
                <c:formatCode>General</c:formatCode>
                <c:ptCount val="458"/>
              </c:numCache>
            </c:numRef>
          </c:yVal>
          <c:smooth val="0"/>
          <c:extLst>
            <c:ext xmlns:c16="http://schemas.microsoft.com/office/drawing/2014/chart" uri="{C3380CC4-5D6E-409C-BE32-E72D297353CC}">
              <c16:uniqueId val="{00000001-25A0-487E-B642-2D243351E4C7}"/>
            </c:ext>
          </c:extLst>
        </c:ser>
        <c:dLbls>
          <c:showLegendKey val="0"/>
          <c:showVal val="0"/>
          <c:showCatName val="0"/>
          <c:showSerName val="0"/>
          <c:showPercent val="0"/>
          <c:showBubbleSize val="0"/>
        </c:dLbls>
        <c:axId val="395770496"/>
        <c:axId val="395801728"/>
        <c:extLst>
          <c:ext xmlns:c15="http://schemas.microsoft.com/office/drawing/2012/chart" uri="{02D57815-91ED-43cb-92C2-25804820EDAC}">
            <c15:filteredScatterSeries>
              <c15:ser>
                <c:idx val="0"/>
                <c:order val="0"/>
                <c:tx>
                  <c:v>M0.84 FL300</c:v>
                </c:tx>
                <c:spPr>
                  <a:ln w="28575" cap="rnd">
                    <a:noFill/>
                    <a:round/>
                  </a:ln>
                  <a:effectLst/>
                </c:spPr>
                <c:marker>
                  <c:symbol val="circle"/>
                  <c:size val="5"/>
                  <c:spPr>
                    <a:solidFill>
                      <a:schemeClr val="accent1"/>
                    </a:solidFill>
                    <a:ln w="9525">
                      <a:solidFill>
                        <a:schemeClr val="accent1"/>
                      </a:solidFill>
                    </a:ln>
                    <a:effectLst/>
                  </c:spPr>
                </c:marker>
                <c:xVal>
                  <c:numRef>
                    <c:extLst>
                      <c:ext uri="{02D57815-91ED-43cb-92C2-25804820EDAC}">
                        <c15:formulaRef>
                          <c15:sqref>'M0.84 FF'!$D$62:$D$78</c15:sqref>
                        </c15:formulaRef>
                      </c:ext>
                    </c:extLst>
                    <c:numCache>
                      <c:formatCode>General</c:formatCode>
                      <c:ptCount val="17"/>
                    </c:numCache>
                  </c:numRef>
                </c:xVal>
                <c:yVal>
                  <c:numRef>
                    <c:extLst>
                      <c:ext uri="{02D57815-91ED-43cb-92C2-25804820EDAC}">
                        <c15:formulaRef>
                          <c15:sqref>'M0.84 FF'!$D$39:$D$55</c15:sqref>
                        </c15:formulaRef>
                      </c:ext>
                    </c:extLst>
                    <c:numCache>
                      <c:formatCode>General</c:formatCode>
                      <c:ptCount val="17"/>
                    </c:numCache>
                  </c:numRef>
                </c:yVal>
                <c:smooth val="0"/>
                <c:extLst>
                  <c:ext xmlns:c16="http://schemas.microsoft.com/office/drawing/2014/chart" uri="{C3380CC4-5D6E-409C-BE32-E72D297353CC}">
                    <c16:uniqueId val="{00000002-25A0-487E-B642-2D243351E4C7}"/>
                  </c:ext>
                </c:extLst>
              </c15:ser>
            </c15:filteredScatterSeries>
            <c15:filteredScatterSeries>
              <c15:ser>
                <c:idx val="1"/>
                <c:order val="1"/>
                <c:tx>
                  <c:v>M0.84 FL310</c:v>
                </c:tx>
                <c:spPr>
                  <a:ln w="28575" cap="rnd">
                    <a:noFill/>
                    <a:round/>
                  </a:ln>
                  <a:effectLst/>
                </c:spPr>
                <c:marker>
                  <c:symbol val="circle"/>
                  <c:size val="5"/>
                  <c:spPr>
                    <a:solidFill>
                      <a:schemeClr val="accent2"/>
                    </a:solidFill>
                    <a:ln w="9525">
                      <a:solidFill>
                        <a:schemeClr val="accent2"/>
                      </a:solidFill>
                    </a:ln>
                    <a:effectLst/>
                  </c:spPr>
                </c:marker>
                <c:xVal>
                  <c:numRef>
                    <c:extLst xmlns:c15="http://schemas.microsoft.com/office/drawing/2012/chart">
                      <c:ext xmlns:c15="http://schemas.microsoft.com/office/drawing/2012/chart" uri="{02D57815-91ED-43cb-92C2-25804820EDAC}">
                        <c15:formulaRef>
                          <c15:sqref>'M0.84 FF'!$E$62:$E$78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FF'!$E$39:$E$55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3-25A0-487E-B642-2D243351E4C7}"/>
                  </c:ext>
                </c:extLst>
              </c15:ser>
            </c15:filteredScatterSeries>
            <c15:filteredScatterSeries>
              <c15:ser>
                <c:idx val="2"/>
                <c:order val="2"/>
                <c:tx>
                  <c:v>M0.84 FL320</c:v>
                </c:tx>
                <c:spPr>
                  <a:ln w="28575" cap="rnd">
                    <a:noFill/>
                    <a:round/>
                  </a:ln>
                  <a:effectLst/>
                </c:spPr>
                <c:marker>
                  <c:symbol val="circle"/>
                  <c:size val="5"/>
                  <c:spPr>
                    <a:solidFill>
                      <a:schemeClr val="accent3"/>
                    </a:solidFill>
                    <a:ln w="9525">
                      <a:solidFill>
                        <a:schemeClr val="accent3"/>
                      </a:solidFill>
                    </a:ln>
                    <a:effectLst/>
                  </c:spPr>
                </c:marker>
                <c:xVal>
                  <c:numRef>
                    <c:extLst xmlns:c15="http://schemas.microsoft.com/office/drawing/2012/chart">
                      <c:ext xmlns:c15="http://schemas.microsoft.com/office/drawing/2012/chart" uri="{02D57815-91ED-43cb-92C2-25804820EDAC}">
                        <c15:formulaRef>
                          <c15:sqref>'M0.84 FF'!$F$62:$F$78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FF'!$F$39:$F$55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4-25A0-487E-B642-2D243351E4C7}"/>
                  </c:ext>
                </c:extLst>
              </c15:ser>
            </c15:filteredScatterSeries>
            <c15:filteredScatterSeries>
              <c15:ser>
                <c:idx val="3"/>
                <c:order val="3"/>
                <c:tx>
                  <c:v>M0.84 FL330</c:v>
                </c:tx>
                <c:spPr>
                  <a:ln w="28575" cap="rnd">
                    <a:noFill/>
                    <a:round/>
                  </a:ln>
                  <a:effectLst/>
                </c:spPr>
                <c:marker>
                  <c:symbol val="circle"/>
                  <c:size val="5"/>
                  <c:spPr>
                    <a:solidFill>
                      <a:schemeClr val="accent4"/>
                    </a:solidFill>
                    <a:ln w="9525">
                      <a:solidFill>
                        <a:schemeClr val="accent4"/>
                      </a:solidFill>
                    </a:ln>
                    <a:effectLst/>
                  </c:spPr>
                </c:marker>
                <c:xVal>
                  <c:numRef>
                    <c:extLst xmlns:c15="http://schemas.microsoft.com/office/drawing/2012/chart">
                      <c:ext xmlns:c15="http://schemas.microsoft.com/office/drawing/2012/chart" uri="{02D57815-91ED-43cb-92C2-25804820EDAC}">
                        <c15:formulaRef>
                          <c15:sqref>'M0.84 FF'!$G$62:$G$78</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'M0.84 FF'!$G$39:$G$55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05-25A0-487E-B642-2D243351E4C7}"/>
                  </c:ext>
                </c:extLst>
              </c15:ser>
            </c15:filteredScatterSeries>
            <c15:filteredScatterSeries>
              <c15:ser>
                <c:idx val="4"/>
                <c:order val="4"/>
                <c:tx>
                  <c:v>M0.84 FL340</c:v>
                </c:tx>
                <c:spPr>
                  <a:ln w="28575" cap="rnd">
                    <a:no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'M0.84 FF'!$H$62:$H$77</c15:sqref>
                        </c15:formulaRef>
                      </c:ext>
                    </c:extLst>
                    <c:numCache>
                      <c:formatCode>General</c:formatCode>
                      <c:ptCount val="16"/>
                    </c:numCache>
                  </c:numRef>
                </c:xVal>
                <c:yVal>
                  <c:numRef>
                    <c:extLst xmlns:c15="http://schemas.microsoft.com/office/drawing/2012/chart">
                      <c:ext xmlns:c15="http://schemas.microsoft.com/office/drawing/2012/chart" uri="{02D57815-91ED-43cb-92C2-25804820EDAC}">
                        <c15:formulaRef>
                          <c15:sqref>'M0.84 FF'!$H$39:$H$54</c15:sqref>
                        </c15:formulaRef>
                      </c:ext>
                    </c:extLst>
                    <c:numCache>
                      <c:formatCode>General</c:formatCode>
                      <c:ptCount val="16"/>
                    </c:numCache>
                  </c:numRef>
                </c:yVal>
                <c:smooth val="0"/>
                <c:extLst xmlns:c15="http://schemas.microsoft.com/office/drawing/2012/chart">
                  <c:ext xmlns:c16="http://schemas.microsoft.com/office/drawing/2014/chart" uri="{C3380CC4-5D6E-409C-BE32-E72D297353CC}">
                    <c16:uniqueId val="{00000006-25A0-487E-B642-2D243351E4C7}"/>
                  </c:ext>
                </c:extLst>
              </c15:ser>
            </c15:filteredScatterSeries>
            <c15:filteredScatterSeries>
              <c15:ser>
                <c:idx val="5"/>
                <c:order val="5"/>
                <c:tx>
                  <c:v>M0.84 FL350</c:v>
                </c:tx>
                <c:spPr>
                  <a:ln w="28575" cap="rnd">
                    <a:noFill/>
                    <a:round/>
                  </a:ln>
                  <a:effectLst/>
                </c:spPr>
                <c:marker>
                  <c:symbol val="circle"/>
                  <c:size val="5"/>
                  <c:spPr>
                    <a:solidFill>
                      <a:schemeClr val="accent6"/>
                    </a:solidFill>
                    <a:ln w="9525">
                      <a:solidFill>
                        <a:schemeClr val="accent6"/>
                      </a:solidFill>
                    </a:ln>
                    <a:effectLst/>
                  </c:spPr>
                </c:marker>
                <c:xVal>
                  <c:numRef>
                    <c:extLst xmlns:c15="http://schemas.microsoft.com/office/drawing/2012/chart">
                      <c:ext xmlns:c15="http://schemas.microsoft.com/office/drawing/2012/chart" uri="{02D57815-91ED-43cb-92C2-25804820EDAC}">
                        <c15:formulaRef>
                          <c15:sqref>'M0.84 FF'!$I$62:$I$76</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'M0.84 FF'!$I$39:$I$53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07-25A0-487E-B642-2D243351E4C7}"/>
                  </c:ext>
                </c:extLst>
              </c15:ser>
            </c15:filteredScatterSeries>
            <c15:filteredScatterSeries>
              <c15:ser>
                <c:idx val="6"/>
                <c:order val="6"/>
                <c:tx>
                  <c:v>M0.84 FL360</c:v>
                </c:tx>
                <c:spPr>
                  <a:ln w="28575"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extLst xmlns:c15="http://schemas.microsoft.com/office/drawing/2012/chart">
                      <c:ext xmlns:c15="http://schemas.microsoft.com/office/drawing/2012/chart" uri="{02D57815-91ED-43cb-92C2-25804820EDAC}">
                        <c15:formulaRef>
                          <c15:sqref>'M0.84 FF'!$J$62:$J$75</c15:sqref>
                        </c15:formulaRef>
                      </c:ext>
                    </c:extLst>
                    <c:numCache>
                      <c:formatCode>General</c:formatCode>
                      <c:ptCount val="14"/>
                    </c:numCache>
                  </c:numRef>
                </c:xVal>
                <c:yVal>
                  <c:numRef>
                    <c:extLst xmlns:c15="http://schemas.microsoft.com/office/drawing/2012/chart">
                      <c:ext xmlns:c15="http://schemas.microsoft.com/office/drawing/2012/chart" uri="{02D57815-91ED-43cb-92C2-25804820EDAC}">
                        <c15:formulaRef>
                          <c15:sqref>'M0.84 FF'!$J$39:$J$52</c15:sqref>
                        </c15:formulaRef>
                      </c:ext>
                    </c:extLst>
                    <c:numCache>
                      <c:formatCode>General</c:formatCode>
                      <c:ptCount val="14"/>
                    </c:numCache>
                  </c:numRef>
                </c:yVal>
                <c:smooth val="0"/>
                <c:extLst xmlns:c15="http://schemas.microsoft.com/office/drawing/2012/chart">
                  <c:ext xmlns:c16="http://schemas.microsoft.com/office/drawing/2014/chart" uri="{C3380CC4-5D6E-409C-BE32-E72D297353CC}">
                    <c16:uniqueId val="{00000008-25A0-487E-B642-2D243351E4C7}"/>
                  </c:ext>
                </c:extLst>
              </c15:ser>
            </c15:filteredScatterSeries>
            <c15:filteredScatterSeries>
              <c15:ser>
                <c:idx val="7"/>
                <c:order val="7"/>
                <c:tx>
                  <c:v>M0.84 FL370</c:v>
                </c:tx>
                <c:spPr>
                  <a:ln w="28575"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'M0.84 FF'!$K$62:$K$74</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'M0.84 FF'!$K$39:$K$51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09-25A0-487E-B642-2D243351E4C7}"/>
                  </c:ext>
                </c:extLst>
              </c15:ser>
            </c15:filteredScatterSeries>
            <c15:filteredScatterSeries>
              <c15:ser>
                <c:idx val="8"/>
                <c:order val="8"/>
                <c:tx>
                  <c:v>M0.84 FL380</c:v>
                </c:tx>
                <c:spPr>
                  <a:ln w="28575"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'M0.84 FF'!$L$62:$L$72</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'M0.84 FF'!$L$39:$L$49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0A-25A0-487E-B642-2D243351E4C7}"/>
                  </c:ext>
                </c:extLst>
              </c15:ser>
            </c15:filteredScatterSeries>
            <c15:filteredScatterSeries>
              <c15:ser>
                <c:idx val="9"/>
                <c:order val="9"/>
                <c:tx>
                  <c:v>M0.84 FL390</c:v>
                </c:tx>
                <c:spPr>
                  <a:ln w="28575"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'M0.84 FF'!$M$62:$M$71</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'M0.84 FF'!$M$39:$M$48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0B-25A0-487E-B642-2D243351E4C7}"/>
                  </c:ext>
                </c:extLst>
              </c15:ser>
            </c15:filteredScatterSeries>
            <c15:filteredScatterSeries>
              <c15:ser>
                <c:idx val="10"/>
                <c:order val="10"/>
                <c:tx>
                  <c:v>M0.84 FL400</c:v>
                </c:tx>
                <c:spPr>
                  <a:ln w="28575"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extLst xmlns:c15="http://schemas.microsoft.com/office/drawing/2012/chart">
                      <c:ext xmlns:c15="http://schemas.microsoft.com/office/drawing/2012/chart" uri="{02D57815-91ED-43cb-92C2-25804820EDAC}">
                        <c15:formulaRef>
                          <c15:sqref>'M0.84 FF'!$N$62:$N$70</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'M0.84 FF'!$N$39:$N$47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0C-25A0-487E-B642-2D243351E4C7}"/>
                  </c:ext>
                </c:extLst>
              </c15:ser>
            </c15:filteredScatterSeries>
            <c15:filteredScatterSeries>
              <c15:ser>
                <c:idx val="11"/>
                <c:order val="11"/>
                <c:tx>
                  <c:v>M0.84 FL410</c:v>
                </c:tx>
                <c:spPr>
                  <a:ln w="28575"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extLst xmlns:c15="http://schemas.microsoft.com/office/drawing/2012/chart">
                      <c:ext xmlns:c15="http://schemas.microsoft.com/office/drawing/2012/chart" uri="{02D57815-91ED-43cb-92C2-25804820EDAC}">
                        <c15:formulaRef>
                          <c15:sqref>'M0.84 FF'!$O$62:$O$69</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'M0.84 FF'!$O$39:$O$46</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0D-25A0-487E-B642-2D243351E4C7}"/>
                  </c:ext>
                </c:extLst>
              </c15:ser>
            </c15:filteredScatterSeries>
            <c15:filteredScatterSeries>
              <c15:ser>
                <c:idx val="12"/>
                <c:order val="12"/>
                <c:tx>
                  <c:v>M0.84 FL420</c:v>
                </c:tx>
                <c:spPr>
                  <a:ln w="28575"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FF'!$P$62:$P$68</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'M0.84 FF'!$P$39:$P$45</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0E-25A0-487E-B642-2D243351E4C7}"/>
                  </c:ext>
                </c:extLst>
              </c15:ser>
            </c15:filteredScatterSeries>
            <c15:filteredScatterSeries>
              <c15:ser>
                <c:idx val="13"/>
                <c:order val="13"/>
                <c:tx>
                  <c:v>M0.84 FL430</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extLst xmlns:c15="http://schemas.microsoft.com/office/drawing/2012/chart">
                      <c:ext xmlns:c15="http://schemas.microsoft.com/office/drawing/2012/chart" uri="{02D57815-91ED-43cb-92C2-25804820EDAC}">
                        <c15:formulaRef>
                          <c15:sqref>'M0.84 FF'!$Q$62:$Q$67</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'M0.84 FF'!$Q$39:$Q$44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0F-25A0-487E-B642-2D243351E4C7}"/>
                  </c:ext>
                </c:extLst>
              </c15:ser>
            </c15:filteredScatterSeries>
            <c15:filteredScatterSeries>
              <c15:ser>
                <c:idx val="14"/>
                <c:order val="14"/>
                <c:tx>
                  <c:v>Holding FL15</c:v>
                </c:tx>
                <c:spPr>
                  <a:ln w="25400" cap="rnd">
                    <a:noFill/>
                    <a:round/>
                  </a:ln>
                  <a:effectLst/>
                </c:spPr>
                <c:marker>
                  <c:symbol val="triangle"/>
                  <c:size val="5"/>
                  <c:spPr>
                    <a:solidFill>
                      <a:schemeClr val="accent3">
                        <a:lumMod val="80000"/>
                        <a:lumOff val="20000"/>
                      </a:schemeClr>
                    </a:solidFill>
                    <a:ln w="9525">
                      <a:solidFill>
                        <a:schemeClr val="accent3">
                          <a:lumMod val="80000"/>
                          <a:lumOff val="20000"/>
                        </a:schemeClr>
                      </a:solidFill>
                    </a:ln>
                    <a:effectLst/>
                  </c:spPr>
                </c:marker>
                <c:dPt>
                  <c:idx val="1"/>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0-25A0-487E-B642-2D243351E4C7}"/>
                    </c:ext>
                  </c:extLst>
                </c:dPt>
                <c:dPt>
                  <c:idx val="2"/>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1-25A0-487E-B642-2D243351E4C7}"/>
                    </c:ext>
                  </c:extLst>
                </c:dPt>
                <c:dPt>
                  <c:idx val="3"/>
                  <c:marker>
                    <c:symbol val="circle"/>
                    <c:size val="6"/>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2-25A0-487E-B642-2D243351E4C7}"/>
                    </c:ext>
                  </c:extLst>
                </c:dPt>
                <c:dPt>
                  <c:idx val="4"/>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3-25A0-487E-B642-2D243351E4C7}"/>
                    </c:ext>
                  </c:extLst>
                </c:dPt>
                <c:dPt>
                  <c:idx val="5"/>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4-25A0-487E-B642-2D243351E4C7}"/>
                    </c:ext>
                  </c:extLst>
                </c:dPt>
                <c:dPt>
                  <c:idx val="6"/>
                  <c:marker>
                    <c:symbol val="triangle"/>
                    <c:size val="7"/>
                    <c:spPr>
                      <a:noFill/>
                      <a:ln w="9525">
                        <a:solidFill>
                          <a:schemeClr val="accent3">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5-25A0-487E-B642-2D243351E4C7}"/>
                    </c:ext>
                  </c:extLst>
                </c:dPt>
                <c:xVal>
                  <c:numRef>
                    <c:extLst xmlns:c15="http://schemas.microsoft.com/office/drawing/2012/chart">
                      <c:ext xmlns:c15="http://schemas.microsoft.com/office/drawing/2012/chart" uri="{02D57815-91ED-43cb-92C2-25804820EDAC}">
                        <c15:formulaRef>
                          <c15:sqref>'Holding FF'!$D$46:$D$52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FF'!$D$31:$D$37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6-25A0-487E-B642-2D243351E4C7}"/>
                  </c:ext>
                </c:extLst>
              </c15:ser>
            </c15:filteredScatterSeries>
            <c15:filteredScatterSeries>
              <c15:ser>
                <c:idx val="15"/>
                <c:order val="15"/>
                <c:tx>
                  <c:v>Holding FL50</c:v>
                </c:tx>
                <c:spPr>
                  <a:ln w="25400" cap="rnd">
                    <a:noFill/>
                    <a:round/>
                  </a:ln>
                  <a:effectLst/>
                </c:spPr>
                <c:marker>
                  <c:symbol val="triangle"/>
                  <c:size val="5"/>
                  <c:spPr>
                    <a:solidFill>
                      <a:schemeClr val="accent4">
                        <a:lumMod val="80000"/>
                        <a:lumOff val="20000"/>
                      </a:schemeClr>
                    </a:solidFill>
                    <a:ln w="9525">
                      <a:solidFill>
                        <a:schemeClr val="accent4">
                          <a:lumMod val="80000"/>
                          <a:lumOff val="20000"/>
                        </a:schemeClr>
                      </a:solidFill>
                    </a:ln>
                    <a:effectLst/>
                  </c:spPr>
                </c:marker>
                <c:dPt>
                  <c:idx val="0"/>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7-25A0-487E-B642-2D243351E4C7}"/>
                    </c:ext>
                  </c:extLst>
                </c:dPt>
                <c:dPt>
                  <c:idx val="1"/>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8-25A0-487E-B642-2D243351E4C7}"/>
                    </c:ext>
                  </c:extLst>
                </c:dPt>
                <c:dPt>
                  <c:idx val="2"/>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9-25A0-487E-B642-2D243351E4C7}"/>
                    </c:ext>
                  </c:extLst>
                </c:dPt>
                <c:dPt>
                  <c:idx val="3"/>
                  <c:marker>
                    <c:symbol val="circle"/>
                    <c:size val="6"/>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A-25A0-487E-B642-2D243351E4C7}"/>
                    </c:ext>
                  </c:extLst>
                </c:dPt>
                <c:dPt>
                  <c:idx val="4"/>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B-25A0-487E-B642-2D243351E4C7}"/>
                    </c:ext>
                  </c:extLst>
                </c:dPt>
                <c:dPt>
                  <c:idx val="5"/>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C-25A0-487E-B642-2D243351E4C7}"/>
                    </c:ext>
                  </c:extLst>
                </c:dPt>
                <c:dPt>
                  <c:idx val="6"/>
                  <c:marker>
                    <c:symbol val="triangle"/>
                    <c:size val="7"/>
                    <c:spPr>
                      <a:noFill/>
                      <a:ln w="9525">
                        <a:solidFill>
                          <a:schemeClr val="accent4">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D-25A0-487E-B642-2D243351E4C7}"/>
                    </c:ext>
                  </c:extLst>
                </c:dPt>
                <c:xVal>
                  <c:numRef>
                    <c:extLst xmlns:c15="http://schemas.microsoft.com/office/drawing/2012/chart">
                      <c:ext xmlns:c15="http://schemas.microsoft.com/office/drawing/2012/chart" uri="{02D57815-91ED-43cb-92C2-25804820EDAC}">
                        <c15:formulaRef>
                          <c15:sqref>'Holding FF'!$E$46:$E$52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FF'!$E$31:$E$37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1E-25A0-487E-B642-2D243351E4C7}"/>
                  </c:ext>
                </c:extLst>
              </c15:ser>
            </c15:filteredScatterSeries>
            <c15:filteredScatterSeries>
              <c15:ser>
                <c:idx val="16"/>
                <c:order val="16"/>
                <c:tx>
                  <c:v>Holding FL100</c:v>
                </c:tx>
                <c:spPr>
                  <a:ln w="25400" cap="rnd">
                    <a:noFill/>
                    <a:round/>
                  </a:ln>
                  <a:effectLst/>
                </c:spPr>
                <c:marker>
                  <c:symbol val="triangle"/>
                  <c:size val="5"/>
                  <c:spPr>
                    <a:solidFill>
                      <a:schemeClr val="accent5">
                        <a:lumMod val="80000"/>
                        <a:lumOff val="20000"/>
                      </a:schemeClr>
                    </a:solidFill>
                    <a:ln w="9525">
                      <a:solidFill>
                        <a:schemeClr val="accent5">
                          <a:lumMod val="80000"/>
                          <a:lumOff val="20000"/>
                        </a:schemeClr>
                      </a:solidFill>
                    </a:ln>
                    <a:effectLst/>
                  </c:spPr>
                </c:marker>
                <c:dPt>
                  <c:idx val="0"/>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1F-25A0-487E-B642-2D243351E4C7}"/>
                    </c:ext>
                  </c:extLst>
                </c:dPt>
                <c:dPt>
                  <c:idx val="1"/>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0-25A0-487E-B642-2D243351E4C7}"/>
                    </c:ext>
                  </c:extLst>
                </c:dPt>
                <c:dPt>
                  <c:idx val="2"/>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1-25A0-487E-B642-2D243351E4C7}"/>
                    </c:ext>
                  </c:extLst>
                </c:dPt>
                <c:dPt>
                  <c:idx val="3"/>
                  <c:marker>
                    <c:symbol val="circle"/>
                    <c:size val="6"/>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2-25A0-487E-B642-2D243351E4C7}"/>
                    </c:ext>
                  </c:extLst>
                </c:dPt>
                <c:dPt>
                  <c:idx val="4"/>
                  <c:marker>
                    <c:symbol val="triangle"/>
                    <c:size val="7"/>
                    <c:spPr>
                      <a:noFill/>
                      <a:ln w="9525">
                        <a:solidFill>
                          <a:schemeClr val="accent5">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3-25A0-487E-B642-2D243351E4C7}"/>
                    </c:ext>
                  </c:extLst>
                </c:dPt>
                <c:xVal>
                  <c:numRef>
                    <c:extLst xmlns:c15="http://schemas.microsoft.com/office/drawing/2012/chart">
                      <c:ext xmlns:c15="http://schemas.microsoft.com/office/drawing/2012/chart" uri="{02D57815-91ED-43cb-92C2-25804820EDAC}">
                        <c15:formulaRef>
                          <c15:sqref>'Holding FF'!$F$46:$F$52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FF'!$F$31:$F$37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4-25A0-487E-B642-2D243351E4C7}"/>
                  </c:ext>
                </c:extLst>
              </c15:ser>
            </c15:filteredScatterSeries>
            <c15:filteredScatterSeries>
              <c15:ser>
                <c:idx val="17"/>
                <c:order val="17"/>
                <c:tx>
                  <c:v>Holding FL150</c:v>
                </c:tx>
                <c:spPr>
                  <a:ln w="25400" cap="rnd">
                    <a:noFill/>
                    <a:round/>
                  </a:ln>
                  <a:effectLst/>
                </c:spPr>
                <c:marker>
                  <c:symbol val="triangle"/>
                  <c:size val="5"/>
                  <c:spPr>
                    <a:solidFill>
                      <a:schemeClr val="accent6">
                        <a:lumMod val="80000"/>
                        <a:lumOff val="20000"/>
                      </a:schemeClr>
                    </a:solidFill>
                    <a:ln w="9525">
                      <a:solidFill>
                        <a:schemeClr val="accent6">
                          <a:lumMod val="80000"/>
                          <a:lumOff val="20000"/>
                        </a:schemeClr>
                      </a:solidFill>
                    </a:ln>
                    <a:effectLst/>
                  </c:spPr>
                </c:marker>
                <c:dPt>
                  <c:idx val="0"/>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5-25A0-487E-B642-2D243351E4C7}"/>
                    </c:ext>
                  </c:extLst>
                </c:dPt>
                <c:dPt>
                  <c:idx val="1"/>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6-25A0-487E-B642-2D243351E4C7}"/>
                    </c:ext>
                  </c:extLst>
                </c:dPt>
                <c:dPt>
                  <c:idx val="2"/>
                  <c:marker>
                    <c:symbol val="circle"/>
                    <c:size val="6"/>
                    <c:spPr>
                      <a:noFill/>
                      <a:ln w="9525">
                        <a:solidFill>
                          <a:schemeClr val="accent6">
                            <a:lumMod val="80000"/>
                            <a:lumOff val="20000"/>
                          </a:schemeClr>
                        </a:solidFill>
                      </a:ln>
                      <a:effectLst/>
                    </c:spPr>
                  </c:marker>
                  <c:bubble3D val="0"/>
                  <c:extLst xmlns:c15="http://schemas.microsoft.com/office/drawing/2012/chart">
                    <c:ext xmlns:c16="http://schemas.microsoft.com/office/drawing/2014/chart" uri="{C3380CC4-5D6E-409C-BE32-E72D297353CC}">
                      <c16:uniqueId val="{00000027-25A0-487E-B642-2D243351E4C7}"/>
                    </c:ext>
                  </c:extLst>
                </c:dPt>
                <c:xVal>
                  <c:numRef>
                    <c:extLst xmlns:c15="http://schemas.microsoft.com/office/drawing/2012/chart">
                      <c:ext xmlns:c15="http://schemas.microsoft.com/office/drawing/2012/chart" uri="{02D57815-91ED-43cb-92C2-25804820EDAC}">
                        <c15:formulaRef>
                          <c15:sqref>'Holding FF'!$G$46:$G$52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FF'!$G$31:$G$37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8-25A0-487E-B642-2D243351E4C7}"/>
                  </c:ext>
                </c:extLst>
              </c15:ser>
            </c15:filteredScatterSeries>
            <c15:filteredScatterSeries>
              <c15:ser>
                <c:idx val="18"/>
                <c:order val="18"/>
                <c:tx>
                  <c:v>Holding FL200</c:v>
                </c:tx>
                <c:spPr>
                  <a:ln w="25400" cap="rnd">
                    <a:noFill/>
                    <a:round/>
                  </a:ln>
                  <a:effectLst/>
                </c:spPr>
                <c:marker>
                  <c:symbol val="triangle"/>
                  <c:size val="5"/>
                  <c:spPr>
                    <a:solidFill>
                      <a:schemeClr val="accent1">
                        <a:lumMod val="80000"/>
                      </a:schemeClr>
                    </a:solidFill>
                    <a:ln w="9525">
                      <a:solidFill>
                        <a:schemeClr val="accent1">
                          <a:lumMod val="80000"/>
                        </a:schemeClr>
                      </a:solidFill>
                    </a:ln>
                    <a:effectLst/>
                  </c:spPr>
                </c:marker>
                <c:dPt>
                  <c:idx val="0"/>
                  <c:marker>
                    <c:symbol val="circle"/>
                    <c:size val="6"/>
                    <c:spPr>
                      <a:noFill/>
                      <a:ln w="9525">
                        <a:solidFill>
                          <a:schemeClr val="accent1">
                            <a:lumMod val="80000"/>
                          </a:schemeClr>
                        </a:solidFill>
                      </a:ln>
                      <a:effectLst/>
                    </c:spPr>
                  </c:marker>
                  <c:bubble3D val="0"/>
                  <c:extLst xmlns:c15="http://schemas.microsoft.com/office/drawing/2012/chart">
                    <c:ext xmlns:c16="http://schemas.microsoft.com/office/drawing/2014/chart" uri="{C3380CC4-5D6E-409C-BE32-E72D297353CC}">
                      <c16:uniqueId val="{00000029-25A0-487E-B642-2D243351E4C7}"/>
                    </c:ext>
                  </c:extLst>
                </c:dPt>
                <c:xVal>
                  <c:numRef>
                    <c:extLst xmlns:c15="http://schemas.microsoft.com/office/drawing/2012/chart">
                      <c:ext xmlns:c15="http://schemas.microsoft.com/office/drawing/2012/chart" uri="{02D57815-91ED-43cb-92C2-25804820EDAC}">
                        <c15:formulaRef>
                          <c15:sqref>'Holding FF'!$H$46:$H$52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FF'!$H$31:$H$37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A-25A0-487E-B642-2D243351E4C7}"/>
                  </c:ext>
                </c:extLst>
              </c15:ser>
            </c15:filteredScatterSeries>
            <c15:filteredScatterSeries>
              <c15:ser>
                <c:idx val="19"/>
                <c:order val="19"/>
                <c:tx>
                  <c:v>Holding FL250</c:v>
                </c:tx>
                <c:spPr>
                  <a:ln w="25400" cap="rnd">
                    <a:noFill/>
                    <a:round/>
                  </a:ln>
                  <a:effectLst/>
                </c:spPr>
                <c:marker>
                  <c:symbol val="triangle"/>
                  <c:size val="5"/>
                  <c:spPr>
                    <a:solidFill>
                      <a:schemeClr val="accent2">
                        <a:lumMod val="80000"/>
                      </a:schemeClr>
                    </a:solidFill>
                    <a:ln w="9525">
                      <a:solidFill>
                        <a:schemeClr val="accent2">
                          <a:lumMod val="80000"/>
                        </a:schemeClr>
                      </a:solidFill>
                    </a:ln>
                    <a:effectLst/>
                  </c:spPr>
                </c:marker>
                <c:xVal>
                  <c:numRef>
                    <c:extLst xmlns:c15="http://schemas.microsoft.com/office/drawing/2012/chart">
                      <c:ext xmlns:c15="http://schemas.microsoft.com/office/drawing/2012/chart" uri="{02D57815-91ED-43cb-92C2-25804820EDAC}">
                        <c15:formulaRef>
                          <c15:sqref>'Holding FF'!$I$46:$I$52</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FF'!$I$31:$I$37</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B-25A0-487E-B642-2D243351E4C7}"/>
                  </c:ext>
                </c:extLst>
              </c15:ser>
            </c15:filteredScatterSeries>
            <c15:filteredScatterSeries>
              <c15:ser>
                <c:idx val="20"/>
                <c:order val="20"/>
                <c:tx>
                  <c:v>Holding FL300</c:v>
                </c:tx>
                <c:spPr>
                  <a:ln w="25400" cap="rnd">
                    <a:noFill/>
                    <a:round/>
                  </a:ln>
                  <a:effectLst/>
                </c:spPr>
                <c:marker>
                  <c:symbol val="triangle"/>
                  <c:size val="5"/>
                  <c:spPr>
                    <a:solidFill>
                      <a:schemeClr val="accent3">
                        <a:lumMod val="80000"/>
                      </a:schemeClr>
                    </a:solidFill>
                    <a:ln w="9525">
                      <a:solidFill>
                        <a:schemeClr val="accent3">
                          <a:lumMod val="80000"/>
                        </a:schemeClr>
                      </a:solidFill>
                    </a:ln>
                    <a:effectLst/>
                  </c:spPr>
                </c:marker>
                <c:xVal>
                  <c:numRef>
                    <c:extLst xmlns:c15="http://schemas.microsoft.com/office/drawing/2012/chart">
                      <c:ext xmlns:c15="http://schemas.microsoft.com/office/drawing/2012/chart" uri="{02D57815-91ED-43cb-92C2-25804820EDAC}">
                        <c15:formulaRef>
                          <c15:sqref>'Holding FF'!$J$45:$J$52</c15:sqref>
                        </c15:formulaRef>
                      </c:ext>
                    </c:extLst>
                    <c:numCache>
                      <c:formatCode>General</c:formatCode>
                      <c:ptCount val="8"/>
                    </c:numCache>
                  </c:numRef>
                </c:xVal>
                <c:yVal>
                  <c:numRef>
                    <c:extLst xmlns:c15="http://schemas.microsoft.com/office/drawing/2012/chart">
                      <c:ext xmlns:c15="http://schemas.microsoft.com/office/drawing/2012/chart" uri="{02D57815-91ED-43cb-92C2-25804820EDAC}">
                        <c15:formulaRef>
                          <c15:sqref>'Holding FF'!$J$30:$J$37</c15:sqref>
                        </c15:formulaRef>
                      </c:ext>
                    </c:extLst>
                    <c:numCache>
                      <c:formatCode>General</c:formatCode>
                      <c:ptCount val="8"/>
                    </c:numCache>
                  </c:numRef>
                </c:yVal>
                <c:smooth val="0"/>
                <c:extLst xmlns:c15="http://schemas.microsoft.com/office/drawing/2012/chart">
                  <c:ext xmlns:c16="http://schemas.microsoft.com/office/drawing/2014/chart" uri="{C3380CC4-5D6E-409C-BE32-E72D297353CC}">
                    <c16:uniqueId val="{0000002C-25A0-487E-B642-2D243351E4C7}"/>
                  </c:ext>
                </c:extLst>
              </c15:ser>
            </c15:filteredScatterSeries>
            <c15:filteredScatterSeries>
              <c15:ser>
                <c:idx val="21"/>
                <c:order val="21"/>
                <c:tx>
                  <c:v>Holding FL350</c:v>
                </c:tx>
                <c:spPr>
                  <a:ln w="25400" cap="rnd">
                    <a:noFill/>
                    <a:round/>
                  </a:ln>
                  <a:effectLst/>
                </c:spPr>
                <c:marker>
                  <c:symbol val="triangle"/>
                  <c:size val="5"/>
                  <c:spPr>
                    <a:solidFill>
                      <a:schemeClr val="accent4">
                        <a:lumMod val="80000"/>
                      </a:schemeClr>
                    </a:solidFill>
                    <a:ln w="9525">
                      <a:solidFill>
                        <a:schemeClr val="accent4">
                          <a:lumMod val="80000"/>
                        </a:schemeClr>
                      </a:solidFill>
                    </a:ln>
                    <a:effectLst/>
                  </c:spPr>
                </c:marker>
                <c:xVal>
                  <c:numRef>
                    <c:extLst xmlns:c15="http://schemas.microsoft.com/office/drawing/2012/chart">
                      <c:ext xmlns:c15="http://schemas.microsoft.com/office/drawing/2012/chart" uri="{02D57815-91ED-43cb-92C2-25804820EDAC}">
                        <c15:formulaRef>
                          <c15:sqref>'Holding FF'!$K$45:$K$51</c15:sqref>
                        </c15:formulaRef>
                      </c:ext>
                    </c:extLst>
                    <c:numCache>
                      <c:formatCode>General</c:formatCode>
                      <c:ptCount val="7"/>
                    </c:numCache>
                  </c:numRef>
                </c:xVal>
                <c:yVal>
                  <c:numRef>
                    <c:extLst xmlns:c15="http://schemas.microsoft.com/office/drawing/2012/chart">
                      <c:ext xmlns:c15="http://schemas.microsoft.com/office/drawing/2012/chart" uri="{02D57815-91ED-43cb-92C2-25804820EDAC}">
                        <c15:formulaRef>
                          <c15:sqref>'Holding FF'!$K$30:$K$36</c15:sqref>
                        </c15:formulaRef>
                      </c:ext>
                    </c:extLst>
                    <c:numCache>
                      <c:formatCode>General</c:formatCode>
                      <c:ptCount val="7"/>
                    </c:numCache>
                  </c:numRef>
                </c:yVal>
                <c:smooth val="0"/>
                <c:extLst xmlns:c15="http://schemas.microsoft.com/office/drawing/2012/chart">
                  <c:ext xmlns:c16="http://schemas.microsoft.com/office/drawing/2014/chart" uri="{C3380CC4-5D6E-409C-BE32-E72D297353CC}">
                    <c16:uniqueId val="{0000002D-25A0-487E-B642-2D243351E4C7}"/>
                  </c:ext>
                </c:extLst>
              </c15:ser>
            </c15:filteredScatterSeries>
            <c15:filteredScatterSeries>
              <c15:ser>
                <c:idx val="22"/>
                <c:order val="22"/>
                <c:tx>
                  <c:v>Holding FL400</c:v>
                </c:tx>
                <c:spPr>
                  <a:ln w="25400" cap="rnd">
                    <a:noFill/>
                    <a:round/>
                  </a:ln>
                  <a:effectLst/>
                </c:spPr>
                <c:marker>
                  <c:symbol val="triangle"/>
                  <c:size val="5"/>
                  <c:spPr>
                    <a:solidFill>
                      <a:schemeClr val="accent5">
                        <a:lumMod val="80000"/>
                      </a:schemeClr>
                    </a:solidFill>
                    <a:ln w="9525">
                      <a:solidFill>
                        <a:schemeClr val="accent5">
                          <a:lumMod val="80000"/>
                        </a:schemeClr>
                      </a:solidFill>
                    </a:ln>
                    <a:effectLst/>
                  </c:spPr>
                </c:marker>
                <c:xVal>
                  <c:numRef>
                    <c:extLst xmlns:c15="http://schemas.microsoft.com/office/drawing/2012/chart">
                      <c:ext xmlns:c15="http://schemas.microsoft.com/office/drawing/2012/chart" uri="{02D57815-91ED-43cb-92C2-25804820EDAC}">
                        <c15:formulaRef>
                          <c15:sqref>'Holding FF'!$L$44:$L$48</c15:sqref>
                        </c15:formulaRef>
                      </c:ext>
                    </c:extLst>
                    <c:numCache>
                      <c:formatCode>General</c:formatCode>
                      <c:ptCount val="5"/>
                    </c:numCache>
                  </c:numRef>
                </c:xVal>
                <c:yVal>
                  <c:numRef>
                    <c:extLst xmlns:c15="http://schemas.microsoft.com/office/drawing/2012/chart">
                      <c:ext xmlns:c15="http://schemas.microsoft.com/office/drawing/2012/chart" uri="{02D57815-91ED-43cb-92C2-25804820EDAC}">
                        <c15:formulaRef>
                          <c15:sqref>'Holding FF'!$L$29:$L$33</c15:sqref>
                        </c15:formulaRef>
                      </c:ext>
                    </c:extLst>
                    <c:numCache>
                      <c:formatCode>General</c:formatCode>
                      <c:ptCount val="5"/>
                    </c:numCache>
                  </c:numRef>
                </c:yVal>
                <c:smooth val="0"/>
                <c:extLst xmlns:c15="http://schemas.microsoft.com/office/drawing/2012/chart">
                  <c:ext xmlns:c16="http://schemas.microsoft.com/office/drawing/2014/chart" uri="{C3380CC4-5D6E-409C-BE32-E72D297353CC}">
                    <c16:uniqueId val="{0000002E-25A0-487E-B642-2D243351E4C7}"/>
                  </c:ext>
                </c:extLst>
              </c15:ser>
            </c15:filteredScatterSeries>
            <c15:filteredScatterSeries>
              <c15:ser>
                <c:idx val="23"/>
                <c:order val="23"/>
                <c:tx>
                  <c:v>Holding FL430</c:v>
                </c:tx>
                <c:spPr>
                  <a:ln w="25400" cap="rnd">
                    <a:noFill/>
                    <a:round/>
                  </a:ln>
                  <a:effectLst/>
                </c:spPr>
                <c:marker>
                  <c:symbol val="triangle"/>
                  <c:size val="5"/>
                  <c:spPr>
                    <a:solidFill>
                      <a:schemeClr val="accent6">
                        <a:lumMod val="80000"/>
                      </a:schemeClr>
                    </a:solidFill>
                    <a:ln w="9525">
                      <a:solidFill>
                        <a:schemeClr val="accent6">
                          <a:lumMod val="80000"/>
                        </a:schemeClr>
                      </a:solidFill>
                    </a:ln>
                    <a:effectLst/>
                  </c:spPr>
                </c:marker>
                <c:xVal>
                  <c:numRef>
                    <c:extLst xmlns:c15="http://schemas.microsoft.com/office/drawing/2012/chart">
                      <c:ext xmlns:c15="http://schemas.microsoft.com/office/drawing/2012/chart" uri="{02D57815-91ED-43cb-92C2-25804820EDAC}">
                        <c15:formulaRef>
                          <c15:sqref>'Holding FF'!$M$44:$M$46</c15:sqref>
                        </c15:formulaRef>
                      </c:ext>
                    </c:extLst>
                    <c:numCache>
                      <c:formatCode>General</c:formatCode>
                      <c:ptCount val="3"/>
                    </c:numCache>
                  </c:numRef>
                </c:xVal>
                <c:yVal>
                  <c:numRef>
                    <c:extLst xmlns:c15="http://schemas.microsoft.com/office/drawing/2012/chart">
                      <c:ext xmlns:c15="http://schemas.microsoft.com/office/drawing/2012/chart" uri="{02D57815-91ED-43cb-92C2-25804820EDAC}">
                        <c15:formulaRef>
                          <c15:sqref>'Holding FF'!$M$29:$M$31</c15:sqref>
                        </c15:formulaRef>
                      </c:ext>
                    </c:extLst>
                    <c:numCache>
                      <c:formatCode>General</c:formatCode>
                      <c:ptCount val="3"/>
                    </c:numCache>
                  </c:numRef>
                </c:yVal>
                <c:smooth val="0"/>
                <c:extLst xmlns:c15="http://schemas.microsoft.com/office/drawing/2012/chart">
                  <c:ext xmlns:c16="http://schemas.microsoft.com/office/drawing/2014/chart" uri="{C3380CC4-5D6E-409C-BE32-E72D297353CC}">
                    <c16:uniqueId val="{0000002F-25A0-487E-B642-2D243351E4C7}"/>
                  </c:ext>
                </c:extLst>
              </c15:ser>
            </c15:filteredScatterSeries>
            <c15:filteredScatterSeries>
              <c15:ser>
                <c:idx val="24"/>
                <c:order val="24"/>
                <c:tx>
                  <c:v>LRC FL60</c:v>
                </c:tx>
                <c:spPr>
                  <a:ln w="25400" cap="rnd">
                    <a:noFill/>
                    <a:round/>
                  </a:ln>
                  <a:effectLst/>
                </c:spPr>
                <c:marker>
                  <c:symbol val="diamond"/>
                  <c:size val="6"/>
                  <c:spPr>
                    <a:solidFill>
                      <a:schemeClr val="accent1">
                        <a:lumMod val="60000"/>
                        <a:lumOff val="40000"/>
                      </a:schemeClr>
                    </a:solidFill>
                    <a:ln w="9525">
                      <a:solidFill>
                        <a:schemeClr val="accent1">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FF'!$D$61:$D$70</c15:sqref>
                        </c15:formulaRef>
                      </c:ext>
                    </c:extLst>
                    <c:numCache>
                      <c:formatCode>General</c:formatCode>
                      <c:ptCount val="10"/>
                    </c:numCache>
                  </c:numRef>
                </c:xVal>
                <c:yVal>
                  <c:numRef>
                    <c:extLst xmlns:c15="http://schemas.microsoft.com/office/drawing/2012/chart">
                      <c:ext xmlns:c15="http://schemas.microsoft.com/office/drawing/2012/chart" uri="{02D57815-91ED-43cb-92C2-25804820EDAC}">
                        <c15:formulaRef>
                          <c15:sqref>'LRC FF'!$D$39:$D$48</c15:sqref>
                        </c15:formulaRef>
                      </c:ext>
                    </c:extLst>
                    <c:numCache>
                      <c:formatCode>General</c:formatCode>
                      <c:ptCount val="10"/>
                    </c:numCache>
                  </c:numRef>
                </c:yVal>
                <c:smooth val="0"/>
                <c:extLst xmlns:c15="http://schemas.microsoft.com/office/drawing/2012/chart">
                  <c:ext xmlns:c16="http://schemas.microsoft.com/office/drawing/2014/chart" uri="{C3380CC4-5D6E-409C-BE32-E72D297353CC}">
                    <c16:uniqueId val="{00000030-25A0-487E-B642-2D243351E4C7}"/>
                  </c:ext>
                </c:extLst>
              </c15:ser>
            </c15:filteredScatterSeries>
            <c15:filteredScatterSeries>
              <c15:ser>
                <c:idx val="31"/>
                <c:order val="25"/>
                <c:tx>
                  <c:v>LRC FL100</c:v>
                </c:tx>
                <c:spPr>
                  <a:ln w="25400" cap="rnd">
                    <a:noFill/>
                    <a:round/>
                  </a:ln>
                  <a:effectLst/>
                </c:spPr>
                <c:marker>
                  <c:symbol val="diamond"/>
                  <c:size val="6"/>
                  <c:spPr>
                    <a:solidFill>
                      <a:schemeClr val="accent2">
                        <a:lumMod val="50000"/>
                      </a:schemeClr>
                    </a:solidFill>
                    <a:ln w="9525">
                      <a:solidFill>
                        <a:schemeClr val="accent2">
                          <a:lumMod val="50000"/>
                        </a:schemeClr>
                      </a:solidFill>
                    </a:ln>
                    <a:effectLst/>
                  </c:spPr>
                </c:marker>
                <c:xVal>
                  <c:numRef>
                    <c:extLst xmlns:c15="http://schemas.microsoft.com/office/drawing/2012/chart">
                      <c:ext xmlns:c15="http://schemas.microsoft.com/office/drawing/2012/chart" uri="{02D57815-91ED-43cb-92C2-25804820EDAC}">
                        <c15:formulaRef>
                          <c15:sqref>'LRC FF'!$F$61:$F$71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FF'!$F$39:$F$49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31-25A0-487E-B642-2D243351E4C7}"/>
                  </c:ext>
                </c:extLst>
              </c15:ser>
            </c15:filteredScatterSeries>
            <c15:filteredScatterSeries>
              <c15:ser>
                <c:idx val="32"/>
                <c:order val="26"/>
                <c:tx>
                  <c:v>LRC FL150</c:v>
                </c:tx>
                <c:spPr>
                  <a:ln w="25400" cap="rnd">
                    <a:noFill/>
                    <a:round/>
                  </a:ln>
                  <a:effectLst/>
                </c:spPr>
                <c:marker>
                  <c:symbol val="diamond"/>
                  <c:size val="6"/>
                  <c:spPr>
                    <a:solidFill>
                      <a:schemeClr val="accent3">
                        <a:lumMod val="50000"/>
                      </a:schemeClr>
                    </a:solidFill>
                    <a:ln w="9525">
                      <a:solidFill>
                        <a:schemeClr val="accent3">
                          <a:lumMod val="50000"/>
                        </a:schemeClr>
                      </a:solidFill>
                    </a:ln>
                    <a:effectLst/>
                  </c:spPr>
                </c:marker>
                <c:xVal>
                  <c:numRef>
                    <c:extLst xmlns:c15="http://schemas.microsoft.com/office/drawing/2012/chart">
                      <c:ext xmlns:c15="http://schemas.microsoft.com/office/drawing/2012/chart" uri="{02D57815-91ED-43cb-92C2-25804820EDAC}">
                        <c15:formulaRef>
                          <c15:sqref>'LRC FF'!$J$61:$J$71</c15:sqref>
                        </c15:formulaRef>
                      </c:ext>
                    </c:extLst>
                    <c:numCache>
                      <c:formatCode>General</c:formatCode>
                      <c:ptCount val="11"/>
                    </c:numCache>
                  </c:numRef>
                </c:xVal>
                <c:yVal>
                  <c:numRef>
                    <c:extLst xmlns:c15="http://schemas.microsoft.com/office/drawing/2012/chart">
                      <c:ext xmlns:c15="http://schemas.microsoft.com/office/drawing/2012/chart" uri="{02D57815-91ED-43cb-92C2-25804820EDAC}">
                        <c15:formulaRef>
                          <c15:sqref>'LRC FF'!$J$39:$J$49</c15:sqref>
                        </c15:formulaRef>
                      </c:ext>
                    </c:extLst>
                    <c:numCache>
                      <c:formatCode>General</c:formatCode>
                      <c:ptCount val="11"/>
                    </c:numCache>
                  </c:numRef>
                </c:yVal>
                <c:smooth val="0"/>
                <c:extLst xmlns:c15="http://schemas.microsoft.com/office/drawing/2012/chart">
                  <c:ext xmlns:c16="http://schemas.microsoft.com/office/drawing/2014/chart" uri="{C3380CC4-5D6E-409C-BE32-E72D297353CC}">
                    <c16:uniqueId val="{00000032-25A0-487E-B642-2D243351E4C7}"/>
                  </c:ext>
                </c:extLst>
              </c15:ser>
            </c15:filteredScatterSeries>
            <c15:filteredScatterSeries>
              <c15:ser>
                <c:idx val="28"/>
                <c:order val="27"/>
                <c:tx>
                  <c:v>LRC FL200</c:v>
                </c:tx>
                <c:spPr>
                  <a:ln w="25400" cap="rnd">
                    <a:noFill/>
                    <a:round/>
                  </a:ln>
                  <a:effectLst/>
                </c:spPr>
                <c:marker>
                  <c:symbol val="diamond"/>
                  <c:size val="6"/>
                  <c:spPr>
                    <a:solidFill>
                      <a:schemeClr val="accent5">
                        <a:lumMod val="60000"/>
                        <a:lumOff val="40000"/>
                      </a:schemeClr>
                    </a:solidFill>
                    <a:ln w="9525">
                      <a:solidFill>
                        <a:schemeClr val="accent5">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FF'!$O$61:$O$72</c15:sqref>
                        </c15:formulaRef>
                      </c:ext>
                    </c:extLst>
                    <c:numCache>
                      <c:formatCode>General</c:formatCode>
                      <c:ptCount val="12"/>
                    </c:numCache>
                  </c:numRef>
                </c:xVal>
                <c:yVal>
                  <c:numRef>
                    <c:extLst xmlns:c15="http://schemas.microsoft.com/office/drawing/2012/chart">
                      <c:ext xmlns:c15="http://schemas.microsoft.com/office/drawing/2012/chart" uri="{02D57815-91ED-43cb-92C2-25804820EDAC}">
                        <c15:formulaRef>
                          <c15:sqref>'LRC FF'!$O$39:$O$50</c15:sqref>
                        </c15:formulaRef>
                      </c:ext>
                    </c:extLst>
                    <c:numCache>
                      <c:formatCode>General</c:formatCode>
                      <c:ptCount val="12"/>
                    </c:numCache>
                  </c:numRef>
                </c:yVal>
                <c:smooth val="0"/>
                <c:extLst xmlns:c15="http://schemas.microsoft.com/office/drawing/2012/chart">
                  <c:ext xmlns:c16="http://schemas.microsoft.com/office/drawing/2014/chart" uri="{C3380CC4-5D6E-409C-BE32-E72D297353CC}">
                    <c16:uniqueId val="{00000033-25A0-487E-B642-2D243351E4C7}"/>
                  </c:ext>
                </c:extLst>
              </c15:ser>
            </c15:filteredScatterSeries>
            <c15:filteredScatterSeries>
              <c15:ser>
                <c:idx val="29"/>
                <c:order val="28"/>
                <c:tx>
                  <c:v>LRC FL250</c:v>
                </c:tx>
                <c:spPr>
                  <a:ln w="25400" cap="rnd">
                    <a:noFill/>
                    <a:round/>
                  </a:ln>
                  <a:effectLst/>
                </c:spPr>
                <c:marker>
                  <c:symbol val="diamond"/>
                  <c:size val="6"/>
                  <c:spPr>
                    <a:solidFill>
                      <a:schemeClr val="accent6">
                        <a:lumMod val="60000"/>
                        <a:lumOff val="40000"/>
                      </a:schemeClr>
                    </a:solidFill>
                    <a:ln w="9525">
                      <a:solidFill>
                        <a:schemeClr val="accent6">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FF'!$T$61:$T$73</c15:sqref>
                        </c15:formulaRef>
                      </c:ext>
                    </c:extLst>
                    <c:numCache>
                      <c:formatCode>General</c:formatCode>
                      <c:ptCount val="13"/>
                    </c:numCache>
                  </c:numRef>
                </c:xVal>
                <c:yVal>
                  <c:numRef>
                    <c:extLst xmlns:c15="http://schemas.microsoft.com/office/drawing/2012/chart">
                      <c:ext xmlns:c15="http://schemas.microsoft.com/office/drawing/2012/chart" uri="{02D57815-91ED-43cb-92C2-25804820EDAC}">
                        <c15:formulaRef>
                          <c15:sqref>'LRC FF'!$T$39:$T$51</c15:sqref>
                        </c15:formulaRef>
                      </c:ext>
                    </c:extLst>
                    <c:numCache>
                      <c:formatCode>General</c:formatCode>
                      <c:ptCount val="13"/>
                    </c:numCache>
                  </c:numRef>
                </c:yVal>
                <c:smooth val="0"/>
                <c:extLst xmlns:c15="http://schemas.microsoft.com/office/drawing/2012/chart">
                  <c:ext xmlns:c16="http://schemas.microsoft.com/office/drawing/2014/chart" uri="{C3380CC4-5D6E-409C-BE32-E72D297353CC}">
                    <c16:uniqueId val="{00000034-25A0-487E-B642-2D243351E4C7}"/>
                  </c:ext>
                </c:extLst>
              </c15:ser>
            </c15:filteredScatterSeries>
            <c15:filteredScatterSeries>
              <c15:ser>
                <c:idx val="26"/>
                <c:order val="29"/>
                <c:tx>
                  <c:v>LRC FL300</c:v>
                </c:tx>
                <c:spPr>
                  <a:ln w="25400" cap="rnd">
                    <a:noFill/>
                    <a:round/>
                  </a:ln>
                  <a:effectLst/>
                </c:spPr>
                <c:marker>
                  <c:symbol val="diamond"/>
                  <c:size val="6"/>
                  <c:spPr>
                    <a:solidFill>
                      <a:schemeClr val="accent3">
                        <a:lumMod val="60000"/>
                        <a:lumOff val="40000"/>
                      </a:schemeClr>
                    </a:solidFill>
                    <a:ln w="9525">
                      <a:solidFill>
                        <a:schemeClr val="accent3">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FF'!$Y$61:$Y$77</c15:sqref>
                        </c15:formulaRef>
                      </c:ext>
                    </c:extLst>
                    <c:numCache>
                      <c:formatCode>General</c:formatCode>
                      <c:ptCount val="17"/>
                    </c:numCache>
                  </c:numRef>
                </c:xVal>
                <c:yVal>
                  <c:numRef>
                    <c:extLst xmlns:c15="http://schemas.microsoft.com/office/drawing/2012/chart">
                      <c:ext xmlns:c15="http://schemas.microsoft.com/office/drawing/2012/chart" uri="{02D57815-91ED-43cb-92C2-25804820EDAC}">
                        <c15:formulaRef>
                          <c15:sqref>'LRC FF'!$Y$39:$Y$55</c15:sqref>
                        </c15:formulaRef>
                      </c:ext>
                    </c:extLst>
                    <c:numCache>
                      <c:formatCode>General</c:formatCode>
                      <c:ptCount val="17"/>
                    </c:numCache>
                  </c:numRef>
                </c:yVal>
                <c:smooth val="0"/>
                <c:extLst xmlns:c15="http://schemas.microsoft.com/office/drawing/2012/chart">
                  <c:ext xmlns:c16="http://schemas.microsoft.com/office/drawing/2014/chart" uri="{C3380CC4-5D6E-409C-BE32-E72D297353CC}">
                    <c16:uniqueId val="{00000035-25A0-487E-B642-2D243351E4C7}"/>
                  </c:ext>
                </c:extLst>
              </c15:ser>
            </c15:filteredScatterSeries>
            <c15:filteredScatterSeries>
              <c15:ser>
                <c:idx val="27"/>
                <c:order val="30"/>
                <c:tx>
                  <c:v>LRC FL350</c:v>
                </c:tx>
                <c:spPr>
                  <a:ln w="25400" cap="rnd">
                    <a:noFill/>
                    <a:round/>
                  </a:ln>
                  <a:effectLst/>
                </c:spPr>
                <c:marker>
                  <c:symbol val="diamond"/>
                  <c:size val="6"/>
                  <c:spPr>
                    <a:solidFill>
                      <a:schemeClr val="accent4">
                        <a:lumMod val="60000"/>
                        <a:lumOff val="40000"/>
                      </a:schemeClr>
                    </a:solidFill>
                    <a:ln w="9525">
                      <a:solidFill>
                        <a:schemeClr val="accent4">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FF'!$AD$61:$AD$75</c15:sqref>
                        </c15:formulaRef>
                      </c:ext>
                    </c:extLst>
                    <c:numCache>
                      <c:formatCode>General</c:formatCode>
                      <c:ptCount val="15"/>
                    </c:numCache>
                  </c:numRef>
                </c:xVal>
                <c:yVal>
                  <c:numRef>
                    <c:extLst xmlns:c15="http://schemas.microsoft.com/office/drawing/2012/chart">
                      <c:ext xmlns:c15="http://schemas.microsoft.com/office/drawing/2012/chart" uri="{02D57815-91ED-43cb-92C2-25804820EDAC}">
                        <c15:formulaRef>
                          <c15:sqref>'LRC FF'!$AD$39:$AD$53</c15:sqref>
                        </c15:formulaRef>
                      </c:ext>
                    </c:extLst>
                    <c:numCache>
                      <c:formatCode>General</c:formatCode>
                      <c:ptCount val="15"/>
                    </c:numCache>
                  </c:numRef>
                </c:yVal>
                <c:smooth val="0"/>
                <c:extLst xmlns:c15="http://schemas.microsoft.com/office/drawing/2012/chart">
                  <c:ext xmlns:c16="http://schemas.microsoft.com/office/drawing/2014/chart" uri="{C3380CC4-5D6E-409C-BE32-E72D297353CC}">
                    <c16:uniqueId val="{00000036-25A0-487E-B642-2D243351E4C7}"/>
                  </c:ext>
                </c:extLst>
              </c15:ser>
            </c15:filteredScatterSeries>
            <c15:filteredScatterSeries>
              <c15:ser>
                <c:idx val="30"/>
                <c:order val="31"/>
                <c:tx>
                  <c:v>LRC FL400</c:v>
                </c:tx>
                <c:spPr>
                  <a:ln w="25400" cap="rnd">
                    <a:noFill/>
                    <a:round/>
                  </a:ln>
                  <a:effectLst/>
                </c:spPr>
                <c:marker>
                  <c:symbol val="diamond"/>
                  <c:size val="6"/>
                  <c:spPr>
                    <a:solidFill>
                      <a:schemeClr val="accent1">
                        <a:lumMod val="50000"/>
                      </a:schemeClr>
                    </a:solidFill>
                    <a:ln w="9525">
                      <a:solidFill>
                        <a:schemeClr val="accent1">
                          <a:lumMod val="50000"/>
                        </a:schemeClr>
                      </a:solidFill>
                    </a:ln>
                    <a:effectLst/>
                  </c:spPr>
                </c:marker>
                <c:xVal>
                  <c:numRef>
                    <c:extLst xmlns:c15="http://schemas.microsoft.com/office/drawing/2012/chart">
                      <c:ext xmlns:c15="http://schemas.microsoft.com/office/drawing/2012/chart" uri="{02D57815-91ED-43cb-92C2-25804820EDAC}">
                        <c15:formulaRef>
                          <c15:sqref>'LRC FF'!$AI$61:$AI$69</c15:sqref>
                        </c15:formulaRef>
                      </c:ext>
                    </c:extLst>
                    <c:numCache>
                      <c:formatCode>General</c:formatCode>
                      <c:ptCount val="9"/>
                    </c:numCache>
                  </c:numRef>
                </c:xVal>
                <c:yVal>
                  <c:numRef>
                    <c:extLst xmlns:c15="http://schemas.microsoft.com/office/drawing/2012/chart">
                      <c:ext xmlns:c15="http://schemas.microsoft.com/office/drawing/2012/chart" uri="{02D57815-91ED-43cb-92C2-25804820EDAC}">
                        <c15:formulaRef>
                          <c15:sqref>'LRC FF'!$AI$39:$AI$47</c15:sqref>
                        </c15:formulaRef>
                      </c:ext>
                    </c:extLst>
                    <c:numCache>
                      <c:formatCode>General</c:formatCode>
                      <c:ptCount val="9"/>
                    </c:numCache>
                  </c:numRef>
                </c:yVal>
                <c:smooth val="0"/>
                <c:extLst xmlns:c15="http://schemas.microsoft.com/office/drawing/2012/chart">
                  <c:ext xmlns:c16="http://schemas.microsoft.com/office/drawing/2014/chart" uri="{C3380CC4-5D6E-409C-BE32-E72D297353CC}">
                    <c16:uniqueId val="{00000037-25A0-487E-B642-2D243351E4C7}"/>
                  </c:ext>
                </c:extLst>
              </c15:ser>
            </c15:filteredScatterSeries>
            <c15:filteredScatterSeries>
              <c15:ser>
                <c:idx val="25"/>
                <c:order val="32"/>
                <c:tx>
                  <c:v>LRC FL430</c:v>
                </c:tx>
                <c:spPr>
                  <a:ln w="25400" cap="rnd">
                    <a:noFill/>
                    <a:round/>
                  </a:ln>
                  <a:effectLst/>
                </c:spPr>
                <c:marker>
                  <c:symbol val="diamond"/>
                  <c:size val="6"/>
                  <c:spPr>
                    <a:solidFill>
                      <a:schemeClr val="accent2">
                        <a:lumMod val="60000"/>
                        <a:lumOff val="40000"/>
                      </a:schemeClr>
                    </a:solidFill>
                    <a:ln w="9525">
                      <a:solidFill>
                        <a:schemeClr val="accent2">
                          <a:lumMod val="60000"/>
                          <a:lumOff val="40000"/>
                        </a:schemeClr>
                      </a:solidFill>
                    </a:ln>
                    <a:effectLst/>
                  </c:spPr>
                </c:marker>
                <c:xVal>
                  <c:numRef>
                    <c:extLst xmlns:c15="http://schemas.microsoft.com/office/drawing/2012/chart">
                      <c:ext xmlns:c15="http://schemas.microsoft.com/office/drawing/2012/chart" uri="{02D57815-91ED-43cb-92C2-25804820EDAC}">
                        <c15:formulaRef>
                          <c15:sqref>'LRC FF'!$AL$61:$AL$66</c15:sqref>
                        </c15:formulaRef>
                      </c:ext>
                    </c:extLst>
                    <c:numCache>
                      <c:formatCode>General</c:formatCode>
                      <c:ptCount val="6"/>
                    </c:numCache>
                  </c:numRef>
                </c:xVal>
                <c:yVal>
                  <c:numRef>
                    <c:extLst xmlns:c15="http://schemas.microsoft.com/office/drawing/2012/chart">
                      <c:ext xmlns:c15="http://schemas.microsoft.com/office/drawing/2012/chart" uri="{02D57815-91ED-43cb-92C2-25804820EDAC}">
                        <c15:formulaRef>
                          <c15:sqref>'LRC FF'!$AL$39:$AL$44</c15:sqref>
                        </c15:formulaRef>
                      </c:ext>
                    </c:extLst>
                    <c:numCache>
                      <c:formatCode>General</c:formatCode>
                      <c:ptCount val="6"/>
                    </c:numCache>
                  </c:numRef>
                </c:yVal>
                <c:smooth val="0"/>
                <c:extLst xmlns:c15="http://schemas.microsoft.com/office/drawing/2012/chart">
                  <c:ext xmlns:c16="http://schemas.microsoft.com/office/drawing/2014/chart" uri="{C3380CC4-5D6E-409C-BE32-E72D297353CC}">
                    <c16:uniqueId val="{00000038-25A0-487E-B642-2D243351E4C7}"/>
                  </c:ext>
                </c:extLst>
              </c15:ser>
            </c15:filteredScatterSeries>
          </c:ext>
        </c:extLst>
      </c:scatterChart>
      <c:valAx>
        <c:axId val="395770496"/>
        <c:scaling>
          <c:orientation val="minMax"/>
          <c:min val="400"/>
        </c:scaling>
        <c:delete val="0"/>
        <c:axPos val="b"/>
        <c:majorGridlines>
          <c:spPr>
            <a:ln w="9525" cap="flat" cmpd="sng" algn="ctr">
              <a:solidFill>
                <a:schemeClr val="tx1">
                  <a:lumMod val="15000"/>
                  <a:lumOff val="85000"/>
                </a:schemeClr>
              </a:solidFill>
              <a:round/>
            </a:ln>
            <a:effectLst/>
          </c:spPr>
        </c:majorGridlines>
        <c:minorGridlines>
          <c:spPr>
            <a:ln w="1587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Weight / delta</a:t>
                </a:r>
              </a:p>
            </c:rich>
          </c:tx>
          <c:layout>
            <c:manualLayout>
              <c:xMode val="edge"/>
              <c:yMode val="edge"/>
              <c:x val="0.40936921435669482"/>
              <c:y val="0.96274522989125022"/>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801728"/>
        <c:crosses val="autoZero"/>
        <c:crossBetween val="midCat"/>
        <c:minorUnit val="50"/>
      </c:valAx>
      <c:valAx>
        <c:axId val="395801728"/>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sz="2000" b="1"/>
                  <a:t>2 * (Fuel Flow - FF_offset) / (theta^0.68)  / Weight  (kg/hr/MT)</a:t>
                </a:r>
              </a:p>
            </c:rich>
          </c:tx>
          <c:layout>
            <c:manualLayout>
              <c:xMode val="edge"/>
              <c:yMode val="edge"/>
              <c:x val="2.0837079659062556E-2"/>
              <c:y val="0.10323203738712822"/>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395770496"/>
        <c:crosses val="autoZero"/>
        <c:crossBetween val="midCat"/>
        <c:majorUnit val="1"/>
        <c:minorUnit val="0.5"/>
      </c:valAx>
      <c:spPr>
        <a:solidFill>
          <a:srgbClr val="FFFFCC"/>
        </a:solidFill>
        <a:ln>
          <a:noFill/>
        </a:ln>
        <a:effectLst/>
      </c:spPr>
    </c:plotArea>
    <c:legend>
      <c:legendPos val="r"/>
      <c:layout>
        <c:manualLayout>
          <c:xMode val="edge"/>
          <c:yMode val="edge"/>
          <c:x val="0.83905363504735853"/>
          <c:y val="0.41051994410718268"/>
          <c:w val="0.11256614963649207"/>
          <c:h val="0.17639585265901858"/>
        </c:manualLayout>
      </c:layout>
      <c:overlay val="0"/>
      <c:spPr>
        <a:solidFill>
          <a:sysClr val="window" lastClr="FFFFFF"/>
        </a:solid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2">
        <a:lumMod val="9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'Holding KIAS'!$T$16</c:f>
              <c:strCache>
                <c:ptCount val="1"/>
              </c:strCache>
            </c:strRef>
          </c:tx>
          <c:trendline>
            <c:trendlineType val="linear"/>
            <c:dispRSqr val="1"/>
            <c:dispEq val="1"/>
            <c:trendlineLbl>
              <c:layout>
                <c:manualLayout>
                  <c:x val="0.35781933508311459"/>
                  <c:y val="-0.18554425488480605"/>
                </c:manualLayout>
              </c:layout>
              <c:numFmt formatCode="#,##0.0000000" sourceLinked="0"/>
            </c:trendlineLbl>
          </c:trendline>
          <c:xVal>
            <c:numRef>
              <c:f>'Holding KIAS'!$S$17:$S$22</c:f>
              <c:numCache>
                <c:formatCode>General</c:formatCode>
                <c:ptCount val="6"/>
              </c:numCache>
            </c:numRef>
          </c:xVal>
          <c:yVal>
            <c:numRef>
              <c:f>'Holding KIAS'!$T$17:$T$22</c:f>
              <c:numCache>
                <c:formatCode>General</c:formatCode>
                <c:ptCount val="6"/>
              </c:numCache>
            </c:numRef>
          </c:yVal>
          <c:smooth val="0"/>
          <c:extLst>
            <c:ext xmlns:c16="http://schemas.microsoft.com/office/drawing/2014/chart" uri="{C3380CC4-5D6E-409C-BE32-E72D297353CC}">
              <c16:uniqueId val="{00000001-36E0-456B-91F7-D0897472D98B}"/>
            </c:ext>
          </c:extLst>
        </c:ser>
        <c:dLbls>
          <c:showLegendKey val="0"/>
          <c:showVal val="0"/>
          <c:showCatName val="0"/>
          <c:showSerName val="0"/>
          <c:showPercent val="0"/>
          <c:showBubbleSize val="0"/>
        </c:dLbls>
        <c:axId val="396427648"/>
        <c:axId val="396429184"/>
      </c:scatterChart>
      <c:valAx>
        <c:axId val="396427648"/>
        <c:scaling>
          <c:orientation val="minMax"/>
          <c:min val="200"/>
        </c:scaling>
        <c:delete val="0"/>
        <c:axPos val="b"/>
        <c:minorGridlines/>
        <c:numFmt formatCode="General" sourceLinked="1"/>
        <c:majorTickMark val="out"/>
        <c:minorTickMark val="none"/>
        <c:tickLblPos val="nextTo"/>
        <c:crossAx val="396429184"/>
        <c:crosses val="autoZero"/>
        <c:crossBetween val="midCat"/>
      </c:valAx>
      <c:valAx>
        <c:axId val="396429184"/>
        <c:scaling>
          <c:orientation val="minMax"/>
          <c:min val="0.60000000000000009"/>
        </c:scaling>
        <c:delete val="0"/>
        <c:axPos val="l"/>
        <c:majorGridlines/>
        <c:numFmt formatCode="General" sourceLinked="1"/>
        <c:majorTickMark val="out"/>
        <c:minorTickMark val="none"/>
        <c:tickLblPos val="nextTo"/>
        <c:crossAx val="396427648"/>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6607195975503061"/>
          <c:y val="0.13108273848946453"/>
          <c:w val="0.73923250218722669"/>
          <c:h val="0.72481541442833664"/>
        </c:manualLayout>
      </c:layout>
      <c:scatterChart>
        <c:scatterStyle val="lineMarker"/>
        <c:varyColors val="0"/>
        <c:ser>
          <c:idx val="0"/>
          <c:order val="0"/>
          <c:tx>
            <c:v>Pressure</c:v>
          </c:tx>
          <c:trendline>
            <c:trendlineType val="linear"/>
            <c:dispRSqr val="1"/>
            <c:dispEq val="1"/>
            <c:trendlineLbl>
              <c:layout>
                <c:manualLayout>
                  <c:x val="-0.30387423447069117"/>
                  <c:y val="-0.40996075256948022"/>
                </c:manualLayout>
              </c:layout>
              <c:numFmt formatCode="#,##0.0000000" sourceLinked="0"/>
            </c:trendlineLbl>
          </c:trendline>
          <c:xVal>
            <c:numRef>
              <c:f>'Holding KIAS'!$C$80:$C$94</c:f>
              <c:numCache>
                <c:formatCode>General</c:formatCode>
                <c:ptCount val="15"/>
              </c:numCache>
            </c:numRef>
          </c:xVal>
          <c:yVal>
            <c:numRef>
              <c:f>'Holding KIAS'!$E$80:$E$94</c:f>
              <c:numCache>
                <c:formatCode>General</c:formatCode>
                <c:ptCount val="15"/>
              </c:numCache>
            </c:numRef>
          </c:yVal>
          <c:smooth val="0"/>
          <c:extLst>
            <c:ext xmlns:c16="http://schemas.microsoft.com/office/drawing/2014/chart" uri="{C3380CC4-5D6E-409C-BE32-E72D297353CC}">
              <c16:uniqueId val="{00000001-D8E0-4EF6-B468-437F3857AAB0}"/>
            </c:ext>
          </c:extLst>
        </c:ser>
        <c:dLbls>
          <c:showLegendKey val="0"/>
          <c:showVal val="0"/>
          <c:showCatName val="0"/>
          <c:showSerName val="0"/>
          <c:showPercent val="0"/>
          <c:showBubbleSize val="0"/>
        </c:dLbls>
        <c:axId val="396450816"/>
        <c:axId val="396452992"/>
      </c:scatterChart>
      <c:valAx>
        <c:axId val="396450816"/>
        <c:scaling>
          <c:orientation val="minMax"/>
          <c:max val="450"/>
          <c:min val="200"/>
        </c:scaling>
        <c:delete val="0"/>
        <c:axPos val="b"/>
        <c:minorGridlines>
          <c:spPr>
            <a:ln>
              <a:solidFill>
                <a:schemeClr val="tx1">
                  <a:tint val="75000"/>
                  <a:shade val="95000"/>
                  <a:satMod val="105000"/>
                </a:schemeClr>
              </a:solidFill>
            </a:ln>
          </c:spPr>
        </c:minorGridlines>
        <c:title>
          <c:tx>
            <c:rich>
              <a:bodyPr/>
              <a:lstStyle/>
              <a:p>
                <a:pPr>
                  <a:defRPr/>
                </a:pPr>
                <a:r>
                  <a:rPr lang="en-US"/>
                  <a:t>FL</a:t>
                </a:r>
              </a:p>
            </c:rich>
          </c:tx>
          <c:overlay val="0"/>
        </c:title>
        <c:numFmt formatCode="General" sourceLinked="1"/>
        <c:majorTickMark val="out"/>
        <c:minorTickMark val="none"/>
        <c:tickLblPos val="nextTo"/>
        <c:crossAx val="396452992"/>
        <c:crosses val="autoZero"/>
        <c:crossBetween val="midCat"/>
        <c:majorUnit val="50"/>
        <c:minorUnit val="25"/>
      </c:valAx>
      <c:valAx>
        <c:axId val="396452992"/>
        <c:scaling>
          <c:orientation val="minMax"/>
          <c:max val="300"/>
          <c:min val="100"/>
        </c:scaling>
        <c:delete val="0"/>
        <c:axPos val="l"/>
        <c:majorGridlines/>
        <c:title>
          <c:tx>
            <c:rich>
              <a:bodyPr rot="-5400000" vert="horz"/>
              <a:lstStyle/>
              <a:p>
                <a:pPr>
                  <a:defRPr/>
                </a:pPr>
                <a:r>
                  <a:rPr lang="en-US"/>
                  <a:t>hPa</a:t>
                </a:r>
              </a:p>
            </c:rich>
          </c:tx>
          <c:overlay val="0"/>
        </c:title>
        <c:numFmt formatCode="General" sourceLinked="1"/>
        <c:majorTickMark val="out"/>
        <c:minorTickMark val="none"/>
        <c:tickLblPos val="nextTo"/>
        <c:crossAx val="396450816"/>
        <c:crosses val="autoZero"/>
        <c:crossBetween val="midCat"/>
        <c:majorUnit val="50"/>
        <c:minorUnit val="10"/>
      </c:valAx>
    </c:plotArea>
    <c:legend>
      <c:legendPos val="r"/>
      <c:overlay val="0"/>
    </c:legend>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scatterChart>
        <c:scatterStyle val="lineMarker"/>
        <c:varyColors val="0"/>
        <c:ser>
          <c:idx val="0"/>
          <c:order val="0"/>
          <c:tx>
            <c:strRef>
              <c:f>'Holding Mach'!$T$16</c:f>
              <c:strCache>
                <c:ptCount val="1"/>
              </c:strCache>
            </c:strRef>
          </c:tx>
          <c:trendline>
            <c:trendlineType val="linear"/>
            <c:dispRSqr val="1"/>
            <c:dispEq val="1"/>
            <c:trendlineLbl>
              <c:layout>
                <c:manualLayout>
                  <c:x val="0.35781933508311459"/>
                  <c:y val="-0.18554425488480605"/>
                </c:manualLayout>
              </c:layout>
              <c:numFmt formatCode="#,##0.0000000" sourceLinked="0"/>
            </c:trendlineLbl>
          </c:trendline>
          <c:xVal>
            <c:numRef>
              <c:f>'Holding Mach'!$S$17:$S$22</c:f>
              <c:numCache>
                <c:formatCode>General</c:formatCode>
                <c:ptCount val="6"/>
              </c:numCache>
            </c:numRef>
          </c:xVal>
          <c:yVal>
            <c:numRef>
              <c:f>'Holding Mach'!$T$17:$T$22</c:f>
              <c:numCache>
                <c:formatCode>General</c:formatCode>
                <c:ptCount val="6"/>
              </c:numCache>
            </c:numRef>
          </c:yVal>
          <c:smooth val="0"/>
          <c:extLst>
            <c:ext xmlns:c16="http://schemas.microsoft.com/office/drawing/2014/chart" uri="{C3380CC4-5D6E-409C-BE32-E72D297353CC}">
              <c16:uniqueId val="{00000001-4670-4D81-9331-13F6F746A09B}"/>
            </c:ext>
          </c:extLst>
        </c:ser>
        <c:dLbls>
          <c:showLegendKey val="0"/>
          <c:showVal val="0"/>
          <c:showCatName val="0"/>
          <c:showSerName val="0"/>
          <c:showPercent val="0"/>
          <c:showBubbleSize val="0"/>
        </c:dLbls>
        <c:axId val="390194304"/>
        <c:axId val="390195840"/>
      </c:scatterChart>
      <c:valAx>
        <c:axId val="390194304"/>
        <c:scaling>
          <c:orientation val="minMax"/>
          <c:min val="200"/>
        </c:scaling>
        <c:delete val="0"/>
        <c:axPos val="b"/>
        <c:minorGridlines/>
        <c:numFmt formatCode="General" sourceLinked="1"/>
        <c:majorTickMark val="out"/>
        <c:minorTickMark val="none"/>
        <c:tickLblPos val="nextTo"/>
        <c:crossAx val="390195840"/>
        <c:crosses val="autoZero"/>
        <c:crossBetween val="midCat"/>
      </c:valAx>
      <c:valAx>
        <c:axId val="390195840"/>
        <c:scaling>
          <c:orientation val="minMax"/>
          <c:min val="0.60000000000000009"/>
        </c:scaling>
        <c:delete val="0"/>
        <c:axPos val="l"/>
        <c:majorGridlines/>
        <c:numFmt formatCode="General" sourceLinked="1"/>
        <c:majorTickMark val="out"/>
        <c:minorTickMark val="none"/>
        <c:tickLblPos val="nextTo"/>
        <c:crossAx val="390194304"/>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6607195975503061"/>
          <c:y val="0.13108273848946453"/>
          <c:w val="0.73923250218722669"/>
          <c:h val="0.72481541442833664"/>
        </c:manualLayout>
      </c:layout>
      <c:scatterChart>
        <c:scatterStyle val="lineMarker"/>
        <c:varyColors val="0"/>
        <c:ser>
          <c:idx val="0"/>
          <c:order val="0"/>
          <c:tx>
            <c:v>Pressure</c:v>
          </c:tx>
          <c:trendline>
            <c:trendlineType val="linear"/>
            <c:dispRSqr val="1"/>
            <c:dispEq val="1"/>
            <c:trendlineLbl>
              <c:layout>
                <c:manualLayout>
                  <c:x val="-0.30387423447069117"/>
                  <c:y val="-0.40996075256948022"/>
                </c:manualLayout>
              </c:layout>
              <c:numFmt formatCode="#,##0.0000000" sourceLinked="0"/>
            </c:trendlineLbl>
          </c:trendline>
          <c:xVal>
            <c:numRef>
              <c:f>'Holding Mach'!$C$80:$C$94</c:f>
              <c:numCache>
                <c:formatCode>General</c:formatCode>
                <c:ptCount val="15"/>
              </c:numCache>
            </c:numRef>
          </c:xVal>
          <c:yVal>
            <c:numRef>
              <c:f>'Holding Mach'!$E$80:$E$94</c:f>
              <c:numCache>
                <c:formatCode>General</c:formatCode>
                <c:ptCount val="15"/>
              </c:numCache>
            </c:numRef>
          </c:yVal>
          <c:smooth val="0"/>
          <c:extLst>
            <c:ext xmlns:c16="http://schemas.microsoft.com/office/drawing/2014/chart" uri="{C3380CC4-5D6E-409C-BE32-E72D297353CC}">
              <c16:uniqueId val="{00000001-B5B0-4AB5-9DA5-C3BB2DC525F1}"/>
            </c:ext>
          </c:extLst>
        </c:ser>
        <c:dLbls>
          <c:showLegendKey val="0"/>
          <c:showVal val="0"/>
          <c:showCatName val="0"/>
          <c:showSerName val="0"/>
          <c:showPercent val="0"/>
          <c:showBubbleSize val="0"/>
        </c:dLbls>
        <c:axId val="396333056"/>
        <c:axId val="396334976"/>
      </c:scatterChart>
      <c:valAx>
        <c:axId val="396333056"/>
        <c:scaling>
          <c:orientation val="minMax"/>
          <c:max val="450"/>
          <c:min val="200"/>
        </c:scaling>
        <c:delete val="0"/>
        <c:axPos val="b"/>
        <c:minorGridlines>
          <c:spPr>
            <a:ln>
              <a:solidFill>
                <a:schemeClr val="tx1">
                  <a:tint val="75000"/>
                  <a:shade val="95000"/>
                  <a:satMod val="105000"/>
                </a:schemeClr>
              </a:solidFill>
            </a:ln>
          </c:spPr>
        </c:minorGridlines>
        <c:title>
          <c:tx>
            <c:rich>
              <a:bodyPr/>
              <a:lstStyle/>
              <a:p>
                <a:pPr>
                  <a:defRPr/>
                </a:pPr>
                <a:r>
                  <a:rPr lang="en-US"/>
                  <a:t>FL</a:t>
                </a:r>
              </a:p>
            </c:rich>
          </c:tx>
          <c:overlay val="0"/>
        </c:title>
        <c:numFmt formatCode="General" sourceLinked="1"/>
        <c:majorTickMark val="out"/>
        <c:minorTickMark val="none"/>
        <c:tickLblPos val="nextTo"/>
        <c:crossAx val="396334976"/>
        <c:crosses val="autoZero"/>
        <c:crossBetween val="midCat"/>
        <c:majorUnit val="50"/>
        <c:minorUnit val="25"/>
      </c:valAx>
      <c:valAx>
        <c:axId val="396334976"/>
        <c:scaling>
          <c:orientation val="minMax"/>
          <c:max val="300"/>
          <c:min val="100"/>
        </c:scaling>
        <c:delete val="0"/>
        <c:axPos val="l"/>
        <c:majorGridlines/>
        <c:title>
          <c:tx>
            <c:rich>
              <a:bodyPr rot="-5400000" vert="horz"/>
              <a:lstStyle/>
              <a:p>
                <a:pPr>
                  <a:defRPr/>
                </a:pPr>
                <a:r>
                  <a:rPr lang="en-US"/>
                  <a:t>hPa</a:t>
                </a:r>
              </a:p>
            </c:rich>
          </c:tx>
          <c:overlay val="0"/>
        </c:title>
        <c:numFmt formatCode="General" sourceLinked="1"/>
        <c:majorTickMark val="out"/>
        <c:minorTickMark val="none"/>
        <c:tickLblPos val="nextTo"/>
        <c:crossAx val="396333056"/>
        <c:crosses val="autoZero"/>
        <c:crossBetween val="midCat"/>
        <c:majorUnit val="50"/>
        <c:minorUnit val="10"/>
      </c:valAx>
    </c:plotArea>
    <c:legend>
      <c:legendPos val="r"/>
      <c:overlay val="0"/>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19660631772226544"/>
          <c:y val="0.1401384944319648"/>
          <c:w val="0.74988187049555433"/>
          <c:h val="0.7181660213452965"/>
        </c:manualLayout>
      </c:layout>
      <c:scatterChart>
        <c:scatterStyle val="lineMarker"/>
        <c:varyColors val="0"/>
        <c:ser>
          <c:idx val="10"/>
          <c:order val="1"/>
          <c:tx>
            <c:v>Max Endurance</c:v>
          </c:tx>
          <c:spPr>
            <a:ln w="38100">
              <a:noFill/>
              <a:prstDash val="solid"/>
            </a:ln>
          </c:spPr>
          <c:marker>
            <c:symbol val="circle"/>
            <c:size val="5"/>
            <c:spPr>
              <a:solidFill>
                <a:srgbClr val="00B050"/>
              </a:solidFill>
              <a:ln>
                <a:solidFill>
                  <a:srgbClr val="00B050"/>
                </a:solidFill>
              </a:ln>
            </c:spPr>
          </c:marker>
          <c:dPt>
            <c:idx val="1"/>
            <c:bubble3D val="0"/>
            <c:spPr>
              <a:ln w="44450">
                <a:noFill/>
                <a:prstDash val="solid"/>
              </a:ln>
            </c:spPr>
            <c:extLst xmlns:c15="http://schemas.microsoft.com/office/drawing/2012/chart">
              <c:ext xmlns:c16="http://schemas.microsoft.com/office/drawing/2014/chart" uri="{C3380CC4-5D6E-409C-BE32-E72D297353CC}">
                <c16:uniqueId val="{00000001-8918-4CF8-A648-FB854299BC7A}"/>
              </c:ext>
            </c:extLst>
          </c:dPt>
          <c:trendline>
            <c:spPr>
              <a:ln w="25400"/>
            </c:spPr>
            <c:trendlineType val="poly"/>
            <c:order val="6"/>
            <c:dispRSqr val="1"/>
            <c:dispEq val="1"/>
            <c:trendlineLbl>
              <c:layout>
                <c:manualLayout>
                  <c:x val="7.3485565753835344E-2"/>
                  <c:y val="-1.0365248472791995E-3"/>
                </c:manualLayout>
              </c:layout>
              <c:numFmt formatCode="0.000000E+00" sourceLinked="0"/>
              <c:spPr>
                <a:solidFill>
                  <a:srgbClr val="ECEADC"/>
                </a:solidFill>
              </c:spPr>
              <c:txPr>
                <a:bodyPr/>
                <a:lstStyle/>
                <a:p>
                  <a:pPr>
                    <a:defRPr sz="1200" b="1"/>
                  </a:pPr>
                  <a:endParaRPr lang="en-US"/>
                </a:p>
              </c:txPr>
            </c:trendlineLbl>
          </c:trendline>
          <c:xVal>
            <c:numRef>
              <c:f>'[1]ECON Model'!$P$37:$P$227</c:f>
              <c:numCache>
                <c:formatCode>General</c:formatCode>
                <c:ptCount val="191"/>
                <c:pt idx="0">
                  <c:v>1010.2339964072748</c:v>
                </c:pt>
                <c:pt idx="1">
                  <c:v>1057.5009955385372</c:v>
                </c:pt>
                <c:pt idx="2">
                  <c:v>1107.4238723061837</c:v>
                </c:pt>
                <c:pt idx="3">
                  <c:v>1160.1772754625108</c:v>
                </c:pt>
                <c:pt idx="4">
                  <c:v>853.37195721189403</c:v>
                </c:pt>
                <c:pt idx="5">
                  <c:v>892.2612538396603</c:v>
                </c:pt>
                <c:pt idx="6">
                  <c:v>933.27837098856617</c:v>
                </c:pt>
                <c:pt idx="7">
                  <c:v>976.55952986036561</c:v>
                </c:pt>
                <c:pt idx="8">
                  <c:v>1022.2509623539192</c:v>
                </c:pt>
                <c:pt idx="9">
                  <c:v>1070.509743229311</c:v>
                </c:pt>
                <c:pt idx="10">
                  <c:v>1121.5046996137605</c:v>
                </c:pt>
                <c:pt idx="11">
                  <c:v>1175.4174058103183</c:v>
                </c:pt>
                <c:pt idx="12">
                  <c:v>823.94533799769079</c:v>
                </c:pt>
                <c:pt idx="13">
                  <c:v>861.49362439691333</c:v>
                </c:pt>
                <c:pt idx="14">
                  <c:v>901.09635819585696</c:v>
                </c:pt>
                <c:pt idx="15">
                  <c:v>942.8850633134565</c:v>
                </c:pt>
                <c:pt idx="16">
                  <c:v>987.00092916930134</c:v>
                </c:pt>
                <c:pt idx="17">
                  <c:v>1033.5956141524382</c:v>
                </c:pt>
                <c:pt idx="18">
                  <c:v>1082.83212376501</c:v>
                </c:pt>
                <c:pt idx="19">
                  <c:v>1134.8857711272037</c:v>
                </c:pt>
                <c:pt idx="20">
                  <c:v>1189.9452283993801</c:v>
                </c:pt>
                <c:pt idx="21">
                  <c:v>794.51871878348754</c:v>
                </c:pt>
                <c:pt idx="22">
                  <c:v>830.72599495416648</c:v>
                </c:pt>
                <c:pt idx="23">
                  <c:v>868.91434540314776</c:v>
                </c:pt>
                <c:pt idx="24">
                  <c:v>909.21059676654727</c:v>
                </c:pt>
                <c:pt idx="25">
                  <c:v>951.75089598468344</c:v>
                </c:pt>
                <c:pt idx="26">
                  <c:v>996.68148507556543</c:v>
                </c:pt>
                <c:pt idx="27">
                  <c:v>1044.1595479162597</c:v>
                </c:pt>
                <c:pt idx="28">
                  <c:v>1094.3541364440894</c:v>
                </c:pt>
                <c:pt idx="29">
                  <c:v>1147.4471845279738</c:v>
                </c:pt>
                <c:pt idx="30">
                  <c:v>1203.6346187020677</c:v>
                </c:pt>
                <c:pt idx="31">
                  <c:v>765.0920995692843</c:v>
                </c:pt>
                <c:pt idx="32">
                  <c:v>799.95836551141952</c:v>
                </c:pt>
                <c:pt idx="33">
                  <c:v>836.73233261043856</c:v>
                </c:pt>
                <c:pt idx="34">
                  <c:v>875.53613021963815</c:v>
                </c:pt>
                <c:pt idx="35">
                  <c:v>916.50086280006553</c:v>
                </c:pt>
                <c:pt idx="36">
                  <c:v>959.76735599869266</c:v>
                </c:pt>
                <c:pt idx="37">
                  <c:v>1005.4869720675094</c:v>
                </c:pt>
                <c:pt idx="38">
                  <c:v>1053.822501760975</c:v>
                </c:pt>
                <c:pt idx="39">
                  <c:v>1104.9491406565674</c:v>
                </c:pt>
                <c:pt idx="40">
                  <c:v>1159.0555587501392</c:v>
                </c:pt>
                <c:pt idx="41">
                  <c:v>1216.1219409583473</c:v>
                </c:pt>
                <c:pt idx="42">
                  <c:v>735.66548035508106</c:v>
                </c:pt>
                <c:pt idx="43">
                  <c:v>769.19073606867266</c:v>
                </c:pt>
                <c:pt idx="44">
                  <c:v>804.55031981772947</c:v>
                </c:pt>
                <c:pt idx="45">
                  <c:v>841.86166367272904</c:v>
                </c:pt>
                <c:pt idx="46">
                  <c:v>881.25082961544763</c:v>
                </c:pt>
                <c:pt idx="47">
                  <c:v>922.8532269218199</c:v>
                </c:pt>
                <c:pt idx="48">
                  <c:v>966.81439621875904</c:v>
                </c:pt>
                <c:pt idx="49">
                  <c:v>1013.2908670778605</c:v>
                </c:pt>
                <c:pt idx="50">
                  <c:v>1062.4510967851609</c:v>
                </c:pt>
                <c:pt idx="51">
                  <c:v>1114.4764987982107</c:v>
                </c:pt>
                <c:pt idx="52">
                  <c:v>1169.348020152257</c:v>
                </c:pt>
                <c:pt idx="53">
                  <c:v>706.23886114087782</c:v>
                </c:pt>
                <c:pt idx="54">
                  <c:v>738.4231066259257</c:v>
                </c:pt>
                <c:pt idx="55">
                  <c:v>772.36830702502027</c:v>
                </c:pt>
                <c:pt idx="56">
                  <c:v>808.18719712581981</c:v>
                </c:pt>
                <c:pt idx="57">
                  <c:v>846.00079643082972</c:v>
                </c:pt>
                <c:pt idx="58">
                  <c:v>885.93909784494713</c:v>
                </c:pt>
                <c:pt idx="59">
                  <c:v>928.14182037000865</c:v>
                </c:pt>
                <c:pt idx="60">
                  <c:v>972.75923239474616</c:v>
                </c:pt>
                <c:pt idx="61">
                  <c:v>1019.9530529137544</c:v>
                </c:pt>
                <c:pt idx="62">
                  <c:v>1069.8974388462823</c:v>
                </c:pt>
                <c:pt idx="63">
                  <c:v>1122.5740993461668</c:v>
                </c:pt>
                <c:pt idx="64">
                  <c:v>1177.8465472315372</c:v>
                </c:pt>
                <c:pt idx="65">
                  <c:v>676.81224192667457</c:v>
                </c:pt>
                <c:pt idx="66">
                  <c:v>707.65547718317885</c:v>
                </c:pt>
                <c:pt idx="67">
                  <c:v>740.18629423231107</c:v>
                </c:pt>
                <c:pt idx="68">
                  <c:v>774.51273057891069</c:v>
                </c:pt>
                <c:pt idx="69">
                  <c:v>810.75076324621182</c:v>
                </c:pt>
                <c:pt idx="70">
                  <c:v>849.02496876807425</c:v>
                </c:pt>
                <c:pt idx="71">
                  <c:v>889.46924452125836</c:v>
                </c:pt>
                <c:pt idx="72">
                  <c:v>932.22759771163169</c:v>
                </c:pt>
                <c:pt idx="73">
                  <c:v>977.45500904234802</c:v>
                </c:pt>
                <c:pt idx="74">
                  <c:v>1025.3183788943538</c:v>
                </c:pt>
                <c:pt idx="75">
                  <c:v>1075.8001785400766</c:v>
                </c:pt>
                <c:pt idx="76">
                  <c:v>1128.7696077635567</c:v>
                </c:pt>
                <c:pt idx="77">
                  <c:v>1184.347105370209</c:v>
                </c:pt>
                <c:pt idx="78">
                  <c:v>647.38562271247133</c:v>
                </c:pt>
                <c:pt idx="79">
                  <c:v>676.88784774043188</c:v>
                </c:pt>
                <c:pt idx="80">
                  <c:v>708.00428143960187</c:v>
                </c:pt>
                <c:pt idx="81">
                  <c:v>740.83826403200158</c:v>
                </c:pt>
                <c:pt idx="82">
                  <c:v>775.50073006159391</c:v>
                </c:pt>
                <c:pt idx="83">
                  <c:v>812.11083969120148</c:v>
                </c:pt>
                <c:pt idx="84">
                  <c:v>850.79666867250796</c:v>
                </c:pt>
                <c:pt idx="85">
                  <c:v>891.69596302851733</c:v>
                </c:pt>
                <c:pt idx="86">
                  <c:v>934.95696517094154</c:v>
                </c:pt>
                <c:pt idx="87">
                  <c:v>980.73931894242548</c:v>
                </c:pt>
                <c:pt idx="88">
                  <c:v>1029.0262577339863</c:v>
                </c:pt>
                <c:pt idx="89">
                  <c:v>1079.6926682955759</c:v>
                </c:pt>
                <c:pt idx="90">
                  <c:v>1132.8537529628086</c:v>
                </c:pt>
                <c:pt idx="91">
                  <c:v>1188.6323425978744</c:v>
                </c:pt>
                <c:pt idx="92">
                  <c:v>617.95900349826809</c:v>
                </c:pt>
                <c:pt idx="93">
                  <c:v>646.12021829768503</c:v>
                </c:pt>
                <c:pt idx="94">
                  <c:v>675.82226864689278</c:v>
                </c:pt>
                <c:pt idx="95">
                  <c:v>707.16379748509235</c:v>
                </c:pt>
                <c:pt idx="96">
                  <c:v>740.25069687697601</c:v>
                </c:pt>
                <c:pt idx="97">
                  <c:v>775.19671061432871</c:v>
                </c:pt>
                <c:pt idx="98">
                  <c:v>812.12409282375756</c:v>
                </c:pt>
                <c:pt idx="99">
                  <c:v>851.16432834540285</c:v>
                </c:pt>
                <c:pt idx="100">
                  <c:v>892.45892129953518</c:v>
                </c:pt>
                <c:pt idx="101">
                  <c:v>936.16025899049703</c:v>
                </c:pt>
                <c:pt idx="102">
                  <c:v>982.25233692789595</c:v>
                </c:pt>
                <c:pt idx="103">
                  <c:v>1030.6157288275951</c:v>
                </c:pt>
                <c:pt idx="104">
                  <c:v>1081.3604005554082</c:v>
                </c:pt>
                <c:pt idx="105">
                  <c:v>1134.6035997525166</c:v>
                </c:pt>
                <c:pt idx="106">
                  <c:v>1190.4683470100929</c:v>
                </c:pt>
                <c:pt idx="107">
                  <c:v>588.53238428406485</c:v>
                </c:pt>
                <c:pt idx="108">
                  <c:v>615.35258885493818</c:v>
                </c:pt>
                <c:pt idx="109">
                  <c:v>643.64025585418358</c:v>
                </c:pt>
                <c:pt idx="110">
                  <c:v>673.48933093818323</c:v>
                </c:pt>
                <c:pt idx="111">
                  <c:v>705.0006636923581</c:v>
                </c:pt>
                <c:pt idx="112">
                  <c:v>738.28258153745594</c:v>
                </c:pt>
                <c:pt idx="113">
                  <c:v>773.45151697500728</c:v>
                </c:pt>
                <c:pt idx="114">
                  <c:v>810.63269366228849</c:v>
                </c:pt>
                <c:pt idx="115">
                  <c:v>849.9608774281287</c:v>
                </c:pt>
                <c:pt idx="116">
                  <c:v>891.58119903856857</c:v>
                </c:pt>
                <c:pt idx="117">
                  <c:v>935.47841612180571</c:v>
                </c:pt>
                <c:pt idx="118">
                  <c:v>981.53878935961438</c:v>
                </c:pt>
                <c:pt idx="119">
                  <c:v>1029.8670481480078</c:v>
                </c:pt>
                <c:pt idx="120">
                  <c:v>1080.5748569071586</c:v>
                </c:pt>
                <c:pt idx="121">
                  <c:v>1133.7793781048504</c:v>
                </c:pt>
                <c:pt idx="122">
                  <c:v>1189.6035429651547</c:v>
                </c:pt>
                <c:pt idx="123">
                  <c:v>559.1057650698616</c:v>
                </c:pt>
                <c:pt idx="124">
                  <c:v>584.58495941219121</c:v>
                </c:pt>
                <c:pt idx="125">
                  <c:v>611.45824306147438</c:v>
                </c:pt>
                <c:pt idx="126">
                  <c:v>639.814864391274</c:v>
                </c:pt>
                <c:pt idx="127">
                  <c:v>669.7506305077402</c:v>
                </c:pt>
                <c:pt idx="128">
                  <c:v>701.36845246058306</c:v>
                </c:pt>
                <c:pt idx="129">
                  <c:v>734.77894112625688</c:v>
                </c:pt>
                <c:pt idx="130">
                  <c:v>770.10105897917401</c:v>
                </c:pt>
                <c:pt idx="131">
                  <c:v>807.46283355672222</c:v>
                </c:pt>
                <c:pt idx="132">
                  <c:v>847.00213908664023</c:v>
                </c:pt>
                <c:pt idx="133">
                  <c:v>888.70449531571535</c:v>
                </c:pt>
                <c:pt idx="134">
                  <c:v>932.46184989163373</c:v>
                </c:pt>
                <c:pt idx="135">
                  <c:v>978.37369574060745</c:v>
                </c:pt>
                <c:pt idx="136">
                  <c:v>1026.5461140618006</c:v>
                </c:pt>
                <c:pt idx="137">
                  <c:v>1077.0904091996078</c:v>
                </c:pt>
                <c:pt idx="138">
                  <c:v>1130.1233658168969</c:v>
                </c:pt>
                <c:pt idx="139">
                  <c:v>1185.7675187307548</c:v>
                </c:pt>
                <c:pt idx="140">
                  <c:v>529.67914585565836</c:v>
                </c:pt>
                <c:pt idx="141">
                  <c:v>553.81732996944436</c:v>
                </c:pt>
                <c:pt idx="142">
                  <c:v>579.27623026876518</c:v>
                </c:pt>
                <c:pt idx="143">
                  <c:v>606.14039784436488</c:v>
                </c:pt>
                <c:pt idx="144">
                  <c:v>634.50059732312229</c:v>
                </c:pt>
                <c:pt idx="145">
                  <c:v>664.45432338371029</c:v>
                </c:pt>
                <c:pt idx="146">
                  <c:v>696.10636527750648</c:v>
                </c:pt>
                <c:pt idx="147">
                  <c:v>729.56942429605954</c:v>
                </c:pt>
                <c:pt idx="148">
                  <c:v>764.96478968531585</c:v>
                </c:pt>
                <c:pt idx="149">
                  <c:v>802.42307913471177</c:v>
                </c:pt>
                <c:pt idx="150">
                  <c:v>841.9305745096251</c:v>
                </c:pt>
                <c:pt idx="151">
                  <c:v>883.38491042365297</c:v>
                </c:pt>
                <c:pt idx="152">
                  <c:v>926.88034333320707</c:v>
                </c:pt>
                <c:pt idx="153">
                  <c:v>972.51737121644271</c:v>
                </c:pt>
                <c:pt idx="154">
                  <c:v>1020.4014402943653</c:v>
                </c:pt>
                <c:pt idx="155">
                  <c:v>1070.6431886686391</c:v>
                </c:pt>
                <c:pt idx="156">
                  <c:v>1123.3587019554518</c:v>
                </c:pt>
                <c:pt idx="157">
                  <c:v>572.46593129745577</c:v>
                </c:pt>
                <c:pt idx="158">
                  <c:v>599.25056413850439</c:v>
                </c:pt>
                <c:pt idx="159">
                  <c:v>627.54019430683752</c:v>
                </c:pt>
                <c:pt idx="160">
                  <c:v>657.4337894287562</c:v>
                </c:pt>
                <c:pt idx="161">
                  <c:v>689.03778961294518</c:v>
                </c:pt>
                <c:pt idx="162">
                  <c:v>722.46674581390937</c:v>
                </c:pt>
                <c:pt idx="163">
                  <c:v>757.84401918278331</c:v>
                </c:pt>
                <c:pt idx="164">
                  <c:v>795.15665370353486</c:v>
                </c:pt>
                <c:pt idx="165">
                  <c:v>834.30797095567232</c:v>
                </c:pt>
                <c:pt idx="166">
                  <c:v>875.38699092580669</c:v>
                </c:pt>
                <c:pt idx="167">
                  <c:v>918.48862837108481</c:v>
                </c:pt>
                <c:pt idx="168">
                  <c:v>963.71247138912281</c:v>
                </c:pt>
                <c:pt idx="169">
                  <c:v>1011.1630115203815</c:v>
                </c:pt>
                <c:pt idx="170">
                  <c:v>1060.9498851801491</c:v>
                </c:pt>
                <c:pt idx="171">
                  <c:v>538.79146475054654</c:v>
                </c:pt>
                <c:pt idx="172">
                  <c:v>564.00053095388648</c:v>
                </c:pt>
                <c:pt idx="173">
                  <c:v>590.62606522996475</c:v>
                </c:pt>
                <c:pt idx="174">
                  <c:v>618.7612135800058</c:v>
                </c:pt>
                <c:pt idx="175">
                  <c:v>648.5061549298307</c:v>
                </c:pt>
                <c:pt idx="176">
                  <c:v>679.968701942503</c:v>
                </c:pt>
                <c:pt idx="177">
                  <c:v>713.26495923085486</c:v>
                </c:pt>
                <c:pt idx="178">
                  <c:v>748.3827328974445</c:v>
                </c:pt>
                <c:pt idx="179">
                  <c:v>785.23103148769155</c:v>
                </c:pt>
                <c:pt idx="180">
                  <c:v>823.89363851840631</c:v>
                </c:pt>
                <c:pt idx="181">
                  <c:v>864.45988552572692</c:v>
                </c:pt>
                <c:pt idx="182">
                  <c:v>907.02350248388029</c:v>
                </c:pt>
                <c:pt idx="183">
                  <c:v>951.68283437212369</c:v>
                </c:pt>
                <c:pt idx="184">
                  <c:v>998.5410684048461</c:v>
                </c:pt>
                <c:pt idx="186">
                  <c:v>471.44253165672825</c:v>
                </c:pt>
                <c:pt idx="187">
                  <c:v>485.05499134281831</c:v>
                </c:pt>
                <c:pt idx="188">
                  <c:v>478.73601376681046</c:v>
                </c:pt>
                <c:pt idx="189">
                  <c:v>389.83460416282844</c:v>
                </c:pt>
                <c:pt idx="190">
                  <c:v>436.23397772975397</c:v>
                </c:pt>
              </c:numCache>
              <c:extLst xmlns:c15="http://schemas.microsoft.com/office/drawing/2012/chart"/>
            </c:numRef>
          </c:xVal>
          <c:yVal>
            <c:numRef>
              <c:f>'[1]ECON Model'!$R$37:$R$227</c:f>
              <c:numCache>
                <c:formatCode>General</c:formatCode>
                <c:ptCount val="191"/>
                <c:pt idx="0">
                  <c:v>0.71549999999999614</c:v>
                </c:pt>
                <c:pt idx="1">
                  <c:v>0.73199999999999432</c:v>
                </c:pt>
                <c:pt idx="2">
                  <c:v>0.74799999999999256</c:v>
                </c:pt>
                <c:pt idx="3">
                  <c:v>0.75999999999999124</c:v>
                </c:pt>
                <c:pt idx="4">
                  <c:v>0.66699999999998161</c:v>
                </c:pt>
                <c:pt idx="5">
                  <c:v>0.68949999999997913</c:v>
                </c:pt>
                <c:pt idx="6">
                  <c:v>0.67949999999998023</c:v>
                </c:pt>
                <c:pt idx="7">
                  <c:v>0.7194999999999957</c:v>
                </c:pt>
                <c:pt idx="8">
                  <c:v>0.72199999999999542</c:v>
                </c:pt>
                <c:pt idx="9">
                  <c:v>0.73549999999999394</c:v>
                </c:pt>
                <c:pt idx="10">
                  <c:v>0.75049999999999228</c:v>
                </c:pt>
                <c:pt idx="11">
                  <c:v>0.79499999999998738</c:v>
                </c:pt>
                <c:pt idx="12">
                  <c:v>0.66749999999998155</c:v>
                </c:pt>
                <c:pt idx="13">
                  <c:v>0.67149999999998111</c:v>
                </c:pt>
                <c:pt idx="14">
                  <c:v>0.69349999999997869</c:v>
                </c:pt>
                <c:pt idx="15">
                  <c:v>0.68999999999999895</c:v>
                </c:pt>
                <c:pt idx="16">
                  <c:v>0.69799999999999807</c:v>
                </c:pt>
                <c:pt idx="17">
                  <c:v>0.7239999999999952</c:v>
                </c:pt>
                <c:pt idx="18">
                  <c:v>0.74049999999999339</c:v>
                </c:pt>
                <c:pt idx="19">
                  <c:v>0.75149999999999217</c:v>
                </c:pt>
                <c:pt idx="20">
                  <c:v>0.79949999999998689</c:v>
                </c:pt>
                <c:pt idx="21">
                  <c:v>0.66699999999998161</c:v>
                </c:pt>
                <c:pt idx="22">
                  <c:v>0.66499999999998183</c:v>
                </c:pt>
                <c:pt idx="23">
                  <c:v>0.67599999999998062</c:v>
                </c:pt>
                <c:pt idx="24">
                  <c:v>0.69699999999999485</c:v>
                </c:pt>
                <c:pt idx="25">
                  <c:v>0.70049999999999446</c:v>
                </c:pt>
                <c:pt idx="26">
                  <c:v>0.70549999999999391</c:v>
                </c:pt>
                <c:pt idx="27">
                  <c:v>0.72699999999999154</c:v>
                </c:pt>
                <c:pt idx="28">
                  <c:v>0.74449999999998961</c:v>
                </c:pt>
                <c:pt idx="29">
                  <c:v>0.75499999999998846</c:v>
                </c:pt>
                <c:pt idx="30">
                  <c:v>0.80149999999998878</c:v>
                </c:pt>
                <c:pt idx="31">
                  <c:v>0.65199999999998326</c:v>
                </c:pt>
                <c:pt idx="32">
                  <c:v>0.66849999999998144</c:v>
                </c:pt>
                <c:pt idx="33">
                  <c:v>0.66099999999998227</c:v>
                </c:pt>
                <c:pt idx="34">
                  <c:v>0.68049999999999666</c:v>
                </c:pt>
                <c:pt idx="35">
                  <c:v>0.69999999999999452</c:v>
                </c:pt>
                <c:pt idx="36">
                  <c:v>0.70799999999999363</c:v>
                </c:pt>
                <c:pt idx="37">
                  <c:v>0.71199999999999319</c:v>
                </c:pt>
                <c:pt idx="38">
                  <c:v>0.72999999999999121</c:v>
                </c:pt>
                <c:pt idx="39">
                  <c:v>0.74749999999998928</c:v>
                </c:pt>
                <c:pt idx="40">
                  <c:v>0.75999999999999124</c:v>
                </c:pt>
                <c:pt idx="41">
                  <c:v>0.8039999999999885</c:v>
                </c:pt>
                <c:pt idx="42">
                  <c:v>0.62249999999998651</c:v>
                </c:pt>
                <c:pt idx="43">
                  <c:v>0.65449999999998298</c:v>
                </c:pt>
                <c:pt idx="44">
                  <c:v>0.66949999999998133</c:v>
                </c:pt>
                <c:pt idx="45">
                  <c:v>0.66099999999999326</c:v>
                </c:pt>
                <c:pt idx="46">
                  <c:v>0.68399999999999073</c:v>
                </c:pt>
                <c:pt idx="47">
                  <c:v>0.66749999999999254</c:v>
                </c:pt>
                <c:pt idx="48">
                  <c:v>0.71449999999998737</c:v>
                </c:pt>
                <c:pt idx="49">
                  <c:v>0.71799999999998698</c:v>
                </c:pt>
                <c:pt idx="50">
                  <c:v>0.73349999999998527</c:v>
                </c:pt>
                <c:pt idx="51">
                  <c:v>0.74949999999998906</c:v>
                </c:pt>
                <c:pt idx="52">
                  <c:v>0.79399999999998638</c:v>
                </c:pt>
                <c:pt idx="53">
                  <c:v>0.54849999999999466</c:v>
                </c:pt>
                <c:pt idx="54">
                  <c:v>0.62549999999998618</c:v>
                </c:pt>
                <c:pt idx="55">
                  <c:v>0.65699999999998271</c:v>
                </c:pt>
                <c:pt idx="56">
                  <c:v>0.66949999999999232</c:v>
                </c:pt>
                <c:pt idx="57">
                  <c:v>0.66249999999999309</c:v>
                </c:pt>
                <c:pt idx="58">
                  <c:v>0.68599999999999051</c:v>
                </c:pt>
                <c:pt idx="59">
                  <c:v>0.67349999999999188</c:v>
                </c:pt>
                <c:pt idx="60">
                  <c:v>0.71799999999998698</c:v>
                </c:pt>
                <c:pt idx="61">
                  <c:v>0.72099999999998665</c:v>
                </c:pt>
                <c:pt idx="62">
                  <c:v>0.73549999999999605</c:v>
                </c:pt>
                <c:pt idx="63">
                  <c:v>0.75049999999998895</c:v>
                </c:pt>
                <c:pt idx="64">
                  <c:v>0.79549999999998833</c:v>
                </c:pt>
                <c:pt idx="65">
                  <c:v>0.52299999999999747</c:v>
                </c:pt>
                <c:pt idx="66">
                  <c:v>0.59099999999998998</c:v>
                </c:pt>
                <c:pt idx="67">
                  <c:v>0.62699999999998601</c:v>
                </c:pt>
                <c:pt idx="68">
                  <c:v>0.65849999999999353</c:v>
                </c:pt>
                <c:pt idx="69">
                  <c:v>0.66949999999999232</c:v>
                </c:pt>
                <c:pt idx="70">
                  <c:v>0.66399999999999293</c:v>
                </c:pt>
                <c:pt idx="71">
                  <c:v>0.68799999999999029</c:v>
                </c:pt>
                <c:pt idx="72">
                  <c:v>0.67799999999999139</c:v>
                </c:pt>
                <c:pt idx="73">
                  <c:v>0.71949999999998682</c:v>
                </c:pt>
                <c:pt idx="74">
                  <c:v>0.72299999999998643</c:v>
                </c:pt>
                <c:pt idx="75">
                  <c:v>0.73749999999998483</c:v>
                </c:pt>
                <c:pt idx="76">
                  <c:v>0.75149999999998884</c:v>
                </c:pt>
                <c:pt idx="77">
                  <c:v>0.79749999999998922</c:v>
                </c:pt>
                <c:pt idx="78">
                  <c:v>0.52049999999999774</c:v>
                </c:pt>
                <c:pt idx="79">
                  <c:v>0.52299999999999747</c:v>
                </c:pt>
                <c:pt idx="80">
                  <c:v>0.59149999999998992</c:v>
                </c:pt>
                <c:pt idx="81">
                  <c:v>0.62799999999999145</c:v>
                </c:pt>
                <c:pt idx="82">
                  <c:v>0.65899999999998804</c:v>
                </c:pt>
                <c:pt idx="83">
                  <c:v>0.66949999999998688</c:v>
                </c:pt>
                <c:pt idx="84">
                  <c:v>0.66549999999998732</c:v>
                </c:pt>
                <c:pt idx="85">
                  <c:v>0.68899999999998474</c:v>
                </c:pt>
                <c:pt idx="86">
                  <c:v>0.68149999999998556</c:v>
                </c:pt>
                <c:pt idx="87">
                  <c:v>0.71999999999998132</c:v>
                </c:pt>
                <c:pt idx="88">
                  <c:v>0.72349999999998638</c:v>
                </c:pt>
                <c:pt idx="89">
                  <c:v>0.73849999999998472</c:v>
                </c:pt>
                <c:pt idx="90">
                  <c:v>0.7519999999999899</c:v>
                </c:pt>
                <c:pt idx="91">
                  <c:v>0.79899999999998905</c:v>
                </c:pt>
                <c:pt idx="92">
                  <c:v>0.52299999999999747</c:v>
                </c:pt>
                <c:pt idx="93">
                  <c:v>0.52249999999999752</c:v>
                </c:pt>
                <c:pt idx="94">
                  <c:v>0.52249999999999752</c:v>
                </c:pt>
                <c:pt idx="95">
                  <c:v>0.58999999999999564</c:v>
                </c:pt>
                <c:pt idx="96">
                  <c:v>0.62699999999999156</c:v>
                </c:pt>
                <c:pt idx="97">
                  <c:v>0.65849999999998809</c:v>
                </c:pt>
                <c:pt idx="98">
                  <c:v>0.66949999999998688</c:v>
                </c:pt>
                <c:pt idx="99">
                  <c:v>0.66549999999998732</c:v>
                </c:pt>
                <c:pt idx="100">
                  <c:v>0.68949999999998468</c:v>
                </c:pt>
                <c:pt idx="101">
                  <c:v>0.68249999999998545</c:v>
                </c:pt>
                <c:pt idx="102">
                  <c:v>0.71949999999998138</c:v>
                </c:pt>
                <c:pt idx="103">
                  <c:v>0.72349999999999193</c:v>
                </c:pt>
                <c:pt idx="104">
                  <c:v>0.73899999999999022</c:v>
                </c:pt>
                <c:pt idx="105">
                  <c:v>0.75149999999998884</c:v>
                </c:pt>
                <c:pt idx="106">
                  <c:v>0.799499999999989</c:v>
                </c:pt>
                <c:pt idx="107">
                  <c:v>0.51099999999999879</c:v>
                </c:pt>
                <c:pt idx="108">
                  <c:v>0.52199999999999758</c:v>
                </c:pt>
                <c:pt idx="109">
                  <c:v>0.52349999999999741</c:v>
                </c:pt>
                <c:pt idx="110">
                  <c:v>0.52149999999999763</c:v>
                </c:pt>
                <c:pt idx="111">
                  <c:v>0.54699999999999482</c:v>
                </c:pt>
                <c:pt idx="112">
                  <c:v>0.62499999999998623</c:v>
                </c:pt>
                <c:pt idx="113">
                  <c:v>0.65749999999998265</c:v>
                </c:pt>
                <c:pt idx="114">
                  <c:v>0.66949999999998133</c:v>
                </c:pt>
                <c:pt idx="115">
                  <c:v>0.66449999999998188</c:v>
                </c:pt>
                <c:pt idx="116">
                  <c:v>0.68899999999997918</c:v>
                </c:pt>
                <c:pt idx="117">
                  <c:v>0.68199999999997996</c:v>
                </c:pt>
                <c:pt idx="118">
                  <c:v>0.71949999999997583</c:v>
                </c:pt>
                <c:pt idx="119">
                  <c:v>0.72349999999999193</c:v>
                </c:pt>
                <c:pt idx="120">
                  <c:v>0.73899999999999022</c:v>
                </c:pt>
                <c:pt idx="121">
                  <c:v>0.75199999999998879</c:v>
                </c:pt>
                <c:pt idx="122">
                  <c:v>0.799499999999989</c:v>
                </c:pt>
                <c:pt idx="123">
                  <c:v>0.50099999999999989</c:v>
                </c:pt>
                <c:pt idx="124">
                  <c:v>0.50949999999999895</c:v>
                </c:pt>
                <c:pt idx="125">
                  <c:v>0.52049999999999774</c:v>
                </c:pt>
                <c:pt idx="126">
                  <c:v>0.5244999999999973</c:v>
                </c:pt>
                <c:pt idx="127">
                  <c:v>0.51949999999999785</c:v>
                </c:pt>
                <c:pt idx="128">
                  <c:v>0.54299999999999526</c:v>
                </c:pt>
                <c:pt idx="129">
                  <c:v>0.62149999999998662</c:v>
                </c:pt>
                <c:pt idx="130">
                  <c:v>0.65499999999998293</c:v>
                </c:pt>
                <c:pt idx="131">
                  <c:v>0.66949999999998133</c:v>
                </c:pt>
                <c:pt idx="132">
                  <c:v>0.66299999999998205</c:v>
                </c:pt>
                <c:pt idx="133">
                  <c:v>0.68749999999997935</c:v>
                </c:pt>
                <c:pt idx="134">
                  <c:v>0.67849999999998034</c:v>
                </c:pt>
                <c:pt idx="135">
                  <c:v>0.71999999999997577</c:v>
                </c:pt>
                <c:pt idx="136">
                  <c:v>0.72299999999997544</c:v>
                </c:pt>
                <c:pt idx="137">
                  <c:v>0.73799999999999033</c:v>
                </c:pt>
                <c:pt idx="138">
                  <c:v>0.75149999999998884</c:v>
                </c:pt>
                <c:pt idx="139">
                  <c:v>0.79799999999998916</c:v>
                </c:pt>
                <c:pt idx="140">
                  <c:v>0.49300000000000005</c:v>
                </c:pt>
                <c:pt idx="141">
                  <c:v>0.49950000000000006</c:v>
                </c:pt>
                <c:pt idx="142">
                  <c:v>0.50749999999999917</c:v>
                </c:pt>
                <c:pt idx="143">
                  <c:v>0.51849999999999796</c:v>
                </c:pt>
                <c:pt idx="144">
                  <c:v>0.52599999999999714</c:v>
                </c:pt>
                <c:pt idx="145">
                  <c:v>0.51799999999999802</c:v>
                </c:pt>
                <c:pt idx="146">
                  <c:v>0.53749999999999587</c:v>
                </c:pt>
                <c:pt idx="147">
                  <c:v>0.61599999999998722</c:v>
                </c:pt>
                <c:pt idx="148">
                  <c:v>0.65199999999998326</c:v>
                </c:pt>
                <c:pt idx="149">
                  <c:v>0.66899999999998139</c:v>
                </c:pt>
                <c:pt idx="150">
                  <c:v>0.66149999999998221</c:v>
                </c:pt>
                <c:pt idx="151">
                  <c:v>0.68499999999997963</c:v>
                </c:pt>
                <c:pt idx="152">
                  <c:v>0.67199999999998106</c:v>
                </c:pt>
                <c:pt idx="153">
                  <c:v>0.71799999999997599</c:v>
                </c:pt>
                <c:pt idx="154">
                  <c:v>0.72149999999997561</c:v>
                </c:pt>
                <c:pt idx="155">
                  <c:v>0.73599999999999599</c:v>
                </c:pt>
                <c:pt idx="156">
                  <c:v>0.75049999999999439</c:v>
                </c:pt>
                <c:pt idx="157">
                  <c:v>0.50499999999999945</c:v>
                </c:pt>
                <c:pt idx="158">
                  <c:v>0.51549999999999829</c:v>
                </c:pt>
                <c:pt idx="159">
                  <c:v>0.52549999999999719</c:v>
                </c:pt>
                <c:pt idx="160">
                  <c:v>0.51749999999999807</c:v>
                </c:pt>
                <c:pt idx="161">
                  <c:v>0.53099999999999659</c:v>
                </c:pt>
                <c:pt idx="162">
                  <c:v>0.60849999999998805</c:v>
                </c:pt>
                <c:pt idx="163">
                  <c:v>0.64699999999998381</c:v>
                </c:pt>
                <c:pt idx="164">
                  <c:v>0.66699999999998161</c:v>
                </c:pt>
                <c:pt idx="165">
                  <c:v>0.66349999999998199</c:v>
                </c:pt>
                <c:pt idx="166">
                  <c:v>0.68049999999998012</c:v>
                </c:pt>
                <c:pt idx="167">
                  <c:v>0.69999999999997797</c:v>
                </c:pt>
                <c:pt idx="168">
                  <c:v>0.71149999999997671</c:v>
                </c:pt>
                <c:pt idx="169">
                  <c:v>0.71649999999997616</c:v>
                </c:pt>
                <c:pt idx="170">
                  <c:v>0.73299999999997434</c:v>
                </c:pt>
                <c:pt idx="171">
                  <c:v>0.49550000000000005</c:v>
                </c:pt>
                <c:pt idx="186">
                  <c:v>0.47000000000000003</c:v>
                </c:pt>
                <c:pt idx="187">
                  <c:v>0.47100000000000003</c:v>
                </c:pt>
                <c:pt idx="188">
                  <c:v>0.47050000000000003</c:v>
                </c:pt>
                <c:pt idx="189">
                  <c:v>0.45250000000000001</c:v>
                </c:pt>
                <c:pt idx="190">
                  <c:v>0.46400000000000002</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8918-4CF8-A648-FB854299BC7A}"/>
            </c:ext>
          </c:extLst>
        </c:ser>
        <c:dLbls>
          <c:showLegendKey val="0"/>
          <c:showVal val="0"/>
          <c:showCatName val="0"/>
          <c:showSerName val="0"/>
          <c:showPercent val="0"/>
          <c:showBubbleSize val="0"/>
        </c:dLbls>
        <c:axId val="371226112"/>
        <c:axId val="371228032"/>
        <c:extLst>
          <c:ext xmlns:c15="http://schemas.microsoft.com/office/drawing/2012/chart" uri="{02D57815-91ED-43cb-92C2-25804820EDAC}">
            <c15:filteredScatterSeries>
              <c15:ser>
                <c:idx val="9"/>
                <c:order val="0"/>
                <c:tx>
                  <c:v>MRC (CI=0)</c:v>
                </c:tx>
                <c:spPr>
                  <a:ln w="44450">
                    <a:noFill/>
                    <a:prstDash val="sysDash"/>
                  </a:ln>
                </c:spPr>
                <c:marker>
                  <c:symbol val="circle"/>
                  <c:size val="5"/>
                  <c:spPr>
                    <a:solidFill>
                      <a:srgbClr val="0070C0"/>
                    </a:solidFill>
                    <a:ln>
                      <a:solidFill>
                        <a:srgbClr val="0070C0"/>
                      </a:solidFill>
                    </a:ln>
                  </c:spPr>
                </c:marker>
                <c:trendline>
                  <c:spPr>
                    <a:ln w="25400">
                      <a:solidFill>
                        <a:sysClr val="windowText" lastClr="000000"/>
                      </a:solidFill>
                    </a:ln>
                  </c:spPr>
                  <c:trendlineType val="poly"/>
                  <c:order val="6"/>
                  <c:dispRSqr val="1"/>
                  <c:dispEq val="1"/>
                  <c:trendlineLbl>
                    <c:layout>
                      <c:manualLayout>
                        <c:x val="5.1545212812537669E-2"/>
                        <c:y val="0.50040037019762951"/>
                      </c:manualLayout>
                    </c:layout>
                    <c:numFmt formatCode="0.00000E+00" sourceLinked="0"/>
                    <c:spPr>
                      <a:solidFill>
                        <a:srgbClr val="ECEADC"/>
                      </a:solidFill>
                    </c:spPr>
                    <c:txPr>
                      <a:bodyPr/>
                      <a:lstStyle/>
                      <a:p>
                        <a:pPr>
                          <a:defRPr sz="1200" b="1"/>
                        </a:pPr>
                        <a:endParaRPr lang="en-US"/>
                      </a:p>
                    </c:txPr>
                  </c:trendlineLbl>
                </c:trendline>
                <c:xVal>
                  <c:numRef>
                    <c:extLst>
                      <c:ext uri="{02D57815-91ED-43cb-92C2-25804820EDAC}">
                        <c15:formulaRef>
                          <c15:sqref>'[1]ECON Model'!$P$37:$P$227</c15:sqref>
                        </c15:formulaRef>
                      </c:ext>
                    </c:extLst>
                    <c:numCache>
                      <c:formatCode>General</c:formatCode>
                      <c:ptCount val="191"/>
                      <c:pt idx="0">
                        <c:v>1010.2339964072748</c:v>
                      </c:pt>
                      <c:pt idx="1">
                        <c:v>1057.5009955385372</c:v>
                      </c:pt>
                      <c:pt idx="2">
                        <c:v>1107.4238723061837</c:v>
                      </c:pt>
                      <c:pt idx="3">
                        <c:v>1160.1772754625108</c:v>
                      </c:pt>
                      <c:pt idx="4">
                        <c:v>853.37195721189403</c:v>
                      </c:pt>
                      <c:pt idx="5">
                        <c:v>892.2612538396603</c:v>
                      </c:pt>
                      <c:pt idx="6">
                        <c:v>933.27837098856617</c:v>
                      </c:pt>
                      <c:pt idx="7">
                        <c:v>976.55952986036561</c:v>
                      </c:pt>
                      <c:pt idx="8">
                        <c:v>1022.2509623539192</c:v>
                      </c:pt>
                      <c:pt idx="9">
                        <c:v>1070.509743229311</c:v>
                      </c:pt>
                      <c:pt idx="10">
                        <c:v>1121.5046996137605</c:v>
                      </c:pt>
                      <c:pt idx="11">
                        <c:v>1175.4174058103183</c:v>
                      </c:pt>
                      <c:pt idx="12">
                        <c:v>823.94533799769079</c:v>
                      </c:pt>
                      <c:pt idx="13">
                        <c:v>861.49362439691333</c:v>
                      </c:pt>
                      <c:pt idx="14">
                        <c:v>901.09635819585696</c:v>
                      </c:pt>
                      <c:pt idx="15">
                        <c:v>942.8850633134565</c:v>
                      </c:pt>
                      <c:pt idx="16">
                        <c:v>987.00092916930134</c:v>
                      </c:pt>
                      <c:pt idx="17">
                        <c:v>1033.5956141524382</c:v>
                      </c:pt>
                      <c:pt idx="18">
                        <c:v>1082.83212376501</c:v>
                      </c:pt>
                      <c:pt idx="19">
                        <c:v>1134.8857711272037</c:v>
                      </c:pt>
                      <c:pt idx="20">
                        <c:v>1189.9452283993801</c:v>
                      </c:pt>
                      <c:pt idx="21">
                        <c:v>794.51871878348754</c:v>
                      </c:pt>
                      <c:pt idx="22">
                        <c:v>830.72599495416648</c:v>
                      </c:pt>
                      <c:pt idx="23">
                        <c:v>868.91434540314776</c:v>
                      </c:pt>
                      <c:pt idx="24">
                        <c:v>909.21059676654727</c:v>
                      </c:pt>
                      <c:pt idx="25">
                        <c:v>951.75089598468344</c:v>
                      </c:pt>
                      <c:pt idx="26">
                        <c:v>996.68148507556543</c:v>
                      </c:pt>
                      <c:pt idx="27">
                        <c:v>1044.1595479162597</c:v>
                      </c:pt>
                      <c:pt idx="28">
                        <c:v>1094.3541364440894</c:v>
                      </c:pt>
                      <c:pt idx="29">
                        <c:v>1147.4471845279738</c:v>
                      </c:pt>
                      <c:pt idx="30">
                        <c:v>1203.6346187020677</c:v>
                      </c:pt>
                      <c:pt idx="31">
                        <c:v>765.0920995692843</c:v>
                      </c:pt>
                      <c:pt idx="32">
                        <c:v>799.95836551141952</c:v>
                      </c:pt>
                      <c:pt idx="33">
                        <c:v>836.73233261043856</c:v>
                      </c:pt>
                      <c:pt idx="34">
                        <c:v>875.53613021963815</c:v>
                      </c:pt>
                      <c:pt idx="35">
                        <c:v>916.50086280006553</c:v>
                      </c:pt>
                      <c:pt idx="36">
                        <c:v>959.76735599869266</c:v>
                      </c:pt>
                      <c:pt idx="37">
                        <c:v>1005.4869720675094</c:v>
                      </c:pt>
                      <c:pt idx="38">
                        <c:v>1053.822501760975</c:v>
                      </c:pt>
                      <c:pt idx="39">
                        <c:v>1104.9491406565674</c:v>
                      </c:pt>
                      <c:pt idx="40">
                        <c:v>1159.0555587501392</c:v>
                      </c:pt>
                      <c:pt idx="41">
                        <c:v>1216.1219409583473</c:v>
                      </c:pt>
                      <c:pt idx="42">
                        <c:v>735.66548035508106</c:v>
                      </c:pt>
                      <c:pt idx="43">
                        <c:v>769.19073606867266</c:v>
                      </c:pt>
                      <c:pt idx="44">
                        <c:v>804.55031981772947</c:v>
                      </c:pt>
                      <c:pt idx="45">
                        <c:v>841.86166367272904</c:v>
                      </c:pt>
                      <c:pt idx="46">
                        <c:v>881.25082961544763</c:v>
                      </c:pt>
                      <c:pt idx="47">
                        <c:v>922.8532269218199</c:v>
                      </c:pt>
                      <c:pt idx="48">
                        <c:v>966.81439621875904</c:v>
                      </c:pt>
                      <c:pt idx="49">
                        <c:v>1013.2908670778605</c:v>
                      </c:pt>
                      <c:pt idx="50">
                        <c:v>1062.4510967851609</c:v>
                      </c:pt>
                      <c:pt idx="51">
                        <c:v>1114.4764987982107</c:v>
                      </c:pt>
                      <c:pt idx="52">
                        <c:v>1169.348020152257</c:v>
                      </c:pt>
                      <c:pt idx="53">
                        <c:v>706.23886114087782</c:v>
                      </c:pt>
                      <c:pt idx="54">
                        <c:v>738.4231066259257</c:v>
                      </c:pt>
                      <c:pt idx="55">
                        <c:v>772.36830702502027</c:v>
                      </c:pt>
                      <c:pt idx="56">
                        <c:v>808.18719712581981</c:v>
                      </c:pt>
                      <c:pt idx="57">
                        <c:v>846.00079643082972</c:v>
                      </c:pt>
                      <c:pt idx="58">
                        <c:v>885.93909784494713</c:v>
                      </c:pt>
                      <c:pt idx="59">
                        <c:v>928.14182037000865</c:v>
                      </c:pt>
                      <c:pt idx="60">
                        <c:v>972.75923239474616</c:v>
                      </c:pt>
                      <c:pt idx="61">
                        <c:v>1019.9530529137544</c:v>
                      </c:pt>
                      <c:pt idx="62">
                        <c:v>1069.8974388462823</c:v>
                      </c:pt>
                      <c:pt idx="63">
                        <c:v>1122.5740993461668</c:v>
                      </c:pt>
                      <c:pt idx="64">
                        <c:v>1177.8465472315372</c:v>
                      </c:pt>
                      <c:pt idx="65">
                        <c:v>676.81224192667457</c:v>
                      </c:pt>
                      <c:pt idx="66">
                        <c:v>707.65547718317885</c:v>
                      </c:pt>
                      <c:pt idx="67">
                        <c:v>740.18629423231107</c:v>
                      </c:pt>
                      <c:pt idx="68">
                        <c:v>774.51273057891069</c:v>
                      </c:pt>
                      <c:pt idx="69">
                        <c:v>810.75076324621182</c:v>
                      </c:pt>
                      <c:pt idx="70">
                        <c:v>849.02496876807425</c:v>
                      </c:pt>
                      <c:pt idx="71">
                        <c:v>889.46924452125836</c:v>
                      </c:pt>
                      <c:pt idx="72">
                        <c:v>932.22759771163169</c:v>
                      </c:pt>
                      <c:pt idx="73">
                        <c:v>977.45500904234802</c:v>
                      </c:pt>
                      <c:pt idx="74">
                        <c:v>1025.3183788943538</c:v>
                      </c:pt>
                      <c:pt idx="75">
                        <c:v>1075.8001785400766</c:v>
                      </c:pt>
                      <c:pt idx="76">
                        <c:v>1128.7696077635567</c:v>
                      </c:pt>
                      <c:pt idx="77">
                        <c:v>1184.347105370209</c:v>
                      </c:pt>
                      <c:pt idx="78">
                        <c:v>647.38562271247133</c:v>
                      </c:pt>
                      <c:pt idx="79">
                        <c:v>676.88784774043188</c:v>
                      </c:pt>
                      <c:pt idx="80">
                        <c:v>708.00428143960187</c:v>
                      </c:pt>
                      <c:pt idx="81">
                        <c:v>740.83826403200158</c:v>
                      </c:pt>
                      <c:pt idx="82">
                        <c:v>775.50073006159391</c:v>
                      </c:pt>
                      <c:pt idx="83">
                        <c:v>812.11083969120148</c:v>
                      </c:pt>
                      <c:pt idx="84">
                        <c:v>850.79666867250796</c:v>
                      </c:pt>
                      <c:pt idx="85">
                        <c:v>891.69596302851733</c:v>
                      </c:pt>
                      <c:pt idx="86">
                        <c:v>934.95696517094154</c:v>
                      </c:pt>
                      <c:pt idx="87">
                        <c:v>980.73931894242548</c:v>
                      </c:pt>
                      <c:pt idx="88">
                        <c:v>1029.0262577339863</c:v>
                      </c:pt>
                      <c:pt idx="89">
                        <c:v>1079.6926682955759</c:v>
                      </c:pt>
                      <c:pt idx="90">
                        <c:v>1132.8537529628086</c:v>
                      </c:pt>
                      <c:pt idx="91">
                        <c:v>1188.6323425978744</c:v>
                      </c:pt>
                      <c:pt idx="92">
                        <c:v>617.95900349826809</c:v>
                      </c:pt>
                      <c:pt idx="93">
                        <c:v>646.12021829768503</c:v>
                      </c:pt>
                      <c:pt idx="94">
                        <c:v>675.82226864689278</c:v>
                      </c:pt>
                      <c:pt idx="95">
                        <c:v>707.16379748509235</c:v>
                      </c:pt>
                      <c:pt idx="96">
                        <c:v>740.25069687697601</c:v>
                      </c:pt>
                      <c:pt idx="97">
                        <c:v>775.19671061432871</c:v>
                      </c:pt>
                      <c:pt idx="98">
                        <c:v>812.12409282375756</c:v>
                      </c:pt>
                      <c:pt idx="99">
                        <c:v>851.16432834540285</c:v>
                      </c:pt>
                      <c:pt idx="100">
                        <c:v>892.45892129953518</c:v>
                      </c:pt>
                      <c:pt idx="101">
                        <c:v>936.16025899049703</c:v>
                      </c:pt>
                      <c:pt idx="102">
                        <c:v>982.25233692789595</c:v>
                      </c:pt>
                      <c:pt idx="103">
                        <c:v>1030.6157288275951</c:v>
                      </c:pt>
                      <c:pt idx="104">
                        <c:v>1081.3604005554082</c:v>
                      </c:pt>
                      <c:pt idx="105">
                        <c:v>1134.6035997525166</c:v>
                      </c:pt>
                      <c:pt idx="106">
                        <c:v>1190.4683470100929</c:v>
                      </c:pt>
                      <c:pt idx="107">
                        <c:v>588.53238428406485</c:v>
                      </c:pt>
                      <c:pt idx="108">
                        <c:v>615.35258885493818</c:v>
                      </c:pt>
                      <c:pt idx="109">
                        <c:v>643.64025585418358</c:v>
                      </c:pt>
                      <c:pt idx="110">
                        <c:v>673.48933093818323</c:v>
                      </c:pt>
                      <c:pt idx="111">
                        <c:v>705.0006636923581</c:v>
                      </c:pt>
                      <c:pt idx="112">
                        <c:v>738.28258153745594</c:v>
                      </c:pt>
                      <c:pt idx="113">
                        <c:v>773.45151697500728</c:v>
                      </c:pt>
                      <c:pt idx="114">
                        <c:v>810.63269366228849</c:v>
                      </c:pt>
                      <c:pt idx="115">
                        <c:v>849.9608774281287</c:v>
                      </c:pt>
                      <c:pt idx="116">
                        <c:v>891.58119903856857</c:v>
                      </c:pt>
                      <c:pt idx="117">
                        <c:v>935.47841612180571</c:v>
                      </c:pt>
                      <c:pt idx="118">
                        <c:v>981.53878935961438</c:v>
                      </c:pt>
                      <c:pt idx="119">
                        <c:v>1029.8670481480078</c:v>
                      </c:pt>
                      <c:pt idx="120">
                        <c:v>1080.5748569071586</c:v>
                      </c:pt>
                      <c:pt idx="121">
                        <c:v>1133.7793781048504</c:v>
                      </c:pt>
                      <c:pt idx="122">
                        <c:v>1189.6035429651547</c:v>
                      </c:pt>
                      <c:pt idx="123">
                        <c:v>559.1057650698616</c:v>
                      </c:pt>
                      <c:pt idx="124">
                        <c:v>584.58495941219121</c:v>
                      </c:pt>
                      <c:pt idx="125">
                        <c:v>611.45824306147438</c:v>
                      </c:pt>
                      <c:pt idx="126">
                        <c:v>639.814864391274</c:v>
                      </c:pt>
                      <c:pt idx="127">
                        <c:v>669.7506305077402</c:v>
                      </c:pt>
                      <c:pt idx="128">
                        <c:v>701.36845246058306</c:v>
                      </c:pt>
                      <c:pt idx="129">
                        <c:v>734.77894112625688</c:v>
                      </c:pt>
                      <c:pt idx="130">
                        <c:v>770.10105897917401</c:v>
                      </c:pt>
                      <c:pt idx="131">
                        <c:v>807.46283355672222</c:v>
                      </c:pt>
                      <c:pt idx="132">
                        <c:v>847.00213908664023</c:v>
                      </c:pt>
                      <c:pt idx="133">
                        <c:v>888.70449531571535</c:v>
                      </c:pt>
                      <c:pt idx="134">
                        <c:v>932.46184989163373</c:v>
                      </c:pt>
                      <c:pt idx="135">
                        <c:v>978.37369574060745</c:v>
                      </c:pt>
                      <c:pt idx="136">
                        <c:v>1026.5461140618006</c:v>
                      </c:pt>
                      <c:pt idx="137">
                        <c:v>1077.0904091996078</c:v>
                      </c:pt>
                      <c:pt idx="138">
                        <c:v>1130.1233658168969</c:v>
                      </c:pt>
                      <c:pt idx="139">
                        <c:v>1185.7675187307548</c:v>
                      </c:pt>
                      <c:pt idx="140">
                        <c:v>529.67914585565836</c:v>
                      </c:pt>
                      <c:pt idx="141">
                        <c:v>553.81732996944436</c:v>
                      </c:pt>
                      <c:pt idx="142">
                        <c:v>579.27623026876518</c:v>
                      </c:pt>
                      <c:pt idx="143">
                        <c:v>606.14039784436488</c:v>
                      </c:pt>
                      <c:pt idx="144">
                        <c:v>634.50059732312229</c:v>
                      </c:pt>
                      <c:pt idx="145">
                        <c:v>664.45432338371029</c:v>
                      </c:pt>
                      <c:pt idx="146">
                        <c:v>696.10636527750648</c:v>
                      </c:pt>
                      <c:pt idx="147">
                        <c:v>729.56942429605954</c:v>
                      </c:pt>
                      <c:pt idx="148">
                        <c:v>764.96478968531585</c:v>
                      </c:pt>
                      <c:pt idx="149">
                        <c:v>802.42307913471177</c:v>
                      </c:pt>
                      <c:pt idx="150">
                        <c:v>841.9305745096251</c:v>
                      </c:pt>
                      <c:pt idx="151">
                        <c:v>883.38491042365297</c:v>
                      </c:pt>
                      <c:pt idx="152">
                        <c:v>926.88034333320707</c:v>
                      </c:pt>
                      <c:pt idx="153">
                        <c:v>972.51737121644271</c:v>
                      </c:pt>
                      <c:pt idx="154">
                        <c:v>1020.4014402943653</c:v>
                      </c:pt>
                      <c:pt idx="155">
                        <c:v>1070.6431886686391</c:v>
                      </c:pt>
                      <c:pt idx="156">
                        <c:v>1123.3587019554518</c:v>
                      </c:pt>
                      <c:pt idx="157">
                        <c:v>572.46593129745577</c:v>
                      </c:pt>
                      <c:pt idx="158">
                        <c:v>599.25056413850439</c:v>
                      </c:pt>
                      <c:pt idx="159">
                        <c:v>627.54019430683752</c:v>
                      </c:pt>
                      <c:pt idx="160">
                        <c:v>657.4337894287562</c:v>
                      </c:pt>
                      <c:pt idx="161">
                        <c:v>689.03778961294518</c:v>
                      </c:pt>
                      <c:pt idx="162">
                        <c:v>722.46674581390937</c:v>
                      </c:pt>
                      <c:pt idx="163">
                        <c:v>757.84401918278331</c:v>
                      </c:pt>
                      <c:pt idx="164">
                        <c:v>795.15665370353486</c:v>
                      </c:pt>
                      <c:pt idx="165">
                        <c:v>834.30797095567232</c:v>
                      </c:pt>
                      <c:pt idx="166">
                        <c:v>875.38699092580669</c:v>
                      </c:pt>
                      <c:pt idx="167">
                        <c:v>918.48862837108481</c:v>
                      </c:pt>
                      <c:pt idx="168">
                        <c:v>963.71247138912281</c:v>
                      </c:pt>
                      <c:pt idx="169">
                        <c:v>1011.1630115203815</c:v>
                      </c:pt>
                      <c:pt idx="170">
                        <c:v>1060.9498851801491</c:v>
                      </c:pt>
                      <c:pt idx="171">
                        <c:v>538.79146475054654</c:v>
                      </c:pt>
                      <c:pt idx="172">
                        <c:v>564.00053095388648</c:v>
                      </c:pt>
                      <c:pt idx="173">
                        <c:v>590.62606522996475</c:v>
                      </c:pt>
                      <c:pt idx="174">
                        <c:v>618.7612135800058</c:v>
                      </c:pt>
                      <c:pt idx="175">
                        <c:v>648.5061549298307</c:v>
                      </c:pt>
                      <c:pt idx="176">
                        <c:v>679.968701942503</c:v>
                      </c:pt>
                      <c:pt idx="177">
                        <c:v>713.26495923085486</c:v>
                      </c:pt>
                      <c:pt idx="178">
                        <c:v>748.3827328974445</c:v>
                      </c:pt>
                      <c:pt idx="179">
                        <c:v>785.23103148769155</c:v>
                      </c:pt>
                      <c:pt idx="180">
                        <c:v>823.89363851840631</c:v>
                      </c:pt>
                      <c:pt idx="181">
                        <c:v>864.45988552572692</c:v>
                      </c:pt>
                      <c:pt idx="182">
                        <c:v>907.02350248388029</c:v>
                      </c:pt>
                      <c:pt idx="183">
                        <c:v>951.68283437212369</c:v>
                      </c:pt>
                      <c:pt idx="184">
                        <c:v>998.5410684048461</c:v>
                      </c:pt>
                      <c:pt idx="186">
                        <c:v>471.44253165672825</c:v>
                      </c:pt>
                      <c:pt idx="187">
                        <c:v>485.05499134281831</c:v>
                      </c:pt>
                      <c:pt idx="188">
                        <c:v>478.73601376681046</c:v>
                      </c:pt>
                      <c:pt idx="189">
                        <c:v>389.83460416282844</c:v>
                      </c:pt>
                      <c:pt idx="190">
                        <c:v>436.23397772975397</c:v>
                      </c:pt>
                    </c:numCache>
                  </c:numRef>
                </c:xVal>
                <c:yVal>
                  <c:numRef>
                    <c:extLst>
                      <c:ext uri="{02D57815-91ED-43cb-92C2-25804820EDAC}">
                        <c15:formulaRef>
                          <c15:sqref>'[1]ECON Model'!$D$37:$D$227</c15:sqref>
                        </c15:formulaRef>
                      </c:ext>
                    </c:extLst>
                    <c:numCache>
                      <c:formatCode>General</c:formatCode>
                      <c:ptCount val="191"/>
                      <c:pt idx="0">
                        <c:v>0.81999999999998463</c:v>
                      </c:pt>
                      <c:pt idx="1">
                        <c:v>0.82149999999998446</c:v>
                      </c:pt>
                      <c:pt idx="2">
                        <c:v>0.82349999999998424</c:v>
                      </c:pt>
                      <c:pt idx="3">
                        <c:v>0.82549999999998402</c:v>
                      </c:pt>
                      <c:pt idx="4">
                        <c:v>0.80999999999996586</c:v>
                      </c:pt>
                      <c:pt idx="5">
                        <c:v>0.80999999999996586</c:v>
                      </c:pt>
                      <c:pt idx="6">
                        <c:v>0.80999999999996586</c:v>
                      </c:pt>
                      <c:pt idx="7">
                        <c:v>0.81599999999998507</c:v>
                      </c:pt>
                      <c:pt idx="8">
                        <c:v>0.8229999999999843</c:v>
                      </c:pt>
                      <c:pt idx="9">
                        <c:v>0.82249999999998435</c:v>
                      </c:pt>
                      <c:pt idx="10">
                        <c:v>0.82399999999998419</c:v>
                      </c:pt>
                      <c:pt idx="11">
                        <c:v>0.82449999999998413</c:v>
                      </c:pt>
                      <c:pt idx="12">
                        <c:v>0.75849999999997153</c:v>
                      </c:pt>
                      <c:pt idx="13">
                        <c:v>0.80999999999996586</c:v>
                      </c:pt>
                      <c:pt idx="14">
                        <c:v>0.80999999999996586</c:v>
                      </c:pt>
                      <c:pt idx="15">
                        <c:v>0.81199999999998551</c:v>
                      </c:pt>
                      <c:pt idx="16">
                        <c:v>0.81449999999998524</c:v>
                      </c:pt>
                      <c:pt idx="17">
                        <c:v>0.82099999999998452</c:v>
                      </c:pt>
                      <c:pt idx="18">
                        <c:v>0.82249999999998435</c:v>
                      </c:pt>
                      <c:pt idx="19">
                        <c:v>0.82449999999998413</c:v>
                      </c:pt>
                      <c:pt idx="20">
                        <c:v>0.82249999999998435</c:v>
                      </c:pt>
                      <c:pt idx="21">
                        <c:v>0.75199999999997225</c:v>
                      </c:pt>
                      <c:pt idx="22">
                        <c:v>0.80999999999996586</c:v>
                      </c:pt>
                      <c:pt idx="23">
                        <c:v>0.80999999999996586</c:v>
                      </c:pt>
                      <c:pt idx="24">
                        <c:v>0.80949999999998246</c:v>
                      </c:pt>
                      <c:pt idx="25">
                        <c:v>0.82799999999998042</c:v>
                      </c:pt>
                      <c:pt idx="26">
                        <c:v>0.81499999999998185</c:v>
                      </c:pt>
                      <c:pt idx="27">
                        <c:v>0.82049999999998124</c:v>
                      </c:pt>
                      <c:pt idx="28">
                        <c:v>0.82299999999998097</c:v>
                      </c:pt>
                      <c:pt idx="29">
                        <c:v>0.82549999999998069</c:v>
                      </c:pt>
                      <c:pt idx="30">
                        <c:v>0.8184999999999869</c:v>
                      </c:pt>
                      <c:pt idx="31">
                        <c:v>0.74849999999997263</c:v>
                      </c:pt>
                      <c:pt idx="32">
                        <c:v>0.75299999999997214</c:v>
                      </c:pt>
                      <c:pt idx="33">
                        <c:v>0.80999999999996586</c:v>
                      </c:pt>
                      <c:pt idx="34">
                        <c:v>0.8099999999999824</c:v>
                      </c:pt>
                      <c:pt idx="35">
                        <c:v>0.8099999999999824</c:v>
                      </c:pt>
                      <c:pt idx="36">
                        <c:v>0.8244999999999808</c:v>
                      </c:pt>
                      <c:pt idx="37">
                        <c:v>0.81749999999998157</c:v>
                      </c:pt>
                      <c:pt idx="38">
                        <c:v>0.82099999999998119</c:v>
                      </c:pt>
                      <c:pt idx="39">
                        <c:v>0.82349999999998091</c:v>
                      </c:pt>
                      <c:pt idx="40">
                        <c:v>0.82599999999998397</c:v>
                      </c:pt>
                      <c:pt idx="41">
                        <c:v>0.81799999999998696</c:v>
                      </c:pt>
                      <c:pt idx="42">
                        <c:v>0.74549999999997296</c:v>
                      </c:pt>
                      <c:pt idx="43">
                        <c:v>0.74899999999997258</c:v>
                      </c:pt>
                      <c:pt idx="44">
                        <c:v>0.75399999999997203</c:v>
                      </c:pt>
                      <c:pt idx="45">
                        <c:v>0.80999999999997685</c:v>
                      </c:pt>
                      <c:pt idx="46">
                        <c:v>0.80999999999997685</c:v>
                      </c:pt>
                      <c:pt idx="47">
                        <c:v>0.80999999999997685</c:v>
                      </c:pt>
                      <c:pt idx="48">
                        <c:v>0.82049999999997569</c:v>
                      </c:pt>
                      <c:pt idx="49">
                        <c:v>0.82149999999997558</c:v>
                      </c:pt>
                      <c:pt idx="50">
                        <c:v>0.82199999999997553</c:v>
                      </c:pt>
                      <c:pt idx="51">
                        <c:v>0.82399999999998086</c:v>
                      </c:pt>
                      <c:pt idx="52">
                        <c:v>0.82499999999998297</c:v>
                      </c:pt>
                      <c:pt idx="53">
                        <c:v>0.72649999999997505</c:v>
                      </c:pt>
                      <c:pt idx="54">
                        <c:v>0.74599999999997291</c:v>
                      </c:pt>
                      <c:pt idx="55">
                        <c:v>0.74949999999997252</c:v>
                      </c:pt>
                      <c:pt idx="56">
                        <c:v>0.75499999999998291</c:v>
                      </c:pt>
                      <c:pt idx="57">
                        <c:v>0.80999999999997685</c:v>
                      </c:pt>
                      <c:pt idx="58">
                        <c:v>0.80999999999997685</c:v>
                      </c:pt>
                      <c:pt idx="59">
                        <c:v>0.80999999999997685</c:v>
                      </c:pt>
                      <c:pt idx="60">
                        <c:v>0.81699999999997608</c:v>
                      </c:pt>
                      <c:pt idx="61">
                        <c:v>0.82349999999997536</c:v>
                      </c:pt>
                      <c:pt idx="62">
                        <c:v>0.82249999999998646</c:v>
                      </c:pt>
                      <c:pt idx="63">
                        <c:v>0.82399999999998086</c:v>
                      </c:pt>
                      <c:pt idx="64">
                        <c:v>0.82399999999998519</c:v>
                      </c:pt>
                      <c:pt idx="65">
                        <c:v>0.70949999999997693</c:v>
                      </c:pt>
                      <c:pt idx="66">
                        <c:v>0.72749999999997494</c:v>
                      </c:pt>
                      <c:pt idx="67">
                        <c:v>0.74649999999997285</c:v>
                      </c:pt>
                      <c:pt idx="68">
                        <c:v>0.74999999999998346</c:v>
                      </c:pt>
                      <c:pt idx="69">
                        <c:v>0.75549999999998285</c:v>
                      </c:pt>
                      <c:pt idx="70">
                        <c:v>0.80999999999997685</c:v>
                      </c:pt>
                      <c:pt idx="71">
                        <c:v>0.80999999999997685</c:v>
                      </c:pt>
                      <c:pt idx="72">
                        <c:v>0.80999999999997685</c:v>
                      </c:pt>
                      <c:pt idx="73">
                        <c:v>0.81599999999997619</c:v>
                      </c:pt>
                      <c:pt idx="74">
                        <c:v>0.82299999999997542</c:v>
                      </c:pt>
                      <c:pt idx="75">
                        <c:v>0.82249999999997547</c:v>
                      </c:pt>
                      <c:pt idx="76">
                        <c:v>0.8244999999999808</c:v>
                      </c:pt>
                      <c:pt idx="77">
                        <c:v>0.82349999999998635</c:v>
                      </c:pt>
                      <c:pt idx="78">
                        <c:v>0.69649999999997836</c:v>
                      </c:pt>
                      <c:pt idx="79">
                        <c:v>0.70949999999997693</c:v>
                      </c:pt>
                      <c:pt idx="80">
                        <c:v>0.72799999999997489</c:v>
                      </c:pt>
                      <c:pt idx="81">
                        <c:v>0.74699999999997835</c:v>
                      </c:pt>
                      <c:pt idx="82">
                        <c:v>0.75049999999997796</c:v>
                      </c:pt>
                      <c:pt idx="83">
                        <c:v>0.75599999999997736</c:v>
                      </c:pt>
                      <c:pt idx="84">
                        <c:v>0.80999999999997141</c:v>
                      </c:pt>
                      <c:pt idx="85">
                        <c:v>0.80999999999997141</c:v>
                      </c:pt>
                      <c:pt idx="86">
                        <c:v>0.80999999999997141</c:v>
                      </c:pt>
                      <c:pt idx="87">
                        <c:v>0.8154999999999708</c:v>
                      </c:pt>
                      <c:pt idx="88">
                        <c:v>0.82199999999997553</c:v>
                      </c:pt>
                      <c:pt idx="89">
                        <c:v>0.82299999999997542</c:v>
                      </c:pt>
                      <c:pt idx="90">
                        <c:v>0.82449999999998191</c:v>
                      </c:pt>
                      <c:pt idx="91">
                        <c:v>0.82249999999998646</c:v>
                      </c:pt>
                      <c:pt idx="92">
                        <c:v>0.68599999999997952</c:v>
                      </c:pt>
                      <c:pt idx="93">
                        <c:v>0.69599999999997841</c:v>
                      </c:pt>
                      <c:pt idx="94">
                        <c:v>0.70949999999997693</c:v>
                      </c:pt>
                      <c:pt idx="95">
                        <c:v>0.72799999999998044</c:v>
                      </c:pt>
                      <c:pt idx="96">
                        <c:v>0.74749999999997829</c:v>
                      </c:pt>
                      <c:pt idx="97">
                        <c:v>0.75049999999997796</c:v>
                      </c:pt>
                      <c:pt idx="98">
                        <c:v>0.75599999999997736</c:v>
                      </c:pt>
                      <c:pt idx="99">
                        <c:v>0.80999999999997141</c:v>
                      </c:pt>
                      <c:pt idx="100">
                        <c:v>0.80999999999997141</c:v>
                      </c:pt>
                      <c:pt idx="101">
                        <c:v>0.81049999999997135</c:v>
                      </c:pt>
                      <c:pt idx="102">
                        <c:v>0.8154999999999708</c:v>
                      </c:pt>
                      <c:pt idx="103">
                        <c:v>0.82199999999998108</c:v>
                      </c:pt>
                      <c:pt idx="104">
                        <c:v>0.82299999999998097</c:v>
                      </c:pt>
                      <c:pt idx="105">
                        <c:v>0.82499999999998075</c:v>
                      </c:pt>
                      <c:pt idx="106">
                        <c:v>0.82249999999998646</c:v>
                      </c:pt>
                      <c:pt idx="107">
                        <c:v>0.67499999999998073</c:v>
                      </c:pt>
                      <c:pt idx="108">
                        <c:v>0.68549999999997957</c:v>
                      </c:pt>
                      <c:pt idx="109">
                        <c:v>0.69549999999997847</c:v>
                      </c:pt>
                      <c:pt idx="110">
                        <c:v>0.70849999999997704</c:v>
                      </c:pt>
                      <c:pt idx="111">
                        <c:v>0.72749999999997494</c:v>
                      </c:pt>
                      <c:pt idx="112">
                        <c:v>0.74749999999997274</c:v>
                      </c:pt>
                      <c:pt idx="113">
                        <c:v>0.75049999999997241</c:v>
                      </c:pt>
                      <c:pt idx="114">
                        <c:v>0.75599999999997181</c:v>
                      </c:pt>
                      <c:pt idx="115">
                        <c:v>0.80999999999996586</c:v>
                      </c:pt>
                      <c:pt idx="116">
                        <c:v>0.80999999999996586</c:v>
                      </c:pt>
                      <c:pt idx="117">
                        <c:v>0.8104999999999658</c:v>
                      </c:pt>
                      <c:pt idx="118">
                        <c:v>0.81549999999996525</c:v>
                      </c:pt>
                      <c:pt idx="119">
                        <c:v>0.82199999999998108</c:v>
                      </c:pt>
                      <c:pt idx="120">
                        <c:v>0.82299999999998097</c:v>
                      </c:pt>
                      <c:pt idx="121">
                        <c:v>0.82499999999998075</c:v>
                      </c:pt>
                      <c:pt idx="122">
                        <c:v>0.82249999999998646</c:v>
                      </c:pt>
                      <c:pt idx="123">
                        <c:v>0.66349999999998199</c:v>
                      </c:pt>
                      <c:pt idx="124">
                        <c:v>0.67399999999998084</c:v>
                      </c:pt>
                      <c:pt idx="125">
                        <c:v>0.68449999999997968</c:v>
                      </c:pt>
                      <c:pt idx="126">
                        <c:v>0.69449999999997858</c:v>
                      </c:pt>
                      <c:pt idx="127">
                        <c:v>0.70749999999997715</c:v>
                      </c:pt>
                      <c:pt idx="128">
                        <c:v>0.72549999999997516</c:v>
                      </c:pt>
                      <c:pt idx="129">
                        <c:v>0.7469999999999728</c:v>
                      </c:pt>
                      <c:pt idx="130">
                        <c:v>0.75049999999997241</c:v>
                      </c:pt>
                      <c:pt idx="131">
                        <c:v>0.75549999999997186</c:v>
                      </c:pt>
                      <c:pt idx="132">
                        <c:v>0.80999999999996586</c:v>
                      </c:pt>
                      <c:pt idx="133">
                        <c:v>0.80999999999996586</c:v>
                      </c:pt>
                      <c:pt idx="134">
                        <c:v>0.80999999999996586</c:v>
                      </c:pt>
                      <c:pt idx="135">
                        <c:v>0.8159999999999652</c:v>
                      </c:pt>
                      <c:pt idx="136">
                        <c:v>0.82249999999996448</c:v>
                      </c:pt>
                      <c:pt idx="137">
                        <c:v>0.82299999999998097</c:v>
                      </c:pt>
                      <c:pt idx="138">
                        <c:v>0.8244999999999808</c:v>
                      </c:pt>
                      <c:pt idx="139">
                        <c:v>0.82349999999998635</c:v>
                      </c:pt>
                      <c:pt idx="140">
                        <c:v>0.65599999999998282</c:v>
                      </c:pt>
                      <c:pt idx="141">
                        <c:v>0.66199999999998216</c:v>
                      </c:pt>
                      <c:pt idx="142">
                        <c:v>0.672499999999981</c:v>
                      </c:pt>
                      <c:pt idx="143">
                        <c:v>0.6824999999999799</c:v>
                      </c:pt>
                      <c:pt idx="144">
                        <c:v>0.69299999999997874</c:v>
                      </c:pt>
                      <c:pt idx="145">
                        <c:v>0.70549999999997737</c:v>
                      </c:pt>
                      <c:pt idx="146">
                        <c:v>0.72199999999997555</c:v>
                      </c:pt>
                      <c:pt idx="147">
                        <c:v>0.7469999999999728</c:v>
                      </c:pt>
                      <c:pt idx="148">
                        <c:v>0.75049999999997241</c:v>
                      </c:pt>
                      <c:pt idx="149">
                        <c:v>0.75449999999997197</c:v>
                      </c:pt>
                      <c:pt idx="150">
                        <c:v>0.80999999999996586</c:v>
                      </c:pt>
                      <c:pt idx="151">
                        <c:v>0.80999999999996586</c:v>
                      </c:pt>
                      <c:pt idx="152">
                        <c:v>0.80999999999996586</c:v>
                      </c:pt>
                      <c:pt idx="153">
                        <c:v>0.81749999999996503</c:v>
                      </c:pt>
                      <c:pt idx="154">
                        <c:v>0.82399999999996432</c:v>
                      </c:pt>
                      <c:pt idx="155">
                        <c:v>0.82249999999998646</c:v>
                      </c:pt>
                      <c:pt idx="156">
                        <c:v>0.82449999999998624</c:v>
                      </c:pt>
                      <c:pt idx="157">
                        <c:v>0.66999999999998128</c:v>
                      </c:pt>
                      <c:pt idx="158">
                        <c:v>0.68049999999998012</c:v>
                      </c:pt>
                      <c:pt idx="159">
                        <c:v>0.69099999999997896</c:v>
                      </c:pt>
                      <c:pt idx="160">
                        <c:v>0.70299999999997764</c:v>
                      </c:pt>
                      <c:pt idx="161">
                        <c:v>0.71849999999997594</c:v>
                      </c:pt>
                      <c:pt idx="162">
                        <c:v>0.74599999999997291</c:v>
                      </c:pt>
                      <c:pt idx="163">
                        <c:v>0.74999999999997247</c:v>
                      </c:pt>
                      <c:pt idx="164">
                        <c:v>0.75349999999997208</c:v>
                      </c:pt>
                      <c:pt idx="165">
                        <c:v>0.80999999999996586</c:v>
                      </c:pt>
                      <c:pt idx="166">
                        <c:v>0.80999999999996586</c:v>
                      </c:pt>
                      <c:pt idx="167">
                        <c:v>0.80999999999996586</c:v>
                      </c:pt>
                      <c:pt idx="168">
                        <c:v>0.82299999999996443</c:v>
                      </c:pt>
                      <c:pt idx="169">
                        <c:v>0.82099999999996465</c:v>
                      </c:pt>
                      <c:pt idx="170">
                        <c:v>0.82199999999996454</c:v>
                      </c:pt>
                      <c:pt idx="171">
                        <c:v>0.65749999999998265</c:v>
                      </c:pt>
                      <c:pt idx="172">
                        <c:v>0.6711999999999988</c:v>
                      </c:pt>
                      <c:pt idx="173">
                        <c:v>0.68599999999999939</c:v>
                      </c:pt>
                      <c:pt idx="174">
                        <c:v>0.69819999999999804</c:v>
                      </c:pt>
                      <c:pt idx="175">
                        <c:v>0.70919999999999683</c:v>
                      </c:pt>
                      <c:pt idx="176">
                        <c:v>0.71999999999999564</c:v>
                      </c:pt>
                      <c:pt idx="177">
                        <c:v>0.73279999999999423</c:v>
                      </c:pt>
                      <c:pt idx="178">
                        <c:v>0.7521999999999921</c:v>
                      </c:pt>
                      <c:pt idx="179">
                        <c:v>0.76179999999998771</c:v>
                      </c:pt>
                      <c:pt idx="180">
                        <c:v>0.7799999999999857</c:v>
                      </c:pt>
                      <c:pt idx="181">
                        <c:v>0.81279999999998542</c:v>
                      </c:pt>
                      <c:pt idx="182">
                        <c:v>0.81919999999998472</c:v>
                      </c:pt>
                      <c:pt idx="183">
                        <c:v>0.82319999999998428</c:v>
                      </c:pt>
                      <c:pt idx="184">
                        <c:v>0.8247999999999841</c:v>
                      </c:pt>
                      <c:pt idx="186">
                        <c:v>0.6234999999999864</c:v>
                      </c:pt>
                      <c:pt idx="187">
                        <c:v>0.62749999999998596</c:v>
                      </c:pt>
                      <c:pt idx="188">
                        <c:v>0.6234999999999864</c:v>
                      </c:pt>
                      <c:pt idx="189">
                        <c:v>0.5744999999999918</c:v>
                      </c:pt>
                      <c:pt idx="190">
                        <c:v>0.60249999999998871</c:v>
                      </c:pt>
                    </c:numCache>
                  </c:numRef>
                </c:yVal>
                <c:smooth val="0"/>
                <c:extLst>
                  <c:ext xmlns:c16="http://schemas.microsoft.com/office/drawing/2014/chart" uri="{C3380CC4-5D6E-409C-BE32-E72D297353CC}">
                    <c16:uniqueId val="{00000005-8918-4CF8-A648-FB854299BC7A}"/>
                  </c:ext>
                </c:extLst>
              </c15:ser>
            </c15:filteredScatterSeries>
            <c15:filteredScatterSeries>
              <c15:ser>
                <c:idx val="1"/>
                <c:order val="2"/>
                <c:tx>
                  <c:v>LRC</c:v>
                </c:tx>
                <c:spPr>
                  <a:ln w="38100">
                    <a:noFill/>
                    <a:prstDash val="dash"/>
                  </a:ln>
                </c:spPr>
                <c:marker>
                  <c:symbol val="square"/>
                  <c:size val="5"/>
                </c:marker>
                <c:trendline>
                  <c:spPr>
                    <a:ln w="25400"/>
                  </c:spPr>
                  <c:trendlineType val="poly"/>
                  <c:order val="6"/>
                  <c:dispRSqr val="1"/>
                  <c:dispEq val="1"/>
                  <c:trendlineLbl>
                    <c:layout>
                      <c:manualLayout>
                        <c:x val="5.1545212812537669E-2"/>
                        <c:y val="0.42893094830439255"/>
                      </c:manualLayout>
                    </c:layout>
                    <c:numFmt formatCode="0.00000E+00" sourceLinked="0"/>
                    <c:spPr>
                      <a:solidFill>
                        <a:srgbClr val="ECEADC"/>
                      </a:solidFill>
                    </c:spPr>
                    <c:txPr>
                      <a:bodyPr/>
                      <a:lstStyle/>
                      <a:p>
                        <a:pPr>
                          <a:defRPr sz="1200" b="1"/>
                        </a:pPr>
                        <a:endParaRPr lang="en-US"/>
                      </a:p>
                    </c:txPr>
                  </c:trendlineLbl>
                </c:trendline>
                <c:xVal>
                  <c:numRef>
                    <c:extLst xmlns:c15="http://schemas.microsoft.com/office/drawing/2012/chart">
                      <c:ext xmlns:c15="http://schemas.microsoft.com/office/drawing/2012/chart" uri="{02D57815-91ED-43cb-92C2-25804820EDAC}">
                        <c15:formulaRef>
                          <c15:sqref>'[1]ECON Model'!$P$37:$P$227</c15:sqref>
                        </c15:formulaRef>
                      </c:ext>
                    </c:extLst>
                    <c:numCache>
                      <c:formatCode>General</c:formatCode>
                      <c:ptCount val="191"/>
                      <c:pt idx="0">
                        <c:v>1010.2339964072748</c:v>
                      </c:pt>
                      <c:pt idx="1">
                        <c:v>1057.5009955385372</c:v>
                      </c:pt>
                      <c:pt idx="2">
                        <c:v>1107.4238723061837</c:v>
                      </c:pt>
                      <c:pt idx="3">
                        <c:v>1160.1772754625108</c:v>
                      </c:pt>
                      <c:pt idx="4">
                        <c:v>853.37195721189403</c:v>
                      </c:pt>
                      <c:pt idx="5">
                        <c:v>892.2612538396603</c:v>
                      </c:pt>
                      <c:pt idx="6">
                        <c:v>933.27837098856617</c:v>
                      </c:pt>
                      <c:pt idx="7">
                        <c:v>976.55952986036561</c:v>
                      </c:pt>
                      <c:pt idx="8">
                        <c:v>1022.2509623539192</c:v>
                      </c:pt>
                      <c:pt idx="9">
                        <c:v>1070.509743229311</c:v>
                      </c:pt>
                      <c:pt idx="10">
                        <c:v>1121.5046996137605</c:v>
                      </c:pt>
                      <c:pt idx="11">
                        <c:v>1175.4174058103183</c:v>
                      </c:pt>
                      <c:pt idx="12">
                        <c:v>823.94533799769079</c:v>
                      </c:pt>
                      <c:pt idx="13">
                        <c:v>861.49362439691333</c:v>
                      </c:pt>
                      <c:pt idx="14">
                        <c:v>901.09635819585696</c:v>
                      </c:pt>
                      <c:pt idx="15">
                        <c:v>942.8850633134565</c:v>
                      </c:pt>
                      <c:pt idx="16">
                        <c:v>987.00092916930134</c:v>
                      </c:pt>
                      <c:pt idx="17">
                        <c:v>1033.5956141524382</c:v>
                      </c:pt>
                      <c:pt idx="18">
                        <c:v>1082.83212376501</c:v>
                      </c:pt>
                      <c:pt idx="19">
                        <c:v>1134.8857711272037</c:v>
                      </c:pt>
                      <c:pt idx="20">
                        <c:v>1189.9452283993801</c:v>
                      </c:pt>
                      <c:pt idx="21">
                        <c:v>794.51871878348754</c:v>
                      </c:pt>
                      <c:pt idx="22">
                        <c:v>830.72599495416648</c:v>
                      </c:pt>
                      <c:pt idx="23">
                        <c:v>868.91434540314776</c:v>
                      </c:pt>
                      <c:pt idx="24">
                        <c:v>909.21059676654727</c:v>
                      </c:pt>
                      <c:pt idx="25">
                        <c:v>951.75089598468344</c:v>
                      </c:pt>
                      <c:pt idx="26">
                        <c:v>996.68148507556543</c:v>
                      </c:pt>
                      <c:pt idx="27">
                        <c:v>1044.1595479162597</c:v>
                      </c:pt>
                      <c:pt idx="28">
                        <c:v>1094.3541364440894</c:v>
                      </c:pt>
                      <c:pt idx="29">
                        <c:v>1147.4471845279738</c:v>
                      </c:pt>
                      <c:pt idx="30">
                        <c:v>1203.6346187020677</c:v>
                      </c:pt>
                      <c:pt idx="31">
                        <c:v>765.0920995692843</c:v>
                      </c:pt>
                      <c:pt idx="32">
                        <c:v>799.95836551141952</c:v>
                      </c:pt>
                      <c:pt idx="33">
                        <c:v>836.73233261043856</c:v>
                      </c:pt>
                      <c:pt idx="34">
                        <c:v>875.53613021963815</c:v>
                      </c:pt>
                      <c:pt idx="35">
                        <c:v>916.50086280006553</c:v>
                      </c:pt>
                      <c:pt idx="36">
                        <c:v>959.76735599869266</c:v>
                      </c:pt>
                      <c:pt idx="37">
                        <c:v>1005.4869720675094</c:v>
                      </c:pt>
                      <c:pt idx="38">
                        <c:v>1053.822501760975</c:v>
                      </c:pt>
                      <c:pt idx="39">
                        <c:v>1104.9491406565674</c:v>
                      </c:pt>
                      <c:pt idx="40">
                        <c:v>1159.0555587501392</c:v>
                      </c:pt>
                      <c:pt idx="41">
                        <c:v>1216.1219409583473</c:v>
                      </c:pt>
                      <c:pt idx="42">
                        <c:v>735.66548035508106</c:v>
                      </c:pt>
                      <c:pt idx="43">
                        <c:v>769.19073606867266</c:v>
                      </c:pt>
                      <c:pt idx="44">
                        <c:v>804.55031981772947</c:v>
                      </c:pt>
                      <c:pt idx="45">
                        <c:v>841.86166367272904</c:v>
                      </c:pt>
                      <c:pt idx="46">
                        <c:v>881.25082961544763</c:v>
                      </c:pt>
                      <c:pt idx="47">
                        <c:v>922.8532269218199</c:v>
                      </c:pt>
                      <c:pt idx="48">
                        <c:v>966.81439621875904</c:v>
                      </c:pt>
                      <c:pt idx="49">
                        <c:v>1013.2908670778605</c:v>
                      </c:pt>
                      <c:pt idx="50">
                        <c:v>1062.4510967851609</c:v>
                      </c:pt>
                      <c:pt idx="51">
                        <c:v>1114.4764987982107</c:v>
                      </c:pt>
                      <c:pt idx="52">
                        <c:v>1169.348020152257</c:v>
                      </c:pt>
                      <c:pt idx="53">
                        <c:v>706.23886114087782</c:v>
                      </c:pt>
                      <c:pt idx="54">
                        <c:v>738.4231066259257</c:v>
                      </c:pt>
                      <c:pt idx="55">
                        <c:v>772.36830702502027</c:v>
                      </c:pt>
                      <c:pt idx="56">
                        <c:v>808.18719712581981</c:v>
                      </c:pt>
                      <c:pt idx="57">
                        <c:v>846.00079643082972</c:v>
                      </c:pt>
                      <c:pt idx="58">
                        <c:v>885.93909784494713</c:v>
                      </c:pt>
                      <c:pt idx="59">
                        <c:v>928.14182037000865</c:v>
                      </c:pt>
                      <c:pt idx="60">
                        <c:v>972.75923239474616</c:v>
                      </c:pt>
                      <c:pt idx="61">
                        <c:v>1019.9530529137544</c:v>
                      </c:pt>
                      <c:pt idx="62">
                        <c:v>1069.8974388462823</c:v>
                      </c:pt>
                      <c:pt idx="63">
                        <c:v>1122.5740993461668</c:v>
                      </c:pt>
                      <c:pt idx="64">
                        <c:v>1177.8465472315372</c:v>
                      </c:pt>
                      <c:pt idx="65">
                        <c:v>676.81224192667457</c:v>
                      </c:pt>
                      <c:pt idx="66">
                        <c:v>707.65547718317885</c:v>
                      </c:pt>
                      <c:pt idx="67">
                        <c:v>740.18629423231107</c:v>
                      </c:pt>
                      <c:pt idx="68">
                        <c:v>774.51273057891069</c:v>
                      </c:pt>
                      <c:pt idx="69">
                        <c:v>810.75076324621182</c:v>
                      </c:pt>
                      <c:pt idx="70">
                        <c:v>849.02496876807425</c:v>
                      </c:pt>
                      <c:pt idx="71">
                        <c:v>889.46924452125836</c:v>
                      </c:pt>
                      <c:pt idx="72">
                        <c:v>932.22759771163169</c:v>
                      </c:pt>
                      <c:pt idx="73">
                        <c:v>977.45500904234802</c:v>
                      </c:pt>
                      <c:pt idx="74">
                        <c:v>1025.3183788943538</c:v>
                      </c:pt>
                      <c:pt idx="75">
                        <c:v>1075.8001785400766</c:v>
                      </c:pt>
                      <c:pt idx="76">
                        <c:v>1128.7696077635567</c:v>
                      </c:pt>
                      <c:pt idx="77">
                        <c:v>1184.347105370209</c:v>
                      </c:pt>
                      <c:pt idx="78">
                        <c:v>647.38562271247133</c:v>
                      </c:pt>
                      <c:pt idx="79">
                        <c:v>676.88784774043188</c:v>
                      </c:pt>
                      <c:pt idx="80">
                        <c:v>708.00428143960187</c:v>
                      </c:pt>
                      <c:pt idx="81">
                        <c:v>740.83826403200158</c:v>
                      </c:pt>
                      <c:pt idx="82">
                        <c:v>775.50073006159391</c:v>
                      </c:pt>
                      <c:pt idx="83">
                        <c:v>812.11083969120148</c:v>
                      </c:pt>
                      <c:pt idx="84">
                        <c:v>850.79666867250796</c:v>
                      </c:pt>
                      <c:pt idx="85">
                        <c:v>891.69596302851733</c:v>
                      </c:pt>
                      <c:pt idx="86">
                        <c:v>934.95696517094154</c:v>
                      </c:pt>
                      <c:pt idx="87">
                        <c:v>980.73931894242548</c:v>
                      </c:pt>
                      <c:pt idx="88">
                        <c:v>1029.0262577339863</c:v>
                      </c:pt>
                      <c:pt idx="89">
                        <c:v>1079.6926682955759</c:v>
                      </c:pt>
                      <c:pt idx="90">
                        <c:v>1132.8537529628086</c:v>
                      </c:pt>
                      <c:pt idx="91">
                        <c:v>1188.6323425978744</c:v>
                      </c:pt>
                      <c:pt idx="92">
                        <c:v>617.95900349826809</c:v>
                      </c:pt>
                      <c:pt idx="93">
                        <c:v>646.12021829768503</c:v>
                      </c:pt>
                      <c:pt idx="94">
                        <c:v>675.82226864689278</c:v>
                      </c:pt>
                      <c:pt idx="95">
                        <c:v>707.16379748509235</c:v>
                      </c:pt>
                      <c:pt idx="96">
                        <c:v>740.25069687697601</c:v>
                      </c:pt>
                      <c:pt idx="97">
                        <c:v>775.19671061432871</c:v>
                      </c:pt>
                      <c:pt idx="98">
                        <c:v>812.12409282375756</c:v>
                      </c:pt>
                      <c:pt idx="99">
                        <c:v>851.16432834540285</c:v>
                      </c:pt>
                      <c:pt idx="100">
                        <c:v>892.45892129953518</c:v>
                      </c:pt>
                      <c:pt idx="101">
                        <c:v>936.16025899049703</c:v>
                      </c:pt>
                      <c:pt idx="102">
                        <c:v>982.25233692789595</c:v>
                      </c:pt>
                      <c:pt idx="103">
                        <c:v>1030.6157288275951</c:v>
                      </c:pt>
                      <c:pt idx="104">
                        <c:v>1081.3604005554082</c:v>
                      </c:pt>
                      <c:pt idx="105">
                        <c:v>1134.6035997525166</c:v>
                      </c:pt>
                      <c:pt idx="106">
                        <c:v>1190.4683470100929</c:v>
                      </c:pt>
                      <c:pt idx="107">
                        <c:v>588.53238428406485</c:v>
                      </c:pt>
                      <c:pt idx="108">
                        <c:v>615.35258885493818</c:v>
                      </c:pt>
                      <c:pt idx="109">
                        <c:v>643.64025585418358</c:v>
                      </c:pt>
                      <c:pt idx="110">
                        <c:v>673.48933093818323</c:v>
                      </c:pt>
                      <c:pt idx="111">
                        <c:v>705.0006636923581</c:v>
                      </c:pt>
                      <c:pt idx="112">
                        <c:v>738.28258153745594</c:v>
                      </c:pt>
                      <c:pt idx="113">
                        <c:v>773.45151697500728</c:v>
                      </c:pt>
                      <c:pt idx="114">
                        <c:v>810.63269366228849</c:v>
                      </c:pt>
                      <c:pt idx="115">
                        <c:v>849.9608774281287</c:v>
                      </c:pt>
                      <c:pt idx="116">
                        <c:v>891.58119903856857</c:v>
                      </c:pt>
                      <c:pt idx="117">
                        <c:v>935.47841612180571</c:v>
                      </c:pt>
                      <c:pt idx="118">
                        <c:v>981.53878935961438</c:v>
                      </c:pt>
                      <c:pt idx="119">
                        <c:v>1029.8670481480078</c:v>
                      </c:pt>
                      <c:pt idx="120">
                        <c:v>1080.5748569071586</c:v>
                      </c:pt>
                      <c:pt idx="121">
                        <c:v>1133.7793781048504</c:v>
                      </c:pt>
                      <c:pt idx="122">
                        <c:v>1189.6035429651547</c:v>
                      </c:pt>
                      <c:pt idx="123">
                        <c:v>559.1057650698616</c:v>
                      </c:pt>
                      <c:pt idx="124">
                        <c:v>584.58495941219121</c:v>
                      </c:pt>
                      <c:pt idx="125">
                        <c:v>611.45824306147438</c:v>
                      </c:pt>
                      <c:pt idx="126">
                        <c:v>639.814864391274</c:v>
                      </c:pt>
                      <c:pt idx="127">
                        <c:v>669.7506305077402</c:v>
                      </c:pt>
                      <c:pt idx="128">
                        <c:v>701.36845246058306</c:v>
                      </c:pt>
                      <c:pt idx="129">
                        <c:v>734.77894112625688</c:v>
                      </c:pt>
                      <c:pt idx="130">
                        <c:v>770.10105897917401</c:v>
                      </c:pt>
                      <c:pt idx="131">
                        <c:v>807.46283355672222</c:v>
                      </c:pt>
                      <c:pt idx="132">
                        <c:v>847.00213908664023</c:v>
                      </c:pt>
                      <c:pt idx="133">
                        <c:v>888.70449531571535</c:v>
                      </c:pt>
                      <c:pt idx="134">
                        <c:v>932.46184989163373</c:v>
                      </c:pt>
                      <c:pt idx="135">
                        <c:v>978.37369574060745</c:v>
                      </c:pt>
                      <c:pt idx="136">
                        <c:v>1026.5461140618006</c:v>
                      </c:pt>
                      <c:pt idx="137">
                        <c:v>1077.0904091996078</c:v>
                      </c:pt>
                      <c:pt idx="138">
                        <c:v>1130.1233658168969</c:v>
                      </c:pt>
                      <c:pt idx="139">
                        <c:v>1185.7675187307548</c:v>
                      </c:pt>
                      <c:pt idx="140">
                        <c:v>529.67914585565836</c:v>
                      </c:pt>
                      <c:pt idx="141">
                        <c:v>553.81732996944436</c:v>
                      </c:pt>
                      <c:pt idx="142">
                        <c:v>579.27623026876518</c:v>
                      </c:pt>
                      <c:pt idx="143">
                        <c:v>606.14039784436488</c:v>
                      </c:pt>
                      <c:pt idx="144">
                        <c:v>634.50059732312229</c:v>
                      </c:pt>
                      <c:pt idx="145">
                        <c:v>664.45432338371029</c:v>
                      </c:pt>
                      <c:pt idx="146">
                        <c:v>696.10636527750648</c:v>
                      </c:pt>
                      <c:pt idx="147">
                        <c:v>729.56942429605954</c:v>
                      </c:pt>
                      <c:pt idx="148">
                        <c:v>764.96478968531585</c:v>
                      </c:pt>
                      <c:pt idx="149">
                        <c:v>802.42307913471177</c:v>
                      </c:pt>
                      <c:pt idx="150">
                        <c:v>841.9305745096251</c:v>
                      </c:pt>
                      <c:pt idx="151">
                        <c:v>883.38491042365297</c:v>
                      </c:pt>
                      <c:pt idx="152">
                        <c:v>926.88034333320707</c:v>
                      </c:pt>
                      <c:pt idx="153">
                        <c:v>972.51737121644271</c:v>
                      </c:pt>
                      <c:pt idx="154">
                        <c:v>1020.4014402943653</c:v>
                      </c:pt>
                      <c:pt idx="155">
                        <c:v>1070.6431886686391</c:v>
                      </c:pt>
                      <c:pt idx="156">
                        <c:v>1123.3587019554518</c:v>
                      </c:pt>
                      <c:pt idx="157">
                        <c:v>572.46593129745577</c:v>
                      </c:pt>
                      <c:pt idx="158">
                        <c:v>599.25056413850439</c:v>
                      </c:pt>
                      <c:pt idx="159">
                        <c:v>627.54019430683752</c:v>
                      </c:pt>
                      <c:pt idx="160">
                        <c:v>657.4337894287562</c:v>
                      </c:pt>
                      <c:pt idx="161">
                        <c:v>689.03778961294518</c:v>
                      </c:pt>
                      <c:pt idx="162">
                        <c:v>722.46674581390937</c:v>
                      </c:pt>
                      <c:pt idx="163">
                        <c:v>757.84401918278331</c:v>
                      </c:pt>
                      <c:pt idx="164">
                        <c:v>795.15665370353486</c:v>
                      </c:pt>
                      <c:pt idx="165">
                        <c:v>834.30797095567232</c:v>
                      </c:pt>
                      <c:pt idx="166">
                        <c:v>875.38699092580669</c:v>
                      </c:pt>
                      <c:pt idx="167">
                        <c:v>918.48862837108481</c:v>
                      </c:pt>
                      <c:pt idx="168">
                        <c:v>963.71247138912281</c:v>
                      </c:pt>
                      <c:pt idx="169">
                        <c:v>1011.1630115203815</c:v>
                      </c:pt>
                      <c:pt idx="170">
                        <c:v>1060.9498851801491</c:v>
                      </c:pt>
                      <c:pt idx="171">
                        <c:v>538.79146475054654</c:v>
                      </c:pt>
                      <c:pt idx="172">
                        <c:v>564.00053095388648</c:v>
                      </c:pt>
                      <c:pt idx="173">
                        <c:v>590.62606522996475</c:v>
                      </c:pt>
                      <c:pt idx="174">
                        <c:v>618.7612135800058</c:v>
                      </c:pt>
                      <c:pt idx="175">
                        <c:v>648.5061549298307</c:v>
                      </c:pt>
                      <c:pt idx="176">
                        <c:v>679.968701942503</c:v>
                      </c:pt>
                      <c:pt idx="177">
                        <c:v>713.26495923085486</c:v>
                      </c:pt>
                      <c:pt idx="178">
                        <c:v>748.3827328974445</c:v>
                      </c:pt>
                      <c:pt idx="179">
                        <c:v>785.23103148769155</c:v>
                      </c:pt>
                      <c:pt idx="180">
                        <c:v>823.89363851840631</c:v>
                      </c:pt>
                      <c:pt idx="181">
                        <c:v>864.45988552572692</c:v>
                      </c:pt>
                      <c:pt idx="182">
                        <c:v>907.02350248388029</c:v>
                      </c:pt>
                      <c:pt idx="183">
                        <c:v>951.68283437212369</c:v>
                      </c:pt>
                      <c:pt idx="184">
                        <c:v>998.5410684048461</c:v>
                      </c:pt>
                      <c:pt idx="186">
                        <c:v>471.44253165672825</c:v>
                      </c:pt>
                      <c:pt idx="187">
                        <c:v>485.05499134281831</c:v>
                      </c:pt>
                      <c:pt idx="188">
                        <c:v>478.73601376681046</c:v>
                      </c:pt>
                      <c:pt idx="189">
                        <c:v>389.83460416282844</c:v>
                      </c:pt>
                      <c:pt idx="190">
                        <c:v>436.23397772975397</c:v>
                      </c:pt>
                    </c:numCache>
                  </c:numRef>
                </c:xVal>
                <c:yVal>
                  <c:numRef>
                    <c:extLst xmlns:c15="http://schemas.microsoft.com/office/drawing/2012/chart">
                      <c:ext xmlns:c15="http://schemas.microsoft.com/office/drawing/2012/chart" uri="{02D57815-91ED-43cb-92C2-25804820EDAC}">
                        <c15:formulaRef>
                          <c15:sqref>'[1]ECON Model'!$G$37:$G$227</c15:sqref>
                        </c15:formulaRef>
                      </c:ext>
                    </c:extLst>
                    <c:numCache>
                      <c:formatCode>General</c:formatCode>
                      <c:ptCount val="191"/>
                      <c:pt idx="0">
                        <c:v>0.84249999999998215</c:v>
                      </c:pt>
                      <c:pt idx="1">
                        <c:v>0.8374999999999827</c:v>
                      </c:pt>
                      <c:pt idx="2">
                        <c:v>0.83549999999998292</c:v>
                      </c:pt>
                      <c:pt idx="3">
                        <c:v>0.83599999999998287</c:v>
                      </c:pt>
                      <c:pt idx="4">
                        <c:v>0.83349999999996327</c:v>
                      </c:pt>
                      <c:pt idx="5">
                        <c:v>0.83199999999996344</c:v>
                      </c:pt>
                      <c:pt idx="6">
                        <c:v>0.84099999999996244</c:v>
                      </c:pt>
                      <c:pt idx="7">
                        <c:v>0.83349999999998314</c:v>
                      </c:pt>
                      <c:pt idx="8">
                        <c:v>0.84049999999998237</c:v>
                      </c:pt>
                      <c:pt idx="9">
                        <c:v>0.83699999999998276</c:v>
                      </c:pt>
                      <c:pt idx="10">
                        <c:v>0.83549999999998292</c:v>
                      </c:pt>
                      <c:pt idx="11">
                        <c:v>0.83449999999998303</c:v>
                      </c:pt>
                      <c:pt idx="12">
                        <c:v>0.82999999999996366</c:v>
                      </c:pt>
                      <c:pt idx="13">
                        <c:v>0.83299999999996333</c:v>
                      </c:pt>
                      <c:pt idx="14">
                        <c:v>0.83149999999996349</c:v>
                      </c:pt>
                      <c:pt idx="15">
                        <c:v>0.84249999999998215</c:v>
                      </c:pt>
                      <c:pt idx="16">
                        <c:v>0.83149999999998336</c:v>
                      </c:pt>
                      <c:pt idx="17">
                        <c:v>0.83849999999998259</c:v>
                      </c:pt>
                      <c:pt idx="18">
                        <c:v>0.83599999999998287</c:v>
                      </c:pt>
                      <c:pt idx="19">
                        <c:v>0.83599999999998287</c:v>
                      </c:pt>
                      <c:pt idx="20">
                        <c:v>0.83199999999998331</c:v>
                      </c:pt>
                      <c:pt idx="21">
                        <c:v>0.79349999999996768</c:v>
                      </c:pt>
                      <c:pt idx="22">
                        <c:v>0.83249999999996338</c:v>
                      </c:pt>
                      <c:pt idx="23">
                        <c:v>0.83299999999996333</c:v>
                      </c:pt>
                      <c:pt idx="24">
                        <c:v>0.83149999999998003</c:v>
                      </c:pt>
                      <c:pt idx="25">
                        <c:v>0.84099999999997899</c:v>
                      </c:pt>
                      <c:pt idx="26">
                        <c:v>0.83699999999997943</c:v>
                      </c:pt>
                      <c:pt idx="27">
                        <c:v>0.83749999999997937</c:v>
                      </c:pt>
                      <c:pt idx="28">
                        <c:v>0.83599999999997954</c:v>
                      </c:pt>
                      <c:pt idx="29">
                        <c:v>0.83649999999997948</c:v>
                      </c:pt>
                      <c:pt idx="30">
                        <c:v>0.82949999999998569</c:v>
                      </c:pt>
                      <c:pt idx="31">
                        <c:v>0.78449999999996867</c:v>
                      </c:pt>
                      <c:pt idx="32">
                        <c:v>0.80499999999996641</c:v>
                      </c:pt>
                      <c:pt idx="33">
                        <c:v>0.83299999999996333</c:v>
                      </c:pt>
                      <c:pt idx="34">
                        <c:v>0.83299999999997987</c:v>
                      </c:pt>
                      <c:pt idx="35">
                        <c:v>0.83149999999998003</c:v>
                      </c:pt>
                      <c:pt idx="36">
                        <c:v>0.83899999999997921</c:v>
                      </c:pt>
                      <c:pt idx="37">
                        <c:v>0.84249999999997882</c:v>
                      </c:pt>
                      <c:pt idx="38">
                        <c:v>0.83749999999997937</c:v>
                      </c:pt>
                      <c:pt idx="39">
                        <c:v>0.83599999999997954</c:v>
                      </c:pt>
                      <c:pt idx="40">
                        <c:v>0.83649999999998281</c:v>
                      </c:pt>
                      <c:pt idx="41">
                        <c:v>0.82699999999998597</c:v>
                      </c:pt>
                      <c:pt idx="42">
                        <c:v>0.78699999999996839</c:v>
                      </c:pt>
                      <c:pt idx="43">
                        <c:v>0.78499999999996861</c:v>
                      </c:pt>
                      <c:pt idx="44">
                        <c:v>0.81399999999996542</c:v>
                      </c:pt>
                      <c:pt idx="45">
                        <c:v>0.83349999999997426</c:v>
                      </c:pt>
                      <c:pt idx="46">
                        <c:v>0.83249999999997437</c:v>
                      </c:pt>
                      <c:pt idx="47">
                        <c:v>0.83299999999997432</c:v>
                      </c:pt>
                      <c:pt idx="48">
                        <c:v>0.83699999999997388</c:v>
                      </c:pt>
                      <c:pt idx="49">
                        <c:v>0.84249999999997327</c:v>
                      </c:pt>
                      <c:pt idx="50">
                        <c:v>0.83749999999997382</c:v>
                      </c:pt>
                      <c:pt idx="51">
                        <c:v>0.83549999999997959</c:v>
                      </c:pt>
                      <c:pt idx="52">
                        <c:v>0.83549999999998181</c:v>
                      </c:pt>
                      <c:pt idx="53">
                        <c:v>0.78399999999996872</c:v>
                      </c:pt>
                      <c:pt idx="54">
                        <c:v>0.78699999999996839</c:v>
                      </c:pt>
                      <c:pt idx="55">
                        <c:v>0.78549999999996856</c:v>
                      </c:pt>
                      <c:pt idx="56">
                        <c:v>0.81749999999997602</c:v>
                      </c:pt>
                      <c:pt idx="57">
                        <c:v>0.83349999999997426</c:v>
                      </c:pt>
                      <c:pt idx="58">
                        <c:v>0.83249999999997437</c:v>
                      </c:pt>
                      <c:pt idx="59">
                        <c:v>0.83649999999997393</c:v>
                      </c:pt>
                      <c:pt idx="60">
                        <c:v>0.8349999999999741</c:v>
                      </c:pt>
                      <c:pt idx="61">
                        <c:v>0.84099999999997344</c:v>
                      </c:pt>
                      <c:pt idx="62">
                        <c:v>0.83699999999998487</c:v>
                      </c:pt>
                      <c:pt idx="63">
                        <c:v>0.83549999999997959</c:v>
                      </c:pt>
                      <c:pt idx="64">
                        <c:v>0.83449999999998403</c:v>
                      </c:pt>
                      <c:pt idx="65">
                        <c:v>0.76499999999997081</c:v>
                      </c:pt>
                      <c:pt idx="66">
                        <c:v>0.78499999999996861</c:v>
                      </c:pt>
                      <c:pt idx="67">
                        <c:v>0.78749999999996834</c:v>
                      </c:pt>
                      <c:pt idx="68">
                        <c:v>0.78649999999997944</c:v>
                      </c:pt>
                      <c:pt idx="69">
                        <c:v>0.82049999999997569</c:v>
                      </c:pt>
                      <c:pt idx="70">
                        <c:v>0.83349999999997426</c:v>
                      </c:pt>
                      <c:pt idx="71">
                        <c:v>0.83249999999997437</c:v>
                      </c:pt>
                      <c:pt idx="72">
                        <c:v>0.84099999999997344</c:v>
                      </c:pt>
                      <c:pt idx="73">
                        <c:v>0.83349999999997426</c:v>
                      </c:pt>
                      <c:pt idx="74">
                        <c:v>0.83999999999997355</c:v>
                      </c:pt>
                      <c:pt idx="75">
                        <c:v>0.83649999999997393</c:v>
                      </c:pt>
                      <c:pt idx="76">
                        <c:v>0.83599999999997954</c:v>
                      </c:pt>
                      <c:pt idx="77">
                        <c:v>0.83299999999998531</c:v>
                      </c:pt>
                      <c:pt idx="78">
                        <c:v>0.74549999999997296</c:v>
                      </c:pt>
                      <c:pt idx="79">
                        <c:v>0.7659999999999707</c:v>
                      </c:pt>
                      <c:pt idx="80">
                        <c:v>0.7859999999999685</c:v>
                      </c:pt>
                      <c:pt idx="81">
                        <c:v>0.78799999999997383</c:v>
                      </c:pt>
                      <c:pt idx="82">
                        <c:v>0.78749999999997389</c:v>
                      </c:pt>
                      <c:pt idx="83">
                        <c:v>0.82249999999997003</c:v>
                      </c:pt>
                      <c:pt idx="84">
                        <c:v>0.83399999999996877</c:v>
                      </c:pt>
                      <c:pt idx="85">
                        <c:v>0.83249999999996893</c:v>
                      </c:pt>
                      <c:pt idx="86">
                        <c:v>0.84249999999996783</c:v>
                      </c:pt>
                      <c:pt idx="87">
                        <c:v>0.83249999999996893</c:v>
                      </c:pt>
                      <c:pt idx="88">
                        <c:v>0.8394999999999736</c:v>
                      </c:pt>
                      <c:pt idx="89">
                        <c:v>0.83649999999997393</c:v>
                      </c:pt>
                      <c:pt idx="90">
                        <c:v>0.83599999999998065</c:v>
                      </c:pt>
                      <c:pt idx="91">
                        <c:v>0.83249999999998536</c:v>
                      </c:pt>
                      <c:pt idx="92">
                        <c:v>0.73399999999997423</c:v>
                      </c:pt>
                      <c:pt idx="93">
                        <c:v>0.74599999999997291</c:v>
                      </c:pt>
                      <c:pt idx="94">
                        <c:v>0.7659999999999707</c:v>
                      </c:pt>
                      <c:pt idx="95">
                        <c:v>0.786499999999974</c:v>
                      </c:pt>
                      <c:pt idx="96">
                        <c:v>0.78849999999997378</c:v>
                      </c:pt>
                      <c:pt idx="97">
                        <c:v>0.78799999999997383</c:v>
                      </c:pt>
                      <c:pt idx="98">
                        <c:v>0.82299999999996998</c:v>
                      </c:pt>
                      <c:pt idx="99">
                        <c:v>0.83399999999996877</c:v>
                      </c:pt>
                      <c:pt idx="100">
                        <c:v>0.83249999999996893</c:v>
                      </c:pt>
                      <c:pt idx="101">
                        <c:v>0.84249999999996783</c:v>
                      </c:pt>
                      <c:pt idx="102">
                        <c:v>0.83249999999996893</c:v>
                      </c:pt>
                      <c:pt idx="103">
                        <c:v>0.83899999999997921</c:v>
                      </c:pt>
                      <c:pt idx="104">
                        <c:v>0.83649999999997948</c:v>
                      </c:pt>
                      <c:pt idx="105">
                        <c:v>0.83599999999997954</c:v>
                      </c:pt>
                      <c:pt idx="106">
                        <c:v>0.83199999999998542</c:v>
                      </c:pt>
                      <c:pt idx="107">
                        <c:v>0.72499999999997522</c:v>
                      </c:pt>
                      <c:pt idx="108">
                        <c:v>0.73399999999997423</c:v>
                      </c:pt>
                      <c:pt idx="109">
                        <c:v>0.74549999999997296</c:v>
                      </c:pt>
                      <c:pt idx="110">
                        <c:v>0.76499999999997081</c:v>
                      </c:pt>
                      <c:pt idx="111">
                        <c:v>0.78649999999996845</c:v>
                      </c:pt>
                      <c:pt idx="112">
                        <c:v>0.78899999999996817</c:v>
                      </c:pt>
                      <c:pt idx="113">
                        <c:v>0.78799999999996828</c:v>
                      </c:pt>
                      <c:pt idx="114">
                        <c:v>0.82249999999996448</c:v>
                      </c:pt>
                      <c:pt idx="115">
                        <c:v>0.83399999999996322</c:v>
                      </c:pt>
                      <c:pt idx="116">
                        <c:v>0.83249999999996338</c:v>
                      </c:pt>
                      <c:pt idx="117">
                        <c:v>0.84249999999996228</c:v>
                      </c:pt>
                      <c:pt idx="118">
                        <c:v>0.83249999999996338</c:v>
                      </c:pt>
                      <c:pt idx="119">
                        <c:v>0.83949999999997915</c:v>
                      </c:pt>
                      <c:pt idx="120">
                        <c:v>0.83649999999997948</c:v>
                      </c:pt>
                      <c:pt idx="121">
                        <c:v>0.83649999999997948</c:v>
                      </c:pt>
                      <c:pt idx="122">
                        <c:v>0.83249999999998536</c:v>
                      </c:pt>
                      <c:pt idx="123">
                        <c:v>0.71299999999997654</c:v>
                      </c:pt>
                      <c:pt idx="124">
                        <c:v>0.72399999999997533</c:v>
                      </c:pt>
                      <c:pt idx="125">
                        <c:v>0.73349999999997428</c:v>
                      </c:pt>
                      <c:pt idx="126">
                        <c:v>0.74449999999997307</c:v>
                      </c:pt>
                      <c:pt idx="127">
                        <c:v>0.76349999999997098</c:v>
                      </c:pt>
                      <c:pt idx="128">
                        <c:v>0.78549999999996856</c:v>
                      </c:pt>
                      <c:pt idx="129">
                        <c:v>0.78999999999996806</c:v>
                      </c:pt>
                      <c:pt idx="130">
                        <c:v>0.78849999999996823</c:v>
                      </c:pt>
                      <c:pt idx="131">
                        <c:v>0.81999999999996476</c:v>
                      </c:pt>
                      <c:pt idx="132">
                        <c:v>0.83399999999996322</c:v>
                      </c:pt>
                      <c:pt idx="133">
                        <c:v>0.83299999999996333</c:v>
                      </c:pt>
                      <c:pt idx="134">
                        <c:v>0.84199999999996233</c:v>
                      </c:pt>
                      <c:pt idx="135">
                        <c:v>0.83349999999996327</c:v>
                      </c:pt>
                      <c:pt idx="136">
                        <c:v>0.83999999999996255</c:v>
                      </c:pt>
                      <c:pt idx="137">
                        <c:v>0.83699999999997943</c:v>
                      </c:pt>
                      <c:pt idx="138">
                        <c:v>0.83599999999997954</c:v>
                      </c:pt>
                      <c:pt idx="139">
                        <c:v>0.83299999999998531</c:v>
                      </c:pt>
                      <c:pt idx="140">
                        <c:v>0.69999999999997797</c:v>
                      </c:pt>
                      <c:pt idx="141">
                        <c:v>0.71149999999997671</c:v>
                      </c:pt>
                      <c:pt idx="142">
                        <c:v>0.72299999999997544</c:v>
                      </c:pt>
                      <c:pt idx="143">
                        <c:v>0.73299999999997434</c:v>
                      </c:pt>
                      <c:pt idx="144">
                        <c:v>0.74299999999997324</c:v>
                      </c:pt>
                      <c:pt idx="145">
                        <c:v>0.76099999999997125</c:v>
                      </c:pt>
                      <c:pt idx="146">
                        <c:v>0.78399999999996872</c:v>
                      </c:pt>
                      <c:pt idx="147">
                        <c:v>0.79099999999996795</c:v>
                      </c:pt>
                      <c:pt idx="148">
                        <c:v>0.78899999999996817</c:v>
                      </c:pt>
                      <c:pt idx="149">
                        <c:v>0.81649999999996514</c:v>
                      </c:pt>
                      <c:pt idx="150">
                        <c:v>0.83399999999996322</c:v>
                      </c:pt>
                      <c:pt idx="151">
                        <c:v>0.83349999999996327</c:v>
                      </c:pt>
                      <c:pt idx="152">
                        <c:v>0.83699999999996288</c:v>
                      </c:pt>
                      <c:pt idx="153">
                        <c:v>0.83549999999996305</c:v>
                      </c:pt>
                      <c:pt idx="154">
                        <c:v>0.84149999999996239</c:v>
                      </c:pt>
                      <c:pt idx="155">
                        <c:v>0.83749999999998481</c:v>
                      </c:pt>
                      <c:pt idx="156">
                        <c:v>0.83599999999998498</c:v>
                      </c:pt>
                      <c:pt idx="157">
                        <c:v>0.72099999999997566</c:v>
                      </c:pt>
                      <c:pt idx="158">
                        <c:v>0.7314999999999745</c:v>
                      </c:pt>
                      <c:pt idx="159">
                        <c:v>0.7414999999999734</c:v>
                      </c:pt>
                      <c:pt idx="160">
                        <c:v>0.75799999999997159</c:v>
                      </c:pt>
                      <c:pt idx="161">
                        <c:v>0.78049999999996911</c:v>
                      </c:pt>
                      <c:pt idx="162">
                        <c:v>0.7914999999999679</c:v>
                      </c:pt>
                      <c:pt idx="163">
                        <c:v>0.78999999999996806</c:v>
                      </c:pt>
                      <c:pt idx="164">
                        <c:v>0.81099999999996575</c:v>
                      </c:pt>
                      <c:pt idx="165">
                        <c:v>0.83399999999996322</c:v>
                      </c:pt>
                      <c:pt idx="166">
                        <c:v>0.83399999999996322</c:v>
                      </c:pt>
                      <c:pt idx="167">
                        <c:v>0.83299999999996333</c:v>
                      </c:pt>
                      <c:pt idx="168">
                        <c:v>0.83849999999996272</c:v>
                      </c:pt>
                      <c:pt idx="169">
                        <c:v>0.84299999999996222</c:v>
                      </c:pt>
                      <c:pt idx="170">
                        <c:v>0.83799999999996277</c:v>
                      </c:pt>
                      <c:pt idx="171">
                        <c:v>0.70649999999997726</c:v>
                      </c:pt>
                      <c:pt idx="172">
                        <c:v>0.71179999999999433</c:v>
                      </c:pt>
                      <c:pt idx="173">
                        <c:v>0.7239999999999952</c:v>
                      </c:pt>
                      <c:pt idx="174">
                        <c:v>0.73599999999999388</c:v>
                      </c:pt>
                      <c:pt idx="175">
                        <c:v>0.75099999999999223</c:v>
                      </c:pt>
                      <c:pt idx="176">
                        <c:v>0.76659999999999051</c:v>
                      </c:pt>
                      <c:pt idx="177">
                        <c:v>0.78139999999998888</c:v>
                      </c:pt>
                      <c:pt idx="178">
                        <c:v>0.79499999999998738</c:v>
                      </c:pt>
                      <c:pt idx="179">
                        <c:v>0.81259999999998211</c:v>
                      </c:pt>
                      <c:pt idx="180">
                        <c:v>0.8253999999999807</c:v>
                      </c:pt>
                      <c:pt idx="181">
                        <c:v>0.83399999999998309</c:v>
                      </c:pt>
                      <c:pt idx="182">
                        <c:v>0.83859999999998258</c:v>
                      </c:pt>
                      <c:pt idx="183">
                        <c:v>0.84099999999998232</c:v>
                      </c:pt>
                      <c:pt idx="184">
                        <c:v>0.84179999999998223</c:v>
                      </c:pt>
                      <c:pt idx="186">
                        <c:v>0.66049999999998232</c:v>
                      </c:pt>
                      <c:pt idx="187">
                        <c:v>0.66549999999998177</c:v>
                      </c:pt>
                      <c:pt idx="188">
                        <c:v>0.65949999999998243</c:v>
                      </c:pt>
                      <c:pt idx="189">
                        <c:v>0.60699999999998822</c:v>
                      </c:pt>
                      <c:pt idx="190">
                        <c:v>0.63399999999998524</c:v>
                      </c:pt>
                    </c:numCache>
                  </c:numRef>
                </c:yVal>
                <c:smooth val="0"/>
                <c:extLst xmlns:c15="http://schemas.microsoft.com/office/drawing/2012/chart">
                  <c:ext xmlns:c16="http://schemas.microsoft.com/office/drawing/2014/chart" uri="{C3380CC4-5D6E-409C-BE32-E72D297353CC}">
                    <c16:uniqueId val="{00000007-8918-4CF8-A648-FB854299BC7A}"/>
                  </c:ext>
                </c:extLst>
              </c15:ser>
            </c15:filteredScatterSeries>
            <c15:filteredScatterSeries>
              <c15:ser>
                <c:idx val="2"/>
                <c:order val="3"/>
                <c:tx>
                  <c:v>CI = 52</c:v>
                </c:tx>
                <c:spPr>
                  <a:ln w="44450">
                    <a:noFill/>
                    <a:prstDash val="sysDot"/>
                  </a:ln>
                </c:spPr>
                <c:marker>
                  <c:symbol val="triangle"/>
                  <c:size val="5"/>
                </c:marker>
                <c:trendline>
                  <c:spPr>
                    <a:ln w="25400"/>
                  </c:spPr>
                  <c:trendlineType val="poly"/>
                  <c:order val="5"/>
                  <c:dispRSqr val="1"/>
                  <c:dispEq val="1"/>
                  <c:trendlineLbl>
                    <c:layout>
                      <c:manualLayout>
                        <c:x val="5.0972654209632172E-2"/>
                        <c:y val="0.29981623783183808"/>
                      </c:manualLayout>
                    </c:layout>
                    <c:numFmt formatCode="0.00000E+00" sourceLinked="0"/>
                    <c:spPr>
                      <a:solidFill>
                        <a:srgbClr val="ECEADC"/>
                      </a:solidFill>
                    </c:spPr>
                    <c:txPr>
                      <a:bodyPr/>
                      <a:lstStyle/>
                      <a:p>
                        <a:pPr>
                          <a:defRPr sz="1200" b="1"/>
                        </a:pPr>
                        <a:endParaRPr lang="en-US"/>
                      </a:p>
                    </c:txPr>
                  </c:trendlineLbl>
                </c:trendline>
                <c:xVal>
                  <c:numRef>
                    <c:extLst xmlns:c15="http://schemas.microsoft.com/office/drawing/2012/chart">
                      <c:ext xmlns:c15="http://schemas.microsoft.com/office/drawing/2012/chart" uri="{02D57815-91ED-43cb-92C2-25804820EDAC}">
                        <c15:formulaRef>
                          <c15:sqref>'[1]ECON Model'!$P$37:$P$227</c15:sqref>
                        </c15:formulaRef>
                      </c:ext>
                    </c:extLst>
                    <c:numCache>
                      <c:formatCode>General</c:formatCode>
                      <c:ptCount val="191"/>
                      <c:pt idx="0">
                        <c:v>1010.2339964072748</c:v>
                      </c:pt>
                      <c:pt idx="1">
                        <c:v>1057.5009955385372</c:v>
                      </c:pt>
                      <c:pt idx="2">
                        <c:v>1107.4238723061837</c:v>
                      </c:pt>
                      <c:pt idx="3">
                        <c:v>1160.1772754625108</c:v>
                      </c:pt>
                      <c:pt idx="4">
                        <c:v>853.37195721189403</c:v>
                      </c:pt>
                      <c:pt idx="5">
                        <c:v>892.2612538396603</c:v>
                      </c:pt>
                      <c:pt idx="6">
                        <c:v>933.27837098856617</c:v>
                      </c:pt>
                      <c:pt idx="7">
                        <c:v>976.55952986036561</c:v>
                      </c:pt>
                      <c:pt idx="8">
                        <c:v>1022.2509623539192</c:v>
                      </c:pt>
                      <c:pt idx="9">
                        <c:v>1070.509743229311</c:v>
                      </c:pt>
                      <c:pt idx="10">
                        <c:v>1121.5046996137605</c:v>
                      </c:pt>
                      <c:pt idx="11">
                        <c:v>1175.4174058103183</c:v>
                      </c:pt>
                      <c:pt idx="12">
                        <c:v>823.94533799769079</c:v>
                      </c:pt>
                      <c:pt idx="13">
                        <c:v>861.49362439691333</c:v>
                      </c:pt>
                      <c:pt idx="14">
                        <c:v>901.09635819585696</c:v>
                      </c:pt>
                      <c:pt idx="15">
                        <c:v>942.8850633134565</c:v>
                      </c:pt>
                      <c:pt idx="16">
                        <c:v>987.00092916930134</c:v>
                      </c:pt>
                      <c:pt idx="17">
                        <c:v>1033.5956141524382</c:v>
                      </c:pt>
                      <c:pt idx="18">
                        <c:v>1082.83212376501</c:v>
                      </c:pt>
                      <c:pt idx="19">
                        <c:v>1134.8857711272037</c:v>
                      </c:pt>
                      <c:pt idx="20">
                        <c:v>1189.9452283993801</c:v>
                      </c:pt>
                      <c:pt idx="21">
                        <c:v>794.51871878348754</c:v>
                      </c:pt>
                      <c:pt idx="22">
                        <c:v>830.72599495416648</c:v>
                      </c:pt>
                      <c:pt idx="23">
                        <c:v>868.91434540314776</c:v>
                      </c:pt>
                      <c:pt idx="24">
                        <c:v>909.21059676654727</c:v>
                      </c:pt>
                      <c:pt idx="25">
                        <c:v>951.75089598468344</c:v>
                      </c:pt>
                      <c:pt idx="26">
                        <c:v>996.68148507556543</c:v>
                      </c:pt>
                      <c:pt idx="27">
                        <c:v>1044.1595479162597</c:v>
                      </c:pt>
                      <c:pt idx="28">
                        <c:v>1094.3541364440894</c:v>
                      </c:pt>
                      <c:pt idx="29">
                        <c:v>1147.4471845279738</c:v>
                      </c:pt>
                      <c:pt idx="30">
                        <c:v>1203.6346187020677</c:v>
                      </c:pt>
                      <c:pt idx="31">
                        <c:v>765.0920995692843</c:v>
                      </c:pt>
                      <c:pt idx="32">
                        <c:v>799.95836551141952</c:v>
                      </c:pt>
                      <c:pt idx="33">
                        <c:v>836.73233261043856</c:v>
                      </c:pt>
                      <c:pt idx="34">
                        <c:v>875.53613021963815</c:v>
                      </c:pt>
                      <c:pt idx="35">
                        <c:v>916.50086280006553</c:v>
                      </c:pt>
                      <c:pt idx="36">
                        <c:v>959.76735599869266</c:v>
                      </c:pt>
                      <c:pt idx="37">
                        <c:v>1005.4869720675094</c:v>
                      </c:pt>
                      <c:pt idx="38">
                        <c:v>1053.822501760975</c:v>
                      </c:pt>
                      <c:pt idx="39">
                        <c:v>1104.9491406565674</c:v>
                      </c:pt>
                      <c:pt idx="40">
                        <c:v>1159.0555587501392</c:v>
                      </c:pt>
                      <c:pt idx="41">
                        <c:v>1216.1219409583473</c:v>
                      </c:pt>
                      <c:pt idx="42">
                        <c:v>735.66548035508106</c:v>
                      </c:pt>
                      <c:pt idx="43">
                        <c:v>769.19073606867266</c:v>
                      </c:pt>
                      <c:pt idx="44">
                        <c:v>804.55031981772947</c:v>
                      </c:pt>
                      <c:pt idx="45">
                        <c:v>841.86166367272904</c:v>
                      </c:pt>
                      <c:pt idx="46">
                        <c:v>881.25082961544763</c:v>
                      </c:pt>
                      <c:pt idx="47">
                        <c:v>922.8532269218199</c:v>
                      </c:pt>
                      <c:pt idx="48">
                        <c:v>966.81439621875904</c:v>
                      </c:pt>
                      <c:pt idx="49">
                        <c:v>1013.2908670778605</c:v>
                      </c:pt>
                      <c:pt idx="50">
                        <c:v>1062.4510967851609</c:v>
                      </c:pt>
                      <c:pt idx="51">
                        <c:v>1114.4764987982107</c:v>
                      </c:pt>
                      <c:pt idx="52">
                        <c:v>1169.348020152257</c:v>
                      </c:pt>
                      <c:pt idx="53">
                        <c:v>706.23886114087782</c:v>
                      </c:pt>
                      <c:pt idx="54">
                        <c:v>738.4231066259257</c:v>
                      </c:pt>
                      <c:pt idx="55">
                        <c:v>772.36830702502027</c:v>
                      </c:pt>
                      <c:pt idx="56">
                        <c:v>808.18719712581981</c:v>
                      </c:pt>
                      <c:pt idx="57">
                        <c:v>846.00079643082972</c:v>
                      </c:pt>
                      <c:pt idx="58">
                        <c:v>885.93909784494713</c:v>
                      </c:pt>
                      <c:pt idx="59">
                        <c:v>928.14182037000865</c:v>
                      </c:pt>
                      <c:pt idx="60">
                        <c:v>972.75923239474616</c:v>
                      </c:pt>
                      <c:pt idx="61">
                        <c:v>1019.9530529137544</c:v>
                      </c:pt>
                      <c:pt idx="62">
                        <c:v>1069.8974388462823</c:v>
                      </c:pt>
                      <c:pt idx="63">
                        <c:v>1122.5740993461668</c:v>
                      </c:pt>
                      <c:pt idx="64">
                        <c:v>1177.8465472315372</c:v>
                      </c:pt>
                      <c:pt idx="65">
                        <c:v>676.81224192667457</c:v>
                      </c:pt>
                      <c:pt idx="66">
                        <c:v>707.65547718317885</c:v>
                      </c:pt>
                      <c:pt idx="67">
                        <c:v>740.18629423231107</c:v>
                      </c:pt>
                      <c:pt idx="68">
                        <c:v>774.51273057891069</c:v>
                      </c:pt>
                      <c:pt idx="69">
                        <c:v>810.75076324621182</c:v>
                      </c:pt>
                      <c:pt idx="70">
                        <c:v>849.02496876807425</c:v>
                      </c:pt>
                      <c:pt idx="71">
                        <c:v>889.46924452125836</c:v>
                      </c:pt>
                      <c:pt idx="72">
                        <c:v>932.22759771163169</c:v>
                      </c:pt>
                      <c:pt idx="73">
                        <c:v>977.45500904234802</c:v>
                      </c:pt>
                      <c:pt idx="74">
                        <c:v>1025.3183788943538</c:v>
                      </c:pt>
                      <c:pt idx="75">
                        <c:v>1075.8001785400766</c:v>
                      </c:pt>
                      <c:pt idx="76">
                        <c:v>1128.7696077635567</c:v>
                      </c:pt>
                      <c:pt idx="77">
                        <c:v>1184.347105370209</c:v>
                      </c:pt>
                      <c:pt idx="78">
                        <c:v>647.38562271247133</c:v>
                      </c:pt>
                      <c:pt idx="79">
                        <c:v>676.88784774043188</c:v>
                      </c:pt>
                      <c:pt idx="80">
                        <c:v>708.00428143960187</c:v>
                      </c:pt>
                      <c:pt idx="81">
                        <c:v>740.83826403200158</c:v>
                      </c:pt>
                      <c:pt idx="82">
                        <c:v>775.50073006159391</c:v>
                      </c:pt>
                      <c:pt idx="83">
                        <c:v>812.11083969120148</c:v>
                      </c:pt>
                      <c:pt idx="84">
                        <c:v>850.79666867250796</c:v>
                      </c:pt>
                      <c:pt idx="85">
                        <c:v>891.69596302851733</c:v>
                      </c:pt>
                      <c:pt idx="86">
                        <c:v>934.95696517094154</c:v>
                      </c:pt>
                      <c:pt idx="87">
                        <c:v>980.73931894242548</c:v>
                      </c:pt>
                      <c:pt idx="88">
                        <c:v>1029.0262577339863</c:v>
                      </c:pt>
                      <c:pt idx="89">
                        <c:v>1079.6926682955759</c:v>
                      </c:pt>
                      <c:pt idx="90">
                        <c:v>1132.8537529628086</c:v>
                      </c:pt>
                      <c:pt idx="91">
                        <c:v>1188.6323425978744</c:v>
                      </c:pt>
                      <c:pt idx="92">
                        <c:v>617.95900349826809</c:v>
                      </c:pt>
                      <c:pt idx="93">
                        <c:v>646.12021829768503</c:v>
                      </c:pt>
                      <c:pt idx="94">
                        <c:v>675.82226864689278</c:v>
                      </c:pt>
                      <c:pt idx="95">
                        <c:v>707.16379748509235</c:v>
                      </c:pt>
                      <c:pt idx="96">
                        <c:v>740.25069687697601</c:v>
                      </c:pt>
                      <c:pt idx="97">
                        <c:v>775.19671061432871</c:v>
                      </c:pt>
                      <c:pt idx="98">
                        <c:v>812.12409282375756</c:v>
                      </c:pt>
                      <c:pt idx="99">
                        <c:v>851.16432834540285</c:v>
                      </c:pt>
                      <c:pt idx="100">
                        <c:v>892.45892129953518</c:v>
                      </c:pt>
                      <c:pt idx="101">
                        <c:v>936.16025899049703</c:v>
                      </c:pt>
                      <c:pt idx="102">
                        <c:v>982.25233692789595</c:v>
                      </c:pt>
                      <c:pt idx="103">
                        <c:v>1030.6157288275951</c:v>
                      </c:pt>
                      <c:pt idx="104">
                        <c:v>1081.3604005554082</c:v>
                      </c:pt>
                      <c:pt idx="105">
                        <c:v>1134.6035997525166</c:v>
                      </c:pt>
                      <c:pt idx="106">
                        <c:v>1190.4683470100929</c:v>
                      </c:pt>
                      <c:pt idx="107">
                        <c:v>588.53238428406485</c:v>
                      </c:pt>
                      <c:pt idx="108">
                        <c:v>615.35258885493818</c:v>
                      </c:pt>
                      <c:pt idx="109">
                        <c:v>643.64025585418358</c:v>
                      </c:pt>
                      <c:pt idx="110">
                        <c:v>673.48933093818323</c:v>
                      </c:pt>
                      <c:pt idx="111">
                        <c:v>705.0006636923581</c:v>
                      </c:pt>
                      <c:pt idx="112">
                        <c:v>738.28258153745594</c:v>
                      </c:pt>
                      <c:pt idx="113">
                        <c:v>773.45151697500728</c:v>
                      </c:pt>
                      <c:pt idx="114">
                        <c:v>810.63269366228849</c:v>
                      </c:pt>
                      <c:pt idx="115">
                        <c:v>849.9608774281287</c:v>
                      </c:pt>
                      <c:pt idx="116">
                        <c:v>891.58119903856857</c:v>
                      </c:pt>
                      <c:pt idx="117">
                        <c:v>935.47841612180571</c:v>
                      </c:pt>
                      <c:pt idx="118">
                        <c:v>981.53878935961438</c:v>
                      </c:pt>
                      <c:pt idx="119">
                        <c:v>1029.8670481480078</c:v>
                      </c:pt>
                      <c:pt idx="120">
                        <c:v>1080.5748569071586</c:v>
                      </c:pt>
                      <c:pt idx="121">
                        <c:v>1133.7793781048504</c:v>
                      </c:pt>
                      <c:pt idx="122">
                        <c:v>1189.6035429651547</c:v>
                      </c:pt>
                      <c:pt idx="123">
                        <c:v>559.1057650698616</c:v>
                      </c:pt>
                      <c:pt idx="124">
                        <c:v>584.58495941219121</c:v>
                      </c:pt>
                      <c:pt idx="125">
                        <c:v>611.45824306147438</c:v>
                      </c:pt>
                      <c:pt idx="126">
                        <c:v>639.814864391274</c:v>
                      </c:pt>
                      <c:pt idx="127">
                        <c:v>669.7506305077402</c:v>
                      </c:pt>
                      <c:pt idx="128">
                        <c:v>701.36845246058306</c:v>
                      </c:pt>
                      <c:pt idx="129">
                        <c:v>734.77894112625688</c:v>
                      </c:pt>
                      <c:pt idx="130">
                        <c:v>770.10105897917401</c:v>
                      </c:pt>
                      <c:pt idx="131">
                        <c:v>807.46283355672222</c:v>
                      </c:pt>
                      <c:pt idx="132">
                        <c:v>847.00213908664023</c:v>
                      </c:pt>
                      <c:pt idx="133">
                        <c:v>888.70449531571535</c:v>
                      </c:pt>
                      <c:pt idx="134">
                        <c:v>932.46184989163373</c:v>
                      </c:pt>
                      <c:pt idx="135">
                        <c:v>978.37369574060745</c:v>
                      </c:pt>
                      <c:pt idx="136">
                        <c:v>1026.5461140618006</c:v>
                      </c:pt>
                      <c:pt idx="137">
                        <c:v>1077.0904091996078</c:v>
                      </c:pt>
                      <c:pt idx="138">
                        <c:v>1130.1233658168969</c:v>
                      </c:pt>
                      <c:pt idx="139">
                        <c:v>1185.7675187307548</c:v>
                      </c:pt>
                      <c:pt idx="140">
                        <c:v>529.67914585565836</c:v>
                      </c:pt>
                      <c:pt idx="141">
                        <c:v>553.81732996944436</c:v>
                      </c:pt>
                      <c:pt idx="142">
                        <c:v>579.27623026876518</c:v>
                      </c:pt>
                      <c:pt idx="143">
                        <c:v>606.14039784436488</c:v>
                      </c:pt>
                      <c:pt idx="144">
                        <c:v>634.50059732312229</c:v>
                      </c:pt>
                      <c:pt idx="145">
                        <c:v>664.45432338371029</c:v>
                      </c:pt>
                      <c:pt idx="146">
                        <c:v>696.10636527750648</c:v>
                      </c:pt>
                      <c:pt idx="147">
                        <c:v>729.56942429605954</c:v>
                      </c:pt>
                      <c:pt idx="148">
                        <c:v>764.96478968531585</c:v>
                      </c:pt>
                      <c:pt idx="149">
                        <c:v>802.42307913471177</c:v>
                      </c:pt>
                      <c:pt idx="150">
                        <c:v>841.9305745096251</c:v>
                      </c:pt>
                      <c:pt idx="151">
                        <c:v>883.38491042365297</c:v>
                      </c:pt>
                      <c:pt idx="152">
                        <c:v>926.88034333320707</c:v>
                      </c:pt>
                      <c:pt idx="153">
                        <c:v>972.51737121644271</c:v>
                      </c:pt>
                      <c:pt idx="154">
                        <c:v>1020.4014402943653</c:v>
                      </c:pt>
                      <c:pt idx="155">
                        <c:v>1070.6431886686391</c:v>
                      </c:pt>
                      <c:pt idx="156">
                        <c:v>1123.3587019554518</c:v>
                      </c:pt>
                      <c:pt idx="157">
                        <c:v>572.46593129745577</c:v>
                      </c:pt>
                      <c:pt idx="158">
                        <c:v>599.25056413850439</c:v>
                      </c:pt>
                      <c:pt idx="159">
                        <c:v>627.54019430683752</c:v>
                      </c:pt>
                      <c:pt idx="160">
                        <c:v>657.4337894287562</c:v>
                      </c:pt>
                      <c:pt idx="161">
                        <c:v>689.03778961294518</c:v>
                      </c:pt>
                      <c:pt idx="162">
                        <c:v>722.46674581390937</c:v>
                      </c:pt>
                      <c:pt idx="163">
                        <c:v>757.84401918278331</c:v>
                      </c:pt>
                      <c:pt idx="164">
                        <c:v>795.15665370353486</c:v>
                      </c:pt>
                      <c:pt idx="165">
                        <c:v>834.30797095567232</c:v>
                      </c:pt>
                      <c:pt idx="166">
                        <c:v>875.38699092580669</c:v>
                      </c:pt>
                      <c:pt idx="167">
                        <c:v>918.48862837108481</c:v>
                      </c:pt>
                      <c:pt idx="168">
                        <c:v>963.71247138912281</c:v>
                      </c:pt>
                      <c:pt idx="169">
                        <c:v>1011.1630115203815</c:v>
                      </c:pt>
                      <c:pt idx="170">
                        <c:v>1060.9498851801491</c:v>
                      </c:pt>
                      <c:pt idx="171">
                        <c:v>538.79146475054654</c:v>
                      </c:pt>
                      <c:pt idx="172">
                        <c:v>564.00053095388648</c:v>
                      </c:pt>
                      <c:pt idx="173">
                        <c:v>590.62606522996475</c:v>
                      </c:pt>
                      <c:pt idx="174">
                        <c:v>618.7612135800058</c:v>
                      </c:pt>
                      <c:pt idx="175">
                        <c:v>648.5061549298307</c:v>
                      </c:pt>
                      <c:pt idx="176">
                        <c:v>679.968701942503</c:v>
                      </c:pt>
                      <c:pt idx="177">
                        <c:v>713.26495923085486</c:v>
                      </c:pt>
                      <c:pt idx="178">
                        <c:v>748.3827328974445</c:v>
                      </c:pt>
                      <c:pt idx="179">
                        <c:v>785.23103148769155</c:v>
                      </c:pt>
                      <c:pt idx="180">
                        <c:v>823.89363851840631</c:v>
                      </c:pt>
                      <c:pt idx="181">
                        <c:v>864.45988552572692</c:v>
                      </c:pt>
                      <c:pt idx="182">
                        <c:v>907.02350248388029</c:v>
                      </c:pt>
                      <c:pt idx="183">
                        <c:v>951.68283437212369</c:v>
                      </c:pt>
                      <c:pt idx="184">
                        <c:v>998.5410684048461</c:v>
                      </c:pt>
                      <c:pt idx="186">
                        <c:v>471.44253165672825</c:v>
                      </c:pt>
                      <c:pt idx="187">
                        <c:v>485.05499134281831</c:v>
                      </c:pt>
                      <c:pt idx="188">
                        <c:v>478.73601376681046</c:v>
                      </c:pt>
                      <c:pt idx="189">
                        <c:v>389.83460416282844</c:v>
                      </c:pt>
                      <c:pt idx="190">
                        <c:v>436.23397772975397</c:v>
                      </c:pt>
                    </c:numCache>
                  </c:numRef>
                </c:xVal>
                <c:yVal>
                  <c:numRef>
                    <c:extLst xmlns:c15="http://schemas.microsoft.com/office/drawing/2012/chart">
                      <c:ext xmlns:c15="http://schemas.microsoft.com/office/drawing/2012/chart" uri="{02D57815-91ED-43cb-92C2-25804820EDAC}">
                        <c15:formulaRef>
                          <c15:sqref>'[1]ECON Model'!$K$37:$K$227</c15:sqref>
                        </c15:formulaRef>
                      </c:ext>
                    </c:extLst>
                    <c:numCache>
                      <c:formatCode>General</c:formatCode>
                      <c:ptCount val="191"/>
                      <c:pt idx="0">
                        <c:v>0.83649999999998281</c:v>
                      </c:pt>
                      <c:pt idx="1">
                        <c:v>0.83149999999998336</c:v>
                      </c:pt>
                      <c:pt idx="2">
                        <c:v>0.82799999999998375</c:v>
                      </c:pt>
                      <c:pt idx="3">
                        <c:v>0.82949999999998358</c:v>
                      </c:pt>
                      <c:pt idx="4">
                        <c:v>0.82849999999996382</c:v>
                      </c:pt>
                      <c:pt idx="5">
                        <c:v>0.82749999999996393</c:v>
                      </c:pt>
                      <c:pt idx="6">
                        <c:v>0.83899999999996266</c:v>
                      </c:pt>
                      <c:pt idx="7">
                        <c:v>0.82549999999998402</c:v>
                      </c:pt>
                      <c:pt idx="8">
                        <c:v>0.83449999999998303</c:v>
                      </c:pt>
                      <c:pt idx="9">
                        <c:v>0.82849999999998369</c:v>
                      </c:pt>
                      <c:pt idx="10">
                        <c:v>0.82849999999998369</c:v>
                      </c:pt>
                      <c:pt idx="11">
                        <c:v>0.82849999999998369</c:v>
                      </c:pt>
                      <c:pt idx="12">
                        <c:v>0.82749999999996393</c:v>
                      </c:pt>
                      <c:pt idx="13">
                        <c:v>0.82849999999996382</c:v>
                      </c:pt>
                      <c:pt idx="14">
                        <c:v>0.82799999999996388</c:v>
                      </c:pt>
                      <c:pt idx="15">
                        <c:v>0.8374999999999827</c:v>
                      </c:pt>
                      <c:pt idx="16">
                        <c:v>0.82349999999998424</c:v>
                      </c:pt>
                      <c:pt idx="17">
                        <c:v>0.8329999999999832</c:v>
                      </c:pt>
                      <c:pt idx="18">
                        <c:v>0.82849999999998369</c:v>
                      </c:pt>
                      <c:pt idx="19">
                        <c:v>0.82899999999998364</c:v>
                      </c:pt>
                      <c:pt idx="20">
                        <c:v>0.82649999999998391</c:v>
                      </c:pt>
                      <c:pt idx="21">
                        <c:v>0.82249999999996448</c:v>
                      </c:pt>
                      <c:pt idx="22">
                        <c:v>0.82849999999996382</c:v>
                      </c:pt>
                      <c:pt idx="23">
                        <c:v>0.82849999999996382</c:v>
                      </c:pt>
                      <c:pt idx="24">
                        <c:v>0.82799999999998042</c:v>
                      </c:pt>
                      <c:pt idx="25">
                        <c:v>0.83549999999997959</c:v>
                      </c:pt>
                      <c:pt idx="26">
                        <c:v>0.83899999999997921</c:v>
                      </c:pt>
                      <c:pt idx="27">
                        <c:v>0.83299999999997987</c:v>
                      </c:pt>
                      <c:pt idx="28">
                        <c:v>0.82899999999998031</c:v>
                      </c:pt>
                      <c:pt idx="29">
                        <c:v>0.8299999999999802</c:v>
                      </c:pt>
                      <c:pt idx="30">
                        <c:v>0.8239999999999863</c:v>
                      </c:pt>
                      <c:pt idx="31">
                        <c:v>0.81099999999996575</c:v>
                      </c:pt>
                      <c:pt idx="32">
                        <c:v>0.82499999999996421</c:v>
                      </c:pt>
                      <c:pt idx="33">
                        <c:v>0.82899999999996377</c:v>
                      </c:pt>
                      <c:pt idx="34">
                        <c:v>0.82899999999998031</c:v>
                      </c:pt>
                      <c:pt idx="35">
                        <c:v>0.82949999999998025</c:v>
                      </c:pt>
                      <c:pt idx="36">
                        <c:v>0.83349999999997981</c:v>
                      </c:pt>
                      <c:pt idx="37">
                        <c:v>0.83849999999997926</c:v>
                      </c:pt>
                      <c:pt idx="38">
                        <c:v>0.83299999999997987</c:v>
                      </c:pt>
                      <c:pt idx="39">
                        <c:v>0.82899999999998031</c:v>
                      </c:pt>
                      <c:pt idx="40">
                        <c:v>0.83049999999998347</c:v>
                      </c:pt>
                      <c:pt idx="41">
                        <c:v>0.82199999999998652</c:v>
                      </c:pt>
                      <c:pt idx="42">
                        <c:v>0.80649999999996624</c:v>
                      </c:pt>
                      <c:pt idx="43">
                        <c:v>0.81249999999996558</c:v>
                      </c:pt>
                      <c:pt idx="44">
                        <c:v>0.82749999999996393</c:v>
                      </c:pt>
                      <c:pt idx="45">
                        <c:v>0.8294999999999747</c:v>
                      </c:pt>
                      <c:pt idx="46">
                        <c:v>0.8294999999999747</c:v>
                      </c:pt>
                      <c:pt idx="47">
                        <c:v>0.84249999999997327</c:v>
                      </c:pt>
                      <c:pt idx="48">
                        <c:v>0.83249999999997437</c:v>
                      </c:pt>
                      <c:pt idx="49">
                        <c:v>0.83699999999997388</c:v>
                      </c:pt>
                      <c:pt idx="50">
                        <c:v>0.83299999999997432</c:v>
                      </c:pt>
                      <c:pt idx="51">
                        <c:v>0.82899999999998031</c:v>
                      </c:pt>
                      <c:pt idx="52">
                        <c:v>0.82999999999998242</c:v>
                      </c:pt>
                      <c:pt idx="53">
                        <c:v>0.80249999999996668</c:v>
                      </c:pt>
                      <c:pt idx="54">
                        <c:v>0.80799999999996608</c:v>
                      </c:pt>
                      <c:pt idx="55">
                        <c:v>0.81499999999996531</c:v>
                      </c:pt>
                      <c:pt idx="56">
                        <c:v>0.82899999999997476</c:v>
                      </c:pt>
                      <c:pt idx="57">
                        <c:v>0.8294999999999747</c:v>
                      </c:pt>
                      <c:pt idx="58">
                        <c:v>0.8294999999999747</c:v>
                      </c:pt>
                      <c:pt idx="59">
                        <c:v>0.84149999999997338</c:v>
                      </c:pt>
                      <c:pt idx="60">
                        <c:v>0.82899999999997476</c:v>
                      </c:pt>
                      <c:pt idx="61">
                        <c:v>0.83599999999997399</c:v>
                      </c:pt>
                      <c:pt idx="62">
                        <c:v>0.83249999999998536</c:v>
                      </c:pt>
                      <c:pt idx="63">
                        <c:v>0.82949999999998025</c:v>
                      </c:pt>
                      <c:pt idx="64">
                        <c:v>0.82899999999998464</c:v>
                      </c:pt>
                      <c:pt idx="65">
                        <c:v>0.80099999999996685</c:v>
                      </c:pt>
                      <c:pt idx="66">
                        <c:v>0.80399999999996652</c:v>
                      </c:pt>
                      <c:pt idx="67">
                        <c:v>0.80949999999996591</c:v>
                      </c:pt>
                      <c:pt idx="68">
                        <c:v>0.81749999999997602</c:v>
                      </c:pt>
                      <c:pt idx="69">
                        <c:v>0.82999999999997465</c:v>
                      </c:pt>
                      <c:pt idx="70">
                        <c:v>0.82999999999997465</c:v>
                      </c:pt>
                      <c:pt idx="71">
                        <c:v>0.82999999999997465</c:v>
                      </c:pt>
                      <c:pt idx="72">
                        <c:v>0.84099999999997344</c:v>
                      </c:pt>
                      <c:pt idx="73">
                        <c:v>0.83099999999997454</c:v>
                      </c:pt>
                      <c:pt idx="74">
                        <c:v>0.83549999999997404</c:v>
                      </c:pt>
                      <c:pt idx="75">
                        <c:v>0.83149999999997448</c:v>
                      </c:pt>
                      <c:pt idx="76">
                        <c:v>0.83049999999998014</c:v>
                      </c:pt>
                      <c:pt idx="77">
                        <c:v>0.82799999999998586</c:v>
                      </c:pt>
                      <c:pt idx="78">
                        <c:v>0.79799999999996718</c:v>
                      </c:pt>
                      <c:pt idx="79">
                        <c:v>0.80249999999996668</c:v>
                      </c:pt>
                      <c:pt idx="80">
                        <c:v>0.80499999999996641</c:v>
                      </c:pt>
                      <c:pt idx="81">
                        <c:v>0.80999999999997141</c:v>
                      </c:pt>
                      <c:pt idx="82">
                        <c:v>0.82149999999997014</c:v>
                      </c:pt>
                      <c:pt idx="83">
                        <c:v>0.84049999999996805</c:v>
                      </c:pt>
                      <c:pt idx="84">
                        <c:v>0.82999999999996921</c:v>
                      </c:pt>
                      <c:pt idx="85">
                        <c:v>0.82999999999996921</c:v>
                      </c:pt>
                      <c:pt idx="86">
                        <c:v>0.84049999999996805</c:v>
                      </c:pt>
                      <c:pt idx="87">
                        <c:v>0.83149999999996904</c:v>
                      </c:pt>
                      <c:pt idx="88">
                        <c:v>0.83549999999997404</c:v>
                      </c:pt>
                      <c:pt idx="89">
                        <c:v>0.83199999999997443</c:v>
                      </c:pt>
                      <c:pt idx="90">
                        <c:v>0.8309999999999812</c:v>
                      </c:pt>
                      <c:pt idx="91">
                        <c:v>0.82749999999998591</c:v>
                      </c:pt>
                      <c:pt idx="92">
                        <c:v>0.94349999999995116</c:v>
                      </c:pt>
                      <c:pt idx="93">
                        <c:v>0.79999999999996696</c:v>
                      </c:pt>
                      <c:pt idx="94">
                        <c:v>0.80399999999996652</c:v>
                      </c:pt>
                      <c:pt idx="95">
                        <c:v>0.80599999999997185</c:v>
                      </c:pt>
                      <c:pt idx="96">
                        <c:v>0.8109999999999713</c:v>
                      </c:pt>
                      <c:pt idx="97">
                        <c:v>0.82349999999996992</c:v>
                      </c:pt>
                      <c:pt idx="98">
                        <c:v>0.84349999999996772</c:v>
                      </c:pt>
                      <c:pt idx="99">
                        <c:v>0.83049999999996915</c:v>
                      </c:pt>
                      <c:pt idx="100">
                        <c:v>0.83049999999996915</c:v>
                      </c:pt>
                      <c:pt idx="101">
                        <c:v>0.84049999999996805</c:v>
                      </c:pt>
                      <c:pt idx="102">
                        <c:v>0.82899999999996932</c:v>
                      </c:pt>
                      <c:pt idx="103">
                        <c:v>0.83549999999997959</c:v>
                      </c:pt>
                      <c:pt idx="104">
                        <c:v>0.83249999999997992</c:v>
                      </c:pt>
                      <c:pt idx="105">
                        <c:v>0.83149999999998003</c:v>
                      </c:pt>
                      <c:pt idx="106">
                        <c:v>0.82699999999998597</c:v>
                      </c:pt>
                      <c:pt idx="107">
                        <c:v>0.77499999999996971</c:v>
                      </c:pt>
                      <c:pt idx="108">
                        <c:v>0.79099999999996795</c:v>
                      </c:pt>
                      <c:pt idx="109">
                        <c:v>0.80199999999996674</c:v>
                      </c:pt>
                      <c:pt idx="110">
                        <c:v>0.80549999999996635</c:v>
                      </c:pt>
                      <c:pt idx="111">
                        <c:v>0.80749999999996613</c:v>
                      </c:pt>
                      <c:pt idx="112">
                        <c:v>0.81199999999996564</c:v>
                      </c:pt>
                      <c:pt idx="113">
                        <c:v>0.84699999999996178</c:v>
                      </c:pt>
                      <c:pt idx="114">
                        <c:v>0.83249999999996338</c:v>
                      </c:pt>
                      <c:pt idx="115">
                        <c:v>0.83099999999996355</c:v>
                      </c:pt>
                      <c:pt idx="116">
                        <c:v>0.84949999999996151</c:v>
                      </c:pt>
                      <c:pt idx="117">
                        <c:v>0.84099999999996244</c:v>
                      </c:pt>
                      <c:pt idx="118">
                        <c:v>0.83299999999996333</c:v>
                      </c:pt>
                      <c:pt idx="119">
                        <c:v>0.83599999999997954</c:v>
                      </c:pt>
                      <c:pt idx="120">
                        <c:v>0.83249999999997992</c:v>
                      </c:pt>
                      <c:pt idx="121">
                        <c:v>0.83149999999998003</c:v>
                      </c:pt>
                      <c:pt idx="122">
                        <c:v>0.82749999999998591</c:v>
                      </c:pt>
                      <c:pt idx="123">
                        <c:v>0.7659999999999707</c:v>
                      </c:pt>
                      <c:pt idx="124">
                        <c:v>0.77749999999996944</c:v>
                      </c:pt>
                      <c:pt idx="125">
                        <c:v>0.79299999999996773</c:v>
                      </c:pt>
                      <c:pt idx="126">
                        <c:v>0.80399999999996652</c:v>
                      </c:pt>
                      <c:pt idx="127">
                        <c:v>0.80749999999996613</c:v>
                      </c:pt>
                      <c:pt idx="128">
                        <c:v>0.80899999999996597</c:v>
                      </c:pt>
                      <c:pt idx="129">
                        <c:v>0.81299999999996553</c:v>
                      </c:pt>
                      <c:pt idx="130">
                        <c:v>0.8259999999999641</c:v>
                      </c:pt>
                      <c:pt idx="131">
                        <c:v>0.83699999999996288</c:v>
                      </c:pt>
                      <c:pt idx="132">
                        <c:v>0.83199999999996344</c:v>
                      </c:pt>
                      <c:pt idx="133">
                        <c:v>0.83149999999996349</c:v>
                      </c:pt>
                      <c:pt idx="134">
                        <c:v>0.84199999999996233</c:v>
                      </c:pt>
                      <c:pt idx="135">
                        <c:v>0.83299999999996333</c:v>
                      </c:pt>
                      <c:pt idx="136">
                        <c:v>0.83649999999996294</c:v>
                      </c:pt>
                      <c:pt idx="137">
                        <c:v>0.83299999999997987</c:v>
                      </c:pt>
                      <c:pt idx="138">
                        <c:v>0.83149999999998003</c:v>
                      </c:pt>
                      <c:pt idx="139">
                        <c:v>0.8284999999999858</c:v>
                      </c:pt>
                      <c:pt idx="140">
                        <c:v>0.76299999999997103</c:v>
                      </c:pt>
                      <c:pt idx="141">
                        <c:v>0.76899999999997037</c:v>
                      </c:pt>
                      <c:pt idx="142">
                        <c:v>0.77949999999996922</c:v>
                      </c:pt>
                      <c:pt idx="143">
                        <c:v>0.79449999999996757</c:v>
                      </c:pt>
                      <c:pt idx="144">
                        <c:v>0.8059999999999663</c:v>
                      </c:pt>
                      <c:pt idx="145">
                        <c:v>0.80949999999996591</c:v>
                      </c:pt>
                      <c:pt idx="146">
                        <c:v>0.81149999999996569</c:v>
                      </c:pt>
                      <c:pt idx="147">
                        <c:v>0.81399999999996542</c:v>
                      </c:pt>
                      <c:pt idx="148">
                        <c:v>0.82699999999996399</c:v>
                      </c:pt>
                      <c:pt idx="149">
                        <c:v>0.84899999999996156</c:v>
                      </c:pt>
                      <c:pt idx="150">
                        <c:v>0.83349999999996327</c:v>
                      </c:pt>
                      <c:pt idx="151">
                        <c:v>0.85199999999996123</c:v>
                      </c:pt>
                      <c:pt idx="152">
                        <c:v>0.84349999999996217</c:v>
                      </c:pt>
                      <c:pt idx="153">
                        <c:v>0.83349999999996327</c:v>
                      </c:pt>
                      <c:pt idx="154">
                        <c:v>0.83799999999996277</c:v>
                      </c:pt>
                      <c:pt idx="155">
                        <c:v>0.83449999999998514</c:v>
                      </c:pt>
                      <c:pt idx="156">
                        <c:v>0.83199999999998542</c:v>
                      </c:pt>
                      <c:pt idx="157">
                        <c:v>0.781499999999969</c:v>
                      </c:pt>
                      <c:pt idx="158">
                        <c:v>0.7959999999999674</c:v>
                      </c:pt>
                      <c:pt idx="159">
                        <c:v>0.80799999999996608</c:v>
                      </c:pt>
                      <c:pt idx="160">
                        <c:v>0.81199999999996564</c:v>
                      </c:pt>
                      <c:pt idx="161">
                        <c:v>0.81349999999996547</c:v>
                      </c:pt>
                      <c:pt idx="162">
                        <c:v>0.81499999999996531</c:v>
                      </c:pt>
                      <c:pt idx="163">
                        <c:v>0.82799999999996388</c:v>
                      </c:pt>
                      <c:pt idx="164">
                        <c:v>0.84999999999996145</c:v>
                      </c:pt>
                      <c:pt idx="165">
                        <c:v>0.84299999999996222</c:v>
                      </c:pt>
                      <c:pt idx="166">
                        <c:v>0.8549999999999609</c:v>
                      </c:pt>
                      <c:pt idx="167">
                        <c:v>0.84599999999996189</c:v>
                      </c:pt>
                      <c:pt idx="168">
                        <c:v>0.83499999999996311</c:v>
                      </c:pt>
                      <c:pt idx="169">
                        <c:v>0.83999999999996255</c:v>
                      </c:pt>
                      <c:pt idx="170">
                        <c:v>0.83599999999996299</c:v>
                      </c:pt>
                      <c:pt idx="171">
                        <c:v>0.77549999999996966</c:v>
                      </c:pt>
                      <c:pt idx="172">
                        <c:v>0.78179999999998662</c:v>
                      </c:pt>
                      <c:pt idx="173">
                        <c:v>0.78899999999998804</c:v>
                      </c:pt>
                      <c:pt idx="174">
                        <c:v>0.79459999999998743</c:v>
                      </c:pt>
                      <c:pt idx="175">
                        <c:v>0.80919999999998582</c:v>
                      </c:pt>
                      <c:pt idx="176">
                        <c:v>0.81499999999998518</c:v>
                      </c:pt>
                      <c:pt idx="177">
                        <c:v>0.8193999999999847</c:v>
                      </c:pt>
                      <c:pt idx="178">
                        <c:v>0.82099999999998452</c:v>
                      </c:pt>
                      <c:pt idx="179">
                        <c:v>0.83279999999997989</c:v>
                      </c:pt>
                      <c:pt idx="180">
                        <c:v>0.84499999999997855</c:v>
                      </c:pt>
                      <c:pt idx="181">
                        <c:v>0.84279999999998212</c:v>
                      </c:pt>
                      <c:pt idx="182">
                        <c:v>0.84079999999998234</c:v>
                      </c:pt>
                      <c:pt idx="183">
                        <c:v>0.83899999999998254</c:v>
                      </c:pt>
                      <c:pt idx="184">
                        <c:v>0.83899999999998254</c:v>
                      </c:pt>
                      <c:pt idx="186">
                        <c:v>0.75949999999997142</c:v>
                      </c:pt>
                      <c:pt idx="187">
                        <c:v>0.72599999999997511</c:v>
                      </c:pt>
                      <c:pt idx="188">
                        <c:v>0.69949999999997803</c:v>
                      </c:pt>
                      <c:pt idx="189">
                        <c:v>0.63699999999998491</c:v>
                      </c:pt>
                      <c:pt idx="190">
                        <c:v>0.65149999999998331</c:v>
                      </c:pt>
                    </c:numCache>
                  </c:numRef>
                </c:yVal>
                <c:smooth val="0"/>
                <c:extLst xmlns:c15="http://schemas.microsoft.com/office/drawing/2012/chart">
                  <c:ext xmlns:c16="http://schemas.microsoft.com/office/drawing/2014/chart" uri="{C3380CC4-5D6E-409C-BE32-E72D297353CC}">
                    <c16:uniqueId val="{00000009-8918-4CF8-A648-FB854299BC7A}"/>
                  </c:ext>
                </c:extLst>
              </c15:ser>
            </c15:filteredScatterSeries>
          </c:ext>
        </c:extLst>
      </c:scatterChart>
      <c:valAx>
        <c:axId val="371226112"/>
        <c:scaling>
          <c:orientation val="minMax"/>
          <c:max val="1300"/>
          <c:min val="400"/>
        </c:scaling>
        <c:delete val="0"/>
        <c:axPos val="b"/>
        <c:majorGridlines>
          <c:spPr>
            <a:ln w="12700" cap="flat" cmpd="sng" algn="ctr">
              <a:solidFill>
                <a:sysClr val="windowText" lastClr="000000"/>
              </a:solidFill>
              <a:round/>
            </a:ln>
            <a:effectLst/>
          </c:spPr>
        </c:majorGridlines>
        <c:minorGridlines>
          <c:spPr>
            <a:ln w="9525" cap="flat" cmpd="sng" algn="ctr">
              <a:solidFill>
                <a:schemeClr val="bg2">
                  <a:lumMod val="50000"/>
                </a:schemeClr>
              </a:solidFill>
              <a:round/>
            </a:ln>
            <a:effectLst/>
          </c:spPr>
        </c:minorGridlines>
        <c:title>
          <c:tx>
            <c:rich>
              <a:bodyPr rot="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r>
                  <a:rPr lang="en-US" sz="2400" b="1">
                    <a:solidFill>
                      <a:sysClr val="windowText" lastClr="000000"/>
                    </a:solidFill>
                  </a:rPr>
                  <a:t>W</a:t>
                </a:r>
                <a:r>
                  <a:rPr lang="en-US" sz="2400" b="1" baseline="-25000">
                    <a:solidFill>
                      <a:sysClr val="windowText" lastClr="000000"/>
                    </a:solidFill>
                  </a:rPr>
                  <a:t>0</a:t>
                </a:r>
              </a:p>
            </c:rich>
          </c:tx>
          <c:layout>
            <c:manualLayout>
              <c:xMode val="edge"/>
              <c:yMode val="edge"/>
              <c:x val="0.53678724305245673"/>
              <c:y val="0.92803115982161077"/>
            </c:manualLayout>
          </c:layout>
          <c:overlay val="0"/>
          <c:spPr>
            <a:noFill/>
            <a:ln>
              <a:noFill/>
            </a:ln>
            <a:effectLst/>
          </c:spPr>
        </c:title>
        <c:numFmt formatCode="#,##0" sourceLinked="0"/>
        <c:majorTickMark val="out"/>
        <c:minorTickMark val="none"/>
        <c:tickLblPos val="nextTo"/>
        <c:spPr>
          <a:noFill/>
          <a:ln w="12700" cap="flat" cmpd="sng" algn="ctr">
            <a:solidFill>
              <a:sysClr val="windowText" lastClr="000000"/>
            </a:solidFill>
            <a:round/>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371228032"/>
        <c:crosses val="autoZero"/>
        <c:crossBetween val="midCat"/>
      </c:valAx>
      <c:valAx>
        <c:axId val="371228032"/>
        <c:scaling>
          <c:orientation val="minMax"/>
          <c:min val="0.4"/>
        </c:scaling>
        <c:delete val="0"/>
        <c:axPos val="l"/>
        <c:majorGridlines>
          <c:spPr>
            <a:ln w="12700" cap="flat" cmpd="sng" algn="ctr">
              <a:solidFill>
                <a:sysClr val="windowText" lastClr="000000"/>
              </a:solidFill>
              <a:round/>
            </a:ln>
            <a:effectLst/>
          </c:spPr>
        </c:majorGridlines>
        <c:minorGridlines/>
        <c:title>
          <c:tx>
            <c:rich>
              <a:bodyPr rot="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r>
                  <a:rPr lang="en-US" sz="2000" b="1">
                    <a:solidFill>
                      <a:sysClr val="windowText" lastClr="000000"/>
                    </a:solidFill>
                  </a:rPr>
                  <a:t>Mach</a:t>
                </a:r>
              </a:p>
            </c:rich>
          </c:tx>
          <c:layout>
            <c:manualLayout>
              <c:xMode val="edge"/>
              <c:yMode val="edge"/>
              <c:x val="1.2259868623579763E-2"/>
              <c:y val="0.40432018593797819"/>
            </c:manualLayout>
          </c:layout>
          <c:overlay val="0"/>
          <c:spPr>
            <a:noFill/>
            <a:ln>
              <a:noFill/>
            </a:ln>
            <a:effectLst/>
          </c:spPr>
        </c:title>
        <c:numFmt formatCode="#,##0.00" sourceLinked="0"/>
        <c:majorTickMark val="out"/>
        <c:minorTickMark val="in"/>
        <c:tickLblPos val="nextTo"/>
        <c:spPr>
          <a:noFill/>
          <a:ln w="12700" cap="flat" cmpd="sng" algn="ctr">
            <a:solidFill>
              <a:sysClr val="windowText" lastClr="000000"/>
            </a:solidFill>
            <a:round/>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371226112"/>
        <c:crossesAt val="0"/>
        <c:crossBetween val="midCat"/>
      </c:valAx>
      <c:spPr>
        <a:solidFill>
          <a:srgbClr val="FFFFE1"/>
        </a:solidFill>
        <a:ln w="15875">
          <a:solidFill>
            <a:schemeClr val="tx1"/>
          </a:solidFill>
        </a:ln>
        <a:effectLst/>
      </c:spPr>
    </c:plotArea>
    <c:plotVisOnly val="1"/>
    <c:dispBlanksAs val="span"/>
    <c:showDLblsOverMax val="0"/>
  </c:chart>
  <c:spPr>
    <a:solidFill>
      <a:srgbClr val="ECEADC"/>
    </a:solidFill>
    <a:ln w="15875"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7.png"/><Relationship Id="rId4" Type="http://schemas.openxmlformats.org/officeDocument/2006/relationships/image" Target="../media/image6.emf"/></Relationships>
</file>

<file path=xl/drawings/_rels/drawing5.xml.rels><?xml version="1.0" encoding="UTF-8" standalone="yes"?>
<Relationships xmlns="http://schemas.openxmlformats.org/package/2006/relationships"><Relationship Id="rId1"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1.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0.png"/></Relationships>
</file>

<file path=xl/drawings/drawing1.xml><?xml version="1.0" encoding="utf-8"?>
<xdr:wsDr xmlns:xdr="http://schemas.openxmlformats.org/drawingml/2006/spreadsheetDrawing" xmlns:a="http://schemas.openxmlformats.org/drawingml/2006/main">
  <xdr:twoCellAnchor editAs="oneCell">
    <xdr:from>
      <xdr:col>7</xdr:col>
      <xdr:colOff>74840</xdr:colOff>
      <xdr:row>0</xdr:row>
      <xdr:rowOff>183696</xdr:rowOff>
    </xdr:from>
    <xdr:to>
      <xdr:col>12</xdr:col>
      <xdr:colOff>476250</xdr:colOff>
      <xdr:row>9</xdr:row>
      <xdr:rowOff>3806108</xdr:rowOff>
    </xdr:to>
    <xdr:pic>
      <xdr:nvPicPr>
        <xdr:cNvPr id="2" name="Picture 1">
          <a:extLst>
            <a:ext uri="{FF2B5EF4-FFF2-40B4-BE49-F238E27FC236}">
              <a16:creationId xmlns:a16="http://schemas.microsoft.com/office/drawing/2014/main" id="{85C69263-ACF1-47B0-A9B8-022FB301934A}"/>
            </a:ext>
          </a:extLst>
        </xdr:cNvPr>
        <xdr:cNvPicPr>
          <a:picLocks noChangeAspect="1"/>
        </xdr:cNvPicPr>
      </xdr:nvPicPr>
      <xdr:blipFill>
        <a:blip xmlns:r="http://schemas.openxmlformats.org/officeDocument/2006/relationships" r:embed="rId1"/>
        <a:stretch>
          <a:fillRect/>
        </a:stretch>
      </xdr:blipFill>
      <xdr:spPr>
        <a:xfrm>
          <a:off x="19988894" y="183696"/>
          <a:ext cx="7701642" cy="6806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5</xdr:col>
      <xdr:colOff>176044</xdr:colOff>
      <xdr:row>0</xdr:row>
      <xdr:rowOff>161585</xdr:rowOff>
    </xdr:from>
    <xdr:to>
      <xdr:col>19</xdr:col>
      <xdr:colOff>21261</xdr:colOff>
      <xdr:row>30</xdr:row>
      <xdr:rowOff>355488</xdr:rowOff>
    </xdr:to>
    <xdr:graphicFrame macro="">
      <xdr:nvGraphicFramePr>
        <xdr:cNvPr id="2" name="Chart 1">
          <a:extLst>
            <a:ext uri="{FF2B5EF4-FFF2-40B4-BE49-F238E27FC236}">
              <a16:creationId xmlns:a16="http://schemas.microsoft.com/office/drawing/2014/main" id="{EC72AECC-3E32-43C9-BF00-F6E9C8AD9B7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193900</xdr:colOff>
      <xdr:row>30</xdr:row>
      <xdr:rowOff>539185</xdr:rowOff>
    </xdr:from>
    <xdr:to>
      <xdr:col>19</xdr:col>
      <xdr:colOff>39117</xdr:colOff>
      <xdr:row>78</xdr:row>
      <xdr:rowOff>160734</xdr:rowOff>
    </xdr:to>
    <xdr:graphicFrame macro="">
      <xdr:nvGraphicFramePr>
        <xdr:cNvPr id="5" name="Chart 4">
          <a:extLst>
            <a:ext uri="{FF2B5EF4-FFF2-40B4-BE49-F238E27FC236}">
              <a16:creationId xmlns:a16="http://schemas.microsoft.com/office/drawing/2014/main" id="{C5D6CC4C-0D41-4A1D-8782-DAC1EC7F3406}"/>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238124</xdr:colOff>
      <xdr:row>0</xdr:row>
      <xdr:rowOff>163287</xdr:rowOff>
    </xdr:from>
    <xdr:to>
      <xdr:col>35</xdr:col>
      <xdr:colOff>511967</xdr:colOff>
      <xdr:row>30</xdr:row>
      <xdr:rowOff>357190</xdr:rowOff>
    </xdr:to>
    <xdr:graphicFrame macro="">
      <xdr:nvGraphicFramePr>
        <xdr:cNvPr id="6" name="Chart 5">
          <a:extLst>
            <a:ext uri="{FF2B5EF4-FFF2-40B4-BE49-F238E27FC236}">
              <a16:creationId xmlns:a16="http://schemas.microsoft.com/office/drawing/2014/main" id="{4C40F12F-B150-45B3-B019-56C50473D22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19</xdr:col>
      <xdr:colOff>224518</xdr:colOff>
      <xdr:row>30</xdr:row>
      <xdr:rowOff>557893</xdr:rowOff>
    </xdr:from>
    <xdr:to>
      <xdr:col>29</xdr:col>
      <xdr:colOff>210909</xdr:colOff>
      <xdr:row>50</xdr:row>
      <xdr:rowOff>36519</xdr:rowOff>
    </xdr:to>
    <xdr:pic>
      <xdr:nvPicPr>
        <xdr:cNvPr id="8" name="Picture 7">
          <a:extLst>
            <a:ext uri="{FF2B5EF4-FFF2-40B4-BE49-F238E27FC236}">
              <a16:creationId xmlns:a16="http://schemas.microsoft.com/office/drawing/2014/main" id="{C098B48B-C85F-402F-ADFF-5B89362911DC}"/>
            </a:ext>
          </a:extLst>
        </xdr:cNvPr>
        <xdr:cNvPicPr>
          <a:picLocks noChangeAspect="1"/>
        </xdr:cNvPicPr>
      </xdr:nvPicPr>
      <xdr:blipFill>
        <a:blip xmlns:r="http://schemas.openxmlformats.org/officeDocument/2006/relationships" r:embed="rId4"/>
        <a:stretch>
          <a:fillRect/>
        </a:stretch>
      </xdr:blipFill>
      <xdr:spPr>
        <a:xfrm>
          <a:off x="21778232" y="9837964"/>
          <a:ext cx="9191624" cy="8856667"/>
        </a:xfrm>
        <a:prstGeom prst="rect">
          <a:avLst/>
        </a:prstGeom>
      </xdr:spPr>
    </xdr:pic>
    <xdr:clientData/>
  </xdr:twoCellAnchor>
  <xdr:twoCellAnchor>
    <xdr:from>
      <xdr:col>37</xdr:col>
      <xdr:colOff>346982</xdr:colOff>
      <xdr:row>17</xdr:row>
      <xdr:rowOff>387803</xdr:rowOff>
    </xdr:from>
    <xdr:to>
      <xdr:col>42</xdr:col>
      <xdr:colOff>993319</xdr:colOff>
      <xdr:row>35</xdr:row>
      <xdr:rowOff>374195</xdr:rowOff>
    </xdr:to>
    <xdr:graphicFrame macro="">
      <xdr:nvGraphicFramePr>
        <xdr:cNvPr id="9" name="Chart 8">
          <a:extLst>
            <a:ext uri="{FF2B5EF4-FFF2-40B4-BE49-F238E27FC236}">
              <a16:creationId xmlns:a16="http://schemas.microsoft.com/office/drawing/2014/main" id="{23FCB60C-40FC-402B-9BDF-E0AAAAE30E4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15447</xdr:colOff>
      <xdr:row>58</xdr:row>
      <xdr:rowOff>33333</xdr:rowOff>
    </xdr:from>
    <xdr:to>
      <xdr:col>18</xdr:col>
      <xdr:colOff>183483</xdr:colOff>
      <xdr:row>92</xdr:row>
      <xdr:rowOff>170898</xdr:rowOff>
    </xdr:to>
    <xdr:pic>
      <xdr:nvPicPr>
        <xdr:cNvPr id="5" name="Picture 4">
          <a:extLst>
            <a:ext uri="{FF2B5EF4-FFF2-40B4-BE49-F238E27FC236}">
              <a16:creationId xmlns:a16="http://schemas.microsoft.com/office/drawing/2014/main" id="{33552A78-296F-4E82-91D9-96BDE432095F}"/>
            </a:ext>
          </a:extLst>
        </xdr:cNvPr>
        <xdr:cNvPicPr>
          <a:picLocks noChangeAspect="1"/>
        </xdr:cNvPicPr>
      </xdr:nvPicPr>
      <xdr:blipFill>
        <a:blip xmlns:r="http://schemas.openxmlformats.org/officeDocument/2006/relationships" r:embed="rId1"/>
        <a:stretch>
          <a:fillRect/>
        </a:stretch>
      </xdr:blipFill>
      <xdr:spPr>
        <a:xfrm>
          <a:off x="10731073" y="11358559"/>
          <a:ext cx="6645036" cy="6414539"/>
        </a:xfrm>
        <a:prstGeom prst="rect">
          <a:avLst/>
        </a:prstGeom>
      </xdr:spPr>
    </xdr:pic>
    <xdr:clientData/>
  </xdr:twoCellAnchor>
  <xdr:twoCellAnchor>
    <xdr:from>
      <xdr:col>8</xdr:col>
      <xdr:colOff>0</xdr:colOff>
      <xdr:row>1</xdr:row>
      <xdr:rowOff>9525</xdr:rowOff>
    </xdr:from>
    <xdr:to>
      <xdr:col>31</xdr:col>
      <xdr:colOff>128061</xdr:colOff>
      <xdr:row>56</xdr:row>
      <xdr:rowOff>170011</xdr:rowOff>
    </xdr:to>
    <xdr:graphicFrame macro="">
      <xdr:nvGraphicFramePr>
        <xdr:cNvPr id="7" name="Chart 6">
          <a:extLst>
            <a:ext uri="{FF2B5EF4-FFF2-40B4-BE49-F238E27FC236}">
              <a16:creationId xmlns:a16="http://schemas.microsoft.com/office/drawing/2014/main" id="{93903CDB-9483-4EF7-B5EC-CD9EDB38D4A9}"/>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70</xdr:col>
      <xdr:colOff>6350</xdr:colOff>
      <xdr:row>43</xdr:row>
      <xdr:rowOff>6350</xdr:rowOff>
    </xdr:to>
    <xdr:pic>
      <xdr:nvPicPr>
        <xdr:cNvPr id="21" name="Picture 20">
          <a:extLst>
            <a:ext uri="{FF2B5EF4-FFF2-40B4-BE49-F238E27FC236}">
              <a16:creationId xmlns:a16="http://schemas.microsoft.com/office/drawing/2014/main" id="{E3DDB420-3D8B-402C-B546-800F53CD46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42480794" cy="7894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43</xdr:row>
      <xdr:rowOff>14112</xdr:rowOff>
    </xdr:from>
    <xdr:to>
      <xdr:col>70</xdr:col>
      <xdr:colOff>6351</xdr:colOff>
      <xdr:row>85</xdr:row>
      <xdr:rowOff>20462</xdr:rowOff>
    </xdr:to>
    <xdr:pic>
      <xdr:nvPicPr>
        <xdr:cNvPr id="22" name="Picture 21">
          <a:extLst>
            <a:ext uri="{FF2B5EF4-FFF2-40B4-BE49-F238E27FC236}">
              <a16:creationId xmlns:a16="http://schemas.microsoft.com/office/drawing/2014/main" id="{45CCF70D-0353-4423-BB3A-6F0423A7A47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7902223"/>
          <a:ext cx="42480795" cy="77110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592666</xdr:colOff>
      <xdr:row>85</xdr:row>
      <xdr:rowOff>14112</xdr:rowOff>
    </xdr:from>
    <xdr:to>
      <xdr:col>69</xdr:col>
      <xdr:colOff>599016</xdr:colOff>
      <xdr:row>211</xdr:row>
      <xdr:rowOff>20462</xdr:rowOff>
    </xdr:to>
    <xdr:pic>
      <xdr:nvPicPr>
        <xdr:cNvPr id="24" name="Picture 23">
          <a:extLst>
            <a:ext uri="{FF2B5EF4-FFF2-40B4-BE49-F238E27FC236}">
              <a16:creationId xmlns:a16="http://schemas.microsoft.com/office/drawing/2014/main" id="{897FA612-483E-45B7-B013-8259020BBA26}"/>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5470555" y="15606890"/>
          <a:ext cx="16996128" cy="231203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14111</xdr:colOff>
      <xdr:row>85</xdr:row>
      <xdr:rowOff>56444</xdr:rowOff>
    </xdr:from>
    <xdr:to>
      <xdr:col>42</xdr:col>
      <xdr:colOff>20460</xdr:colOff>
      <xdr:row>221</xdr:row>
      <xdr:rowOff>62794</xdr:rowOff>
    </xdr:to>
    <xdr:grpSp>
      <xdr:nvGrpSpPr>
        <xdr:cNvPr id="3" name="Group 2">
          <a:extLst>
            <a:ext uri="{FF2B5EF4-FFF2-40B4-BE49-F238E27FC236}">
              <a16:creationId xmlns:a16="http://schemas.microsoft.com/office/drawing/2014/main" id="{C112C3D0-B996-497B-B4BE-55D7CC83F565}"/>
            </a:ext>
          </a:extLst>
        </xdr:cNvPr>
        <xdr:cNvGrpSpPr/>
      </xdr:nvGrpSpPr>
      <xdr:grpSpPr>
        <a:xfrm>
          <a:off x="14111" y="16248944"/>
          <a:ext cx="28009849" cy="25914350"/>
          <a:chOff x="14111" y="15649222"/>
          <a:chExt cx="25491016" cy="24954794"/>
        </a:xfrm>
      </xdr:grpSpPr>
      <xdr:pic>
        <xdr:nvPicPr>
          <xdr:cNvPr id="23" name="Picture 22">
            <a:extLst>
              <a:ext uri="{FF2B5EF4-FFF2-40B4-BE49-F238E27FC236}">
                <a16:creationId xmlns:a16="http://schemas.microsoft.com/office/drawing/2014/main" id="{4812ADA7-7FEF-45F9-A202-221C359831C8}"/>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111" y="15649222"/>
            <a:ext cx="25491016" cy="2495479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2" name="Picture 1">
            <a:extLst>
              <a:ext uri="{FF2B5EF4-FFF2-40B4-BE49-F238E27FC236}">
                <a16:creationId xmlns:a16="http://schemas.microsoft.com/office/drawing/2014/main" id="{E2E2F251-9DB0-471C-A104-212EB92ECDAC}"/>
              </a:ext>
            </a:extLst>
          </xdr:cNvPr>
          <xdr:cNvPicPr>
            <a:picLocks noChangeAspect="1"/>
          </xdr:cNvPicPr>
        </xdr:nvPicPr>
        <xdr:blipFill>
          <a:blip xmlns:r="http://schemas.openxmlformats.org/officeDocument/2006/relationships" r:embed="rId5"/>
          <a:stretch>
            <a:fillRect/>
          </a:stretch>
        </xdr:blipFill>
        <xdr:spPr>
          <a:xfrm>
            <a:off x="13320889" y="15790333"/>
            <a:ext cx="11790686" cy="10114141"/>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51</xdr:col>
      <xdr:colOff>0</xdr:colOff>
      <xdr:row>46</xdr:row>
      <xdr:rowOff>11905</xdr:rowOff>
    </xdr:from>
    <xdr:to>
      <xdr:col>58</xdr:col>
      <xdr:colOff>302419</xdr:colOff>
      <xdr:row>63</xdr:row>
      <xdr:rowOff>114299</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97</xdr:col>
      <xdr:colOff>453968</xdr:colOff>
      <xdr:row>34</xdr:row>
      <xdr:rowOff>115957</xdr:rowOff>
    </xdr:from>
    <xdr:to>
      <xdr:col>114</xdr:col>
      <xdr:colOff>182249</xdr:colOff>
      <xdr:row>65</xdr:row>
      <xdr:rowOff>135995</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57</xdr:col>
      <xdr:colOff>896563</xdr:colOff>
      <xdr:row>1</xdr:row>
      <xdr:rowOff>0</xdr:rowOff>
    </xdr:from>
    <xdr:to>
      <xdr:col>71</xdr:col>
      <xdr:colOff>415938</xdr:colOff>
      <xdr:row>34</xdr:row>
      <xdr:rowOff>38176</xdr:rowOff>
    </xdr:to>
    <xdr:graphicFrame macro="">
      <xdr:nvGraphicFramePr>
        <xdr:cNvPr id="10" name="Chart 9">
          <a:extLst>
            <a:ext uri="{FF2B5EF4-FFF2-40B4-BE49-F238E27FC236}">
              <a16:creationId xmlns:a16="http://schemas.microsoft.com/office/drawing/2014/main" id="{F622B69D-6CCB-4178-8FBD-FB42E3AE39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98</xdr:col>
      <xdr:colOff>303694</xdr:colOff>
      <xdr:row>66</xdr:row>
      <xdr:rowOff>36812</xdr:rowOff>
    </xdr:from>
    <xdr:to>
      <xdr:col>113</xdr:col>
      <xdr:colOff>363279</xdr:colOff>
      <xdr:row>102</xdr:row>
      <xdr:rowOff>194893</xdr:rowOff>
    </xdr:to>
    <xdr:graphicFrame macro="">
      <xdr:nvGraphicFramePr>
        <xdr:cNvPr id="12" name="Chart 11">
          <a:extLst>
            <a:ext uri="{FF2B5EF4-FFF2-40B4-BE49-F238E27FC236}">
              <a16:creationId xmlns:a16="http://schemas.microsoft.com/office/drawing/2014/main" id="{178EB39C-FCB6-4FAC-B609-7F01686BA9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56</xdr:col>
      <xdr:colOff>513291</xdr:colOff>
      <xdr:row>244</xdr:row>
      <xdr:rowOff>116417</xdr:rowOff>
    </xdr:from>
    <xdr:to>
      <xdr:col>78</xdr:col>
      <xdr:colOff>444028</xdr:colOff>
      <xdr:row>265</xdr:row>
      <xdr:rowOff>190500</xdr:rowOff>
    </xdr:to>
    <xdr:graphicFrame macro="">
      <xdr:nvGraphicFramePr>
        <xdr:cNvPr id="31" name="Chart 30">
          <a:extLst>
            <a:ext uri="{FF2B5EF4-FFF2-40B4-BE49-F238E27FC236}">
              <a16:creationId xmlns:a16="http://schemas.microsoft.com/office/drawing/2014/main" id="{FD03009B-825A-472E-92B4-879961C5C3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662703</xdr:colOff>
      <xdr:row>92</xdr:row>
      <xdr:rowOff>58622</xdr:rowOff>
    </xdr:from>
    <xdr:to>
      <xdr:col>19</xdr:col>
      <xdr:colOff>1127695</xdr:colOff>
      <xdr:row>129</xdr:row>
      <xdr:rowOff>158431</xdr:rowOff>
    </xdr:to>
    <xdr:graphicFrame macro="">
      <xdr:nvGraphicFramePr>
        <xdr:cNvPr id="5" name="Chart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1167089</xdr:colOff>
      <xdr:row>130</xdr:row>
      <xdr:rowOff>76156</xdr:rowOff>
    </xdr:from>
    <xdr:to>
      <xdr:col>17</xdr:col>
      <xdr:colOff>186301</xdr:colOff>
      <xdr:row>176</xdr:row>
      <xdr:rowOff>129631</xdr:rowOff>
    </xdr:to>
    <xdr:graphicFrame macro="">
      <xdr:nvGraphicFramePr>
        <xdr:cNvPr id="8" name="Chart 7">
          <a:extLst>
            <a:ext uri="{FF2B5EF4-FFF2-40B4-BE49-F238E27FC236}">
              <a16:creationId xmlns:a16="http://schemas.microsoft.com/office/drawing/2014/main" id="{3149DA36-7C66-4393-AA5D-D2490C5353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26</xdr:col>
      <xdr:colOff>0</xdr:colOff>
      <xdr:row>67</xdr:row>
      <xdr:rowOff>11905</xdr:rowOff>
    </xdr:from>
    <xdr:to>
      <xdr:col>33</xdr:col>
      <xdr:colOff>302419</xdr:colOff>
      <xdr:row>84</xdr:row>
      <xdr:rowOff>114299</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504825</xdr:colOff>
      <xdr:row>76</xdr:row>
      <xdr:rowOff>1290637</xdr:rowOff>
    </xdr:from>
    <xdr:to>
      <xdr:col>16</xdr:col>
      <xdr:colOff>511968</xdr:colOff>
      <xdr:row>96</xdr:row>
      <xdr:rowOff>71437</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26</xdr:col>
      <xdr:colOff>0</xdr:colOff>
      <xdr:row>67</xdr:row>
      <xdr:rowOff>11905</xdr:rowOff>
    </xdr:from>
    <xdr:to>
      <xdr:col>33</xdr:col>
      <xdr:colOff>302419</xdr:colOff>
      <xdr:row>84</xdr:row>
      <xdr:rowOff>114299</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504825</xdr:colOff>
      <xdr:row>76</xdr:row>
      <xdr:rowOff>1290637</xdr:rowOff>
    </xdr:from>
    <xdr:to>
      <xdr:col>16</xdr:col>
      <xdr:colOff>511968</xdr:colOff>
      <xdr:row>96</xdr:row>
      <xdr:rowOff>71437</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44</xdr:col>
      <xdr:colOff>277586</xdr:colOff>
      <xdr:row>3</xdr:row>
      <xdr:rowOff>130630</xdr:rowOff>
    </xdr:from>
    <xdr:to>
      <xdr:col>57</xdr:col>
      <xdr:colOff>117930</xdr:colOff>
      <xdr:row>34</xdr:row>
      <xdr:rowOff>33037</xdr:rowOff>
    </xdr:to>
    <xdr:graphicFrame macro="">
      <xdr:nvGraphicFramePr>
        <xdr:cNvPr id="5" name="Chart 4">
          <a:extLst>
            <a:ext uri="{FF2B5EF4-FFF2-40B4-BE49-F238E27FC236}">
              <a16:creationId xmlns:a16="http://schemas.microsoft.com/office/drawing/2014/main" id="{293F6DA0-3B96-4CA0-8862-D36FA703EE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31751</xdr:colOff>
      <xdr:row>30</xdr:row>
      <xdr:rowOff>1</xdr:rowOff>
    </xdr:from>
    <xdr:to>
      <xdr:col>28</xdr:col>
      <xdr:colOff>501057</xdr:colOff>
      <xdr:row>67</xdr:row>
      <xdr:rowOff>166689</xdr:rowOff>
    </xdr:to>
    <xdr:pic>
      <xdr:nvPicPr>
        <xdr:cNvPr id="10" name="Picture 9">
          <a:extLst>
            <a:ext uri="{FF2B5EF4-FFF2-40B4-BE49-F238E27FC236}">
              <a16:creationId xmlns:a16="http://schemas.microsoft.com/office/drawing/2014/main" id="{364FA3C6-01CD-4A1C-A7E3-77D544D601A7}"/>
            </a:ext>
          </a:extLst>
        </xdr:cNvPr>
        <xdr:cNvPicPr>
          <a:picLocks noChangeAspect="1"/>
        </xdr:cNvPicPr>
      </xdr:nvPicPr>
      <xdr:blipFill>
        <a:blip xmlns:r="http://schemas.openxmlformats.org/officeDocument/2006/relationships" r:embed="rId2"/>
        <a:stretch>
          <a:fillRect/>
        </a:stretch>
      </xdr:blipFill>
      <xdr:spPr>
        <a:xfrm>
          <a:off x="10334626" y="7358064"/>
          <a:ext cx="7803556" cy="6921500"/>
        </a:xfrm>
        <a:prstGeom prst="rect">
          <a:avLst/>
        </a:prstGeom>
      </xdr:spPr>
    </xdr:pic>
    <xdr:clientData/>
  </xdr:twoCellAnchor>
  <xdr:twoCellAnchor editAs="oneCell">
    <xdr:from>
      <xdr:col>2</xdr:col>
      <xdr:colOff>0</xdr:colOff>
      <xdr:row>30</xdr:row>
      <xdr:rowOff>0</xdr:rowOff>
    </xdr:from>
    <xdr:to>
      <xdr:col>14</xdr:col>
      <xdr:colOff>469306</xdr:colOff>
      <xdr:row>67</xdr:row>
      <xdr:rowOff>146458</xdr:rowOff>
    </xdr:to>
    <xdr:pic>
      <xdr:nvPicPr>
        <xdr:cNvPr id="4" name="Picture 3">
          <a:extLst>
            <a:ext uri="{FF2B5EF4-FFF2-40B4-BE49-F238E27FC236}">
              <a16:creationId xmlns:a16="http://schemas.microsoft.com/office/drawing/2014/main" id="{BE7A83EA-3F7F-4B47-B695-DC97B76266C6}"/>
            </a:ext>
          </a:extLst>
        </xdr:cNvPr>
        <xdr:cNvPicPr>
          <a:picLocks noChangeAspect="1"/>
        </xdr:cNvPicPr>
      </xdr:nvPicPr>
      <xdr:blipFill>
        <a:blip xmlns:r="http://schemas.openxmlformats.org/officeDocument/2006/relationships" r:embed="rId3"/>
        <a:stretch>
          <a:fillRect/>
        </a:stretch>
      </xdr:blipFill>
      <xdr:spPr>
        <a:xfrm>
          <a:off x="1746250" y="7358063"/>
          <a:ext cx="7803556" cy="690127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20</xdr:col>
      <xdr:colOff>327422</xdr:colOff>
      <xdr:row>1</xdr:row>
      <xdr:rowOff>41671</xdr:rowOff>
    </xdr:from>
    <xdr:to>
      <xdr:col>33</xdr:col>
      <xdr:colOff>494045</xdr:colOff>
      <xdr:row>33</xdr:row>
      <xdr:rowOff>47855</xdr:rowOff>
    </xdr:to>
    <xdr:pic>
      <xdr:nvPicPr>
        <xdr:cNvPr id="2" name="Picture 1">
          <a:extLst>
            <a:ext uri="{FF2B5EF4-FFF2-40B4-BE49-F238E27FC236}">
              <a16:creationId xmlns:a16="http://schemas.microsoft.com/office/drawing/2014/main" id="{4B873070-0A2E-45F7-BD7D-85BBE276C96F}"/>
            </a:ext>
          </a:extLst>
        </xdr:cNvPr>
        <xdr:cNvPicPr>
          <a:picLocks noChangeAspect="1"/>
        </xdr:cNvPicPr>
      </xdr:nvPicPr>
      <xdr:blipFill>
        <a:blip xmlns:r="http://schemas.openxmlformats.org/officeDocument/2006/relationships" r:embed="rId1"/>
        <a:stretch>
          <a:fillRect/>
        </a:stretch>
      </xdr:blipFill>
      <xdr:spPr>
        <a:xfrm>
          <a:off x="13793391" y="226219"/>
          <a:ext cx="8602202" cy="76023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20</xdr:col>
      <xdr:colOff>422673</xdr:colOff>
      <xdr:row>1</xdr:row>
      <xdr:rowOff>17859</xdr:rowOff>
    </xdr:from>
    <xdr:to>
      <xdr:col>33</xdr:col>
      <xdr:colOff>199118</xdr:colOff>
      <xdr:row>31</xdr:row>
      <xdr:rowOff>56893</xdr:rowOff>
    </xdr:to>
    <xdr:pic>
      <xdr:nvPicPr>
        <xdr:cNvPr id="2" name="Picture 1">
          <a:extLst>
            <a:ext uri="{FF2B5EF4-FFF2-40B4-BE49-F238E27FC236}">
              <a16:creationId xmlns:a16="http://schemas.microsoft.com/office/drawing/2014/main" id="{38EC91B0-7097-49CB-BFA1-14BECF7282D0}"/>
            </a:ext>
          </a:extLst>
        </xdr:cNvPr>
        <xdr:cNvPicPr>
          <a:picLocks noChangeAspect="1"/>
        </xdr:cNvPicPr>
      </xdr:nvPicPr>
      <xdr:blipFill>
        <a:blip xmlns:r="http://schemas.openxmlformats.org/officeDocument/2006/relationships" r:embed="rId1"/>
        <a:stretch>
          <a:fillRect/>
        </a:stretch>
      </xdr:blipFill>
      <xdr:spPr>
        <a:xfrm>
          <a:off x="13912454" y="202407"/>
          <a:ext cx="8212024" cy="748044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bobby/Desktop/MH370%20Desktop/2017.09.28%20FMV5.0%2019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370FP"/>
      <sheetName val="FP Extension"/>
      <sheetName val="Flight Plan Analysis"/>
      <sheetName val="P&amp;W Thrust Plots"/>
      <sheetName val="Turbofan Thrust"/>
      <sheetName val="Turbofan TSFC"/>
      <sheetName val="New GFFE"/>
      <sheetName val="Cubic Interpolation"/>
      <sheetName val="ECON Model"/>
      <sheetName val="FMV5.0 Beta"/>
      <sheetName val="FMV5.0"/>
      <sheetName val="FM Figures"/>
      <sheetName val="Drag Table"/>
      <sheetName val="Holding Mach"/>
      <sheetName val="Holding FF"/>
      <sheetName val="LRC FF"/>
      <sheetName val="LRC Mach"/>
      <sheetName val="M0.84 FF"/>
      <sheetName val="New Drag 200"/>
      <sheetName val="BXXX Drag Fit"/>
      <sheetName val="EOF BFO Model"/>
      <sheetName val="PAPER Tables"/>
      <sheetName val="Old Drag"/>
      <sheetName val="ATPL 300ER"/>
      <sheetName val="Old 777-200 Drag"/>
      <sheetName val="FM#2-Flight Plan #2"/>
      <sheetName val="MH371 Results"/>
      <sheetName val="BLU MH371 Analysis"/>
      <sheetName val="BLU MH371 Data"/>
      <sheetName val="sk999 371 Data"/>
      <sheetName val="MH92 Summary"/>
      <sheetName val="MH92 Results"/>
      <sheetName val="MH92 ACARS"/>
      <sheetName val="MH92 FOQA"/>
      <sheetName val="T vs Alt Calculator"/>
      <sheetName val="LRC KIAS"/>
      <sheetName val="M0.84 Mach"/>
      <sheetName val="M0.84KIAS"/>
      <sheetName val="Holding KIAS"/>
      <sheetName val="Old Holding_KIAS"/>
      <sheetName val="Fuel Study Figures"/>
      <sheetName val="FM2 MH370 Scenarios"/>
      <sheetName val="CP100"/>
      <sheetName val="CP140"/>
      <sheetName val="CP200"/>
      <sheetName val="CP240"/>
      <sheetName val="CP280"/>
      <sheetName val="CP290###"/>
      <sheetName val="CP 290"/>
      <sheetName val="CP 310"/>
      <sheetName val="CP 330"/>
      <sheetName val="CP 350"/>
      <sheetName val="CP 370"/>
      <sheetName val="CP 390"/>
    </sheetNames>
    <sheetDataSet>
      <sheetData sheetId="0"/>
      <sheetData sheetId="1"/>
      <sheetData sheetId="2"/>
      <sheetData sheetId="3"/>
      <sheetData sheetId="4"/>
      <sheetData sheetId="5"/>
      <sheetData sheetId="6"/>
      <sheetData sheetId="7"/>
      <sheetData sheetId="8">
        <row r="37">
          <cell r="D37">
            <v>0.81999999999998463</v>
          </cell>
          <cell r="G37">
            <v>0.84249999999998215</v>
          </cell>
          <cell r="K37">
            <v>0.83649999999998281</v>
          </cell>
          <cell r="P37">
            <v>1010.2339964072748</v>
          </cell>
          <cell r="R37">
            <v>0.71549999999999614</v>
          </cell>
        </row>
        <row r="38">
          <cell r="D38">
            <v>0.82149999999998446</v>
          </cell>
          <cell r="G38">
            <v>0.8374999999999827</v>
          </cell>
          <cell r="K38">
            <v>0.83149999999998336</v>
          </cell>
          <cell r="P38">
            <v>1057.5009955385372</v>
          </cell>
          <cell r="R38">
            <v>0.73199999999999432</v>
          </cell>
        </row>
        <row r="39">
          <cell r="D39">
            <v>0.82349999999998424</v>
          </cell>
          <cell r="G39">
            <v>0.83549999999998292</v>
          </cell>
          <cell r="K39">
            <v>0.82799999999998375</v>
          </cell>
          <cell r="P39">
            <v>1107.4238723061837</v>
          </cell>
          <cell r="R39">
            <v>0.74799999999999256</v>
          </cell>
        </row>
        <row r="40">
          <cell r="D40">
            <v>0.82549999999998402</v>
          </cell>
          <cell r="G40">
            <v>0.83599999999998287</v>
          </cell>
          <cell r="K40">
            <v>0.82949999999998358</v>
          </cell>
          <cell r="P40">
            <v>1160.1772754625108</v>
          </cell>
          <cell r="R40">
            <v>0.75999999999999124</v>
          </cell>
        </row>
        <row r="41">
          <cell r="D41">
            <v>0.80999999999996586</v>
          </cell>
          <cell r="G41">
            <v>0.83349999999996327</v>
          </cell>
          <cell r="K41">
            <v>0.82849999999996382</v>
          </cell>
          <cell r="P41">
            <v>853.37195721189403</v>
          </cell>
          <cell r="R41">
            <v>0.66699999999998161</v>
          </cell>
        </row>
        <row r="42">
          <cell r="D42">
            <v>0.80999999999996586</v>
          </cell>
          <cell r="G42">
            <v>0.83199999999996344</v>
          </cell>
          <cell r="K42">
            <v>0.82749999999996393</v>
          </cell>
          <cell r="P42">
            <v>892.2612538396603</v>
          </cell>
          <cell r="R42">
            <v>0.68949999999997913</v>
          </cell>
        </row>
        <row r="43">
          <cell r="D43">
            <v>0.80999999999996586</v>
          </cell>
          <cell r="G43">
            <v>0.84099999999996244</v>
          </cell>
          <cell r="K43">
            <v>0.83899999999996266</v>
          </cell>
          <cell r="P43">
            <v>933.27837098856617</v>
          </cell>
          <cell r="R43">
            <v>0.67949999999998023</v>
          </cell>
        </row>
        <row r="44">
          <cell r="D44">
            <v>0.81599999999998507</v>
          </cell>
          <cell r="G44">
            <v>0.83349999999998314</v>
          </cell>
          <cell r="K44">
            <v>0.82549999999998402</v>
          </cell>
          <cell r="P44">
            <v>976.55952986036561</v>
          </cell>
          <cell r="R44">
            <v>0.7194999999999957</v>
          </cell>
        </row>
        <row r="45">
          <cell r="D45">
            <v>0.8229999999999843</v>
          </cell>
          <cell r="G45">
            <v>0.84049999999998237</v>
          </cell>
          <cell r="K45">
            <v>0.83449999999998303</v>
          </cell>
          <cell r="P45">
            <v>1022.2509623539192</v>
          </cell>
          <cell r="R45">
            <v>0.72199999999999542</v>
          </cell>
        </row>
        <row r="46">
          <cell r="D46">
            <v>0.82249999999998435</v>
          </cell>
          <cell r="G46">
            <v>0.83699999999998276</v>
          </cell>
          <cell r="K46">
            <v>0.82849999999998369</v>
          </cell>
          <cell r="P46">
            <v>1070.509743229311</v>
          </cell>
          <cell r="R46">
            <v>0.73549999999999394</v>
          </cell>
        </row>
        <row r="47">
          <cell r="D47">
            <v>0.82399999999998419</v>
          </cell>
          <cell r="G47">
            <v>0.83549999999998292</v>
          </cell>
          <cell r="K47">
            <v>0.82849999999998369</v>
          </cell>
          <cell r="P47">
            <v>1121.5046996137605</v>
          </cell>
          <cell r="R47">
            <v>0.75049999999999228</v>
          </cell>
        </row>
        <row r="48">
          <cell r="D48">
            <v>0.82449999999998413</v>
          </cell>
          <cell r="G48">
            <v>0.83449999999998303</v>
          </cell>
          <cell r="K48">
            <v>0.82849999999998369</v>
          </cell>
          <cell r="P48">
            <v>1175.4174058103183</v>
          </cell>
          <cell r="R48">
            <v>0.79499999999998738</v>
          </cell>
        </row>
        <row r="49">
          <cell r="D49">
            <v>0.75849999999997153</v>
          </cell>
          <cell r="G49">
            <v>0.82999999999996366</v>
          </cell>
          <cell r="K49">
            <v>0.82749999999996393</v>
          </cell>
          <cell r="P49">
            <v>823.94533799769079</v>
          </cell>
          <cell r="R49">
            <v>0.66749999999998155</v>
          </cell>
        </row>
        <row r="50">
          <cell r="D50">
            <v>0.80999999999996586</v>
          </cell>
          <cell r="G50">
            <v>0.83299999999996333</v>
          </cell>
          <cell r="K50">
            <v>0.82849999999996382</v>
          </cell>
          <cell r="P50">
            <v>861.49362439691333</v>
          </cell>
          <cell r="R50">
            <v>0.67149999999998111</v>
          </cell>
        </row>
        <row r="51">
          <cell r="D51">
            <v>0.80999999999996586</v>
          </cell>
          <cell r="G51">
            <v>0.83149999999996349</v>
          </cell>
          <cell r="K51">
            <v>0.82799999999996388</v>
          </cell>
          <cell r="P51">
            <v>901.09635819585696</v>
          </cell>
          <cell r="R51">
            <v>0.69349999999997869</v>
          </cell>
        </row>
        <row r="52">
          <cell r="D52">
            <v>0.81199999999998551</v>
          </cell>
          <cell r="G52">
            <v>0.84249999999998215</v>
          </cell>
          <cell r="K52">
            <v>0.8374999999999827</v>
          </cell>
          <cell r="P52">
            <v>942.8850633134565</v>
          </cell>
          <cell r="R52">
            <v>0.68999999999999895</v>
          </cell>
        </row>
        <row r="53">
          <cell r="D53">
            <v>0.81449999999998524</v>
          </cell>
          <cell r="G53">
            <v>0.83149999999998336</v>
          </cell>
          <cell r="K53">
            <v>0.82349999999998424</v>
          </cell>
          <cell r="P53">
            <v>987.00092916930134</v>
          </cell>
          <cell r="R53">
            <v>0.69799999999999807</v>
          </cell>
        </row>
        <row r="54">
          <cell r="D54">
            <v>0.82099999999998452</v>
          </cell>
          <cell r="G54">
            <v>0.83849999999998259</v>
          </cell>
          <cell r="K54">
            <v>0.8329999999999832</v>
          </cell>
          <cell r="P54">
            <v>1033.5956141524382</v>
          </cell>
          <cell r="R54">
            <v>0.7239999999999952</v>
          </cell>
        </row>
        <row r="55">
          <cell r="D55">
            <v>0.82249999999998435</v>
          </cell>
          <cell r="G55">
            <v>0.83599999999998287</v>
          </cell>
          <cell r="K55">
            <v>0.82849999999998369</v>
          </cell>
          <cell r="P55">
            <v>1082.83212376501</v>
          </cell>
          <cell r="R55">
            <v>0.74049999999999339</v>
          </cell>
        </row>
        <row r="56">
          <cell r="D56">
            <v>0.82449999999998413</v>
          </cell>
          <cell r="G56">
            <v>0.83599999999998287</v>
          </cell>
          <cell r="K56">
            <v>0.82899999999998364</v>
          </cell>
          <cell r="P56">
            <v>1134.8857711272037</v>
          </cell>
          <cell r="R56">
            <v>0.75149999999999217</v>
          </cell>
        </row>
        <row r="57">
          <cell r="D57">
            <v>0.82249999999998435</v>
          </cell>
          <cell r="G57">
            <v>0.83199999999998331</v>
          </cell>
          <cell r="K57">
            <v>0.82649999999998391</v>
          </cell>
          <cell r="P57">
            <v>1189.9452283993801</v>
          </cell>
          <cell r="R57">
            <v>0.79949999999998689</v>
          </cell>
        </row>
        <row r="58">
          <cell r="D58">
            <v>0.75199999999997225</v>
          </cell>
          <cell r="G58">
            <v>0.79349999999996768</v>
          </cell>
          <cell r="K58">
            <v>0.82249999999996448</v>
          </cell>
          <cell r="P58">
            <v>794.51871878348754</v>
          </cell>
          <cell r="R58">
            <v>0.66699999999998161</v>
          </cell>
        </row>
        <row r="59">
          <cell r="D59">
            <v>0.80999999999996586</v>
          </cell>
          <cell r="G59">
            <v>0.83249999999996338</v>
          </cell>
          <cell r="K59">
            <v>0.82849999999996382</v>
          </cell>
          <cell r="P59">
            <v>830.72599495416648</v>
          </cell>
          <cell r="R59">
            <v>0.66499999999998183</v>
          </cell>
        </row>
        <row r="60">
          <cell r="D60">
            <v>0.80999999999996586</v>
          </cell>
          <cell r="G60">
            <v>0.83299999999996333</v>
          </cell>
          <cell r="K60">
            <v>0.82849999999996382</v>
          </cell>
          <cell r="P60">
            <v>868.91434540314776</v>
          </cell>
          <cell r="R60">
            <v>0.67599999999998062</v>
          </cell>
        </row>
        <row r="61">
          <cell r="D61">
            <v>0.80949999999998246</v>
          </cell>
          <cell r="G61">
            <v>0.83149999999998003</v>
          </cell>
          <cell r="K61">
            <v>0.82799999999998042</v>
          </cell>
          <cell r="P61">
            <v>909.21059676654727</v>
          </cell>
          <cell r="R61">
            <v>0.69699999999999485</v>
          </cell>
        </row>
        <row r="62">
          <cell r="D62">
            <v>0.82799999999998042</v>
          </cell>
          <cell r="G62">
            <v>0.84099999999997899</v>
          </cell>
          <cell r="K62">
            <v>0.83549999999997959</v>
          </cell>
          <cell r="P62">
            <v>951.75089598468344</v>
          </cell>
          <cell r="R62">
            <v>0.70049999999999446</v>
          </cell>
        </row>
        <row r="63">
          <cell r="D63">
            <v>0.81499999999998185</v>
          </cell>
          <cell r="G63">
            <v>0.83699999999997943</v>
          </cell>
          <cell r="K63">
            <v>0.83899999999997921</v>
          </cell>
          <cell r="P63">
            <v>996.68148507556543</v>
          </cell>
          <cell r="R63">
            <v>0.70549999999999391</v>
          </cell>
        </row>
        <row r="64">
          <cell r="D64">
            <v>0.82049999999998124</v>
          </cell>
          <cell r="G64">
            <v>0.83749999999997937</v>
          </cell>
          <cell r="K64">
            <v>0.83299999999997987</v>
          </cell>
          <cell r="P64">
            <v>1044.1595479162597</v>
          </cell>
          <cell r="R64">
            <v>0.72699999999999154</v>
          </cell>
        </row>
        <row r="65">
          <cell r="D65">
            <v>0.82299999999998097</v>
          </cell>
          <cell r="G65">
            <v>0.83599999999997954</v>
          </cell>
          <cell r="K65">
            <v>0.82899999999998031</v>
          </cell>
          <cell r="P65">
            <v>1094.3541364440894</v>
          </cell>
          <cell r="R65">
            <v>0.74449999999998961</v>
          </cell>
        </row>
        <row r="66">
          <cell r="D66">
            <v>0.82549999999998069</v>
          </cell>
          <cell r="G66">
            <v>0.83649999999997948</v>
          </cell>
          <cell r="K66">
            <v>0.8299999999999802</v>
          </cell>
          <cell r="P66">
            <v>1147.4471845279738</v>
          </cell>
          <cell r="R66">
            <v>0.75499999999998846</v>
          </cell>
        </row>
        <row r="67">
          <cell r="D67">
            <v>0.8184999999999869</v>
          </cell>
          <cell r="G67">
            <v>0.82949999999998569</v>
          </cell>
          <cell r="K67">
            <v>0.8239999999999863</v>
          </cell>
          <cell r="P67">
            <v>1203.6346187020677</v>
          </cell>
          <cell r="R67">
            <v>0.80149999999998878</v>
          </cell>
        </row>
        <row r="68">
          <cell r="D68">
            <v>0.74849999999997263</v>
          </cell>
          <cell r="G68">
            <v>0.78449999999996867</v>
          </cell>
          <cell r="K68">
            <v>0.81099999999996575</v>
          </cell>
          <cell r="P68">
            <v>765.0920995692843</v>
          </cell>
          <cell r="R68">
            <v>0.65199999999998326</v>
          </cell>
        </row>
        <row r="69">
          <cell r="D69">
            <v>0.75299999999997214</v>
          </cell>
          <cell r="G69">
            <v>0.80499999999996641</v>
          </cell>
          <cell r="K69">
            <v>0.82499999999996421</v>
          </cell>
          <cell r="P69">
            <v>799.95836551141952</v>
          </cell>
          <cell r="R69">
            <v>0.66849999999998144</v>
          </cell>
        </row>
        <row r="70">
          <cell r="D70">
            <v>0.80999999999996586</v>
          </cell>
          <cell r="G70">
            <v>0.83299999999996333</v>
          </cell>
          <cell r="K70">
            <v>0.82899999999996377</v>
          </cell>
          <cell r="P70">
            <v>836.73233261043856</v>
          </cell>
          <cell r="R70">
            <v>0.66099999999998227</v>
          </cell>
        </row>
        <row r="71">
          <cell r="D71">
            <v>0.8099999999999824</v>
          </cell>
          <cell r="G71">
            <v>0.83299999999997987</v>
          </cell>
          <cell r="K71">
            <v>0.82899999999998031</v>
          </cell>
          <cell r="P71">
            <v>875.53613021963815</v>
          </cell>
          <cell r="R71">
            <v>0.68049999999999666</v>
          </cell>
        </row>
        <row r="72">
          <cell r="D72">
            <v>0.8099999999999824</v>
          </cell>
          <cell r="G72">
            <v>0.83149999999998003</v>
          </cell>
          <cell r="K72">
            <v>0.82949999999998025</v>
          </cell>
          <cell r="P72">
            <v>916.50086280006553</v>
          </cell>
          <cell r="R72">
            <v>0.69999999999999452</v>
          </cell>
        </row>
        <row r="73">
          <cell r="D73">
            <v>0.8244999999999808</v>
          </cell>
          <cell r="G73">
            <v>0.83899999999997921</v>
          </cell>
          <cell r="K73">
            <v>0.83349999999997981</v>
          </cell>
          <cell r="P73">
            <v>959.76735599869266</v>
          </cell>
          <cell r="R73">
            <v>0.70799999999999363</v>
          </cell>
        </row>
        <row r="74">
          <cell r="D74">
            <v>0.81749999999998157</v>
          </cell>
          <cell r="G74">
            <v>0.84249999999997882</v>
          </cell>
          <cell r="K74">
            <v>0.83849999999997926</v>
          </cell>
          <cell r="P74">
            <v>1005.4869720675094</v>
          </cell>
          <cell r="R74">
            <v>0.71199999999999319</v>
          </cell>
        </row>
        <row r="75">
          <cell r="D75">
            <v>0.82099999999998119</v>
          </cell>
          <cell r="G75">
            <v>0.83749999999997937</v>
          </cell>
          <cell r="K75">
            <v>0.83299999999997987</v>
          </cell>
          <cell r="P75">
            <v>1053.822501760975</v>
          </cell>
          <cell r="R75">
            <v>0.72999999999999121</v>
          </cell>
        </row>
        <row r="76">
          <cell r="D76">
            <v>0.82349999999998091</v>
          </cell>
          <cell r="G76">
            <v>0.83599999999997954</v>
          </cell>
          <cell r="K76">
            <v>0.82899999999998031</v>
          </cell>
          <cell r="P76">
            <v>1104.9491406565674</v>
          </cell>
          <cell r="R76">
            <v>0.74749999999998928</v>
          </cell>
        </row>
        <row r="77">
          <cell r="D77">
            <v>0.82599999999998397</v>
          </cell>
          <cell r="G77">
            <v>0.83649999999998281</v>
          </cell>
          <cell r="K77">
            <v>0.83049999999998347</v>
          </cell>
          <cell r="P77">
            <v>1159.0555587501392</v>
          </cell>
          <cell r="R77">
            <v>0.75999999999999124</v>
          </cell>
        </row>
        <row r="78">
          <cell r="D78">
            <v>0.81799999999998696</v>
          </cell>
          <cell r="G78">
            <v>0.82699999999998597</v>
          </cell>
          <cell r="K78">
            <v>0.82199999999998652</v>
          </cell>
          <cell r="P78">
            <v>1216.1219409583473</v>
          </cell>
          <cell r="R78">
            <v>0.8039999999999885</v>
          </cell>
        </row>
        <row r="79">
          <cell r="D79">
            <v>0.74549999999997296</v>
          </cell>
          <cell r="G79">
            <v>0.78699999999996839</v>
          </cell>
          <cell r="K79">
            <v>0.80649999999996624</v>
          </cell>
          <cell r="P79">
            <v>735.66548035508106</v>
          </cell>
          <cell r="R79">
            <v>0.62249999999998651</v>
          </cell>
        </row>
        <row r="80">
          <cell r="D80">
            <v>0.74899999999997258</v>
          </cell>
          <cell r="G80">
            <v>0.78499999999996861</v>
          </cell>
          <cell r="K80">
            <v>0.81249999999996558</v>
          </cell>
          <cell r="P80">
            <v>769.19073606867266</v>
          </cell>
          <cell r="R80">
            <v>0.65449999999998298</v>
          </cell>
        </row>
        <row r="81">
          <cell r="D81">
            <v>0.75399999999997203</v>
          </cell>
          <cell r="G81">
            <v>0.81399999999996542</v>
          </cell>
          <cell r="K81">
            <v>0.82749999999996393</v>
          </cell>
          <cell r="P81">
            <v>804.55031981772947</v>
          </cell>
          <cell r="R81">
            <v>0.66949999999998133</v>
          </cell>
        </row>
        <row r="82">
          <cell r="D82">
            <v>0.80999999999997685</v>
          </cell>
          <cell r="G82">
            <v>0.83349999999997426</v>
          </cell>
          <cell r="K82">
            <v>0.8294999999999747</v>
          </cell>
          <cell r="P82">
            <v>841.86166367272904</v>
          </cell>
          <cell r="R82">
            <v>0.66099999999999326</v>
          </cell>
        </row>
        <row r="83">
          <cell r="D83">
            <v>0.80999999999997685</v>
          </cell>
          <cell r="G83">
            <v>0.83249999999997437</v>
          </cell>
          <cell r="K83">
            <v>0.8294999999999747</v>
          </cell>
          <cell r="P83">
            <v>881.25082961544763</v>
          </cell>
          <cell r="R83">
            <v>0.68399999999999073</v>
          </cell>
        </row>
        <row r="84">
          <cell r="D84">
            <v>0.80999999999997685</v>
          </cell>
          <cell r="G84">
            <v>0.83299999999997432</v>
          </cell>
          <cell r="K84">
            <v>0.84249999999997327</v>
          </cell>
          <cell r="P84">
            <v>922.8532269218199</v>
          </cell>
          <cell r="R84">
            <v>0.66749999999999254</v>
          </cell>
        </row>
        <row r="85">
          <cell r="D85">
            <v>0.82049999999997569</v>
          </cell>
          <cell r="G85">
            <v>0.83699999999997388</v>
          </cell>
          <cell r="K85">
            <v>0.83249999999997437</v>
          </cell>
          <cell r="P85">
            <v>966.81439621875904</v>
          </cell>
          <cell r="R85">
            <v>0.71449999999998737</v>
          </cell>
        </row>
        <row r="86">
          <cell r="D86">
            <v>0.82149999999997558</v>
          </cell>
          <cell r="G86">
            <v>0.84249999999997327</v>
          </cell>
          <cell r="K86">
            <v>0.83699999999997388</v>
          </cell>
          <cell r="P86">
            <v>1013.2908670778605</v>
          </cell>
          <cell r="R86">
            <v>0.71799999999998698</v>
          </cell>
        </row>
        <row r="87">
          <cell r="D87">
            <v>0.82199999999997553</v>
          </cell>
          <cell r="G87">
            <v>0.83749999999997382</v>
          </cell>
          <cell r="K87">
            <v>0.83299999999997432</v>
          </cell>
          <cell r="P87">
            <v>1062.4510967851609</v>
          </cell>
          <cell r="R87">
            <v>0.73349999999998527</v>
          </cell>
        </row>
        <row r="88">
          <cell r="D88">
            <v>0.82399999999998086</v>
          </cell>
          <cell r="G88">
            <v>0.83549999999997959</v>
          </cell>
          <cell r="K88">
            <v>0.82899999999998031</v>
          </cell>
          <cell r="P88">
            <v>1114.4764987982107</v>
          </cell>
          <cell r="R88">
            <v>0.74949999999998906</v>
          </cell>
        </row>
        <row r="89">
          <cell r="D89">
            <v>0.82499999999998297</v>
          </cell>
          <cell r="G89">
            <v>0.83549999999998181</v>
          </cell>
          <cell r="K89">
            <v>0.82999999999998242</v>
          </cell>
          <cell r="P89">
            <v>1169.348020152257</v>
          </cell>
          <cell r="R89">
            <v>0.79399999999998638</v>
          </cell>
        </row>
        <row r="90">
          <cell r="D90">
            <v>0.72649999999997505</v>
          </cell>
          <cell r="G90">
            <v>0.78399999999996872</v>
          </cell>
          <cell r="K90">
            <v>0.80249999999996668</v>
          </cell>
          <cell r="P90">
            <v>706.23886114087782</v>
          </cell>
          <cell r="R90">
            <v>0.54849999999999466</v>
          </cell>
        </row>
        <row r="91">
          <cell r="D91">
            <v>0.74599999999997291</v>
          </cell>
          <cell r="G91">
            <v>0.78699999999996839</v>
          </cell>
          <cell r="K91">
            <v>0.80799999999996608</v>
          </cell>
          <cell r="P91">
            <v>738.4231066259257</v>
          </cell>
          <cell r="R91">
            <v>0.62549999999998618</v>
          </cell>
        </row>
        <row r="92">
          <cell r="D92">
            <v>0.74949999999997252</v>
          </cell>
          <cell r="G92">
            <v>0.78549999999996856</v>
          </cell>
          <cell r="K92">
            <v>0.81499999999996531</v>
          </cell>
          <cell r="P92">
            <v>772.36830702502027</v>
          </cell>
          <cell r="R92">
            <v>0.65699999999998271</v>
          </cell>
        </row>
        <row r="93">
          <cell r="D93">
            <v>0.75499999999998291</v>
          </cell>
          <cell r="G93">
            <v>0.81749999999997602</v>
          </cell>
          <cell r="K93">
            <v>0.82899999999997476</v>
          </cell>
          <cell r="P93">
            <v>808.18719712581981</v>
          </cell>
          <cell r="R93">
            <v>0.66949999999999232</v>
          </cell>
        </row>
        <row r="94">
          <cell r="D94">
            <v>0.80999999999997685</v>
          </cell>
          <cell r="G94">
            <v>0.83349999999997426</v>
          </cell>
          <cell r="K94">
            <v>0.8294999999999747</v>
          </cell>
          <cell r="P94">
            <v>846.00079643082972</v>
          </cell>
          <cell r="R94">
            <v>0.66249999999999309</v>
          </cell>
        </row>
        <row r="95">
          <cell r="D95">
            <v>0.80999999999997685</v>
          </cell>
          <cell r="G95">
            <v>0.83249999999997437</v>
          </cell>
          <cell r="K95">
            <v>0.8294999999999747</v>
          </cell>
          <cell r="P95">
            <v>885.93909784494713</v>
          </cell>
          <cell r="R95">
            <v>0.68599999999999051</v>
          </cell>
        </row>
        <row r="96">
          <cell r="D96">
            <v>0.80999999999997685</v>
          </cell>
          <cell r="G96">
            <v>0.83649999999997393</v>
          </cell>
          <cell r="K96">
            <v>0.84149999999997338</v>
          </cell>
          <cell r="P96">
            <v>928.14182037000865</v>
          </cell>
          <cell r="R96">
            <v>0.67349999999999188</v>
          </cell>
        </row>
        <row r="97">
          <cell r="D97">
            <v>0.81699999999997608</v>
          </cell>
          <cell r="G97">
            <v>0.8349999999999741</v>
          </cell>
          <cell r="K97">
            <v>0.82899999999997476</v>
          </cell>
          <cell r="P97">
            <v>972.75923239474616</v>
          </cell>
          <cell r="R97">
            <v>0.71799999999998698</v>
          </cell>
        </row>
        <row r="98">
          <cell r="D98">
            <v>0.82349999999997536</v>
          </cell>
          <cell r="G98">
            <v>0.84099999999997344</v>
          </cell>
          <cell r="K98">
            <v>0.83599999999997399</v>
          </cell>
          <cell r="P98">
            <v>1019.9530529137544</v>
          </cell>
          <cell r="R98">
            <v>0.72099999999998665</v>
          </cell>
        </row>
        <row r="99">
          <cell r="D99">
            <v>0.82249999999998646</v>
          </cell>
          <cell r="G99">
            <v>0.83699999999998487</v>
          </cell>
          <cell r="K99">
            <v>0.83249999999998536</v>
          </cell>
          <cell r="P99">
            <v>1069.8974388462823</v>
          </cell>
          <cell r="R99">
            <v>0.73549999999999605</v>
          </cell>
        </row>
        <row r="100">
          <cell r="D100">
            <v>0.82399999999998086</v>
          </cell>
          <cell r="G100">
            <v>0.83549999999997959</v>
          </cell>
          <cell r="K100">
            <v>0.82949999999998025</v>
          </cell>
          <cell r="P100">
            <v>1122.5740993461668</v>
          </cell>
          <cell r="R100">
            <v>0.75049999999998895</v>
          </cell>
        </row>
        <row r="101">
          <cell r="D101">
            <v>0.82399999999998519</v>
          </cell>
          <cell r="G101">
            <v>0.83449999999998403</v>
          </cell>
          <cell r="K101">
            <v>0.82899999999998464</v>
          </cell>
          <cell r="P101">
            <v>1177.8465472315372</v>
          </cell>
          <cell r="R101">
            <v>0.79549999999998833</v>
          </cell>
        </row>
        <row r="102">
          <cell r="D102">
            <v>0.70949999999997693</v>
          </cell>
          <cell r="G102">
            <v>0.76499999999997081</v>
          </cell>
          <cell r="K102">
            <v>0.80099999999996685</v>
          </cell>
          <cell r="P102">
            <v>676.81224192667457</v>
          </cell>
          <cell r="R102">
            <v>0.52299999999999747</v>
          </cell>
        </row>
        <row r="103">
          <cell r="D103">
            <v>0.72749999999997494</v>
          </cell>
          <cell r="G103">
            <v>0.78499999999996861</v>
          </cell>
          <cell r="K103">
            <v>0.80399999999996652</v>
          </cell>
          <cell r="P103">
            <v>707.65547718317885</v>
          </cell>
          <cell r="R103">
            <v>0.59099999999998998</v>
          </cell>
        </row>
        <row r="104">
          <cell r="D104">
            <v>0.74649999999997285</v>
          </cell>
          <cell r="G104">
            <v>0.78749999999996834</v>
          </cell>
          <cell r="K104">
            <v>0.80949999999996591</v>
          </cell>
          <cell r="P104">
            <v>740.18629423231107</v>
          </cell>
          <cell r="R104">
            <v>0.62699999999998601</v>
          </cell>
        </row>
        <row r="105">
          <cell r="D105">
            <v>0.74999999999998346</v>
          </cell>
          <cell r="G105">
            <v>0.78649999999997944</v>
          </cell>
          <cell r="K105">
            <v>0.81749999999997602</v>
          </cell>
          <cell r="P105">
            <v>774.51273057891069</v>
          </cell>
          <cell r="R105">
            <v>0.65849999999999353</v>
          </cell>
        </row>
        <row r="106">
          <cell r="D106">
            <v>0.75549999999998285</v>
          </cell>
          <cell r="G106">
            <v>0.82049999999997569</v>
          </cell>
          <cell r="K106">
            <v>0.82999999999997465</v>
          </cell>
          <cell r="P106">
            <v>810.75076324621182</v>
          </cell>
          <cell r="R106">
            <v>0.66949999999999232</v>
          </cell>
        </row>
        <row r="107">
          <cell r="D107">
            <v>0.80999999999997685</v>
          </cell>
          <cell r="G107">
            <v>0.83349999999997426</v>
          </cell>
          <cell r="K107">
            <v>0.82999999999997465</v>
          </cell>
          <cell r="P107">
            <v>849.02496876807425</v>
          </cell>
          <cell r="R107">
            <v>0.66399999999999293</v>
          </cell>
        </row>
        <row r="108">
          <cell r="D108">
            <v>0.80999999999997685</v>
          </cell>
          <cell r="G108">
            <v>0.83249999999997437</v>
          </cell>
          <cell r="K108">
            <v>0.82999999999997465</v>
          </cell>
          <cell r="P108">
            <v>889.46924452125836</v>
          </cell>
          <cell r="R108">
            <v>0.68799999999999029</v>
          </cell>
        </row>
        <row r="109">
          <cell r="D109">
            <v>0.80999999999997685</v>
          </cell>
          <cell r="G109">
            <v>0.84099999999997344</v>
          </cell>
          <cell r="K109">
            <v>0.84099999999997344</v>
          </cell>
          <cell r="P109">
            <v>932.22759771163169</v>
          </cell>
          <cell r="R109">
            <v>0.67799999999999139</v>
          </cell>
        </row>
        <row r="110">
          <cell r="D110">
            <v>0.81599999999997619</v>
          </cell>
          <cell r="G110">
            <v>0.83349999999997426</v>
          </cell>
          <cell r="K110">
            <v>0.83099999999997454</v>
          </cell>
          <cell r="P110">
            <v>977.45500904234802</v>
          </cell>
          <cell r="R110">
            <v>0.71949999999998682</v>
          </cell>
        </row>
        <row r="111">
          <cell r="D111">
            <v>0.82299999999997542</v>
          </cell>
          <cell r="G111">
            <v>0.83999999999997355</v>
          </cell>
          <cell r="K111">
            <v>0.83549999999997404</v>
          </cell>
          <cell r="P111">
            <v>1025.3183788943538</v>
          </cell>
          <cell r="R111">
            <v>0.72299999999998643</v>
          </cell>
        </row>
        <row r="112">
          <cell r="D112">
            <v>0.82249999999997547</v>
          </cell>
          <cell r="G112">
            <v>0.83649999999997393</v>
          </cell>
          <cell r="K112">
            <v>0.83149999999997448</v>
          </cell>
          <cell r="P112">
            <v>1075.8001785400766</v>
          </cell>
          <cell r="R112">
            <v>0.73749999999998483</v>
          </cell>
        </row>
        <row r="113">
          <cell r="D113">
            <v>0.8244999999999808</v>
          </cell>
          <cell r="G113">
            <v>0.83599999999997954</v>
          </cell>
          <cell r="K113">
            <v>0.83049999999998014</v>
          </cell>
          <cell r="P113">
            <v>1128.7696077635567</v>
          </cell>
          <cell r="R113">
            <v>0.75149999999998884</v>
          </cell>
        </row>
        <row r="114">
          <cell r="D114">
            <v>0.82349999999998635</v>
          </cell>
          <cell r="G114">
            <v>0.83299999999998531</v>
          </cell>
          <cell r="K114">
            <v>0.82799999999998586</v>
          </cell>
          <cell r="P114">
            <v>1184.347105370209</v>
          </cell>
          <cell r="R114">
            <v>0.79749999999998922</v>
          </cell>
        </row>
        <row r="115">
          <cell r="D115">
            <v>0.69649999999997836</v>
          </cell>
          <cell r="G115">
            <v>0.74549999999997296</v>
          </cell>
          <cell r="K115">
            <v>0.79799999999996718</v>
          </cell>
          <cell r="P115">
            <v>647.38562271247133</v>
          </cell>
          <cell r="R115">
            <v>0.52049999999999774</v>
          </cell>
        </row>
        <row r="116">
          <cell r="D116">
            <v>0.70949999999997693</v>
          </cell>
          <cell r="G116">
            <v>0.7659999999999707</v>
          </cell>
          <cell r="K116">
            <v>0.80249999999996668</v>
          </cell>
          <cell r="P116">
            <v>676.88784774043188</v>
          </cell>
          <cell r="R116">
            <v>0.52299999999999747</v>
          </cell>
        </row>
        <row r="117">
          <cell r="D117">
            <v>0.72799999999997489</v>
          </cell>
          <cell r="G117">
            <v>0.7859999999999685</v>
          </cell>
          <cell r="K117">
            <v>0.80499999999996641</v>
          </cell>
          <cell r="P117">
            <v>708.00428143960187</v>
          </cell>
          <cell r="R117">
            <v>0.59149999999998992</v>
          </cell>
        </row>
        <row r="118">
          <cell r="D118">
            <v>0.74699999999997835</v>
          </cell>
          <cell r="G118">
            <v>0.78799999999997383</v>
          </cell>
          <cell r="K118">
            <v>0.80999999999997141</v>
          </cell>
          <cell r="P118">
            <v>740.83826403200158</v>
          </cell>
          <cell r="R118">
            <v>0.62799999999999145</v>
          </cell>
        </row>
        <row r="119">
          <cell r="D119">
            <v>0.75049999999997796</v>
          </cell>
          <cell r="G119">
            <v>0.78749999999997389</v>
          </cell>
          <cell r="K119">
            <v>0.82149999999997014</v>
          </cell>
          <cell r="P119">
            <v>775.50073006159391</v>
          </cell>
          <cell r="R119">
            <v>0.65899999999998804</v>
          </cell>
        </row>
        <row r="120">
          <cell r="D120">
            <v>0.75599999999997736</v>
          </cell>
          <cell r="G120">
            <v>0.82249999999997003</v>
          </cell>
          <cell r="K120">
            <v>0.84049999999996805</v>
          </cell>
          <cell r="P120">
            <v>812.11083969120148</v>
          </cell>
          <cell r="R120">
            <v>0.66949999999998688</v>
          </cell>
        </row>
        <row r="121">
          <cell r="D121">
            <v>0.80999999999997141</v>
          </cell>
          <cell r="G121">
            <v>0.83399999999996877</v>
          </cell>
          <cell r="K121">
            <v>0.82999999999996921</v>
          </cell>
          <cell r="P121">
            <v>850.79666867250796</v>
          </cell>
          <cell r="R121">
            <v>0.66549999999998732</v>
          </cell>
        </row>
        <row r="122">
          <cell r="D122">
            <v>0.80999999999997141</v>
          </cell>
          <cell r="G122">
            <v>0.83249999999996893</v>
          </cell>
          <cell r="K122">
            <v>0.82999999999996921</v>
          </cell>
          <cell r="P122">
            <v>891.69596302851733</v>
          </cell>
          <cell r="R122">
            <v>0.68899999999998474</v>
          </cell>
        </row>
        <row r="123">
          <cell r="D123">
            <v>0.80999999999997141</v>
          </cell>
          <cell r="G123">
            <v>0.84249999999996783</v>
          </cell>
          <cell r="K123">
            <v>0.84049999999996805</v>
          </cell>
          <cell r="P123">
            <v>934.95696517094154</v>
          </cell>
          <cell r="R123">
            <v>0.68149999999998556</v>
          </cell>
        </row>
        <row r="124">
          <cell r="D124">
            <v>0.8154999999999708</v>
          </cell>
          <cell r="G124">
            <v>0.83249999999996893</v>
          </cell>
          <cell r="K124">
            <v>0.83149999999996904</v>
          </cell>
          <cell r="P124">
            <v>980.73931894242548</v>
          </cell>
          <cell r="R124">
            <v>0.71999999999998132</v>
          </cell>
        </row>
        <row r="125">
          <cell r="D125">
            <v>0.82199999999997553</v>
          </cell>
          <cell r="G125">
            <v>0.8394999999999736</v>
          </cell>
          <cell r="K125">
            <v>0.83549999999997404</v>
          </cell>
          <cell r="P125">
            <v>1029.0262577339863</v>
          </cell>
          <cell r="R125">
            <v>0.72349999999998638</v>
          </cell>
        </row>
        <row r="126">
          <cell r="D126">
            <v>0.82299999999997542</v>
          </cell>
          <cell r="G126">
            <v>0.83649999999997393</v>
          </cell>
          <cell r="K126">
            <v>0.83199999999997443</v>
          </cell>
          <cell r="P126">
            <v>1079.6926682955759</v>
          </cell>
          <cell r="R126">
            <v>0.73849999999998472</v>
          </cell>
        </row>
        <row r="127">
          <cell r="D127">
            <v>0.82449999999998191</v>
          </cell>
          <cell r="G127">
            <v>0.83599999999998065</v>
          </cell>
          <cell r="K127">
            <v>0.8309999999999812</v>
          </cell>
          <cell r="P127">
            <v>1132.8537529628086</v>
          </cell>
          <cell r="R127">
            <v>0.7519999999999899</v>
          </cell>
        </row>
        <row r="128">
          <cell r="D128">
            <v>0.82249999999998646</v>
          </cell>
          <cell r="G128">
            <v>0.83249999999998536</v>
          </cell>
          <cell r="K128">
            <v>0.82749999999998591</v>
          </cell>
          <cell r="P128">
            <v>1188.6323425978744</v>
          </cell>
          <cell r="R128">
            <v>0.79899999999998905</v>
          </cell>
        </row>
        <row r="129">
          <cell r="D129">
            <v>0.68599999999997952</v>
          </cell>
          <cell r="G129">
            <v>0.73399999999997423</v>
          </cell>
          <cell r="K129">
            <v>0.94349999999995116</v>
          </cell>
          <cell r="P129">
            <v>617.95900349826809</v>
          </cell>
          <cell r="R129">
            <v>0.52299999999999747</v>
          </cell>
        </row>
        <row r="130">
          <cell r="D130">
            <v>0.69599999999997841</v>
          </cell>
          <cell r="G130">
            <v>0.74599999999997291</v>
          </cell>
          <cell r="K130">
            <v>0.79999999999996696</v>
          </cell>
          <cell r="P130">
            <v>646.12021829768503</v>
          </cell>
          <cell r="R130">
            <v>0.52249999999999752</v>
          </cell>
        </row>
        <row r="131">
          <cell r="D131">
            <v>0.70949999999997693</v>
          </cell>
          <cell r="G131">
            <v>0.7659999999999707</v>
          </cell>
          <cell r="K131">
            <v>0.80399999999996652</v>
          </cell>
          <cell r="P131">
            <v>675.82226864689278</v>
          </cell>
          <cell r="R131">
            <v>0.52249999999999752</v>
          </cell>
        </row>
        <row r="132">
          <cell r="D132">
            <v>0.72799999999998044</v>
          </cell>
          <cell r="G132">
            <v>0.786499999999974</v>
          </cell>
          <cell r="K132">
            <v>0.80599999999997185</v>
          </cell>
          <cell r="P132">
            <v>707.16379748509235</v>
          </cell>
          <cell r="R132">
            <v>0.58999999999999564</v>
          </cell>
        </row>
        <row r="133">
          <cell r="D133">
            <v>0.74749999999997829</v>
          </cell>
          <cell r="G133">
            <v>0.78849999999997378</v>
          </cell>
          <cell r="K133">
            <v>0.8109999999999713</v>
          </cell>
          <cell r="P133">
            <v>740.25069687697601</v>
          </cell>
          <cell r="R133">
            <v>0.62699999999999156</v>
          </cell>
        </row>
        <row r="134">
          <cell r="D134">
            <v>0.75049999999997796</v>
          </cell>
          <cell r="G134">
            <v>0.78799999999997383</v>
          </cell>
          <cell r="K134">
            <v>0.82349999999996992</v>
          </cell>
          <cell r="P134">
            <v>775.19671061432871</v>
          </cell>
          <cell r="R134">
            <v>0.65849999999998809</v>
          </cell>
        </row>
        <row r="135">
          <cell r="D135">
            <v>0.75599999999997736</v>
          </cell>
          <cell r="G135">
            <v>0.82299999999996998</v>
          </cell>
          <cell r="K135">
            <v>0.84349999999996772</v>
          </cell>
          <cell r="P135">
            <v>812.12409282375756</v>
          </cell>
          <cell r="R135">
            <v>0.66949999999998688</v>
          </cell>
        </row>
        <row r="136">
          <cell r="D136">
            <v>0.80999999999997141</v>
          </cell>
          <cell r="G136">
            <v>0.83399999999996877</v>
          </cell>
          <cell r="K136">
            <v>0.83049999999996915</v>
          </cell>
          <cell r="P136">
            <v>851.16432834540285</v>
          </cell>
          <cell r="R136">
            <v>0.66549999999998732</v>
          </cell>
        </row>
        <row r="137">
          <cell r="D137">
            <v>0.80999999999997141</v>
          </cell>
          <cell r="G137">
            <v>0.83249999999996893</v>
          </cell>
          <cell r="K137">
            <v>0.83049999999996915</v>
          </cell>
          <cell r="P137">
            <v>892.45892129953518</v>
          </cell>
          <cell r="R137">
            <v>0.68949999999998468</v>
          </cell>
        </row>
        <row r="138">
          <cell r="D138">
            <v>0.81049999999997135</v>
          </cell>
          <cell r="G138">
            <v>0.84249999999996783</v>
          </cell>
          <cell r="K138">
            <v>0.84049999999996805</v>
          </cell>
          <cell r="P138">
            <v>936.16025899049703</v>
          </cell>
          <cell r="R138">
            <v>0.68249999999998545</v>
          </cell>
        </row>
        <row r="139">
          <cell r="D139">
            <v>0.8154999999999708</v>
          </cell>
          <cell r="G139">
            <v>0.83249999999996893</v>
          </cell>
          <cell r="K139">
            <v>0.82899999999996932</v>
          </cell>
          <cell r="P139">
            <v>982.25233692789595</v>
          </cell>
          <cell r="R139">
            <v>0.71949999999998138</v>
          </cell>
        </row>
        <row r="140">
          <cell r="D140">
            <v>0.82199999999998108</v>
          </cell>
          <cell r="G140">
            <v>0.83899999999997921</v>
          </cell>
          <cell r="K140">
            <v>0.83549999999997959</v>
          </cell>
          <cell r="P140">
            <v>1030.6157288275951</v>
          </cell>
          <cell r="R140">
            <v>0.72349999999999193</v>
          </cell>
        </row>
        <row r="141">
          <cell r="D141">
            <v>0.82299999999998097</v>
          </cell>
          <cell r="G141">
            <v>0.83649999999997948</v>
          </cell>
          <cell r="K141">
            <v>0.83249999999997992</v>
          </cell>
          <cell r="P141">
            <v>1081.3604005554082</v>
          </cell>
          <cell r="R141">
            <v>0.73899999999999022</v>
          </cell>
        </row>
        <row r="142">
          <cell r="D142">
            <v>0.82499999999998075</v>
          </cell>
          <cell r="G142">
            <v>0.83599999999997954</v>
          </cell>
          <cell r="K142">
            <v>0.83149999999998003</v>
          </cell>
          <cell r="P142">
            <v>1134.6035997525166</v>
          </cell>
          <cell r="R142">
            <v>0.75149999999998884</v>
          </cell>
        </row>
        <row r="143">
          <cell r="D143">
            <v>0.82249999999998646</v>
          </cell>
          <cell r="G143">
            <v>0.83199999999998542</v>
          </cell>
          <cell r="K143">
            <v>0.82699999999998597</v>
          </cell>
          <cell r="P143">
            <v>1190.4683470100929</v>
          </cell>
          <cell r="R143">
            <v>0.799499999999989</v>
          </cell>
        </row>
        <row r="144">
          <cell r="D144">
            <v>0.67499999999998073</v>
          </cell>
          <cell r="G144">
            <v>0.72499999999997522</v>
          </cell>
          <cell r="K144">
            <v>0.77499999999996971</v>
          </cell>
          <cell r="P144">
            <v>588.53238428406485</v>
          </cell>
          <cell r="R144">
            <v>0.51099999999999879</v>
          </cell>
        </row>
        <row r="145">
          <cell r="D145">
            <v>0.68549999999997957</v>
          </cell>
          <cell r="G145">
            <v>0.73399999999997423</v>
          </cell>
          <cell r="K145">
            <v>0.79099999999996795</v>
          </cell>
          <cell r="P145">
            <v>615.35258885493818</v>
          </cell>
          <cell r="R145">
            <v>0.52199999999999758</v>
          </cell>
        </row>
        <row r="146">
          <cell r="D146">
            <v>0.69549999999997847</v>
          </cell>
          <cell r="G146">
            <v>0.74549999999997296</v>
          </cell>
          <cell r="K146">
            <v>0.80199999999996674</v>
          </cell>
          <cell r="P146">
            <v>643.64025585418358</v>
          </cell>
          <cell r="R146">
            <v>0.52349999999999741</v>
          </cell>
        </row>
        <row r="147">
          <cell r="D147">
            <v>0.70849999999997704</v>
          </cell>
          <cell r="G147">
            <v>0.76499999999997081</v>
          </cell>
          <cell r="K147">
            <v>0.80549999999996635</v>
          </cell>
          <cell r="P147">
            <v>673.48933093818323</v>
          </cell>
          <cell r="R147">
            <v>0.52149999999999763</v>
          </cell>
        </row>
        <row r="148">
          <cell r="D148">
            <v>0.72749999999997494</v>
          </cell>
          <cell r="G148">
            <v>0.78649999999996845</v>
          </cell>
          <cell r="K148">
            <v>0.80749999999996613</v>
          </cell>
          <cell r="P148">
            <v>705.0006636923581</v>
          </cell>
          <cell r="R148">
            <v>0.54699999999999482</v>
          </cell>
        </row>
        <row r="149">
          <cell r="D149">
            <v>0.74749999999997274</v>
          </cell>
          <cell r="G149">
            <v>0.78899999999996817</v>
          </cell>
          <cell r="K149">
            <v>0.81199999999996564</v>
          </cell>
          <cell r="P149">
            <v>738.28258153745594</v>
          </cell>
          <cell r="R149">
            <v>0.62499999999998623</v>
          </cell>
        </row>
        <row r="150">
          <cell r="D150">
            <v>0.75049999999997241</v>
          </cell>
          <cell r="G150">
            <v>0.78799999999996828</v>
          </cell>
          <cell r="K150">
            <v>0.84699999999996178</v>
          </cell>
          <cell r="P150">
            <v>773.45151697500728</v>
          </cell>
          <cell r="R150">
            <v>0.65749999999998265</v>
          </cell>
        </row>
        <row r="151">
          <cell r="D151">
            <v>0.75599999999997181</v>
          </cell>
          <cell r="G151">
            <v>0.82249999999996448</v>
          </cell>
          <cell r="K151">
            <v>0.83249999999996338</v>
          </cell>
          <cell r="P151">
            <v>810.63269366228849</v>
          </cell>
          <cell r="R151">
            <v>0.66949999999998133</v>
          </cell>
        </row>
        <row r="152">
          <cell r="D152">
            <v>0.80999999999996586</v>
          </cell>
          <cell r="G152">
            <v>0.83399999999996322</v>
          </cell>
          <cell r="K152">
            <v>0.83099999999996355</v>
          </cell>
          <cell r="P152">
            <v>849.9608774281287</v>
          </cell>
          <cell r="R152">
            <v>0.66449999999998188</v>
          </cell>
        </row>
        <row r="153">
          <cell r="D153">
            <v>0.80999999999996586</v>
          </cell>
          <cell r="G153">
            <v>0.83249999999996338</v>
          </cell>
          <cell r="K153">
            <v>0.84949999999996151</v>
          </cell>
          <cell r="P153">
            <v>891.58119903856857</v>
          </cell>
          <cell r="R153">
            <v>0.68899999999997918</v>
          </cell>
        </row>
        <row r="154">
          <cell r="D154">
            <v>0.8104999999999658</v>
          </cell>
          <cell r="G154">
            <v>0.84249999999996228</v>
          </cell>
          <cell r="K154">
            <v>0.84099999999996244</v>
          </cell>
          <cell r="P154">
            <v>935.47841612180571</v>
          </cell>
          <cell r="R154">
            <v>0.68199999999997996</v>
          </cell>
        </row>
        <row r="155">
          <cell r="D155">
            <v>0.81549999999996525</v>
          </cell>
          <cell r="G155">
            <v>0.83249999999996338</v>
          </cell>
          <cell r="K155">
            <v>0.83299999999996333</v>
          </cell>
          <cell r="P155">
            <v>981.53878935961438</v>
          </cell>
          <cell r="R155">
            <v>0.71949999999997583</v>
          </cell>
        </row>
        <row r="156">
          <cell r="D156">
            <v>0.82199999999998108</v>
          </cell>
          <cell r="G156">
            <v>0.83949999999997915</v>
          </cell>
          <cell r="K156">
            <v>0.83599999999997954</v>
          </cell>
          <cell r="P156">
            <v>1029.8670481480078</v>
          </cell>
          <cell r="R156">
            <v>0.72349999999999193</v>
          </cell>
        </row>
        <row r="157">
          <cell r="D157">
            <v>0.82299999999998097</v>
          </cell>
          <cell r="G157">
            <v>0.83649999999997948</v>
          </cell>
          <cell r="K157">
            <v>0.83249999999997992</v>
          </cell>
          <cell r="P157">
            <v>1080.5748569071586</v>
          </cell>
          <cell r="R157">
            <v>0.73899999999999022</v>
          </cell>
        </row>
        <row r="158">
          <cell r="D158">
            <v>0.82499999999998075</v>
          </cell>
          <cell r="G158">
            <v>0.83649999999997948</v>
          </cell>
          <cell r="K158">
            <v>0.83149999999998003</v>
          </cell>
          <cell r="P158">
            <v>1133.7793781048504</v>
          </cell>
          <cell r="R158">
            <v>0.75199999999998879</v>
          </cell>
        </row>
        <row r="159">
          <cell r="D159">
            <v>0.82249999999998646</v>
          </cell>
          <cell r="G159">
            <v>0.83249999999998536</v>
          </cell>
          <cell r="K159">
            <v>0.82749999999998591</v>
          </cell>
          <cell r="P159">
            <v>1189.6035429651547</v>
          </cell>
          <cell r="R159">
            <v>0.799499999999989</v>
          </cell>
        </row>
        <row r="160">
          <cell r="D160">
            <v>0.66349999999998199</v>
          </cell>
          <cell r="G160">
            <v>0.71299999999997654</v>
          </cell>
          <cell r="K160">
            <v>0.7659999999999707</v>
          </cell>
          <cell r="P160">
            <v>559.1057650698616</v>
          </cell>
          <cell r="R160">
            <v>0.50099999999999989</v>
          </cell>
        </row>
        <row r="161">
          <cell r="D161">
            <v>0.67399999999998084</v>
          </cell>
          <cell r="G161">
            <v>0.72399999999997533</v>
          </cell>
          <cell r="K161">
            <v>0.77749999999996944</v>
          </cell>
          <cell r="P161">
            <v>584.58495941219121</v>
          </cell>
          <cell r="R161">
            <v>0.50949999999999895</v>
          </cell>
        </row>
        <row r="162">
          <cell r="D162">
            <v>0.68449999999997968</v>
          </cell>
          <cell r="G162">
            <v>0.73349999999997428</v>
          </cell>
          <cell r="K162">
            <v>0.79299999999996773</v>
          </cell>
          <cell r="P162">
            <v>611.45824306147438</v>
          </cell>
          <cell r="R162">
            <v>0.52049999999999774</v>
          </cell>
        </row>
        <row r="163">
          <cell r="D163">
            <v>0.69449999999997858</v>
          </cell>
          <cell r="G163">
            <v>0.74449999999997307</v>
          </cell>
          <cell r="K163">
            <v>0.80399999999996652</v>
          </cell>
          <cell r="P163">
            <v>639.814864391274</v>
          </cell>
          <cell r="R163">
            <v>0.5244999999999973</v>
          </cell>
        </row>
        <row r="164">
          <cell r="D164">
            <v>0.70749999999997715</v>
          </cell>
          <cell r="G164">
            <v>0.76349999999997098</v>
          </cell>
          <cell r="K164">
            <v>0.80749999999996613</v>
          </cell>
          <cell r="P164">
            <v>669.7506305077402</v>
          </cell>
          <cell r="R164">
            <v>0.51949999999999785</v>
          </cell>
        </row>
        <row r="165">
          <cell r="D165">
            <v>0.72549999999997516</v>
          </cell>
          <cell r="G165">
            <v>0.78549999999996856</v>
          </cell>
          <cell r="K165">
            <v>0.80899999999996597</v>
          </cell>
          <cell r="P165">
            <v>701.36845246058306</v>
          </cell>
          <cell r="R165">
            <v>0.54299999999999526</v>
          </cell>
        </row>
        <row r="166">
          <cell r="D166">
            <v>0.7469999999999728</v>
          </cell>
          <cell r="G166">
            <v>0.78999999999996806</v>
          </cell>
          <cell r="K166">
            <v>0.81299999999996553</v>
          </cell>
          <cell r="P166">
            <v>734.77894112625688</v>
          </cell>
          <cell r="R166">
            <v>0.62149999999998662</v>
          </cell>
        </row>
        <row r="167">
          <cell r="D167">
            <v>0.75049999999997241</v>
          </cell>
          <cell r="G167">
            <v>0.78849999999996823</v>
          </cell>
          <cell r="K167">
            <v>0.8259999999999641</v>
          </cell>
          <cell r="P167">
            <v>770.10105897917401</v>
          </cell>
          <cell r="R167">
            <v>0.65499999999998293</v>
          </cell>
        </row>
        <row r="168">
          <cell r="D168">
            <v>0.75549999999997186</v>
          </cell>
          <cell r="G168">
            <v>0.81999999999996476</v>
          </cell>
          <cell r="K168">
            <v>0.83699999999996288</v>
          </cell>
          <cell r="P168">
            <v>807.46283355672222</v>
          </cell>
          <cell r="R168">
            <v>0.66949999999998133</v>
          </cell>
        </row>
        <row r="169">
          <cell r="D169">
            <v>0.80999999999996586</v>
          </cell>
          <cell r="G169">
            <v>0.83399999999996322</v>
          </cell>
          <cell r="K169">
            <v>0.83199999999996344</v>
          </cell>
          <cell r="P169">
            <v>847.00213908664023</v>
          </cell>
          <cell r="R169">
            <v>0.66299999999998205</v>
          </cell>
        </row>
        <row r="170">
          <cell r="D170">
            <v>0.80999999999996586</v>
          </cell>
          <cell r="G170">
            <v>0.83299999999996333</v>
          </cell>
          <cell r="K170">
            <v>0.83149999999996349</v>
          </cell>
          <cell r="P170">
            <v>888.70449531571535</v>
          </cell>
          <cell r="R170">
            <v>0.68749999999997935</v>
          </cell>
        </row>
        <row r="171">
          <cell r="D171">
            <v>0.80999999999996586</v>
          </cell>
          <cell r="G171">
            <v>0.84199999999996233</v>
          </cell>
          <cell r="K171">
            <v>0.84199999999996233</v>
          </cell>
          <cell r="P171">
            <v>932.46184989163373</v>
          </cell>
          <cell r="R171">
            <v>0.67849999999998034</v>
          </cell>
        </row>
        <row r="172">
          <cell r="D172">
            <v>0.8159999999999652</v>
          </cell>
          <cell r="G172">
            <v>0.83349999999996327</v>
          </cell>
          <cell r="K172">
            <v>0.83299999999996333</v>
          </cell>
          <cell r="P172">
            <v>978.37369574060745</v>
          </cell>
          <cell r="R172">
            <v>0.71999999999997577</v>
          </cell>
        </row>
        <row r="173">
          <cell r="D173">
            <v>0.82249999999996448</v>
          </cell>
          <cell r="G173">
            <v>0.83999999999996255</v>
          </cell>
          <cell r="K173">
            <v>0.83649999999996294</v>
          </cell>
          <cell r="P173">
            <v>1026.5461140618006</v>
          </cell>
          <cell r="R173">
            <v>0.72299999999997544</v>
          </cell>
        </row>
        <row r="174">
          <cell r="D174">
            <v>0.82299999999998097</v>
          </cell>
          <cell r="G174">
            <v>0.83699999999997943</v>
          </cell>
          <cell r="K174">
            <v>0.83299999999997987</v>
          </cell>
          <cell r="P174">
            <v>1077.0904091996078</v>
          </cell>
          <cell r="R174">
            <v>0.73799999999999033</v>
          </cell>
        </row>
        <row r="175">
          <cell r="D175">
            <v>0.8244999999999808</v>
          </cell>
          <cell r="G175">
            <v>0.83599999999997954</v>
          </cell>
          <cell r="K175">
            <v>0.83149999999998003</v>
          </cell>
          <cell r="P175">
            <v>1130.1233658168969</v>
          </cell>
          <cell r="R175">
            <v>0.75149999999998884</v>
          </cell>
        </row>
        <row r="176">
          <cell r="D176">
            <v>0.82349999999998635</v>
          </cell>
          <cell r="G176">
            <v>0.83299999999998531</v>
          </cell>
          <cell r="K176">
            <v>0.8284999999999858</v>
          </cell>
          <cell r="P176">
            <v>1185.7675187307548</v>
          </cell>
          <cell r="R176">
            <v>0.79799999999998916</v>
          </cell>
        </row>
        <row r="177">
          <cell r="D177">
            <v>0.65599999999998282</v>
          </cell>
          <cell r="G177">
            <v>0.69999999999997797</v>
          </cell>
          <cell r="K177">
            <v>0.76299999999997103</v>
          </cell>
          <cell r="P177">
            <v>529.67914585565836</v>
          </cell>
          <cell r="R177">
            <v>0.49300000000000005</v>
          </cell>
        </row>
        <row r="178">
          <cell r="D178">
            <v>0.66199999999998216</v>
          </cell>
          <cell r="G178">
            <v>0.71149999999997671</v>
          </cell>
          <cell r="K178">
            <v>0.76899999999997037</v>
          </cell>
          <cell r="P178">
            <v>553.81732996944436</v>
          </cell>
          <cell r="R178">
            <v>0.49950000000000006</v>
          </cell>
        </row>
        <row r="179">
          <cell r="D179">
            <v>0.672499999999981</v>
          </cell>
          <cell r="G179">
            <v>0.72299999999997544</v>
          </cell>
          <cell r="K179">
            <v>0.77949999999996922</v>
          </cell>
          <cell r="P179">
            <v>579.27623026876518</v>
          </cell>
          <cell r="R179">
            <v>0.50749999999999917</v>
          </cell>
        </row>
        <row r="180">
          <cell r="D180">
            <v>0.6824999999999799</v>
          </cell>
          <cell r="G180">
            <v>0.73299999999997434</v>
          </cell>
          <cell r="K180">
            <v>0.79449999999996757</v>
          </cell>
          <cell r="P180">
            <v>606.14039784436488</v>
          </cell>
          <cell r="R180">
            <v>0.51849999999999796</v>
          </cell>
        </row>
        <row r="181">
          <cell r="D181">
            <v>0.69299999999997874</v>
          </cell>
          <cell r="G181">
            <v>0.74299999999997324</v>
          </cell>
          <cell r="K181">
            <v>0.8059999999999663</v>
          </cell>
          <cell r="P181">
            <v>634.50059732312229</v>
          </cell>
          <cell r="R181">
            <v>0.52599999999999714</v>
          </cell>
        </row>
        <row r="182">
          <cell r="D182">
            <v>0.70549999999997737</v>
          </cell>
          <cell r="G182">
            <v>0.76099999999997125</v>
          </cell>
          <cell r="K182">
            <v>0.80949999999996591</v>
          </cell>
          <cell r="P182">
            <v>664.45432338371029</v>
          </cell>
          <cell r="R182">
            <v>0.51799999999999802</v>
          </cell>
        </row>
        <row r="183">
          <cell r="D183">
            <v>0.72199999999997555</v>
          </cell>
          <cell r="G183">
            <v>0.78399999999996872</v>
          </cell>
          <cell r="K183">
            <v>0.81149999999996569</v>
          </cell>
          <cell r="P183">
            <v>696.10636527750648</v>
          </cell>
          <cell r="R183">
            <v>0.53749999999999587</v>
          </cell>
        </row>
        <row r="184">
          <cell r="D184">
            <v>0.7469999999999728</v>
          </cell>
          <cell r="G184">
            <v>0.79099999999996795</v>
          </cell>
          <cell r="K184">
            <v>0.81399999999996542</v>
          </cell>
          <cell r="P184">
            <v>729.56942429605954</v>
          </cell>
          <cell r="R184">
            <v>0.61599999999998722</v>
          </cell>
        </row>
        <row r="185">
          <cell r="D185">
            <v>0.75049999999997241</v>
          </cell>
          <cell r="G185">
            <v>0.78899999999996817</v>
          </cell>
          <cell r="K185">
            <v>0.82699999999996399</v>
          </cell>
          <cell r="P185">
            <v>764.96478968531585</v>
          </cell>
          <cell r="R185">
            <v>0.65199999999998326</v>
          </cell>
        </row>
        <row r="186">
          <cell r="D186">
            <v>0.75449999999997197</v>
          </cell>
          <cell r="G186">
            <v>0.81649999999996514</v>
          </cell>
          <cell r="K186">
            <v>0.84899999999996156</v>
          </cell>
          <cell r="P186">
            <v>802.42307913471177</v>
          </cell>
          <cell r="R186">
            <v>0.66899999999998139</v>
          </cell>
        </row>
        <row r="187">
          <cell r="D187">
            <v>0.80999999999996586</v>
          </cell>
          <cell r="G187">
            <v>0.83399999999996322</v>
          </cell>
          <cell r="K187">
            <v>0.83349999999996327</v>
          </cell>
          <cell r="P187">
            <v>841.9305745096251</v>
          </cell>
          <cell r="R187">
            <v>0.66149999999998221</v>
          </cell>
        </row>
        <row r="188">
          <cell r="D188">
            <v>0.80999999999996586</v>
          </cell>
          <cell r="G188">
            <v>0.83349999999996327</v>
          </cell>
          <cell r="K188">
            <v>0.85199999999996123</v>
          </cell>
          <cell r="P188">
            <v>883.38491042365297</v>
          </cell>
          <cell r="R188">
            <v>0.68499999999997963</v>
          </cell>
        </row>
        <row r="189">
          <cell r="D189">
            <v>0.80999999999996586</v>
          </cell>
          <cell r="G189">
            <v>0.83699999999996288</v>
          </cell>
          <cell r="K189">
            <v>0.84349999999996217</v>
          </cell>
          <cell r="P189">
            <v>926.88034333320707</v>
          </cell>
          <cell r="R189">
            <v>0.67199999999998106</v>
          </cell>
        </row>
        <row r="190">
          <cell r="D190">
            <v>0.81749999999996503</v>
          </cell>
          <cell r="G190">
            <v>0.83549999999996305</v>
          </cell>
          <cell r="K190">
            <v>0.83349999999996327</v>
          </cell>
          <cell r="P190">
            <v>972.51737121644271</v>
          </cell>
          <cell r="R190">
            <v>0.71799999999997599</v>
          </cell>
        </row>
        <row r="191">
          <cell r="D191">
            <v>0.82399999999996432</v>
          </cell>
          <cell r="G191">
            <v>0.84149999999996239</v>
          </cell>
          <cell r="K191">
            <v>0.83799999999996277</v>
          </cell>
          <cell r="P191">
            <v>1020.4014402943653</v>
          </cell>
          <cell r="R191">
            <v>0.72149999999997561</v>
          </cell>
        </row>
        <row r="192">
          <cell r="D192">
            <v>0.82249999999998646</v>
          </cell>
          <cell r="G192">
            <v>0.83749999999998481</v>
          </cell>
          <cell r="K192">
            <v>0.83449999999998514</v>
          </cell>
          <cell r="P192">
            <v>1070.6431886686391</v>
          </cell>
          <cell r="R192">
            <v>0.73599999999999599</v>
          </cell>
        </row>
        <row r="193">
          <cell r="D193">
            <v>0.82449999999998624</v>
          </cell>
          <cell r="G193">
            <v>0.83599999999998498</v>
          </cell>
          <cell r="K193">
            <v>0.83199999999998542</v>
          </cell>
          <cell r="P193">
            <v>1123.3587019554518</v>
          </cell>
          <cell r="R193">
            <v>0.75049999999999439</v>
          </cell>
        </row>
        <row r="194">
          <cell r="D194">
            <v>0.66999999999998128</v>
          </cell>
          <cell r="G194">
            <v>0.72099999999997566</v>
          </cell>
          <cell r="K194">
            <v>0.781499999999969</v>
          </cell>
          <cell r="P194">
            <v>572.46593129745577</v>
          </cell>
          <cell r="R194">
            <v>0.50499999999999945</v>
          </cell>
        </row>
        <row r="195">
          <cell r="D195">
            <v>0.68049999999998012</v>
          </cell>
          <cell r="G195">
            <v>0.7314999999999745</v>
          </cell>
          <cell r="K195">
            <v>0.7959999999999674</v>
          </cell>
          <cell r="P195">
            <v>599.25056413850439</v>
          </cell>
          <cell r="R195">
            <v>0.51549999999999829</v>
          </cell>
        </row>
        <row r="196">
          <cell r="D196">
            <v>0.69099999999997896</v>
          </cell>
          <cell r="G196">
            <v>0.7414999999999734</v>
          </cell>
          <cell r="K196">
            <v>0.80799999999996608</v>
          </cell>
          <cell r="P196">
            <v>627.54019430683752</v>
          </cell>
          <cell r="R196">
            <v>0.52549999999999719</v>
          </cell>
        </row>
        <row r="197">
          <cell r="D197">
            <v>0.70299999999997764</v>
          </cell>
          <cell r="G197">
            <v>0.75799999999997159</v>
          </cell>
          <cell r="K197">
            <v>0.81199999999996564</v>
          </cell>
          <cell r="P197">
            <v>657.4337894287562</v>
          </cell>
          <cell r="R197">
            <v>0.51749999999999807</v>
          </cell>
        </row>
        <row r="198">
          <cell r="D198">
            <v>0.71849999999997594</v>
          </cell>
          <cell r="G198">
            <v>0.78049999999996911</v>
          </cell>
          <cell r="K198">
            <v>0.81349999999996547</v>
          </cell>
          <cell r="P198">
            <v>689.03778961294518</v>
          </cell>
          <cell r="R198">
            <v>0.53099999999999659</v>
          </cell>
        </row>
        <row r="199">
          <cell r="D199">
            <v>0.74599999999997291</v>
          </cell>
          <cell r="G199">
            <v>0.7914999999999679</v>
          </cell>
          <cell r="K199">
            <v>0.81499999999996531</v>
          </cell>
          <cell r="P199">
            <v>722.46674581390937</v>
          </cell>
          <cell r="R199">
            <v>0.60849999999998805</v>
          </cell>
        </row>
        <row r="200">
          <cell r="D200">
            <v>0.74999999999997247</v>
          </cell>
          <cell r="G200">
            <v>0.78999999999996806</v>
          </cell>
          <cell r="K200">
            <v>0.82799999999996388</v>
          </cell>
          <cell r="P200">
            <v>757.84401918278331</v>
          </cell>
          <cell r="R200">
            <v>0.64699999999998381</v>
          </cell>
        </row>
        <row r="201">
          <cell r="D201">
            <v>0.75349999999997208</v>
          </cell>
          <cell r="G201">
            <v>0.81099999999996575</v>
          </cell>
          <cell r="K201">
            <v>0.84999999999996145</v>
          </cell>
          <cell r="P201">
            <v>795.15665370353486</v>
          </cell>
          <cell r="R201">
            <v>0.66699999999998161</v>
          </cell>
        </row>
        <row r="202">
          <cell r="D202">
            <v>0.80999999999996586</v>
          </cell>
          <cell r="G202">
            <v>0.83399999999996322</v>
          </cell>
          <cell r="K202">
            <v>0.84299999999996222</v>
          </cell>
          <cell r="P202">
            <v>834.30797095567232</v>
          </cell>
          <cell r="R202">
            <v>0.66349999999998199</v>
          </cell>
        </row>
        <row r="203">
          <cell r="D203">
            <v>0.80999999999996586</v>
          </cell>
          <cell r="G203">
            <v>0.83399999999996322</v>
          </cell>
          <cell r="K203">
            <v>0.8549999999999609</v>
          </cell>
          <cell r="P203">
            <v>875.38699092580669</v>
          </cell>
          <cell r="R203">
            <v>0.68049999999998012</v>
          </cell>
        </row>
        <row r="204">
          <cell r="D204">
            <v>0.80999999999996586</v>
          </cell>
          <cell r="G204">
            <v>0.83299999999996333</v>
          </cell>
          <cell r="K204">
            <v>0.84599999999996189</v>
          </cell>
          <cell r="P204">
            <v>918.48862837108481</v>
          </cell>
          <cell r="R204">
            <v>0.69999999999997797</v>
          </cell>
        </row>
        <row r="205">
          <cell r="D205">
            <v>0.82299999999996443</v>
          </cell>
          <cell r="G205">
            <v>0.83849999999996272</v>
          </cell>
          <cell r="K205">
            <v>0.83499999999996311</v>
          </cell>
          <cell r="P205">
            <v>963.71247138912281</v>
          </cell>
          <cell r="R205">
            <v>0.71149999999997671</v>
          </cell>
        </row>
        <row r="206">
          <cell r="D206">
            <v>0.82099999999996465</v>
          </cell>
          <cell r="G206">
            <v>0.84299999999996222</v>
          </cell>
          <cell r="K206">
            <v>0.83999999999996255</v>
          </cell>
          <cell r="P206">
            <v>1011.1630115203815</v>
          </cell>
          <cell r="R206">
            <v>0.71649999999997616</v>
          </cell>
        </row>
        <row r="207">
          <cell r="D207">
            <v>0.82199999999996454</v>
          </cell>
          <cell r="G207">
            <v>0.83799999999996277</v>
          </cell>
          <cell r="K207">
            <v>0.83599999999996299</v>
          </cell>
          <cell r="P207">
            <v>1060.9498851801491</v>
          </cell>
          <cell r="R207">
            <v>0.73299999999997434</v>
          </cell>
        </row>
        <row r="208">
          <cell r="D208">
            <v>0.65749999999998265</v>
          </cell>
          <cell r="G208">
            <v>0.70649999999997726</v>
          </cell>
          <cell r="K208">
            <v>0.77549999999996966</v>
          </cell>
          <cell r="P208">
            <v>538.79146475054654</v>
          </cell>
          <cell r="R208">
            <v>0.49550000000000005</v>
          </cell>
        </row>
        <row r="209">
          <cell r="D209">
            <v>0.6711999999999988</v>
          </cell>
          <cell r="G209">
            <v>0.71179999999999433</v>
          </cell>
          <cell r="K209">
            <v>0.78179999999998662</v>
          </cell>
          <cell r="P209">
            <v>564.00053095388648</v>
          </cell>
          <cell r="R209"/>
        </row>
        <row r="210">
          <cell r="D210">
            <v>0.68599999999999939</v>
          </cell>
          <cell r="G210">
            <v>0.7239999999999952</v>
          </cell>
          <cell r="K210">
            <v>0.78899999999998804</v>
          </cell>
          <cell r="P210">
            <v>590.62606522996475</v>
          </cell>
          <cell r="R210"/>
        </row>
        <row r="211">
          <cell r="D211">
            <v>0.69819999999999804</v>
          </cell>
          <cell r="G211">
            <v>0.73599999999999388</v>
          </cell>
          <cell r="K211">
            <v>0.79459999999998743</v>
          </cell>
          <cell r="P211">
            <v>618.7612135800058</v>
          </cell>
          <cell r="R211"/>
        </row>
        <row r="212">
          <cell r="D212">
            <v>0.70919999999999683</v>
          </cell>
          <cell r="G212">
            <v>0.75099999999999223</v>
          </cell>
          <cell r="K212">
            <v>0.80919999999998582</v>
          </cell>
          <cell r="P212">
            <v>648.5061549298307</v>
          </cell>
          <cell r="R212"/>
        </row>
        <row r="213">
          <cell r="D213">
            <v>0.71999999999999564</v>
          </cell>
          <cell r="G213">
            <v>0.76659999999999051</v>
          </cell>
          <cell r="K213">
            <v>0.81499999999998518</v>
          </cell>
          <cell r="P213">
            <v>679.968701942503</v>
          </cell>
          <cell r="R213"/>
        </row>
        <row r="214">
          <cell r="D214">
            <v>0.73279999999999423</v>
          </cell>
          <cell r="G214">
            <v>0.78139999999998888</v>
          </cell>
          <cell r="K214">
            <v>0.8193999999999847</v>
          </cell>
          <cell r="P214">
            <v>713.26495923085486</v>
          </cell>
          <cell r="R214"/>
        </row>
        <row r="215">
          <cell r="D215">
            <v>0.7521999999999921</v>
          </cell>
          <cell r="G215">
            <v>0.79499999999998738</v>
          </cell>
          <cell r="K215">
            <v>0.82099999999998452</v>
          </cell>
          <cell r="P215">
            <v>748.3827328974445</v>
          </cell>
          <cell r="R215"/>
        </row>
        <row r="216">
          <cell r="D216">
            <v>0.76179999999998771</v>
          </cell>
          <cell r="G216">
            <v>0.81259999999998211</v>
          </cell>
          <cell r="K216">
            <v>0.83279999999997989</v>
          </cell>
          <cell r="P216">
            <v>785.23103148769155</v>
          </cell>
          <cell r="R216"/>
        </row>
        <row r="217">
          <cell r="D217">
            <v>0.7799999999999857</v>
          </cell>
          <cell r="G217">
            <v>0.8253999999999807</v>
          </cell>
          <cell r="K217">
            <v>0.84499999999997855</v>
          </cell>
          <cell r="P217">
            <v>823.89363851840631</v>
          </cell>
          <cell r="R217"/>
        </row>
        <row r="218">
          <cell r="D218">
            <v>0.81279999999998542</v>
          </cell>
          <cell r="G218">
            <v>0.83399999999998309</v>
          </cell>
          <cell r="K218">
            <v>0.84279999999998212</v>
          </cell>
          <cell r="P218">
            <v>864.45988552572692</v>
          </cell>
          <cell r="R218"/>
        </row>
        <row r="219">
          <cell r="D219">
            <v>0.81919999999998472</v>
          </cell>
          <cell r="G219">
            <v>0.83859999999998258</v>
          </cell>
          <cell r="K219">
            <v>0.84079999999998234</v>
          </cell>
          <cell r="P219">
            <v>907.02350248388029</v>
          </cell>
          <cell r="R219"/>
        </row>
        <row r="220">
          <cell r="D220">
            <v>0.82319999999998428</v>
          </cell>
          <cell r="G220">
            <v>0.84099999999998232</v>
          </cell>
          <cell r="K220">
            <v>0.83899999999998254</v>
          </cell>
          <cell r="P220">
            <v>951.68283437212369</v>
          </cell>
          <cell r="R220"/>
        </row>
        <row r="221">
          <cell r="D221">
            <v>0.8247999999999841</v>
          </cell>
          <cell r="G221">
            <v>0.84179999999998223</v>
          </cell>
          <cell r="K221">
            <v>0.83899999999998254</v>
          </cell>
          <cell r="P221">
            <v>998.5410684048461</v>
          </cell>
          <cell r="R221"/>
        </row>
        <row r="222">
          <cell r="D222"/>
          <cell r="G222"/>
          <cell r="K222"/>
          <cell r="P222"/>
          <cell r="R222"/>
        </row>
        <row r="223">
          <cell r="D223">
            <v>0.6234999999999864</v>
          </cell>
          <cell r="G223">
            <v>0.66049999999998232</v>
          </cell>
          <cell r="K223">
            <v>0.75949999999997142</v>
          </cell>
          <cell r="P223">
            <v>471.44253165672825</v>
          </cell>
          <cell r="R223">
            <v>0.47000000000000003</v>
          </cell>
        </row>
        <row r="224">
          <cell r="D224">
            <v>0.62749999999998596</v>
          </cell>
          <cell r="G224">
            <v>0.66549999999998177</v>
          </cell>
          <cell r="K224">
            <v>0.72599999999997511</v>
          </cell>
          <cell r="P224">
            <v>485.05499134281831</v>
          </cell>
          <cell r="R224">
            <v>0.47100000000000003</v>
          </cell>
        </row>
        <row r="225">
          <cell r="D225">
            <v>0.6234999999999864</v>
          </cell>
          <cell r="G225">
            <v>0.65949999999998243</v>
          </cell>
          <cell r="K225">
            <v>0.69949999999997803</v>
          </cell>
          <cell r="P225">
            <v>478.73601376681046</v>
          </cell>
          <cell r="R225">
            <v>0.47050000000000003</v>
          </cell>
        </row>
        <row r="226">
          <cell r="D226">
            <v>0.5744999999999918</v>
          </cell>
          <cell r="G226">
            <v>0.60699999999998822</v>
          </cell>
          <cell r="K226">
            <v>0.63699999999998491</v>
          </cell>
          <cell r="P226">
            <v>389.83460416282844</v>
          </cell>
          <cell r="R226">
            <v>0.45250000000000001</v>
          </cell>
        </row>
        <row r="227">
          <cell r="D227">
            <v>0.60249999999998871</v>
          </cell>
          <cell r="G227">
            <v>0.63399999999998524</v>
          </cell>
          <cell r="K227">
            <v>0.65149999999998331</v>
          </cell>
          <cell r="P227">
            <v>436.23397772975397</v>
          </cell>
          <cell r="R227">
            <v>0.46400000000000002</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xDef>
      <a:spPr>
        <a:solidFill>
          <a:srgbClr val="CCFFCC"/>
        </a:solidFill>
        <a:ln w="15875">
          <a:solidFill>
            <a:sysClr val="windowText" lastClr="000000"/>
          </a:solidFill>
        </a:ln>
      </a:spPr>
      <a:bodyPr vertOverflow="clip" horzOverflow="clip" wrap="square" rtlCol="0" anchor="t">
        <a:spAutoFit/>
      </a:bodyPr>
      <a:lstStyle>
        <a:defPPr algn="l">
          <a:defRPr sz="2800" u="sng">
            <a:solidFill>
              <a:sysClr val="windowText" lastClr="000000"/>
            </a:solidFill>
          </a:defRPr>
        </a:defPPr>
      </a:lstStyle>
      <a:style>
        <a:lnRef idx="0">
          <a:scrgbClr r="0" g="0" b="0"/>
        </a:lnRef>
        <a:fillRef idx="0">
          <a:scrgbClr r="0" g="0" b="0"/>
        </a:fillRef>
        <a:effectRef idx="0">
          <a:scrgbClr r="0" g="0" b="0"/>
        </a:effectRef>
        <a:fontRef idx="minor">
          <a:schemeClr val="tx1"/>
        </a:fontRef>
      </a:style>
    </a:txDef>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AH255"/>
  <sheetViews>
    <sheetView tabSelected="1" zoomScale="70" zoomScaleNormal="70" workbookViewId="0">
      <selection activeCell="H13" sqref="H13"/>
    </sheetView>
  </sheetViews>
  <sheetFormatPr baseColWidth="10" defaultColWidth="8.6640625" defaultRowHeight="15" x14ac:dyDescent="0.2"/>
  <cols>
    <col min="1" max="1" width="4.33203125" style="176" customWidth="1"/>
    <col min="2" max="2" width="28.1640625" style="175" customWidth="1"/>
    <col min="3" max="3" width="19.33203125" style="176" customWidth="1"/>
    <col min="4" max="4" width="27.6640625" style="223" customWidth="1"/>
    <col min="5" max="5" width="104" style="176" customWidth="1"/>
    <col min="6" max="6" width="7.83203125" style="177" customWidth="1"/>
    <col min="7" max="7" width="87.33203125" style="177" customWidth="1"/>
    <col min="8" max="8" width="62.5" style="212" customWidth="1"/>
    <col min="9" max="9" width="8.6640625" style="176"/>
    <col min="10" max="10" width="11.33203125" style="176" customWidth="1"/>
    <col min="11" max="20" width="9.83203125" style="176" customWidth="1"/>
    <col min="21" max="21" width="9.33203125" style="176" bestFit="1" customWidth="1"/>
    <col min="22" max="22" width="11.33203125" style="176" customWidth="1"/>
    <col min="23" max="25" width="10.5" style="176" bestFit="1" customWidth="1"/>
    <col min="26" max="16384" width="8.6640625" style="176"/>
  </cols>
  <sheetData>
    <row r="1" spans="2:34" ht="16" thickBot="1" x14ac:dyDescent="0.25"/>
    <row r="2" spans="2:34" ht="43.25" customHeight="1" thickBot="1" x14ac:dyDescent="0.25">
      <c r="B2" s="831" t="s">
        <v>427</v>
      </c>
      <c r="C2" s="832"/>
      <c r="D2" s="832"/>
      <c r="E2" s="832"/>
      <c r="F2" s="832"/>
      <c r="G2" s="833"/>
      <c r="H2"/>
    </row>
    <row r="3" spans="2:34" ht="20.75" customHeight="1" x14ac:dyDescent="0.2">
      <c r="B3" s="688" t="s">
        <v>372</v>
      </c>
      <c r="C3" s="691">
        <v>43003</v>
      </c>
      <c r="D3" s="847" t="s">
        <v>391</v>
      </c>
      <c r="E3" s="847"/>
      <c r="F3" s="847"/>
      <c r="G3" s="848"/>
      <c r="H3"/>
    </row>
    <row r="4" spans="2:34" ht="38.25" customHeight="1" x14ac:dyDescent="0.2">
      <c r="B4" s="689" t="s">
        <v>373</v>
      </c>
      <c r="C4" s="692">
        <v>43009</v>
      </c>
      <c r="D4" s="849" t="s">
        <v>386</v>
      </c>
      <c r="E4" s="849"/>
      <c r="F4" s="849"/>
      <c r="G4" s="850"/>
      <c r="H4"/>
    </row>
    <row r="5" spans="2:34" ht="19.5" customHeight="1" x14ac:dyDescent="0.2">
      <c r="B5" s="689" t="s">
        <v>374</v>
      </c>
      <c r="C5" s="692">
        <v>43010</v>
      </c>
      <c r="D5" s="849" t="s">
        <v>392</v>
      </c>
      <c r="E5" s="849"/>
      <c r="F5" s="849"/>
      <c r="G5" s="850"/>
      <c r="H5"/>
    </row>
    <row r="6" spans="2:34" ht="36.75" customHeight="1" x14ac:dyDescent="0.2">
      <c r="B6" s="689" t="s">
        <v>375</v>
      </c>
      <c r="C6" s="692">
        <v>43019</v>
      </c>
      <c r="D6" s="849" t="s">
        <v>393</v>
      </c>
      <c r="E6" s="849"/>
      <c r="F6" s="849"/>
      <c r="G6" s="850"/>
      <c r="H6"/>
    </row>
    <row r="7" spans="2:34" ht="39" customHeight="1" x14ac:dyDescent="0.2">
      <c r="B7" s="689" t="s">
        <v>376</v>
      </c>
      <c r="C7" s="692">
        <v>43030</v>
      </c>
      <c r="D7" s="849" t="s">
        <v>428</v>
      </c>
      <c r="E7" s="849"/>
      <c r="F7" s="849"/>
      <c r="G7" s="850"/>
      <c r="H7"/>
    </row>
    <row r="8" spans="2:34" ht="19.25" customHeight="1" x14ac:dyDescent="0.2">
      <c r="B8" s="689" t="s">
        <v>438</v>
      </c>
      <c r="C8" s="692">
        <v>43043</v>
      </c>
      <c r="D8" s="849" t="s">
        <v>440</v>
      </c>
      <c r="E8" s="849"/>
      <c r="F8" s="849"/>
      <c r="G8" s="850"/>
      <c r="H8"/>
    </row>
    <row r="9" spans="2:34" ht="19.25" customHeight="1" thickBot="1" x14ac:dyDescent="0.25">
      <c r="B9" s="690" t="s">
        <v>441</v>
      </c>
      <c r="C9" s="693">
        <v>43043</v>
      </c>
      <c r="D9" s="851" t="s">
        <v>442</v>
      </c>
      <c r="E9" s="851"/>
      <c r="F9" s="851"/>
      <c r="G9" s="852"/>
      <c r="H9"/>
    </row>
    <row r="10" spans="2:34" ht="328.25" customHeight="1" thickBot="1" x14ac:dyDescent="0.25">
      <c r="B10" s="834" t="s">
        <v>439</v>
      </c>
      <c r="C10" s="835"/>
      <c r="D10" s="835"/>
      <c r="E10" s="835"/>
      <c r="F10" s="835"/>
      <c r="G10" s="836"/>
      <c r="H10"/>
    </row>
    <row r="11" spans="2:34" ht="33.5" customHeight="1" thickBot="1" x14ac:dyDescent="0.25">
      <c r="B11" s="246" t="s">
        <v>175</v>
      </c>
      <c r="C11" s="225" t="s">
        <v>176</v>
      </c>
      <c r="D11" s="178" t="s">
        <v>2</v>
      </c>
      <c r="E11" s="178" t="s">
        <v>4</v>
      </c>
      <c r="F11" s="845" t="s">
        <v>103</v>
      </c>
      <c r="G11" s="846"/>
      <c r="H11"/>
      <c r="AD11" s="179"/>
      <c r="AE11" s="179"/>
      <c r="AF11" s="179"/>
      <c r="AG11" s="179"/>
      <c r="AH11" s="179"/>
    </row>
    <row r="12" spans="2:34" ht="23.5" customHeight="1" x14ac:dyDescent="0.2">
      <c r="B12" s="837" t="s">
        <v>68</v>
      </c>
      <c r="C12" s="838"/>
      <c r="D12" s="838"/>
      <c r="E12" s="838"/>
      <c r="F12" s="243" t="s">
        <v>100</v>
      </c>
      <c r="G12" s="247"/>
      <c r="H12" s="700" t="s">
        <v>377</v>
      </c>
    </row>
    <row r="13" spans="2:34" ht="23.5" customHeight="1" thickBot="1" x14ac:dyDescent="0.25">
      <c r="B13" s="271" t="s">
        <v>183</v>
      </c>
      <c r="C13" s="273" t="s">
        <v>425</v>
      </c>
      <c r="D13" s="184" t="s">
        <v>48</v>
      </c>
      <c r="E13" s="220" t="s">
        <v>364</v>
      </c>
      <c r="F13" s="244">
        <v>6</v>
      </c>
      <c r="G13" s="250" t="s">
        <v>184</v>
      </c>
      <c r="H13" s="701" t="e">
        <f ca="1">C61</f>
        <v>#NAME?</v>
      </c>
    </row>
    <row r="14" spans="2:34" ht="39.5" customHeight="1" x14ac:dyDescent="0.2">
      <c r="B14" s="271" t="s">
        <v>225</v>
      </c>
      <c r="C14" s="381">
        <v>0.82099999999999995</v>
      </c>
      <c r="D14" s="184" t="s">
        <v>48</v>
      </c>
      <c r="E14" s="220" t="s">
        <v>227</v>
      </c>
      <c r="F14" s="245">
        <f>ROW(B14)</f>
        <v>14</v>
      </c>
      <c r="G14" s="250" t="s">
        <v>226</v>
      </c>
      <c r="H14" s="380"/>
    </row>
    <row r="15" spans="2:34" ht="21" x14ac:dyDescent="0.2">
      <c r="B15" s="248" t="s">
        <v>19</v>
      </c>
      <c r="C15" s="181">
        <v>210</v>
      </c>
      <c r="D15" s="184" t="s">
        <v>69</v>
      </c>
      <c r="E15" s="185" t="s">
        <v>97</v>
      </c>
      <c r="F15" s="245">
        <f t="shared" ref="F15:F62" si="0">ROW(B15)</f>
        <v>15</v>
      </c>
      <c r="G15" s="250" t="s">
        <v>185</v>
      </c>
      <c r="H15"/>
    </row>
    <row r="16" spans="2:34" ht="21" x14ac:dyDescent="0.2">
      <c r="B16" s="248" t="s">
        <v>1</v>
      </c>
      <c r="C16" s="181">
        <v>350</v>
      </c>
      <c r="D16" s="184" t="s">
        <v>56</v>
      </c>
      <c r="E16" s="185" t="s">
        <v>71</v>
      </c>
      <c r="F16" s="245">
        <f t="shared" si="0"/>
        <v>16</v>
      </c>
      <c r="G16" s="250" t="s">
        <v>186</v>
      </c>
      <c r="H16"/>
    </row>
    <row r="17" spans="2:8" ht="40" x14ac:dyDescent="0.2">
      <c r="B17" s="249" t="s">
        <v>154</v>
      </c>
      <c r="C17" s="181">
        <v>10</v>
      </c>
      <c r="D17" s="184" t="s">
        <v>8</v>
      </c>
      <c r="E17" s="185" t="s">
        <v>96</v>
      </c>
      <c r="F17" s="245">
        <f t="shared" si="0"/>
        <v>17</v>
      </c>
      <c r="G17" s="250" t="s">
        <v>187</v>
      </c>
      <c r="H17" s="380"/>
    </row>
    <row r="18" spans="2:8" ht="40" x14ac:dyDescent="0.2">
      <c r="B18" s="249" t="s">
        <v>177</v>
      </c>
      <c r="C18" s="217" t="s">
        <v>156</v>
      </c>
      <c r="D18" s="219" t="s">
        <v>155</v>
      </c>
      <c r="E18" s="220" t="s">
        <v>346</v>
      </c>
      <c r="F18" s="245">
        <f t="shared" si="0"/>
        <v>18</v>
      </c>
      <c r="G18" s="250" t="s">
        <v>188</v>
      </c>
      <c r="H18"/>
    </row>
    <row r="19" spans="2:8" ht="40" x14ac:dyDescent="0.2">
      <c r="B19" s="248" t="s">
        <v>49</v>
      </c>
      <c r="C19" s="186">
        <v>1.4999999999999999E-2</v>
      </c>
      <c r="D19" s="184" t="s">
        <v>73</v>
      </c>
      <c r="E19" s="185" t="s">
        <v>104</v>
      </c>
      <c r="F19" s="245">
        <f t="shared" si="0"/>
        <v>19</v>
      </c>
      <c r="G19" s="250" t="s">
        <v>189</v>
      </c>
      <c r="H19"/>
    </row>
    <row r="20" spans="2:8" ht="23.5" customHeight="1" x14ac:dyDescent="0.2">
      <c r="B20" s="843" t="s">
        <v>70</v>
      </c>
      <c r="C20" s="844"/>
      <c r="D20" s="844"/>
      <c r="E20" s="844"/>
      <c r="F20" s="187"/>
      <c r="G20" s="251"/>
      <c r="H20"/>
    </row>
    <row r="21" spans="2:8" ht="194.25" customHeight="1" x14ac:dyDescent="0.2">
      <c r="B21" s="271" t="s">
        <v>0</v>
      </c>
      <c r="C21" s="272" t="e">
        <f ca="1">IF(C13="MACH",C14, IF(C13="KCAS",  ( (5*( (   (((1+0.2*(C14/661.4786)^2)^3.5 -1)  )/( (1-6.8755856*10^-6 *100*C16)^5.2558797) +1)^(2/7) -1) )^0.5),IF(C13="LRC",BicubicInterpolation( 'LRC Mach'!$C$4:$AL$21, C16,C15),  IF(C13="MRC",BicubicInterpolation( 'MRC Mach'!$C$3:$T$18, C16,C15),  IF(C13="M0.84",0.84,  IF(C13="CI52",BicubicInterpolation('CI=52 Mach'!$C$3:$T$18, C16,C15),  IF(C13="HOLDING",BicubicInterpolation(  'Holding Mach'!$C$4:$M$13, C16,C15),
IF(C13="LRCINOP", BicubicInterpolation('LRC INOP Mach'!$C$4:$AA$21,C16,C15), IF(C13="HOLDINGINOP",  BicubicInterpolation('Holding INOP Mach'!$N$4:$U$13,C16,C15),"TRY AGAIN" )))))))))</f>
        <v>#NAME?</v>
      </c>
      <c r="D21" s="219" t="s">
        <v>48</v>
      </c>
      <c r="E21" s="220" t="s">
        <v>228</v>
      </c>
      <c r="F21" s="180">
        <f t="shared" si="0"/>
        <v>21</v>
      </c>
      <c r="G21" s="286" t="s">
        <v>369</v>
      </c>
      <c r="H21"/>
    </row>
    <row r="22" spans="2:8" ht="21" customHeight="1" x14ac:dyDescent="0.2">
      <c r="B22" s="252" t="s">
        <v>125</v>
      </c>
      <c r="C22" s="188">
        <f>IF(C16&lt;360.8924,288.15-1.9812*C16/10,216.65)</f>
        <v>218.80799999999996</v>
      </c>
      <c r="D22" s="184" t="s">
        <v>7</v>
      </c>
      <c r="E22" s="220" t="s">
        <v>92</v>
      </c>
      <c r="F22" s="180">
        <f t="shared" si="0"/>
        <v>22</v>
      </c>
      <c r="G22" s="274" t="s">
        <v>370</v>
      </c>
    </row>
    <row r="23" spans="2:8" ht="24.5" customHeight="1" x14ac:dyDescent="0.2">
      <c r="B23" s="253" t="s">
        <v>126</v>
      </c>
      <c r="C23" s="221">
        <f>C22/288.15</f>
        <v>0.75935450286309203</v>
      </c>
      <c r="D23" s="182"/>
      <c r="E23" s="218" t="s">
        <v>165</v>
      </c>
      <c r="F23" s="183">
        <f t="shared" si="0"/>
        <v>23</v>
      </c>
      <c r="G23" s="275" t="s">
        <v>157</v>
      </c>
      <c r="H23" s="176"/>
    </row>
    <row r="24" spans="2:8" ht="20" x14ac:dyDescent="0.2">
      <c r="B24" s="252" t="s">
        <v>5</v>
      </c>
      <c r="C24" s="188">
        <f>C22+C17</f>
        <v>228.80799999999996</v>
      </c>
      <c r="D24" s="184" t="s">
        <v>7</v>
      </c>
      <c r="E24" s="220" t="s">
        <v>166</v>
      </c>
      <c r="F24" s="180">
        <f t="shared" si="0"/>
        <v>24</v>
      </c>
      <c r="G24" s="274" t="s">
        <v>190</v>
      </c>
      <c r="H24"/>
    </row>
    <row r="25" spans="2:8" ht="20" x14ac:dyDescent="0.2">
      <c r="B25" s="253" t="s">
        <v>57</v>
      </c>
      <c r="C25" s="189">
        <f>C24/288.15</f>
        <v>0.79405865000867593</v>
      </c>
      <c r="D25" s="182" t="s">
        <v>48</v>
      </c>
      <c r="E25" s="218" t="s">
        <v>167</v>
      </c>
      <c r="F25" s="183">
        <f t="shared" si="0"/>
        <v>25</v>
      </c>
      <c r="G25" s="275" t="s">
        <v>158</v>
      </c>
      <c r="H25"/>
    </row>
    <row r="26" spans="2:8" ht="23" x14ac:dyDescent="0.2">
      <c r="B26" s="252" t="s">
        <v>50</v>
      </c>
      <c r="C26" s="188" t="e">
        <f ca="1">C24*(1+0.2*C21^2)</f>
        <v>#NAME?</v>
      </c>
      <c r="D26" s="184" t="s">
        <v>7</v>
      </c>
      <c r="E26" s="220" t="s">
        <v>168</v>
      </c>
      <c r="F26" s="180">
        <f t="shared" si="0"/>
        <v>26</v>
      </c>
      <c r="G26" s="274" t="s">
        <v>191</v>
      </c>
      <c r="H26"/>
    </row>
    <row r="27" spans="2:8" ht="20" x14ac:dyDescent="0.2">
      <c r="B27" s="253" t="s">
        <v>127</v>
      </c>
      <c r="C27" s="189" t="e">
        <f ca="1">C26/288.15</f>
        <v>#NAME?</v>
      </c>
      <c r="D27" s="182" t="s">
        <v>48</v>
      </c>
      <c r="E27" s="218" t="s">
        <v>169</v>
      </c>
      <c r="F27" s="183">
        <f t="shared" si="0"/>
        <v>27</v>
      </c>
      <c r="G27" s="275" t="s">
        <v>192</v>
      </c>
      <c r="H27"/>
    </row>
    <row r="28" spans="2:8" ht="63" customHeight="1" x14ac:dyDescent="0.2">
      <c r="B28" s="254" t="s">
        <v>128</v>
      </c>
      <c r="C28" s="190" t="e">
        <f ca="1">C27^0.68</f>
        <v>#NAME?</v>
      </c>
      <c r="D28" s="184" t="s">
        <v>48</v>
      </c>
      <c r="E28" s="220" t="s">
        <v>174</v>
      </c>
      <c r="F28" s="180">
        <f t="shared" si="0"/>
        <v>28</v>
      </c>
      <c r="G28" s="276" t="s">
        <v>193</v>
      </c>
      <c r="H28"/>
    </row>
    <row r="29" spans="2:8" ht="20" x14ac:dyDescent="0.2">
      <c r="B29" s="255" t="s">
        <v>18</v>
      </c>
      <c r="C29" s="191">
        <f>661.4786*SQRT(C25)</f>
        <v>589.44337261444832</v>
      </c>
      <c r="D29" s="182" t="s">
        <v>9</v>
      </c>
      <c r="E29" s="218" t="s">
        <v>46</v>
      </c>
      <c r="F29" s="183">
        <f t="shared" si="0"/>
        <v>29</v>
      </c>
      <c r="G29" s="277" t="s">
        <v>194</v>
      </c>
      <c r="H29"/>
    </row>
    <row r="30" spans="2:8" ht="20" x14ac:dyDescent="0.2">
      <c r="B30" s="839" t="s">
        <v>17</v>
      </c>
      <c r="C30" s="188" t="e">
        <f ca="1">C21*C29</f>
        <v>#NAME?</v>
      </c>
      <c r="D30" s="184" t="s">
        <v>9</v>
      </c>
      <c r="E30" s="841" t="s">
        <v>72</v>
      </c>
      <c r="F30" s="180">
        <f t="shared" si="0"/>
        <v>30</v>
      </c>
      <c r="G30" s="274" t="s">
        <v>219</v>
      </c>
      <c r="H30"/>
    </row>
    <row r="31" spans="2:8" ht="20" x14ac:dyDescent="0.2">
      <c r="B31" s="840"/>
      <c r="C31" s="192" t="e">
        <f ca="1">C30*0.5144444</f>
        <v>#NAME?</v>
      </c>
      <c r="D31" s="184" t="s">
        <v>79</v>
      </c>
      <c r="E31" s="842"/>
      <c r="F31" s="180">
        <f t="shared" si="0"/>
        <v>31</v>
      </c>
      <c r="G31" s="274" t="s">
        <v>195</v>
      </c>
      <c r="H31"/>
    </row>
    <row r="32" spans="2:8" ht="40.5" customHeight="1" x14ac:dyDescent="0.2">
      <c r="B32" s="256" t="s">
        <v>98</v>
      </c>
      <c r="C32" s="193" t="e">
        <f ca="1">661.4786*(5*((1 + ( (1-0.00068755856*C16)^5.2558797)*((1 + C21^2/5)^3.5 - 1))^(2/7) - 1))^0.5</f>
        <v>#NAME?</v>
      </c>
      <c r="D32" s="182" t="s">
        <v>9</v>
      </c>
      <c r="E32" s="222" t="s">
        <v>99</v>
      </c>
      <c r="F32" s="183">
        <f t="shared" si="0"/>
        <v>32</v>
      </c>
      <c r="G32" s="277" t="s">
        <v>196</v>
      </c>
      <c r="H32"/>
    </row>
    <row r="33" spans="2:11" ht="59.5" customHeight="1" x14ac:dyDescent="0.2">
      <c r="B33" s="252" t="s">
        <v>45</v>
      </c>
      <c r="C33" s="188">
        <f>IF(C16&lt;360.8924,1013.25*(1-0.0000068755856*100*C16)^5.2558797,0.01*0.2233609*101325*EXP(-0.004806346*(C16-360.8924)))</f>
        <v>238.42273848320244</v>
      </c>
      <c r="D33" s="184" t="s">
        <v>6</v>
      </c>
      <c r="E33" s="220" t="s">
        <v>74</v>
      </c>
      <c r="F33" s="180">
        <f t="shared" si="0"/>
        <v>33</v>
      </c>
      <c r="G33" s="274" t="s">
        <v>197</v>
      </c>
      <c r="H33"/>
    </row>
    <row r="34" spans="2:11" ht="20" x14ac:dyDescent="0.2">
      <c r="B34" s="257" t="s">
        <v>58</v>
      </c>
      <c r="C34" s="189">
        <f>C33/1013.25</f>
        <v>0.23530494792321976</v>
      </c>
      <c r="D34" s="182" t="s">
        <v>48</v>
      </c>
      <c r="E34" s="218" t="s">
        <v>93</v>
      </c>
      <c r="F34" s="183">
        <f t="shared" si="0"/>
        <v>34</v>
      </c>
      <c r="G34" s="275" t="s">
        <v>198</v>
      </c>
      <c r="H34"/>
    </row>
    <row r="35" spans="2:11" ht="43" x14ac:dyDescent="0.2">
      <c r="B35" s="249" t="s">
        <v>129</v>
      </c>
      <c r="C35" s="190" t="e">
        <f ca="1">C34*(1+0.2*C21^2)^3.5</f>
        <v>#NAME?</v>
      </c>
      <c r="D35" s="184" t="s">
        <v>48</v>
      </c>
      <c r="E35" s="220" t="s">
        <v>162</v>
      </c>
      <c r="F35" s="180">
        <f t="shared" si="0"/>
        <v>35</v>
      </c>
      <c r="G35" s="276" t="s">
        <v>199</v>
      </c>
      <c r="H35"/>
    </row>
    <row r="36" spans="2:11" ht="40" x14ac:dyDescent="0.2">
      <c r="B36" s="255" t="s">
        <v>130</v>
      </c>
      <c r="C36" s="193">
        <f>C15/C34</f>
        <v>892.45892129953518</v>
      </c>
      <c r="D36" s="182" t="s">
        <v>69</v>
      </c>
      <c r="E36" s="218" t="s">
        <v>161</v>
      </c>
      <c r="F36" s="183">
        <f t="shared" si="0"/>
        <v>36</v>
      </c>
      <c r="G36" s="277" t="s">
        <v>200</v>
      </c>
      <c r="H36"/>
    </row>
    <row r="37" spans="2:11" ht="24" customHeight="1" x14ac:dyDescent="0.2">
      <c r="B37" s="249" t="s">
        <v>75</v>
      </c>
      <c r="C37" s="194">
        <f>1.225*C34/C25</f>
        <v>0.36300663836707125</v>
      </c>
      <c r="D37" s="184" t="s">
        <v>122</v>
      </c>
      <c r="E37" s="220" t="s">
        <v>163</v>
      </c>
      <c r="F37" s="180">
        <f t="shared" si="0"/>
        <v>37</v>
      </c>
      <c r="G37" s="276" t="s">
        <v>201</v>
      </c>
      <c r="H37"/>
    </row>
    <row r="38" spans="2:11" ht="24" customHeight="1" x14ac:dyDescent="0.2">
      <c r="B38" s="255" t="s">
        <v>59</v>
      </c>
      <c r="C38" s="195">
        <v>427.8</v>
      </c>
      <c r="D38" s="182" t="s">
        <v>123</v>
      </c>
      <c r="E38" s="218" t="s">
        <v>170</v>
      </c>
      <c r="F38" s="183">
        <f t="shared" si="0"/>
        <v>38</v>
      </c>
      <c r="G38" s="258">
        <v>427.8</v>
      </c>
      <c r="H38"/>
    </row>
    <row r="39" spans="2:11" ht="24" customHeight="1" x14ac:dyDescent="0.2">
      <c r="B39" s="252" t="s">
        <v>131</v>
      </c>
      <c r="C39" s="190" t="e">
        <f ca="1">1000*9.80665*C15/(0.5*C37*C38*(C31)^2)</f>
        <v>#NAME?</v>
      </c>
      <c r="D39" s="184" t="s">
        <v>48</v>
      </c>
      <c r="E39" s="220" t="s">
        <v>76</v>
      </c>
      <c r="F39" s="180">
        <f t="shared" si="0"/>
        <v>39</v>
      </c>
      <c r="G39" s="276" t="s">
        <v>202</v>
      </c>
      <c r="H39"/>
    </row>
    <row r="40" spans="2:11" ht="41" customHeight="1" x14ac:dyDescent="0.2">
      <c r="B40" s="255" t="s">
        <v>132</v>
      </c>
      <c r="C40" s="196" t="e">
        <f ca="1">0.0001*BicubicInterpolation('Drag Coef Table'!$B$4:$L$28,C39,C21)</f>
        <v>#NAME?</v>
      </c>
      <c r="D40" s="182" t="s">
        <v>48</v>
      </c>
      <c r="E40" s="218" t="s">
        <v>102</v>
      </c>
      <c r="F40" s="183">
        <f t="shared" si="0"/>
        <v>40</v>
      </c>
      <c r="G40" s="278" t="s">
        <v>203</v>
      </c>
      <c r="H40"/>
      <c r="I40"/>
      <c r="J40"/>
      <c r="K40"/>
    </row>
    <row r="41" spans="2:11" ht="62.25" customHeight="1" x14ac:dyDescent="0.2">
      <c r="B41" s="249" t="s">
        <v>133</v>
      </c>
      <c r="C41" s="197">
        <f>(-45.29)*0.0001*LOG10(  (  ( C25 + 0.38312 ) / C25^2    )   /   (   (C23 +0.38312)/(C23)^2  ) )</f>
        <v>1.1693948899576943E-4</v>
      </c>
      <c r="D41" s="184" t="s">
        <v>48</v>
      </c>
      <c r="E41" s="220" t="s">
        <v>124</v>
      </c>
      <c r="F41" s="180">
        <f t="shared" si="0"/>
        <v>41</v>
      </c>
      <c r="G41" s="259" t="s">
        <v>204</v>
      </c>
      <c r="H41"/>
      <c r="I41"/>
      <c r="J41"/>
      <c r="K41"/>
    </row>
    <row r="42" spans="2:11" ht="20" x14ac:dyDescent="0.2">
      <c r="B42" s="255" t="s">
        <v>134</v>
      </c>
      <c r="C42" s="196" t="e">
        <f ca="1">C40+C41</f>
        <v>#NAME?</v>
      </c>
      <c r="D42" s="182" t="s">
        <v>48</v>
      </c>
      <c r="E42" s="218" t="s">
        <v>77</v>
      </c>
      <c r="F42" s="183">
        <f t="shared" si="0"/>
        <v>42</v>
      </c>
      <c r="G42" s="278" t="s">
        <v>205</v>
      </c>
      <c r="H42"/>
      <c r="I42"/>
      <c r="J42"/>
      <c r="K42"/>
    </row>
    <row r="43" spans="2:11" ht="24.5" customHeight="1" x14ac:dyDescent="0.2">
      <c r="B43" s="252" t="s">
        <v>135</v>
      </c>
      <c r="C43" s="198" t="e">
        <f ca="1">C39/C42</f>
        <v>#NAME?</v>
      </c>
      <c r="D43" s="184" t="s">
        <v>48</v>
      </c>
      <c r="E43" s="220" t="s">
        <v>94</v>
      </c>
      <c r="F43" s="180">
        <f t="shared" si="0"/>
        <v>43</v>
      </c>
      <c r="G43" s="279" t="s">
        <v>206</v>
      </c>
      <c r="H43"/>
    </row>
    <row r="44" spans="2:11" ht="22" customHeight="1" x14ac:dyDescent="0.2">
      <c r="B44" s="255" t="s">
        <v>136</v>
      </c>
      <c r="C44" s="199" t="e">
        <f ca="1">C42*0.5*C37*(C31^2)*C38/1000</f>
        <v>#NAME?</v>
      </c>
      <c r="D44" s="182" t="s">
        <v>109</v>
      </c>
      <c r="E44" s="218" t="s">
        <v>78</v>
      </c>
      <c r="F44" s="183">
        <f t="shared" si="0"/>
        <v>44</v>
      </c>
      <c r="G44" s="280" t="s">
        <v>207</v>
      </c>
      <c r="H44"/>
    </row>
    <row r="45" spans="2:11" ht="39.5" customHeight="1" x14ac:dyDescent="0.2">
      <c r="B45" s="252" t="s">
        <v>137</v>
      </c>
      <c r="C45" s="200" t="e">
        <f ca="1">C44/C34/9.80665</f>
        <v>#NAME?</v>
      </c>
      <c r="D45" s="184" t="s">
        <v>51</v>
      </c>
      <c r="E45" s="220" t="s">
        <v>113</v>
      </c>
      <c r="F45" s="180">
        <f t="shared" si="0"/>
        <v>45</v>
      </c>
      <c r="G45" s="281" t="s">
        <v>208</v>
      </c>
      <c r="H45"/>
    </row>
    <row r="46" spans="2:11" ht="22.5" customHeight="1" x14ac:dyDescent="0.2">
      <c r="B46" s="255" t="s">
        <v>105</v>
      </c>
      <c r="C46" s="201">
        <v>75.196700000000007</v>
      </c>
      <c r="D46" s="182" t="s">
        <v>107</v>
      </c>
      <c r="E46" s="218" t="s">
        <v>108</v>
      </c>
      <c r="F46" s="183">
        <f t="shared" si="0"/>
        <v>46</v>
      </c>
      <c r="G46" s="260">
        <v>75.196700000000007</v>
      </c>
      <c r="H46"/>
    </row>
    <row r="47" spans="2:11" ht="24" customHeight="1" x14ac:dyDescent="0.2">
      <c r="B47" s="254" t="s">
        <v>138</v>
      </c>
      <c r="C47" s="202">
        <f>C25^0.68</f>
        <v>0.85486936714084694</v>
      </c>
      <c r="D47" s="184" t="s">
        <v>48</v>
      </c>
      <c r="E47" s="220" t="s">
        <v>81</v>
      </c>
      <c r="F47" s="180">
        <f t="shared" si="0"/>
        <v>47</v>
      </c>
      <c r="G47" s="282" t="s">
        <v>159</v>
      </c>
      <c r="H47"/>
    </row>
    <row r="48" spans="2:11" ht="26" customHeight="1" x14ac:dyDescent="0.2">
      <c r="B48" s="261" t="s">
        <v>139</v>
      </c>
      <c r="C48" s="203" t="e">
        <f ca="1">C21^0.53</f>
        <v>#NAME?</v>
      </c>
      <c r="D48" s="182" t="s">
        <v>48</v>
      </c>
      <c r="E48" s="218" t="s">
        <v>82</v>
      </c>
      <c r="F48" s="183">
        <f t="shared" si="0"/>
        <v>48</v>
      </c>
      <c r="G48" s="283" t="s">
        <v>209</v>
      </c>
      <c r="H48"/>
    </row>
    <row r="49" spans="2:8" ht="44.5" customHeight="1" x14ac:dyDescent="0.2">
      <c r="B49" s="249" t="s">
        <v>140</v>
      </c>
      <c r="C49" s="202" t="e">
        <f ca="1">BicubicInterpolation('TSFC Eff Table'!$B$4:$E$69,2,C45)</f>
        <v>#NAME?</v>
      </c>
      <c r="D49" s="184" t="s">
        <v>48</v>
      </c>
      <c r="E49" s="220" t="s">
        <v>171</v>
      </c>
      <c r="F49" s="180">
        <f t="shared" si="0"/>
        <v>49</v>
      </c>
      <c r="G49" s="282" t="s">
        <v>210</v>
      </c>
      <c r="H49"/>
    </row>
    <row r="50" spans="2:8" ht="26.5" customHeight="1" x14ac:dyDescent="0.2">
      <c r="B50" s="255" t="s">
        <v>80</v>
      </c>
      <c r="C50" s="204" t="e">
        <f ca="1">C46*C47*C48/C49</f>
        <v>#NAME?</v>
      </c>
      <c r="D50" s="182" t="s">
        <v>106</v>
      </c>
      <c r="E50" s="218" t="s">
        <v>172</v>
      </c>
      <c r="F50" s="183">
        <f t="shared" si="0"/>
        <v>50</v>
      </c>
      <c r="G50" s="284" t="s">
        <v>211</v>
      </c>
      <c r="H50"/>
    </row>
    <row r="51" spans="2:8" ht="56.75" customHeight="1" x14ac:dyDescent="0.2">
      <c r="B51" s="654" t="s">
        <v>141</v>
      </c>
      <c r="C51" s="655" t="e">
        <f ca="1">IF( C13="LRCINOP",   BicubicInterpolation('LRC INOP FF'!$C$4:$AA$21,C16,C15)-200,  IF(C13="HOLDINGINOP",   BicubicInterpolation( 'Holding INOP FF'!$C$4:$J$13, C16,  C15)/1.05-200, C44*C50))</f>
        <v>#NAME?</v>
      </c>
      <c r="D51" s="656" t="s">
        <v>85</v>
      </c>
      <c r="E51" s="220" t="s">
        <v>164</v>
      </c>
      <c r="F51" s="657">
        <f t="shared" si="0"/>
        <v>51</v>
      </c>
      <c r="G51" s="658" t="s">
        <v>371</v>
      </c>
      <c r="H51"/>
    </row>
    <row r="52" spans="2:8" ht="24" customHeight="1" x14ac:dyDescent="0.2">
      <c r="B52" s="255" t="s">
        <v>142</v>
      </c>
      <c r="C52" s="205" t="e">
        <f ca="1">IF( OR(C13="LRCINOP", C13="HOLDINGINOP"),  C51, C51/2  )</f>
        <v>#NAME?</v>
      </c>
      <c r="D52" s="182" t="s">
        <v>86</v>
      </c>
      <c r="E52" s="218" t="s">
        <v>114</v>
      </c>
      <c r="F52" s="183">
        <f t="shared" si="0"/>
        <v>52</v>
      </c>
      <c r="G52" s="285" t="s">
        <v>368</v>
      </c>
      <c r="H52"/>
    </row>
    <row r="53" spans="2:8" ht="43.5" customHeight="1" x14ac:dyDescent="0.2">
      <c r="B53" s="252" t="s">
        <v>143</v>
      </c>
      <c r="C53" s="206" t="e">
        <f ca="1">C52/(C35*C28)/1000</f>
        <v>#NAME?</v>
      </c>
      <c r="D53" s="184" t="s">
        <v>87</v>
      </c>
      <c r="E53" s="220" t="s">
        <v>173</v>
      </c>
      <c r="F53" s="180">
        <f t="shared" si="0"/>
        <v>53</v>
      </c>
      <c r="G53" s="281" t="s">
        <v>212</v>
      </c>
      <c r="H53"/>
    </row>
    <row r="54" spans="2:8" ht="27.5" customHeight="1" x14ac:dyDescent="0.2">
      <c r="B54" s="255" t="s">
        <v>144</v>
      </c>
      <c r="C54" s="207" t="e">
        <f ca="1">IF( OR(C13="LRCINOP", C13="HOLDINGINOP"), C53,  2*C53 )</f>
        <v>#NAME?</v>
      </c>
      <c r="D54" s="182" t="s">
        <v>89</v>
      </c>
      <c r="E54" s="218" t="s">
        <v>88</v>
      </c>
      <c r="F54" s="183">
        <f t="shared" si="0"/>
        <v>54</v>
      </c>
      <c r="G54" s="280" t="s">
        <v>367</v>
      </c>
      <c r="H54"/>
    </row>
    <row r="55" spans="2:8" ht="62" customHeight="1" x14ac:dyDescent="0.2">
      <c r="B55" s="252" t="s">
        <v>145</v>
      </c>
      <c r="C55" s="208" t="e">
        <f ca="1">100*C54/C36</f>
        <v>#NAME?</v>
      </c>
      <c r="D55" s="184" t="s">
        <v>95</v>
      </c>
      <c r="E55" s="220" t="s">
        <v>160</v>
      </c>
      <c r="F55" s="180">
        <f t="shared" si="0"/>
        <v>55</v>
      </c>
      <c r="G55" s="286" t="s">
        <v>213</v>
      </c>
      <c r="H55"/>
    </row>
    <row r="56" spans="2:8" ht="115.5" customHeight="1" x14ac:dyDescent="0.2">
      <c r="B56" s="255" t="s">
        <v>146</v>
      </c>
      <c r="C56" s="209">
        <f>200-IF(C18="OFF",88,0)</f>
        <v>200</v>
      </c>
      <c r="D56" s="182" t="s">
        <v>86</v>
      </c>
      <c r="E56" s="218" t="s">
        <v>350</v>
      </c>
      <c r="F56" s="183">
        <f t="shared" si="0"/>
        <v>56</v>
      </c>
      <c r="G56" s="262" t="s">
        <v>331</v>
      </c>
      <c r="H56"/>
    </row>
    <row r="57" spans="2:8" ht="23" customHeight="1" x14ac:dyDescent="0.2">
      <c r="B57" s="263" t="s">
        <v>147</v>
      </c>
      <c r="C57" s="210" t="e">
        <f ca="1">C52+C56</f>
        <v>#NAME?</v>
      </c>
      <c r="D57" s="184" t="s">
        <v>86</v>
      </c>
      <c r="E57" s="220" t="s">
        <v>83</v>
      </c>
      <c r="F57" s="180">
        <f t="shared" si="0"/>
        <v>57</v>
      </c>
      <c r="G57" s="265" t="s">
        <v>214</v>
      </c>
      <c r="H57"/>
    </row>
    <row r="58" spans="2:8" ht="23" customHeight="1" x14ac:dyDescent="0.2">
      <c r="B58" s="255" t="s">
        <v>148</v>
      </c>
      <c r="C58" s="205" t="e">
        <f ca="1">IF( OR(C13="LRCINOP", C13="HOLDINGINOP"), C57, 2*C57 )</f>
        <v>#NAME?</v>
      </c>
      <c r="D58" s="182" t="s">
        <v>85</v>
      </c>
      <c r="E58" s="218" t="s">
        <v>84</v>
      </c>
      <c r="F58" s="183">
        <f t="shared" si="0"/>
        <v>58</v>
      </c>
      <c r="G58" s="285" t="s">
        <v>366</v>
      </c>
      <c r="H58"/>
    </row>
    <row r="59" spans="2:8" ht="23" customHeight="1" x14ac:dyDescent="0.2">
      <c r="B59" s="252" t="s">
        <v>149</v>
      </c>
      <c r="C59" s="198" t="e">
        <f ca="1">1000*C30/C58</f>
        <v>#NAME?</v>
      </c>
      <c r="D59" s="184" t="s">
        <v>60</v>
      </c>
      <c r="E59" s="220" t="s">
        <v>365</v>
      </c>
      <c r="F59" s="180">
        <f t="shared" si="0"/>
        <v>59</v>
      </c>
      <c r="G59" s="279" t="s">
        <v>218</v>
      </c>
      <c r="H59"/>
    </row>
    <row r="60" spans="2:8" ht="23" customHeight="1" x14ac:dyDescent="0.2">
      <c r="B60" s="255" t="s">
        <v>150</v>
      </c>
      <c r="C60" s="205" t="e">
        <f ca="1">C57*(1+C19)</f>
        <v>#NAME?</v>
      </c>
      <c r="D60" s="182" t="s">
        <v>101</v>
      </c>
      <c r="E60" s="218" t="s">
        <v>117</v>
      </c>
      <c r="F60" s="183">
        <f t="shared" si="0"/>
        <v>60</v>
      </c>
      <c r="G60" s="285" t="s">
        <v>215</v>
      </c>
      <c r="H60"/>
    </row>
    <row r="61" spans="2:8" ht="23" customHeight="1" x14ac:dyDescent="0.2">
      <c r="B61" s="264" t="s">
        <v>151</v>
      </c>
      <c r="C61" s="211" t="e">
        <f ca="1">C58*(1+C19)</f>
        <v>#NAME?</v>
      </c>
      <c r="D61" s="184" t="s">
        <v>90</v>
      </c>
      <c r="E61" s="220" t="s">
        <v>118</v>
      </c>
      <c r="F61" s="180">
        <f t="shared" si="0"/>
        <v>61</v>
      </c>
      <c r="G61" s="265" t="s">
        <v>216</v>
      </c>
      <c r="H61"/>
    </row>
    <row r="62" spans="2:8" ht="23" customHeight="1" thickBot="1" x14ac:dyDescent="0.25">
      <c r="B62" s="266" t="s">
        <v>152</v>
      </c>
      <c r="C62" s="267" t="e">
        <f ca="1">1000*C30/C61</f>
        <v>#NAME?</v>
      </c>
      <c r="D62" s="268" t="s">
        <v>60</v>
      </c>
      <c r="E62" s="269" t="s">
        <v>91</v>
      </c>
      <c r="F62" s="270">
        <f t="shared" si="0"/>
        <v>62</v>
      </c>
      <c r="G62" s="287" t="s">
        <v>217</v>
      </c>
      <c r="H62"/>
    </row>
    <row r="63" spans="2:8" ht="17" customHeight="1" x14ac:dyDescent="0.2"/>
    <row r="64" spans="2:8" ht="32.5" customHeight="1" x14ac:dyDescent="0.2">
      <c r="H64" s="176"/>
    </row>
    <row r="65" spans="1:8" ht="36" customHeight="1" x14ac:dyDescent="0.2">
      <c r="B65" s="176"/>
      <c r="F65" s="176"/>
      <c r="G65" s="176"/>
      <c r="H65" s="176"/>
    </row>
    <row r="66" spans="1:8" ht="36" customHeight="1" x14ac:dyDescent="0.2">
      <c r="B66" s="176"/>
      <c r="F66" s="176"/>
      <c r="G66" s="176"/>
      <c r="H66" s="176"/>
    </row>
    <row r="67" spans="1:8" ht="17.5" customHeight="1" x14ac:dyDescent="0.2">
      <c r="B67" s="176"/>
      <c r="F67" s="176"/>
      <c r="G67" s="176"/>
      <c r="H67" s="176"/>
    </row>
    <row r="68" spans="1:8" ht="17.5" customHeight="1" x14ac:dyDescent="0.2">
      <c r="B68" s="176"/>
      <c r="F68" s="176"/>
      <c r="G68" s="176"/>
      <c r="H68" s="176"/>
    </row>
    <row r="69" spans="1:8" ht="17.5" customHeight="1" x14ac:dyDescent="0.2">
      <c r="B69" s="176"/>
      <c r="F69" s="176"/>
      <c r="G69" s="176"/>
      <c r="H69" s="176"/>
    </row>
    <row r="70" spans="1:8" ht="17.5" customHeight="1" x14ac:dyDescent="0.2">
      <c r="B70" s="176"/>
      <c r="F70" s="176"/>
      <c r="G70" s="176"/>
      <c r="H70" s="176"/>
    </row>
    <row r="71" spans="1:8" ht="17.5" customHeight="1" x14ac:dyDescent="0.2">
      <c r="B71" s="176"/>
      <c r="F71" s="176"/>
      <c r="G71" s="176"/>
      <c r="H71" s="176"/>
    </row>
    <row r="72" spans="1:8" ht="17.5" customHeight="1" x14ac:dyDescent="0.2">
      <c r="B72" s="176"/>
      <c r="F72" s="176"/>
      <c r="G72" s="176"/>
      <c r="H72" s="176"/>
    </row>
    <row r="73" spans="1:8" ht="17.5" customHeight="1" x14ac:dyDescent="0.2">
      <c r="B73" s="176"/>
      <c r="F73" s="176"/>
      <c r="G73" s="176"/>
      <c r="H73" s="176"/>
    </row>
    <row r="74" spans="1:8" ht="17.5" customHeight="1" x14ac:dyDescent="0.2">
      <c r="B74" s="176"/>
      <c r="F74" s="176"/>
      <c r="G74" s="176"/>
      <c r="H74" s="176"/>
    </row>
    <row r="75" spans="1:8" ht="17.5" customHeight="1" x14ac:dyDescent="0.2">
      <c r="B75" s="176"/>
      <c r="F75" s="176"/>
      <c r="G75" s="176"/>
      <c r="H75" s="176"/>
    </row>
    <row r="76" spans="1:8" ht="17.5" customHeight="1" x14ac:dyDescent="0.2">
      <c r="B76" s="176"/>
      <c r="F76" s="176"/>
      <c r="G76" s="176"/>
      <c r="H76" s="176"/>
    </row>
    <row r="77" spans="1:8" ht="17.5" customHeight="1" x14ac:dyDescent="0.2">
      <c r="B77" s="176"/>
      <c r="F77" s="176"/>
      <c r="G77" s="176"/>
      <c r="H77" s="176"/>
    </row>
    <row r="78" spans="1:8" ht="17.5" customHeight="1" x14ac:dyDescent="0.2">
      <c r="B78" s="176"/>
      <c r="F78" s="176"/>
      <c r="G78" s="176"/>
      <c r="H78" s="176"/>
    </row>
    <row r="79" spans="1:8" s="212" customFormat="1" ht="17.5" customHeight="1" x14ac:dyDescent="0.2">
      <c r="A79" s="176"/>
      <c r="B79" s="176"/>
      <c r="C79" s="176"/>
      <c r="D79" s="223"/>
      <c r="E79" s="176"/>
      <c r="F79" s="176"/>
      <c r="G79" s="176"/>
      <c r="H79" s="176"/>
    </row>
    <row r="80" spans="1:8" s="212" customFormat="1" ht="17.5" customHeight="1" x14ac:dyDescent="0.2">
      <c r="A80" s="176"/>
      <c r="B80" s="176"/>
      <c r="C80" s="176"/>
      <c r="D80" s="223"/>
      <c r="E80" s="176"/>
      <c r="F80" s="176"/>
      <c r="G80" s="176"/>
      <c r="H80" s="176"/>
    </row>
    <row r="81" spans="1:20" s="212" customFormat="1" ht="17.5" customHeight="1" x14ac:dyDescent="0.2">
      <c r="A81" s="176"/>
      <c r="B81" s="176"/>
      <c r="C81" s="176"/>
      <c r="D81" s="223"/>
      <c r="E81" s="176"/>
      <c r="F81" s="176"/>
      <c r="G81" s="176"/>
      <c r="H81" s="176"/>
    </row>
    <row r="82" spans="1:20" s="212" customFormat="1" ht="17.5" customHeight="1" x14ac:dyDescent="0.2">
      <c r="A82" s="176"/>
      <c r="B82" s="176"/>
      <c r="C82" s="176"/>
      <c r="D82" s="223"/>
      <c r="E82" s="176"/>
      <c r="F82" s="176"/>
      <c r="G82" s="176"/>
      <c r="H82" s="176"/>
    </row>
    <row r="83" spans="1:20" s="212" customFormat="1" ht="17.5" customHeight="1" x14ac:dyDescent="0.2">
      <c r="A83" s="176"/>
      <c r="B83" s="176"/>
      <c r="C83" s="176"/>
      <c r="D83" s="223"/>
      <c r="E83" s="176"/>
      <c r="F83" s="176"/>
      <c r="G83" s="176"/>
      <c r="H83" s="176"/>
    </row>
    <row r="84" spans="1:20" s="212" customFormat="1" ht="17.5" customHeight="1" x14ac:dyDescent="0.2">
      <c r="A84" s="176"/>
      <c r="B84" s="176"/>
      <c r="C84" s="176"/>
      <c r="D84" s="223"/>
      <c r="E84" s="176"/>
      <c r="F84" s="176"/>
      <c r="G84" s="176"/>
      <c r="H84" s="176"/>
    </row>
    <row r="85" spans="1:20" s="212" customFormat="1" ht="17.5" customHeight="1" x14ac:dyDescent="0.2">
      <c r="A85" s="176"/>
      <c r="B85" s="176"/>
      <c r="C85" s="176"/>
      <c r="D85" s="223"/>
      <c r="E85" s="176"/>
      <c r="F85" s="176"/>
      <c r="G85" s="176"/>
      <c r="H85" s="176"/>
    </row>
    <row r="86" spans="1:20" s="212" customFormat="1" ht="17.5" customHeight="1" x14ac:dyDescent="0.2">
      <c r="A86" s="176"/>
      <c r="B86" s="176"/>
      <c r="C86" s="176"/>
      <c r="D86" s="223"/>
      <c r="E86" s="176"/>
      <c r="F86" s="176"/>
      <c r="G86" s="176"/>
      <c r="H86" s="176"/>
    </row>
    <row r="87" spans="1:20" s="212" customFormat="1" ht="17.5" customHeight="1" x14ac:dyDescent="0.2">
      <c r="A87" s="176"/>
      <c r="B87" s="176"/>
      <c r="C87" s="176"/>
      <c r="D87" s="223"/>
      <c r="E87" s="176"/>
      <c r="F87" s="176"/>
      <c r="G87" s="176"/>
      <c r="H87" s="176"/>
    </row>
    <row r="88" spans="1:20" s="212" customFormat="1" ht="17.5" customHeight="1" x14ac:dyDescent="0.2">
      <c r="A88" s="176"/>
      <c r="B88" s="176"/>
      <c r="C88" s="176"/>
      <c r="D88" s="223"/>
      <c r="E88" s="176"/>
      <c r="F88" s="176"/>
      <c r="G88" s="176"/>
      <c r="H88" s="176"/>
    </row>
    <row r="89" spans="1:20" s="212" customFormat="1" ht="17.5" customHeight="1" x14ac:dyDescent="0.2">
      <c r="A89" s="176"/>
      <c r="B89" s="176"/>
      <c r="C89" s="176"/>
      <c r="D89" s="223"/>
      <c r="E89" s="176"/>
      <c r="F89" s="176"/>
      <c r="G89" s="176"/>
      <c r="H89" s="176"/>
    </row>
    <row r="90" spans="1:20" s="212" customFormat="1" ht="17.5" customHeight="1" x14ac:dyDescent="0.2">
      <c r="A90" s="176"/>
      <c r="B90" s="176"/>
      <c r="C90" s="176"/>
      <c r="D90" s="223"/>
      <c r="E90" s="176"/>
      <c r="F90" s="176"/>
      <c r="G90" s="176"/>
      <c r="H90" s="176"/>
    </row>
    <row r="91" spans="1:20" s="212" customFormat="1" ht="17.5" customHeight="1" x14ac:dyDescent="0.2">
      <c r="A91" s="176"/>
      <c r="B91" s="176"/>
      <c r="C91" s="176"/>
      <c r="D91" s="223"/>
      <c r="E91" s="176"/>
      <c r="F91" s="176"/>
      <c r="G91" s="176"/>
      <c r="H91" s="176"/>
      <c r="J91" s="176"/>
      <c r="K91" s="176"/>
      <c r="L91" s="176"/>
      <c r="M91" s="176"/>
      <c r="N91" s="176"/>
      <c r="O91" s="176"/>
      <c r="P91" s="176"/>
      <c r="Q91" s="176"/>
      <c r="R91" s="176"/>
      <c r="S91" s="176"/>
      <c r="T91" s="176"/>
    </row>
    <row r="92" spans="1:20" s="212" customFormat="1" ht="17.5" customHeight="1" x14ac:dyDescent="0.2">
      <c r="A92" s="176"/>
      <c r="B92" s="176"/>
      <c r="C92" s="176"/>
      <c r="D92" s="223"/>
      <c r="E92" s="176"/>
      <c r="F92" s="176"/>
      <c r="G92" s="176"/>
      <c r="H92" s="176"/>
      <c r="J92" s="176"/>
      <c r="K92" s="176"/>
      <c r="L92" s="176"/>
      <c r="M92" s="176"/>
      <c r="N92" s="176"/>
      <c r="O92" s="176"/>
      <c r="P92" s="176"/>
      <c r="Q92" s="176"/>
      <c r="R92" s="176"/>
      <c r="S92" s="176"/>
      <c r="T92" s="176"/>
    </row>
    <row r="93" spans="1:20" s="212" customFormat="1" ht="17.5" customHeight="1" x14ac:dyDescent="0.2">
      <c r="A93" s="176"/>
      <c r="B93" s="176"/>
      <c r="C93" s="176"/>
      <c r="D93" s="223"/>
      <c r="E93" s="176"/>
      <c r="F93" s="176"/>
      <c r="G93" s="176"/>
      <c r="H93" s="176"/>
      <c r="J93" s="176"/>
      <c r="K93" s="176"/>
      <c r="L93" s="176"/>
      <c r="M93" s="176"/>
      <c r="N93" s="176"/>
      <c r="O93" s="176"/>
      <c r="P93" s="176"/>
      <c r="Q93" s="176"/>
      <c r="R93" s="176"/>
      <c r="S93" s="176"/>
      <c r="T93" s="176"/>
    </row>
    <row r="94" spans="1:20" s="212" customFormat="1" ht="17.5" customHeight="1" x14ac:dyDescent="0.2">
      <c r="A94" s="176"/>
      <c r="B94" s="176"/>
      <c r="C94" s="176"/>
      <c r="D94" s="223"/>
      <c r="E94" s="176"/>
      <c r="F94" s="176"/>
      <c r="G94" s="176"/>
      <c r="H94" s="176"/>
      <c r="J94" s="176"/>
      <c r="K94" s="176"/>
      <c r="L94" s="176"/>
      <c r="M94" s="176"/>
      <c r="N94" s="176"/>
      <c r="O94" s="176"/>
      <c r="P94" s="176"/>
      <c r="Q94" s="176"/>
      <c r="R94" s="176"/>
      <c r="S94" s="176"/>
      <c r="T94" s="176"/>
    </row>
    <row r="95" spans="1:20" s="212" customFormat="1" ht="17.5" customHeight="1" x14ac:dyDescent="0.2">
      <c r="A95" s="176"/>
      <c r="B95" s="176"/>
      <c r="C95" s="176"/>
      <c r="D95" s="223"/>
      <c r="E95" s="176"/>
      <c r="F95" s="176"/>
      <c r="G95" s="176"/>
      <c r="H95" s="176"/>
      <c r="J95" s="176"/>
      <c r="K95" s="176"/>
      <c r="L95" s="176"/>
      <c r="M95" s="176"/>
      <c r="N95" s="176"/>
      <c r="O95" s="176"/>
      <c r="P95" s="176"/>
      <c r="Q95" s="176"/>
      <c r="R95" s="176"/>
      <c r="S95" s="176"/>
      <c r="T95" s="176"/>
    </row>
    <row r="96" spans="1:20" s="212" customFormat="1" ht="17.5" customHeight="1" x14ac:dyDescent="0.2">
      <c r="A96" s="176"/>
      <c r="B96" s="176"/>
      <c r="C96" s="176"/>
      <c r="D96" s="223"/>
      <c r="E96" s="176"/>
      <c r="F96" s="176"/>
      <c r="G96" s="176"/>
      <c r="H96" s="176"/>
      <c r="J96" s="176"/>
      <c r="K96" s="176"/>
      <c r="L96" s="176"/>
      <c r="M96" s="176"/>
      <c r="N96" s="176"/>
      <c r="O96" s="176"/>
      <c r="P96" s="176"/>
      <c r="Q96" s="176"/>
      <c r="R96" s="176"/>
      <c r="S96" s="176"/>
      <c r="T96" s="176"/>
    </row>
    <row r="97" spans="1:8" s="212" customFormat="1" ht="17.5" customHeight="1" x14ac:dyDescent="0.2">
      <c r="A97" s="176"/>
      <c r="B97" s="176"/>
      <c r="C97" s="176"/>
      <c r="D97" s="223"/>
      <c r="E97" s="176"/>
      <c r="F97" s="176"/>
      <c r="G97" s="176"/>
      <c r="H97" s="176"/>
    </row>
    <row r="98" spans="1:8" s="212" customFormat="1" ht="17.5" customHeight="1" x14ac:dyDescent="0.2">
      <c r="A98" s="176"/>
      <c r="B98" s="176"/>
      <c r="C98" s="176"/>
      <c r="D98" s="223"/>
      <c r="E98" s="176"/>
      <c r="F98" s="176"/>
      <c r="G98" s="176"/>
      <c r="H98" s="176"/>
    </row>
    <row r="99" spans="1:8" s="212" customFormat="1" ht="17.5" customHeight="1" x14ac:dyDescent="0.2">
      <c r="A99" s="176"/>
      <c r="B99" s="176"/>
      <c r="C99" s="176"/>
      <c r="D99" s="223"/>
      <c r="E99" s="176"/>
      <c r="F99" s="176"/>
      <c r="G99" s="176"/>
      <c r="H99" s="176"/>
    </row>
    <row r="100" spans="1:8" s="212" customFormat="1" ht="17.5" customHeight="1" x14ac:dyDescent="0.2">
      <c r="A100" s="176"/>
      <c r="B100" s="176"/>
      <c r="C100" s="176"/>
      <c r="D100" s="223"/>
      <c r="E100" s="176"/>
      <c r="F100" s="176"/>
      <c r="G100" s="176"/>
      <c r="H100" s="176"/>
    </row>
    <row r="101" spans="1:8" s="212" customFormat="1" ht="17.5" customHeight="1" x14ac:dyDescent="0.2">
      <c r="A101" s="176"/>
      <c r="B101" s="176"/>
      <c r="C101" s="176"/>
      <c r="D101" s="223"/>
      <c r="E101" s="176"/>
      <c r="F101" s="176"/>
      <c r="G101" s="176"/>
      <c r="H101" s="176"/>
    </row>
    <row r="102" spans="1:8" s="212" customFormat="1" x14ac:dyDescent="0.2">
      <c r="A102" s="176"/>
      <c r="B102" s="176"/>
      <c r="C102" s="176"/>
      <c r="D102" s="223"/>
      <c r="E102" s="176"/>
      <c r="F102" s="176"/>
      <c r="G102" s="176"/>
      <c r="H102" s="176"/>
    </row>
    <row r="103" spans="1:8" s="212" customFormat="1" x14ac:dyDescent="0.2">
      <c r="A103" s="176"/>
      <c r="B103" s="176"/>
      <c r="C103" s="176"/>
      <c r="D103" s="223"/>
      <c r="E103" s="176"/>
      <c r="F103" s="176"/>
      <c r="G103" s="176"/>
      <c r="H103" s="176"/>
    </row>
    <row r="104" spans="1:8" s="212" customFormat="1" x14ac:dyDescent="0.2">
      <c r="A104" s="176"/>
      <c r="B104" s="176"/>
      <c r="C104" s="176"/>
      <c r="D104" s="223"/>
      <c r="E104" s="176"/>
      <c r="F104" s="176"/>
      <c r="G104" s="176"/>
      <c r="H104" s="176"/>
    </row>
    <row r="105" spans="1:8" s="212" customFormat="1" x14ac:dyDescent="0.2">
      <c r="A105" s="176"/>
      <c r="B105" s="176"/>
      <c r="C105" s="176"/>
      <c r="D105" s="223"/>
      <c r="E105" s="176"/>
      <c r="F105" s="176"/>
      <c r="G105" s="176"/>
      <c r="H105" s="176"/>
    </row>
    <row r="106" spans="1:8" s="212" customFormat="1" x14ac:dyDescent="0.2">
      <c r="A106" s="176"/>
      <c r="B106" s="176"/>
      <c r="C106" s="176"/>
      <c r="D106" s="223"/>
      <c r="E106" s="176"/>
      <c r="F106" s="176"/>
      <c r="G106" s="176"/>
      <c r="H106" s="176"/>
    </row>
    <row r="107" spans="1:8" s="212" customFormat="1" x14ac:dyDescent="0.2">
      <c r="A107" s="176"/>
      <c r="B107" s="176"/>
      <c r="C107" s="176"/>
      <c r="D107" s="223"/>
      <c r="E107" s="176"/>
      <c r="F107" s="176"/>
      <c r="G107" s="176"/>
      <c r="H107" s="176"/>
    </row>
    <row r="108" spans="1:8" s="212" customFormat="1" x14ac:dyDescent="0.2">
      <c r="A108" s="176"/>
      <c r="B108" s="176"/>
      <c r="C108" s="176"/>
      <c r="D108" s="223"/>
      <c r="E108" s="176"/>
      <c r="F108" s="176"/>
      <c r="G108" s="176"/>
      <c r="H108" s="176"/>
    </row>
    <row r="109" spans="1:8" s="212" customFormat="1" x14ac:dyDescent="0.2">
      <c r="A109" s="176"/>
      <c r="B109" s="176"/>
      <c r="C109" s="176"/>
      <c r="D109" s="223"/>
      <c r="E109" s="176"/>
      <c r="F109" s="176"/>
      <c r="G109" s="176"/>
      <c r="H109" s="176"/>
    </row>
    <row r="110" spans="1:8" s="212" customFormat="1" x14ac:dyDescent="0.2">
      <c r="A110" s="176"/>
      <c r="B110" s="176"/>
      <c r="C110" s="176"/>
      <c r="D110" s="223"/>
      <c r="E110" s="176"/>
      <c r="F110" s="176"/>
      <c r="G110" s="176"/>
      <c r="H110" s="176"/>
    </row>
    <row r="111" spans="1:8" s="212" customFormat="1" x14ac:dyDescent="0.2">
      <c r="A111" s="176"/>
      <c r="B111" s="176"/>
      <c r="C111" s="176"/>
      <c r="D111" s="223"/>
      <c r="E111" s="176"/>
      <c r="F111" s="176"/>
      <c r="G111" s="176"/>
      <c r="H111" s="176"/>
    </row>
    <row r="112" spans="1:8" s="212" customFormat="1" x14ac:dyDescent="0.2">
      <c r="A112" s="176"/>
      <c r="B112" s="176"/>
      <c r="C112" s="176"/>
      <c r="D112" s="223"/>
      <c r="E112" s="176"/>
      <c r="F112" s="176"/>
      <c r="G112" s="176"/>
      <c r="H112" s="176"/>
    </row>
    <row r="113" spans="1:8" s="212" customFormat="1" x14ac:dyDescent="0.2">
      <c r="A113" s="176"/>
      <c r="B113" s="176"/>
      <c r="C113" s="176"/>
      <c r="D113" s="223"/>
      <c r="E113" s="176"/>
      <c r="F113" s="176"/>
      <c r="G113" s="176"/>
      <c r="H113" s="176"/>
    </row>
    <row r="114" spans="1:8" s="212" customFormat="1" x14ac:dyDescent="0.2">
      <c r="A114" s="176"/>
      <c r="B114" s="176"/>
      <c r="C114" s="176"/>
      <c r="D114" s="223"/>
      <c r="E114" s="176"/>
      <c r="F114" s="176"/>
      <c r="G114" s="176"/>
      <c r="H114" s="176"/>
    </row>
    <row r="115" spans="1:8" s="212" customFormat="1" x14ac:dyDescent="0.2">
      <c r="A115" s="176"/>
      <c r="B115" s="176"/>
      <c r="C115" s="176"/>
      <c r="D115" s="223"/>
      <c r="E115" s="176"/>
      <c r="F115" s="176"/>
      <c r="G115" s="176"/>
      <c r="H115" s="176"/>
    </row>
    <row r="116" spans="1:8" s="212" customFormat="1" x14ac:dyDescent="0.2">
      <c r="A116" s="176"/>
      <c r="B116" s="176"/>
      <c r="C116" s="176"/>
      <c r="D116" s="223"/>
      <c r="E116" s="176"/>
      <c r="F116" s="176"/>
      <c r="G116" s="176"/>
      <c r="H116" s="176"/>
    </row>
    <row r="117" spans="1:8" s="212" customFormat="1" x14ac:dyDescent="0.2">
      <c r="A117" s="176"/>
      <c r="B117" s="176"/>
      <c r="C117" s="176"/>
      <c r="D117" s="223"/>
      <c r="E117" s="176"/>
      <c r="F117" s="176"/>
      <c r="G117" s="176"/>
      <c r="H117" s="176"/>
    </row>
    <row r="118" spans="1:8" s="212" customFormat="1" x14ac:dyDescent="0.2">
      <c r="A118" s="176"/>
      <c r="B118" s="176"/>
      <c r="C118" s="176"/>
      <c r="D118" s="223"/>
      <c r="E118" s="176"/>
      <c r="F118" s="176"/>
      <c r="G118" s="176"/>
      <c r="H118" s="176"/>
    </row>
    <row r="119" spans="1:8" s="212" customFormat="1" x14ac:dyDescent="0.2">
      <c r="A119" s="176"/>
      <c r="B119" s="176"/>
      <c r="C119" s="176"/>
      <c r="D119" s="223"/>
      <c r="E119" s="176"/>
      <c r="F119" s="176"/>
      <c r="G119" s="176"/>
      <c r="H119" s="176"/>
    </row>
    <row r="120" spans="1:8" s="212" customFormat="1" x14ac:dyDescent="0.2">
      <c r="A120" s="176"/>
      <c r="B120" s="176"/>
      <c r="C120" s="176"/>
      <c r="D120" s="223"/>
      <c r="E120" s="176"/>
      <c r="F120" s="176"/>
      <c r="G120" s="176"/>
      <c r="H120" s="176"/>
    </row>
    <row r="121" spans="1:8" s="212" customFormat="1" x14ac:dyDescent="0.2">
      <c r="A121" s="176"/>
      <c r="B121" s="176"/>
      <c r="C121" s="176"/>
      <c r="D121" s="223"/>
      <c r="E121" s="176"/>
      <c r="F121" s="176"/>
      <c r="G121" s="176"/>
      <c r="H121" s="176"/>
    </row>
    <row r="122" spans="1:8" s="212" customFormat="1" x14ac:dyDescent="0.2">
      <c r="A122" s="176"/>
      <c r="B122" s="176"/>
      <c r="C122" s="176"/>
      <c r="D122" s="223"/>
      <c r="E122" s="176"/>
      <c r="F122" s="176"/>
      <c r="G122" s="176"/>
      <c r="H122" s="176"/>
    </row>
    <row r="123" spans="1:8" s="212" customFormat="1" x14ac:dyDescent="0.2">
      <c r="A123" s="176"/>
      <c r="B123" s="176"/>
      <c r="C123" s="176"/>
      <c r="D123" s="223"/>
      <c r="E123" s="176"/>
      <c r="F123" s="176"/>
      <c r="G123" s="176"/>
      <c r="H123" s="176"/>
    </row>
    <row r="124" spans="1:8" s="212" customFormat="1" x14ac:dyDescent="0.2">
      <c r="A124" s="176"/>
      <c r="B124" s="176"/>
      <c r="C124" s="176"/>
      <c r="D124" s="223"/>
      <c r="E124" s="176"/>
      <c r="F124" s="176"/>
      <c r="G124" s="176"/>
      <c r="H124" s="176"/>
    </row>
    <row r="125" spans="1:8" s="212" customFormat="1" x14ac:dyDescent="0.2">
      <c r="A125" s="176"/>
      <c r="B125" s="176"/>
      <c r="C125" s="176"/>
      <c r="D125" s="223"/>
      <c r="E125" s="176"/>
      <c r="F125" s="176"/>
      <c r="G125" s="176"/>
      <c r="H125" s="176"/>
    </row>
    <row r="126" spans="1:8" s="212" customFormat="1" x14ac:dyDescent="0.2">
      <c r="A126" s="176"/>
      <c r="B126" s="176"/>
      <c r="C126" s="176"/>
      <c r="D126" s="223"/>
      <c r="E126" s="176"/>
      <c r="F126" s="176"/>
      <c r="G126" s="176"/>
      <c r="H126" s="176"/>
    </row>
    <row r="127" spans="1:8" s="212" customFormat="1" x14ac:dyDescent="0.2">
      <c r="A127" s="176"/>
      <c r="B127" s="176"/>
      <c r="C127" s="176"/>
      <c r="D127" s="223"/>
      <c r="E127" s="176"/>
      <c r="F127" s="176"/>
      <c r="G127" s="176"/>
      <c r="H127" s="176"/>
    </row>
    <row r="128" spans="1:8" s="212" customFormat="1" x14ac:dyDescent="0.2">
      <c r="A128" s="176"/>
      <c r="B128" s="176"/>
      <c r="C128" s="176"/>
      <c r="D128" s="223"/>
      <c r="E128" s="176"/>
      <c r="F128" s="176"/>
      <c r="G128" s="176"/>
      <c r="H128" s="176"/>
    </row>
    <row r="129" spans="1:8" s="212" customFormat="1" x14ac:dyDescent="0.2">
      <c r="A129" s="176"/>
      <c r="B129" s="176"/>
      <c r="C129" s="176"/>
      <c r="D129" s="223"/>
      <c r="E129" s="176"/>
      <c r="F129" s="176"/>
      <c r="G129" s="176"/>
      <c r="H129" s="176"/>
    </row>
    <row r="130" spans="1:8" x14ac:dyDescent="0.2">
      <c r="B130" s="176"/>
      <c r="F130" s="176"/>
      <c r="G130" s="176"/>
      <c r="H130" s="176"/>
    </row>
    <row r="131" spans="1:8" x14ac:dyDescent="0.2">
      <c r="B131" s="176"/>
      <c r="F131" s="176"/>
      <c r="G131" s="176"/>
      <c r="H131" s="176"/>
    </row>
    <row r="132" spans="1:8" x14ac:dyDescent="0.2">
      <c r="B132" s="176"/>
      <c r="F132" s="176"/>
      <c r="G132" s="176"/>
      <c r="H132" s="176"/>
    </row>
    <row r="133" spans="1:8" x14ac:dyDescent="0.2">
      <c r="B133" s="176"/>
      <c r="F133" s="176"/>
      <c r="G133" s="176"/>
      <c r="H133" s="176"/>
    </row>
    <row r="134" spans="1:8" x14ac:dyDescent="0.2">
      <c r="B134" s="176"/>
      <c r="F134" s="176"/>
      <c r="G134" s="176"/>
      <c r="H134" s="176"/>
    </row>
    <row r="135" spans="1:8" x14ac:dyDescent="0.2">
      <c r="B135" s="176"/>
      <c r="F135" s="176"/>
      <c r="G135" s="176"/>
      <c r="H135" s="176"/>
    </row>
    <row r="136" spans="1:8" x14ac:dyDescent="0.2">
      <c r="B136" s="176"/>
      <c r="F136" s="176"/>
      <c r="G136" s="176"/>
      <c r="H136" s="176"/>
    </row>
    <row r="137" spans="1:8" x14ac:dyDescent="0.2">
      <c r="B137" s="176"/>
      <c r="F137" s="176"/>
      <c r="G137" s="176"/>
      <c r="H137" s="176"/>
    </row>
    <row r="138" spans="1:8" x14ac:dyDescent="0.2">
      <c r="B138" s="176"/>
      <c r="F138" s="176"/>
      <c r="G138" s="176"/>
      <c r="H138" s="176"/>
    </row>
    <row r="139" spans="1:8" x14ac:dyDescent="0.2">
      <c r="B139" s="176"/>
      <c r="F139" s="176"/>
      <c r="G139" s="176"/>
      <c r="H139" s="176"/>
    </row>
    <row r="140" spans="1:8" x14ac:dyDescent="0.2">
      <c r="B140" s="176"/>
      <c r="F140" s="176"/>
      <c r="G140" s="176"/>
      <c r="H140" s="176"/>
    </row>
    <row r="141" spans="1:8" x14ac:dyDescent="0.2">
      <c r="B141" s="176"/>
      <c r="F141" s="176"/>
      <c r="G141" s="176"/>
      <c r="H141" s="176"/>
    </row>
    <row r="142" spans="1:8" x14ac:dyDescent="0.2">
      <c r="B142" s="176"/>
      <c r="F142" s="176"/>
      <c r="G142" s="176"/>
      <c r="H142" s="176"/>
    </row>
    <row r="143" spans="1:8" x14ac:dyDescent="0.2">
      <c r="B143" s="176"/>
      <c r="F143" s="176"/>
      <c r="G143" s="176"/>
      <c r="H143" s="176"/>
    </row>
    <row r="144" spans="1:8" x14ac:dyDescent="0.2">
      <c r="B144" s="176"/>
      <c r="F144" s="176"/>
      <c r="G144" s="176"/>
      <c r="H144" s="176"/>
    </row>
    <row r="145" spans="2:8" x14ac:dyDescent="0.2">
      <c r="B145" s="176"/>
      <c r="F145" s="176"/>
      <c r="G145" s="176"/>
      <c r="H145" s="176"/>
    </row>
    <row r="146" spans="2:8" x14ac:dyDescent="0.2">
      <c r="B146" s="176"/>
      <c r="F146" s="176"/>
      <c r="G146" s="176"/>
      <c r="H146" s="176"/>
    </row>
    <row r="147" spans="2:8" x14ac:dyDescent="0.2">
      <c r="B147" s="176"/>
      <c r="F147" s="176"/>
      <c r="G147" s="176"/>
      <c r="H147" s="176"/>
    </row>
    <row r="148" spans="2:8" x14ac:dyDescent="0.2">
      <c r="B148" s="176"/>
      <c r="F148" s="176"/>
      <c r="G148" s="176"/>
      <c r="H148" s="176"/>
    </row>
    <row r="149" spans="2:8" x14ac:dyDescent="0.2">
      <c r="B149" s="176"/>
      <c r="F149" s="176"/>
      <c r="G149" s="176"/>
      <c r="H149" s="176"/>
    </row>
    <row r="150" spans="2:8" x14ac:dyDescent="0.2">
      <c r="B150" s="176"/>
      <c r="F150" s="176"/>
      <c r="G150" s="176"/>
      <c r="H150" s="176"/>
    </row>
    <row r="151" spans="2:8" x14ac:dyDescent="0.2">
      <c r="B151" s="176"/>
      <c r="F151" s="176"/>
      <c r="G151" s="176"/>
      <c r="H151" s="176"/>
    </row>
    <row r="152" spans="2:8" x14ac:dyDescent="0.2">
      <c r="B152" s="176"/>
      <c r="F152" s="176"/>
      <c r="G152" s="176"/>
      <c r="H152" s="176"/>
    </row>
    <row r="153" spans="2:8" x14ac:dyDescent="0.2">
      <c r="B153" s="176"/>
      <c r="F153" s="176"/>
      <c r="G153" s="176"/>
      <c r="H153" s="176"/>
    </row>
    <row r="154" spans="2:8" x14ac:dyDescent="0.2">
      <c r="B154" s="176"/>
      <c r="F154" s="176"/>
      <c r="G154" s="176"/>
      <c r="H154" s="176"/>
    </row>
    <row r="155" spans="2:8" x14ac:dyDescent="0.2">
      <c r="B155" s="176"/>
      <c r="F155" s="176"/>
      <c r="G155" s="176"/>
      <c r="H155" s="176"/>
    </row>
    <row r="156" spans="2:8" ht="19" x14ac:dyDescent="0.25">
      <c r="B156" s="213"/>
      <c r="C156" s="214"/>
      <c r="D156" s="224"/>
      <c r="E156" s="215"/>
    </row>
    <row r="157" spans="2:8" ht="19" x14ac:dyDescent="0.25">
      <c r="B157" s="213"/>
      <c r="C157" s="214"/>
      <c r="D157" s="224"/>
      <c r="E157" s="215"/>
    </row>
    <row r="158" spans="2:8" ht="19" x14ac:dyDescent="0.25">
      <c r="B158" s="213"/>
      <c r="C158" s="214"/>
      <c r="D158" s="224"/>
      <c r="E158" s="215"/>
    </row>
    <row r="159" spans="2:8" ht="19" x14ac:dyDescent="0.25">
      <c r="B159" s="213"/>
      <c r="C159" s="214"/>
      <c r="D159" s="224"/>
      <c r="E159" s="215"/>
    </row>
    <row r="160" spans="2:8" ht="19" x14ac:dyDescent="0.25">
      <c r="B160" s="213"/>
      <c r="C160" s="214"/>
      <c r="D160" s="224"/>
      <c r="E160" s="215"/>
    </row>
    <row r="161" spans="2:5" ht="19" x14ac:dyDescent="0.25">
      <c r="B161" s="213"/>
      <c r="C161" s="214"/>
      <c r="D161" s="224"/>
      <c r="E161" s="215"/>
    </row>
    <row r="162" spans="2:5" ht="19" x14ac:dyDescent="0.25">
      <c r="B162" s="213"/>
      <c r="C162" s="214"/>
      <c r="D162" s="224"/>
      <c r="E162" s="215"/>
    </row>
    <row r="163" spans="2:5" ht="19" x14ac:dyDescent="0.25">
      <c r="B163" s="213"/>
      <c r="C163" s="214"/>
      <c r="D163" s="224"/>
      <c r="E163" s="215"/>
    </row>
    <row r="164" spans="2:5" ht="19" x14ac:dyDescent="0.25">
      <c r="B164" s="213"/>
      <c r="C164" s="214"/>
      <c r="D164" s="224"/>
      <c r="E164" s="215"/>
    </row>
    <row r="165" spans="2:5" ht="19" x14ac:dyDescent="0.25">
      <c r="B165" s="213"/>
      <c r="C165" s="214"/>
      <c r="D165" s="224"/>
      <c r="E165" s="215"/>
    </row>
    <row r="166" spans="2:5" ht="19" x14ac:dyDescent="0.25">
      <c r="B166" s="213"/>
      <c r="C166" s="214"/>
      <c r="D166" s="224"/>
      <c r="E166" s="215"/>
    </row>
    <row r="167" spans="2:5" ht="19" x14ac:dyDescent="0.25">
      <c r="B167" s="213"/>
      <c r="C167" s="214"/>
      <c r="D167" s="224"/>
      <c r="E167" s="215"/>
    </row>
    <row r="168" spans="2:5" ht="19" x14ac:dyDescent="0.25">
      <c r="B168" s="213"/>
      <c r="C168" s="214"/>
      <c r="D168" s="224"/>
      <c r="E168" s="215"/>
    </row>
    <row r="169" spans="2:5" ht="19" x14ac:dyDescent="0.25">
      <c r="B169" s="213"/>
      <c r="C169" s="214"/>
      <c r="D169" s="224"/>
      <c r="E169" s="215"/>
    </row>
    <row r="170" spans="2:5" ht="19" x14ac:dyDescent="0.25">
      <c r="B170" s="213"/>
      <c r="C170" s="214"/>
      <c r="D170" s="224"/>
      <c r="E170" s="215"/>
    </row>
    <row r="171" spans="2:5" ht="19" x14ac:dyDescent="0.25">
      <c r="B171" s="213"/>
      <c r="C171" s="214"/>
      <c r="D171" s="224"/>
      <c r="E171" s="215"/>
    </row>
    <row r="172" spans="2:5" ht="19" x14ac:dyDescent="0.25">
      <c r="B172" s="213"/>
      <c r="C172" s="214"/>
      <c r="D172" s="224"/>
      <c r="E172" s="215"/>
    </row>
    <row r="173" spans="2:5" ht="19" x14ac:dyDescent="0.25">
      <c r="B173" s="213"/>
      <c r="C173" s="214"/>
      <c r="D173" s="224"/>
      <c r="E173" s="215"/>
    </row>
    <row r="174" spans="2:5" ht="19" x14ac:dyDescent="0.25">
      <c r="B174" s="213"/>
      <c r="C174" s="214"/>
      <c r="D174" s="224"/>
      <c r="E174" s="215"/>
    </row>
    <row r="175" spans="2:5" ht="19" x14ac:dyDescent="0.25">
      <c r="B175" s="213"/>
      <c r="C175" s="214"/>
      <c r="D175" s="224"/>
      <c r="E175" s="215"/>
    </row>
    <row r="176" spans="2:5" ht="19" x14ac:dyDescent="0.25">
      <c r="B176" s="213"/>
      <c r="C176" s="214"/>
      <c r="D176" s="224"/>
      <c r="E176" s="215"/>
    </row>
    <row r="177" spans="2:5" ht="19" x14ac:dyDescent="0.25">
      <c r="B177" s="213"/>
      <c r="C177" s="214"/>
      <c r="D177" s="224"/>
      <c r="E177" s="215"/>
    </row>
    <row r="178" spans="2:5" ht="19" x14ac:dyDescent="0.25">
      <c r="B178" s="213"/>
      <c r="C178" s="214"/>
      <c r="D178" s="224"/>
      <c r="E178" s="215"/>
    </row>
    <row r="179" spans="2:5" ht="19" x14ac:dyDescent="0.25">
      <c r="B179" s="213"/>
      <c r="C179" s="214"/>
      <c r="D179" s="224"/>
      <c r="E179" s="215"/>
    </row>
    <row r="180" spans="2:5" ht="19" x14ac:dyDescent="0.25">
      <c r="B180" s="213"/>
      <c r="C180" s="214"/>
      <c r="D180" s="224"/>
      <c r="E180" s="215"/>
    </row>
    <row r="181" spans="2:5" ht="19" x14ac:dyDescent="0.25">
      <c r="B181" s="213"/>
      <c r="C181" s="214"/>
      <c r="D181" s="224"/>
      <c r="E181" s="215"/>
    </row>
    <row r="182" spans="2:5" ht="19" x14ac:dyDescent="0.25">
      <c r="B182" s="213"/>
      <c r="C182" s="214"/>
      <c r="D182" s="224"/>
      <c r="E182" s="215"/>
    </row>
    <row r="183" spans="2:5" ht="19" x14ac:dyDescent="0.25">
      <c r="B183" s="213"/>
      <c r="C183" s="214"/>
      <c r="D183" s="224"/>
      <c r="E183" s="215"/>
    </row>
    <row r="184" spans="2:5" ht="19" x14ac:dyDescent="0.25">
      <c r="B184" s="213"/>
      <c r="C184" s="214"/>
      <c r="D184" s="224"/>
      <c r="E184" s="215"/>
    </row>
    <row r="185" spans="2:5" ht="19" x14ac:dyDescent="0.25">
      <c r="B185" s="213"/>
      <c r="C185" s="214"/>
      <c r="D185" s="224"/>
      <c r="E185" s="215"/>
    </row>
    <row r="186" spans="2:5" ht="19" x14ac:dyDescent="0.25">
      <c r="B186" s="213"/>
      <c r="C186" s="214"/>
      <c r="D186" s="224"/>
      <c r="E186" s="215"/>
    </row>
    <row r="187" spans="2:5" x14ac:dyDescent="0.2">
      <c r="E187" s="216"/>
    </row>
    <row r="188" spans="2:5" x14ac:dyDescent="0.2">
      <c r="E188" s="216"/>
    </row>
    <row r="189" spans="2:5" x14ac:dyDescent="0.2">
      <c r="E189" s="216"/>
    </row>
    <row r="190" spans="2:5" x14ac:dyDescent="0.2">
      <c r="E190" s="216"/>
    </row>
    <row r="191" spans="2:5" x14ac:dyDescent="0.2">
      <c r="E191" s="216"/>
    </row>
    <row r="192" spans="2:5" x14ac:dyDescent="0.2">
      <c r="E192" s="216"/>
    </row>
    <row r="193" spans="5:5" x14ac:dyDescent="0.2">
      <c r="E193" s="216"/>
    </row>
    <row r="194" spans="5:5" x14ac:dyDescent="0.2">
      <c r="E194" s="216"/>
    </row>
    <row r="195" spans="5:5" x14ac:dyDescent="0.2">
      <c r="E195" s="216"/>
    </row>
    <row r="196" spans="5:5" x14ac:dyDescent="0.2">
      <c r="E196" s="216"/>
    </row>
    <row r="197" spans="5:5" x14ac:dyDescent="0.2">
      <c r="E197" s="216"/>
    </row>
    <row r="198" spans="5:5" x14ac:dyDescent="0.2">
      <c r="E198" s="216"/>
    </row>
    <row r="199" spans="5:5" x14ac:dyDescent="0.2">
      <c r="E199" s="216"/>
    </row>
    <row r="200" spans="5:5" x14ac:dyDescent="0.2">
      <c r="E200" s="216"/>
    </row>
    <row r="201" spans="5:5" x14ac:dyDescent="0.2">
      <c r="E201" s="216"/>
    </row>
    <row r="202" spans="5:5" x14ac:dyDescent="0.2">
      <c r="E202" s="216"/>
    </row>
    <row r="203" spans="5:5" x14ac:dyDescent="0.2">
      <c r="E203" s="216"/>
    </row>
    <row r="204" spans="5:5" x14ac:dyDescent="0.2">
      <c r="E204" s="216"/>
    </row>
    <row r="205" spans="5:5" x14ac:dyDescent="0.2">
      <c r="E205" s="216"/>
    </row>
    <row r="206" spans="5:5" x14ac:dyDescent="0.2">
      <c r="E206" s="216"/>
    </row>
    <row r="207" spans="5:5" x14ac:dyDescent="0.2">
      <c r="E207" s="216"/>
    </row>
    <row r="208" spans="5:5" x14ac:dyDescent="0.2">
      <c r="E208" s="216"/>
    </row>
    <row r="209" spans="5:5" x14ac:dyDescent="0.2">
      <c r="E209" s="216"/>
    </row>
    <row r="210" spans="5:5" x14ac:dyDescent="0.2">
      <c r="E210" s="216"/>
    </row>
    <row r="211" spans="5:5" x14ac:dyDescent="0.2">
      <c r="E211" s="216"/>
    </row>
    <row r="212" spans="5:5" x14ac:dyDescent="0.2">
      <c r="E212" s="216"/>
    </row>
    <row r="213" spans="5:5" x14ac:dyDescent="0.2">
      <c r="E213" s="216"/>
    </row>
    <row r="214" spans="5:5" x14ac:dyDescent="0.2">
      <c r="E214" s="216"/>
    </row>
    <row r="215" spans="5:5" x14ac:dyDescent="0.2">
      <c r="E215" s="216"/>
    </row>
    <row r="216" spans="5:5" x14ac:dyDescent="0.2">
      <c r="E216" s="216"/>
    </row>
    <row r="217" spans="5:5" x14ac:dyDescent="0.2">
      <c r="E217" s="216"/>
    </row>
    <row r="218" spans="5:5" x14ac:dyDescent="0.2">
      <c r="E218" s="216"/>
    </row>
    <row r="219" spans="5:5" x14ac:dyDescent="0.2">
      <c r="E219" s="216"/>
    </row>
    <row r="220" spans="5:5" x14ac:dyDescent="0.2">
      <c r="E220" s="216"/>
    </row>
    <row r="221" spans="5:5" x14ac:dyDescent="0.2">
      <c r="E221" s="216"/>
    </row>
    <row r="222" spans="5:5" x14ac:dyDescent="0.2">
      <c r="E222" s="216"/>
    </row>
    <row r="223" spans="5:5" x14ac:dyDescent="0.2">
      <c r="E223" s="216"/>
    </row>
    <row r="224" spans="5:5" x14ac:dyDescent="0.2">
      <c r="E224" s="216"/>
    </row>
    <row r="225" spans="5:5" x14ac:dyDescent="0.2">
      <c r="E225" s="216"/>
    </row>
    <row r="226" spans="5:5" x14ac:dyDescent="0.2">
      <c r="E226" s="216"/>
    </row>
    <row r="227" spans="5:5" x14ac:dyDescent="0.2">
      <c r="E227" s="216"/>
    </row>
    <row r="228" spans="5:5" x14ac:dyDescent="0.2">
      <c r="E228" s="216"/>
    </row>
    <row r="229" spans="5:5" x14ac:dyDescent="0.2">
      <c r="E229" s="216"/>
    </row>
    <row r="230" spans="5:5" x14ac:dyDescent="0.2">
      <c r="E230" s="216"/>
    </row>
    <row r="231" spans="5:5" x14ac:dyDescent="0.2">
      <c r="E231" s="216"/>
    </row>
    <row r="232" spans="5:5" x14ac:dyDescent="0.2">
      <c r="E232" s="216"/>
    </row>
    <row r="233" spans="5:5" x14ac:dyDescent="0.2">
      <c r="E233" s="216"/>
    </row>
    <row r="234" spans="5:5" x14ac:dyDescent="0.2">
      <c r="E234" s="216"/>
    </row>
    <row r="235" spans="5:5" x14ac:dyDescent="0.2">
      <c r="E235" s="216"/>
    </row>
    <row r="236" spans="5:5" x14ac:dyDescent="0.2">
      <c r="E236" s="216"/>
    </row>
    <row r="237" spans="5:5" x14ac:dyDescent="0.2">
      <c r="E237" s="216"/>
    </row>
    <row r="238" spans="5:5" x14ac:dyDescent="0.2">
      <c r="E238" s="216"/>
    </row>
    <row r="239" spans="5:5" x14ac:dyDescent="0.2">
      <c r="E239" s="216"/>
    </row>
    <row r="240" spans="5:5" x14ac:dyDescent="0.2">
      <c r="E240" s="216"/>
    </row>
    <row r="241" spans="5:5" x14ac:dyDescent="0.2">
      <c r="E241" s="216"/>
    </row>
    <row r="242" spans="5:5" x14ac:dyDescent="0.2">
      <c r="E242" s="216"/>
    </row>
    <row r="243" spans="5:5" x14ac:dyDescent="0.2">
      <c r="E243" s="216"/>
    </row>
    <row r="244" spans="5:5" x14ac:dyDescent="0.2">
      <c r="E244" s="216"/>
    </row>
    <row r="245" spans="5:5" x14ac:dyDescent="0.2">
      <c r="E245" s="216"/>
    </row>
    <row r="246" spans="5:5" x14ac:dyDescent="0.2">
      <c r="E246" s="216"/>
    </row>
    <row r="247" spans="5:5" x14ac:dyDescent="0.2">
      <c r="E247" s="216"/>
    </row>
    <row r="248" spans="5:5" x14ac:dyDescent="0.2">
      <c r="E248" s="216"/>
    </row>
    <row r="249" spans="5:5" x14ac:dyDescent="0.2">
      <c r="E249" s="216"/>
    </row>
    <row r="250" spans="5:5" x14ac:dyDescent="0.2">
      <c r="E250" s="216"/>
    </row>
    <row r="251" spans="5:5" x14ac:dyDescent="0.2">
      <c r="E251" s="216"/>
    </row>
    <row r="252" spans="5:5" x14ac:dyDescent="0.2">
      <c r="E252" s="216"/>
    </row>
    <row r="253" spans="5:5" x14ac:dyDescent="0.2">
      <c r="E253" s="216"/>
    </row>
    <row r="254" spans="5:5" x14ac:dyDescent="0.2">
      <c r="E254" s="216"/>
    </row>
    <row r="255" spans="5:5" x14ac:dyDescent="0.2">
      <c r="E255" s="216"/>
    </row>
  </sheetData>
  <mergeCells count="14">
    <mergeCell ref="B2:G2"/>
    <mergeCell ref="B10:G10"/>
    <mergeCell ref="B12:E12"/>
    <mergeCell ref="B30:B31"/>
    <mergeCell ref="E30:E31"/>
    <mergeCell ref="B20:E20"/>
    <mergeCell ref="F11:G11"/>
    <mergeCell ref="D3:G3"/>
    <mergeCell ref="D4:G4"/>
    <mergeCell ref="D5:G5"/>
    <mergeCell ref="D6:G6"/>
    <mergeCell ref="D7:G7"/>
    <mergeCell ref="D8:G8"/>
    <mergeCell ref="D9:G9"/>
  </mergeCells>
  <pageMargins left="0.25" right="0.25" top="0.75" bottom="0.75" header="0.3" footer="0.3"/>
  <pageSetup scale="37" orientation="portrait" r:id="rId1"/>
  <ignoredErrors>
    <ignoredError sqref="C24" formula="1"/>
  </ignoredError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pageSetUpPr fitToPage="1"/>
  </sheetPr>
  <dimension ref="A1:EM691"/>
  <sheetViews>
    <sheetView zoomScale="60" zoomScaleNormal="60" workbookViewId="0">
      <selection activeCell="W55" sqref="W55"/>
    </sheetView>
  </sheetViews>
  <sheetFormatPr baseColWidth="10" defaultColWidth="8.6640625" defaultRowHeight="16" x14ac:dyDescent="0.2"/>
  <cols>
    <col min="1" max="1" width="17" style="176" customWidth="1"/>
    <col min="2" max="2" width="29.33203125" style="176" customWidth="1"/>
    <col min="3" max="3" width="25.33203125" style="176" customWidth="1"/>
    <col min="4" max="4" width="12.6640625" style="176" customWidth="1"/>
    <col min="5" max="5" width="61.33203125" style="176" customWidth="1"/>
    <col min="6" max="8" width="8.6640625" style="176"/>
    <col min="9" max="9" width="7.83203125" style="300" customWidth="1"/>
    <col min="10" max="10" width="23" style="212" customWidth="1"/>
    <col min="11" max="14" width="9.6640625" style="212" customWidth="1"/>
    <col min="15" max="15" width="11" style="176" customWidth="1"/>
    <col min="16" max="16" width="11.33203125" style="176" customWidth="1"/>
    <col min="17" max="17" width="14.6640625" style="176" customWidth="1"/>
    <col min="18" max="18" width="9.83203125" style="368" customWidth="1"/>
    <col min="19" max="19" width="17.5" style="176" customWidth="1"/>
    <col min="20" max="20" width="19" style="368" customWidth="1"/>
    <col min="21" max="23" width="13.1640625" style="176" customWidth="1"/>
    <col min="24" max="24" width="13.1640625" style="464" customWidth="1"/>
    <col min="25" max="25" width="12" style="176" customWidth="1"/>
    <col min="26" max="26" width="10" style="176" customWidth="1"/>
    <col min="27" max="27" width="15" style="176" customWidth="1"/>
    <col min="28" max="35" width="10" style="176" customWidth="1"/>
    <col min="36" max="36" width="11.6640625" style="176" customWidth="1"/>
    <col min="37" max="37" width="22.6640625" style="423" customWidth="1"/>
    <col min="38" max="38" width="21" style="176" customWidth="1"/>
    <col min="39" max="71" width="23.83203125" style="176" customWidth="1"/>
    <col min="72" max="72" width="23.83203125" style="373" customWidth="1"/>
    <col min="73" max="86" width="23.83203125" style="176" customWidth="1"/>
    <col min="87" max="92" width="24" style="176" customWidth="1"/>
    <col min="93" max="93" width="23.6640625" style="176" customWidth="1"/>
    <col min="94" max="94" width="11.6640625" style="176" bestFit="1" customWidth="1"/>
    <col min="95" max="16384" width="8.6640625" style="176"/>
  </cols>
  <sheetData>
    <row r="1" spans="1:143" ht="69.5" customHeight="1" thickTop="1" thickBot="1" x14ac:dyDescent="0.25">
      <c r="A1" s="853" t="s">
        <v>390</v>
      </c>
      <c r="B1" s="854"/>
      <c r="C1" s="855"/>
      <c r="D1" s="755" t="e">
        <f ca="1">C73</f>
        <v>#NAME?</v>
      </c>
      <c r="E1" s="756" t="e">
        <f ca="1">C50</f>
        <v>#NAME?</v>
      </c>
      <c r="AK1" s="593"/>
      <c r="AL1" s="593"/>
      <c r="AM1" s="594"/>
      <c r="AN1" s="594"/>
      <c r="AO1" s="594"/>
      <c r="AP1" s="594" t="s">
        <v>355</v>
      </c>
      <c r="AQ1" s="594"/>
      <c r="AR1" s="594"/>
      <c r="AS1" s="594"/>
      <c r="AT1" s="594"/>
      <c r="AU1" s="594"/>
      <c r="AV1" s="594"/>
      <c r="AW1" s="594"/>
      <c r="AX1" s="590"/>
      <c r="AY1" s="590"/>
      <c r="AZ1" s="590"/>
      <c r="BA1" s="590"/>
      <c r="BB1" s="590"/>
      <c r="BC1" s="590" t="s">
        <v>309</v>
      </c>
      <c r="BD1" s="590"/>
      <c r="BE1" s="590"/>
      <c r="BF1" s="590"/>
      <c r="BG1" s="590"/>
      <c r="BH1" s="590"/>
      <c r="BI1" s="604">
        <v>41705.997916667598</v>
      </c>
      <c r="BJ1" s="604">
        <v>41706.004861112066</v>
      </c>
      <c r="BK1" s="604">
        <v>41706.013194445426</v>
      </c>
      <c r="BL1" s="604">
        <v>41706.02083333434</v>
      </c>
      <c r="BM1" s="604">
        <v>41706.029861112147</v>
      </c>
      <c r="BN1" s="604">
        <v>41706.037500001061</v>
      </c>
      <c r="BO1" s="604">
        <v>41706.042361112188</v>
      </c>
      <c r="BP1" s="604">
        <v>41706.044444445528</v>
      </c>
      <c r="BQ1" s="604">
        <v>41706.044444445528</v>
      </c>
      <c r="BR1" s="604">
        <v>41706.042361112188</v>
      </c>
      <c r="BS1" s="604">
        <v>41706.037500001061</v>
      </c>
      <c r="BT1" s="604">
        <v>41706.032638889934</v>
      </c>
      <c r="BU1" s="604">
        <v>41706.029861112147</v>
      </c>
      <c r="BV1" s="604">
        <v>41706.026388889914</v>
      </c>
      <c r="BW1" s="604">
        <v>41706.020138889893</v>
      </c>
      <c r="BX1" s="604">
        <v>41706.017361112106</v>
      </c>
      <c r="BY1" s="604">
        <v>41706.015277778766</v>
      </c>
      <c r="BZ1" s="604">
        <v>41706.012500000979</v>
      </c>
      <c r="CA1" s="604">
        <v>41706.010416667639</v>
      </c>
      <c r="CB1" s="605">
        <v>41706.018750001</v>
      </c>
      <c r="CC1" s="605">
        <v>41706.014583334319</v>
      </c>
      <c r="CD1" s="603">
        <v>41706.013888889873</v>
      </c>
      <c r="CE1" s="605">
        <v>41706.014583334319</v>
      </c>
      <c r="CF1" s="605">
        <v>41706.018750001</v>
      </c>
      <c r="CG1" s="605">
        <v>41706.018750001</v>
      </c>
      <c r="CH1" s="605">
        <v>41706.02291666768</v>
      </c>
      <c r="CI1" s="605">
        <v>41706.026388889914</v>
      </c>
      <c r="CJ1" s="605">
        <v>41706.027777778807</v>
      </c>
      <c r="CK1" s="605">
        <v>41706.027777778807</v>
      </c>
      <c r="CL1" s="605">
        <v>41706.023611112127</v>
      </c>
      <c r="CM1" s="603">
        <v>41706.015277778766</v>
      </c>
      <c r="CN1" s="605">
        <v>41706.011111112086</v>
      </c>
      <c r="CO1" s="605">
        <v>41706.000694445385</v>
      </c>
      <c r="CP1" s="607">
        <v>41706.001388889832</v>
      </c>
      <c r="CQ1" s="607">
        <v>41706.003472223172</v>
      </c>
      <c r="CR1" s="607">
        <v>41705.999305556492</v>
      </c>
      <c r="CS1" s="607">
        <v>41705.990277778685</v>
      </c>
      <c r="CT1" s="607">
        <v>41705.975694445304</v>
      </c>
      <c r="CU1" s="607">
        <v>41705.960416667476</v>
      </c>
      <c r="CV1" s="608">
        <v>41706.006944445406</v>
      </c>
      <c r="CW1" s="607">
        <v>41706.006944445406</v>
      </c>
      <c r="CX1" s="607">
        <v>41706.006250000959</v>
      </c>
      <c r="CY1" s="607">
        <v>41706.006250000959</v>
      </c>
      <c r="CZ1" s="607">
        <v>41706.006944445406</v>
      </c>
      <c r="DA1" s="607">
        <v>41706.006250000959</v>
      </c>
      <c r="DB1" s="607">
        <v>41706.006944445406</v>
      </c>
      <c r="DC1" s="607">
        <v>41706.005555556512</v>
      </c>
      <c r="DD1" s="607">
        <v>41706.004861112066</v>
      </c>
      <c r="DE1" s="607">
        <v>41706.001388889832</v>
      </c>
      <c r="DF1" s="612">
        <v>41706.011111112086</v>
      </c>
      <c r="DG1" s="607">
        <v>41706.011111112086</v>
      </c>
      <c r="DH1" s="607">
        <v>41706.011111112086</v>
      </c>
      <c r="DI1" s="607">
        <v>41706.010416667639</v>
      </c>
      <c r="DJ1" s="607">
        <v>41706.011111112086</v>
      </c>
      <c r="DK1" s="607">
        <v>41706.011111112086</v>
      </c>
      <c r="DL1" s="607">
        <v>41706.011111112086</v>
      </c>
      <c r="DM1" s="607">
        <v>41706.010416667639</v>
      </c>
      <c r="DN1" s="607">
        <v>41706.009027778746</v>
      </c>
      <c r="DO1" s="607">
        <v>41706.007638889852</v>
      </c>
      <c r="DP1" s="607">
        <v>41706.005555556512</v>
      </c>
      <c r="DQ1" s="695"/>
      <c r="DR1" s="607"/>
      <c r="DS1" s="607"/>
      <c r="DT1" s="607"/>
      <c r="DU1" s="607"/>
      <c r="DV1" s="607"/>
      <c r="DW1" s="607"/>
      <c r="DX1" s="607"/>
      <c r="DY1" s="607"/>
      <c r="DZ1" s="607"/>
      <c r="EA1" s="607"/>
      <c r="EB1" s="607"/>
      <c r="EC1" s="607"/>
      <c r="ED1" s="607"/>
      <c r="EE1" s="607"/>
      <c r="EF1" s="607"/>
      <c r="EM1" s="607"/>
    </row>
    <row r="2" spans="1:143" s="382" customFormat="1" ht="30.5" customHeight="1" thickTop="1" thickBot="1" x14ac:dyDescent="0.25">
      <c r="A2" s="667" t="s">
        <v>230</v>
      </c>
      <c r="B2" s="494"/>
      <c r="C2" s="494" t="s">
        <v>231</v>
      </c>
      <c r="D2" s="494" t="s">
        <v>2</v>
      </c>
      <c r="E2" s="668" t="s">
        <v>4</v>
      </c>
      <c r="R2" s="383"/>
      <c r="T2" s="383"/>
      <c r="X2" s="458"/>
      <c r="AK2" s="595" t="s">
        <v>231</v>
      </c>
      <c r="AL2" s="595" t="s">
        <v>231</v>
      </c>
      <c r="AM2" s="596" t="s">
        <v>231</v>
      </c>
      <c r="AN2" s="596" t="s">
        <v>231</v>
      </c>
      <c r="AO2" s="596" t="s">
        <v>231</v>
      </c>
      <c r="AP2" s="596" t="s">
        <v>231</v>
      </c>
      <c r="AQ2" s="596" t="s">
        <v>231</v>
      </c>
      <c r="AR2" s="596" t="s">
        <v>231</v>
      </c>
      <c r="AS2" s="596" t="s">
        <v>231</v>
      </c>
      <c r="AT2" s="596" t="s">
        <v>231</v>
      </c>
      <c r="AU2" s="596" t="s">
        <v>231</v>
      </c>
      <c r="AV2" s="596" t="s">
        <v>231</v>
      </c>
      <c r="AW2" s="596" t="s">
        <v>231</v>
      </c>
      <c r="AX2" s="591" t="s">
        <v>231</v>
      </c>
      <c r="AY2" s="591" t="s">
        <v>231</v>
      </c>
      <c r="AZ2" s="591" t="s">
        <v>231</v>
      </c>
      <c r="BA2" s="591" t="s">
        <v>231</v>
      </c>
      <c r="BB2" s="591" t="s">
        <v>231</v>
      </c>
      <c r="BC2" s="591" t="s">
        <v>231</v>
      </c>
      <c r="BD2" s="591" t="s">
        <v>231</v>
      </c>
      <c r="BE2" s="591" t="s">
        <v>231</v>
      </c>
      <c r="BF2" s="591" t="s">
        <v>231</v>
      </c>
      <c r="BG2" s="591" t="s">
        <v>231</v>
      </c>
      <c r="BH2" s="591" t="s">
        <v>231</v>
      </c>
      <c r="BI2" s="494" t="s">
        <v>231</v>
      </c>
      <c r="BJ2" s="494" t="s">
        <v>231</v>
      </c>
      <c r="BK2" s="494" t="s">
        <v>231</v>
      </c>
      <c r="BL2" s="494" t="s">
        <v>231</v>
      </c>
      <c r="BM2" s="494" t="s">
        <v>231</v>
      </c>
      <c r="BN2" s="494" t="s">
        <v>231</v>
      </c>
      <c r="BO2" s="494" t="s">
        <v>231</v>
      </c>
      <c r="BP2" s="494" t="s">
        <v>231</v>
      </c>
      <c r="BQ2" s="494" t="s">
        <v>231</v>
      </c>
      <c r="BR2" s="494" t="s">
        <v>231</v>
      </c>
      <c r="BS2" s="494" t="s">
        <v>231</v>
      </c>
      <c r="BT2" s="494" t="s">
        <v>231</v>
      </c>
      <c r="BU2" s="494" t="s">
        <v>231</v>
      </c>
      <c r="BV2" s="494" t="s">
        <v>231</v>
      </c>
      <c r="BW2" s="494" t="s">
        <v>231</v>
      </c>
      <c r="BX2" s="494" t="s">
        <v>231</v>
      </c>
      <c r="BY2" s="494" t="s">
        <v>231</v>
      </c>
      <c r="BZ2" s="494" t="s">
        <v>231</v>
      </c>
      <c r="CA2" s="494" t="s">
        <v>231</v>
      </c>
      <c r="CB2" s="494" t="s">
        <v>231</v>
      </c>
      <c r="CC2" s="494" t="s">
        <v>231</v>
      </c>
      <c r="CD2" s="494" t="s">
        <v>231</v>
      </c>
      <c r="CE2" s="494" t="s">
        <v>231</v>
      </c>
      <c r="CF2" s="494" t="s">
        <v>231</v>
      </c>
      <c r="CG2" s="494" t="s">
        <v>231</v>
      </c>
      <c r="CH2" s="494" t="s">
        <v>231</v>
      </c>
      <c r="CI2" s="494" t="s">
        <v>231</v>
      </c>
      <c r="CJ2" s="494" t="s">
        <v>231</v>
      </c>
      <c r="CK2" s="494" t="s">
        <v>231</v>
      </c>
      <c r="CL2" s="494" t="s">
        <v>231</v>
      </c>
      <c r="CM2" s="494" t="s">
        <v>231</v>
      </c>
      <c r="CN2" s="494" t="s">
        <v>231</v>
      </c>
      <c r="CO2" s="494" t="s">
        <v>231</v>
      </c>
      <c r="CP2" s="382" t="s">
        <v>231</v>
      </c>
      <c r="CQ2" s="382" t="s">
        <v>231</v>
      </c>
      <c r="CR2" s="382" t="s">
        <v>231</v>
      </c>
      <c r="CS2" s="382" t="s">
        <v>231</v>
      </c>
      <c r="CT2" s="382" t="s">
        <v>231</v>
      </c>
      <c r="CU2" s="382" t="s">
        <v>231</v>
      </c>
      <c r="CV2" s="609" t="s">
        <v>231</v>
      </c>
      <c r="CW2" s="382" t="s">
        <v>231</v>
      </c>
      <c r="CX2" s="382" t="s">
        <v>231</v>
      </c>
      <c r="CY2" s="382" t="s">
        <v>231</v>
      </c>
      <c r="CZ2" s="382" t="s">
        <v>231</v>
      </c>
      <c r="DA2" s="382" t="s">
        <v>231</v>
      </c>
      <c r="DB2" s="382" t="s">
        <v>231</v>
      </c>
      <c r="DC2" s="382" t="s">
        <v>231</v>
      </c>
      <c r="DD2" s="382" t="s">
        <v>231</v>
      </c>
      <c r="DE2" s="382" t="s">
        <v>231</v>
      </c>
      <c r="DF2" s="613" t="s">
        <v>231</v>
      </c>
      <c r="DG2" s="382" t="s">
        <v>231</v>
      </c>
      <c r="DH2" s="382" t="s">
        <v>231</v>
      </c>
      <c r="DI2" s="382" t="s">
        <v>231</v>
      </c>
      <c r="DJ2" s="382" t="s">
        <v>231</v>
      </c>
      <c r="DK2" s="382" t="s">
        <v>231</v>
      </c>
      <c r="DL2" s="382" t="s">
        <v>231</v>
      </c>
      <c r="DM2" s="382" t="s">
        <v>231</v>
      </c>
      <c r="DN2" s="382" t="s">
        <v>231</v>
      </c>
      <c r="DO2" s="382" t="s">
        <v>231</v>
      </c>
      <c r="DP2" s="382" t="s">
        <v>231</v>
      </c>
      <c r="DQ2" s="696"/>
    </row>
    <row r="3" spans="1:143" s="382" customFormat="1" ht="24.75" customHeight="1" x14ac:dyDescent="0.2">
      <c r="A3" s="669" t="s">
        <v>229</v>
      </c>
      <c r="B3" s="495"/>
      <c r="C3" s="495"/>
      <c r="D3" s="495"/>
      <c r="E3" s="670"/>
      <c r="R3" s="383"/>
      <c r="T3" s="383"/>
      <c r="X3" s="458"/>
      <c r="AK3" s="597"/>
      <c r="AL3" s="597"/>
      <c r="AM3" s="598"/>
      <c r="AN3" s="598"/>
      <c r="AO3" s="598"/>
      <c r="AP3" s="598"/>
      <c r="AQ3" s="598"/>
      <c r="AR3" s="598"/>
      <c r="AS3" s="598"/>
      <c r="AT3" s="598"/>
      <c r="AU3" s="598"/>
      <c r="AV3" s="598"/>
      <c r="AW3" s="598"/>
      <c r="AX3" s="592"/>
      <c r="AY3" s="592"/>
      <c r="AZ3" s="592"/>
      <c r="BA3" s="592"/>
      <c r="BB3" s="592"/>
      <c r="BC3" s="592"/>
      <c r="BD3" s="592"/>
      <c r="BE3" s="592"/>
      <c r="BF3" s="592"/>
      <c r="BG3" s="592"/>
      <c r="BH3" s="592"/>
      <c r="BI3" s="495"/>
      <c r="BJ3" s="495"/>
      <c r="BK3" s="495"/>
      <c r="BL3" s="495"/>
      <c r="BM3" s="495"/>
      <c r="BN3" s="495"/>
      <c r="BO3" s="495"/>
      <c r="BP3" s="495"/>
      <c r="BQ3" s="495"/>
      <c r="BR3" s="495"/>
      <c r="BS3" s="495"/>
      <c r="BT3" s="495"/>
      <c r="BU3" s="495"/>
      <c r="BV3" s="495"/>
      <c r="BW3" s="495"/>
      <c r="BX3" s="495"/>
      <c r="BY3" s="495"/>
      <c r="BZ3" s="495"/>
      <c r="CA3" s="495"/>
      <c r="CB3" s="495"/>
      <c r="CC3" s="495"/>
      <c r="CD3" s="495"/>
      <c r="CE3" s="495"/>
      <c r="CF3" s="495"/>
      <c r="CG3" s="495"/>
      <c r="CH3" s="495"/>
      <c r="CI3" s="495"/>
      <c r="CJ3" s="495"/>
      <c r="CK3" s="495"/>
      <c r="CL3" s="495"/>
      <c r="CM3" s="495"/>
      <c r="CN3" s="495"/>
      <c r="CO3" s="495"/>
      <c r="CV3" s="609"/>
      <c r="DF3" s="613"/>
      <c r="DQ3" s="696"/>
    </row>
    <row r="4" spans="1:143" s="384" customFormat="1" ht="20" x14ac:dyDescent="0.2">
      <c r="A4" s="881" t="s">
        <v>233</v>
      </c>
      <c r="B4" s="388" t="s">
        <v>234</v>
      </c>
      <c r="C4" s="406">
        <f>41705+17/24+7/1440</f>
        <v>41705.713194444448</v>
      </c>
      <c r="D4" s="389" t="s">
        <v>235</v>
      </c>
      <c r="E4" s="671" t="s">
        <v>239</v>
      </c>
      <c r="R4" s="385"/>
      <c r="T4" s="385"/>
      <c r="X4" s="459"/>
      <c r="AK4" s="521">
        <v>41705.713194444448</v>
      </c>
      <c r="AL4" s="521">
        <v>41705.713194444448</v>
      </c>
      <c r="AM4" s="406">
        <v>41705.713194444448</v>
      </c>
      <c r="AN4" s="406">
        <v>41705.713194444448</v>
      </c>
      <c r="AO4" s="406">
        <v>41705.713194444448</v>
      </c>
      <c r="AP4" s="406">
        <v>41705.713194444448</v>
      </c>
      <c r="AQ4" s="406">
        <v>41705.713194444448</v>
      </c>
      <c r="AR4" s="406">
        <v>41705.713194444448</v>
      </c>
      <c r="AS4" s="406">
        <v>41705.713194444448</v>
      </c>
      <c r="AT4" s="406">
        <v>41705.713194444448</v>
      </c>
      <c r="AU4" s="406">
        <v>41705.713194444448</v>
      </c>
      <c r="AV4" s="406">
        <v>41705.713194444448</v>
      </c>
      <c r="AW4" s="406">
        <v>41705.713194444448</v>
      </c>
      <c r="AX4" s="406">
        <v>41705.713194444448</v>
      </c>
      <c r="AY4" s="406">
        <v>41705.713194444448</v>
      </c>
      <c r="AZ4" s="406">
        <v>41705.713194444448</v>
      </c>
      <c r="BA4" s="406">
        <v>41705.713194444448</v>
      </c>
      <c r="BB4" s="406">
        <v>41705.713194444448</v>
      </c>
      <c r="BC4" s="406">
        <v>41705.713194444448</v>
      </c>
      <c r="BD4" s="406">
        <v>41705.713194444448</v>
      </c>
      <c r="BE4" s="406">
        <v>41705.713194444448</v>
      </c>
      <c r="BF4" s="406">
        <v>41705.713194444448</v>
      </c>
      <c r="BG4" s="406">
        <v>41705.713194444448</v>
      </c>
      <c r="BH4" s="406">
        <v>41705.713194444448</v>
      </c>
      <c r="BI4" s="389">
        <v>41705.713194444448</v>
      </c>
      <c r="BJ4" s="406">
        <v>41705.713194444448</v>
      </c>
      <c r="BK4" s="406">
        <v>41705.713194444448</v>
      </c>
      <c r="BL4" s="406">
        <v>41705.713194444448</v>
      </c>
      <c r="BM4" s="406">
        <v>41705.713194444448</v>
      </c>
      <c r="BN4" s="406">
        <v>41705.713194444448</v>
      </c>
      <c r="BO4" s="406">
        <v>41705.713194444448</v>
      </c>
      <c r="BP4" s="406">
        <v>41705.713194444448</v>
      </c>
      <c r="BQ4" s="406">
        <v>41705.713194444448</v>
      </c>
      <c r="BR4" s="406">
        <v>41705.713194444448</v>
      </c>
      <c r="BS4" s="406">
        <v>41705.713194444448</v>
      </c>
      <c r="BT4" s="406">
        <v>41705.713194444448</v>
      </c>
      <c r="BU4" s="406">
        <v>41705.713194444448</v>
      </c>
      <c r="BV4" s="406">
        <v>41705.713194444448</v>
      </c>
      <c r="BW4" s="406">
        <v>41705.713194444448</v>
      </c>
      <c r="BX4" s="406">
        <v>41705.713194444448</v>
      </c>
      <c r="BY4" s="406">
        <v>41705.713194444448</v>
      </c>
      <c r="BZ4" s="406">
        <v>41705.713194444448</v>
      </c>
      <c r="CA4" s="406">
        <v>41705.713194444448</v>
      </c>
      <c r="CB4" s="406">
        <v>41705.713194444448</v>
      </c>
      <c r="CC4" s="406">
        <v>41705.713194444448</v>
      </c>
      <c r="CD4" s="406">
        <v>41705.713194444448</v>
      </c>
      <c r="CE4" s="406">
        <v>41705.713194444448</v>
      </c>
      <c r="CF4" s="406">
        <v>41705.713194444448</v>
      </c>
      <c r="CG4" s="406">
        <v>41705.713194444448</v>
      </c>
      <c r="CH4" s="406">
        <v>41705.713194444448</v>
      </c>
      <c r="CI4" s="406">
        <v>41705.713194444448</v>
      </c>
      <c r="CJ4" s="406">
        <v>41705.713194444448</v>
      </c>
      <c r="CK4" s="406">
        <v>41705.713194444448</v>
      </c>
      <c r="CL4" s="406">
        <v>41705.713194444448</v>
      </c>
      <c r="CM4" s="406">
        <v>41705.713194444448</v>
      </c>
      <c r="CN4" s="406">
        <v>41705.713194444448</v>
      </c>
      <c r="CO4" s="406">
        <v>41705.713194444448</v>
      </c>
      <c r="CP4" s="384">
        <v>41705.713194444448</v>
      </c>
      <c r="CQ4" s="384">
        <v>41705.713194444448</v>
      </c>
      <c r="CR4" s="384">
        <v>41705.713194444448</v>
      </c>
      <c r="CS4" s="384">
        <v>41705.713194444448</v>
      </c>
      <c r="CT4" s="384">
        <v>41705.713194444448</v>
      </c>
      <c r="CU4" s="384">
        <v>41705.713194444448</v>
      </c>
      <c r="CV4" s="610">
        <v>41705.713194444448</v>
      </c>
      <c r="CW4" s="384">
        <v>41705.713194444448</v>
      </c>
      <c r="CX4" s="384">
        <v>41705.713194444448</v>
      </c>
      <c r="CY4" s="384">
        <v>41705.713194444448</v>
      </c>
      <c r="CZ4" s="384">
        <v>41705.713194444448</v>
      </c>
      <c r="DA4" s="384">
        <v>41705.713194444448</v>
      </c>
      <c r="DB4" s="384">
        <v>41705.713194444448</v>
      </c>
      <c r="DC4" s="384">
        <v>41705.713194444448</v>
      </c>
      <c r="DD4" s="384">
        <v>41705.713194444448</v>
      </c>
      <c r="DE4" s="384">
        <v>41705.713194444448</v>
      </c>
      <c r="DF4" s="614">
        <v>41705.713194444448</v>
      </c>
      <c r="DG4" s="384">
        <v>41705.713194444448</v>
      </c>
      <c r="DH4" s="384">
        <v>41705.713194444448</v>
      </c>
      <c r="DI4" s="384">
        <v>41705.713194444448</v>
      </c>
      <c r="DJ4" s="384">
        <v>41705.713194444448</v>
      </c>
      <c r="DK4" s="384">
        <v>41705.713194444448</v>
      </c>
      <c r="DL4" s="384">
        <v>41705.713194444448</v>
      </c>
      <c r="DM4" s="384">
        <v>41705.713194444448</v>
      </c>
      <c r="DN4" s="384">
        <v>41705.713194444448</v>
      </c>
      <c r="DO4" s="384">
        <v>41705.713194444448</v>
      </c>
      <c r="DP4" s="384">
        <v>41705.713194444448</v>
      </c>
      <c r="DQ4" s="697"/>
    </row>
    <row r="5" spans="1:143" s="384" customFormat="1" ht="36.75" customHeight="1" x14ac:dyDescent="0.2">
      <c r="A5" s="881"/>
      <c r="B5" s="388" t="s">
        <v>236</v>
      </c>
      <c r="C5" s="389" t="s">
        <v>309</v>
      </c>
      <c r="D5" s="390" t="s">
        <v>237</v>
      </c>
      <c r="E5" s="671" t="s">
        <v>426</v>
      </c>
      <c r="R5" s="385"/>
      <c r="T5" s="385"/>
      <c r="X5" s="459"/>
      <c r="AK5" s="522" t="s">
        <v>309</v>
      </c>
      <c r="AL5" s="522" t="s">
        <v>309</v>
      </c>
      <c r="AM5" s="389" t="s">
        <v>309</v>
      </c>
      <c r="AN5" s="389" t="s">
        <v>309</v>
      </c>
      <c r="AO5" s="389" t="s">
        <v>309</v>
      </c>
      <c r="AP5" s="389" t="s">
        <v>309</v>
      </c>
      <c r="AQ5" s="389" t="s">
        <v>309</v>
      </c>
      <c r="AR5" s="389" t="s">
        <v>309</v>
      </c>
      <c r="AS5" s="389" t="s">
        <v>309</v>
      </c>
      <c r="AT5" s="389" t="s">
        <v>309</v>
      </c>
      <c r="AU5" s="389" t="s">
        <v>309</v>
      </c>
      <c r="AV5" s="389" t="s">
        <v>309</v>
      </c>
      <c r="AW5" s="389" t="s">
        <v>309</v>
      </c>
      <c r="AX5" s="389" t="s">
        <v>309</v>
      </c>
      <c r="AY5" s="389" t="s">
        <v>309</v>
      </c>
      <c r="AZ5" s="389" t="s">
        <v>309</v>
      </c>
      <c r="BA5" s="389" t="s">
        <v>309</v>
      </c>
      <c r="BB5" s="389" t="s">
        <v>309</v>
      </c>
      <c r="BC5" s="389" t="s">
        <v>309</v>
      </c>
      <c r="BD5" s="389" t="s">
        <v>309</v>
      </c>
      <c r="BE5" s="389" t="s">
        <v>309</v>
      </c>
      <c r="BF5" s="389" t="s">
        <v>309</v>
      </c>
      <c r="BG5" s="389" t="s">
        <v>309</v>
      </c>
      <c r="BH5" s="389" t="s">
        <v>309</v>
      </c>
      <c r="BI5" s="390" t="s">
        <v>309</v>
      </c>
      <c r="BJ5" s="389" t="s">
        <v>309</v>
      </c>
      <c r="BK5" s="389" t="s">
        <v>309</v>
      </c>
      <c r="BL5" s="389" t="s">
        <v>309</v>
      </c>
      <c r="BM5" s="389" t="s">
        <v>309</v>
      </c>
      <c r="BN5" s="389" t="s">
        <v>309</v>
      </c>
      <c r="BO5" s="389" t="s">
        <v>309</v>
      </c>
      <c r="BP5" s="389" t="s">
        <v>309</v>
      </c>
      <c r="BQ5" s="389" t="s">
        <v>309</v>
      </c>
      <c r="BR5" s="389" t="s">
        <v>309</v>
      </c>
      <c r="BS5" s="389" t="s">
        <v>309</v>
      </c>
      <c r="BT5" s="389" t="s">
        <v>309</v>
      </c>
      <c r="BU5" s="389" t="s">
        <v>309</v>
      </c>
      <c r="BV5" s="389" t="s">
        <v>309</v>
      </c>
      <c r="BW5" s="389" t="s">
        <v>309</v>
      </c>
      <c r="BX5" s="389" t="s">
        <v>309</v>
      </c>
      <c r="BY5" s="389" t="s">
        <v>309</v>
      </c>
      <c r="BZ5" s="389" t="s">
        <v>309</v>
      </c>
      <c r="CA5" s="389" t="s">
        <v>309</v>
      </c>
      <c r="CB5" s="389" t="s">
        <v>309</v>
      </c>
      <c r="CC5" s="389" t="s">
        <v>309</v>
      </c>
      <c r="CD5" s="389" t="s">
        <v>309</v>
      </c>
      <c r="CE5" s="389" t="s">
        <v>309</v>
      </c>
      <c r="CF5" s="389" t="s">
        <v>309</v>
      </c>
      <c r="CG5" s="389" t="s">
        <v>309</v>
      </c>
      <c r="CH5" s="389" t="s">
        <v>309</v>
      </c>
      <c r="CI5" s="389" t="s">
        <v>309</v>
      </c>
      <c r="CJ5" s="389" t="s">
        <v>309</v>
      </c>
      <c r="CK5" s="389" t="s">
        <v>309</v>
      </c>
      <c r="CL5" s="389" t="s">
        <v>309</v>
      </c>
      <c r="CM5" s="389" t="s">
        <v>309</v>
      </c>
      <c r="CN5" s="389" t="s">
        <v>309</v>
      </c>
      <c r="CO5" s="389" t="s">
        <v>309</v>
      </c>
      <c r="CP5" s="384" t="s">
        <v>309</v>
      </c>
      <c r="CQ5" s="384" t="s">
        <v>309</v>
      </c>
      <c r="CR5" s="384" t="s">
        <v>309</v>
      </c>
      <c r="CS5" s="384" t="s">
        <v>309</v>
      </c>
      <c r="CT5" s="384" t="s">
        <v>309</v>
      </c>
      <c r="CU5" s="384" t="s">
        <v>309</v>
      </c>
      <c r="CV5" s="610" t="s">
        <v>354</v>
      </c>
      <c r="CW5" s="384" t="s">
        <v>354</v>
      </c>
      <c r="CX5" s="384" t="s">
        <v>354</v>
      </c>
      <c r="CY5" s="384" t="s">
        <v>354</v>
      </c>
      <c r="CZ5" s="384" t="s">
        <v>354</v>
      </c>
      <c r="DA5" s="384" t="s">
        <v>354</v>
      </c>
      <c r="DB5" s="384" t="s">
        <v>354</v>
      </c>
      <c r="DC5" s="384" t="s">
        <v>354</v>
      </c>
      <c r="DD5" s="384" t="s">
        <v>354</v>
      </c>
      <c r="DE5" s="384" t="s">
        <v>354</v>
      </c>
      <c r="DF5" s="614" t="s">
        <v>354</v>
      </c>
      <c r="DG5" s="384" t="s">
        <v>354</v>
      </c>
      <c r="DH5" s="384" t="s">
        <v>354</v>
      </c>
      <c r="DI5" s="384" t="s">
        <v>354</v>
      </c>
      <c r="DJ5" s="384" t="s">
        <v>354</v>
      </c>
      <c r="DK5" s="384" t="s">
        <v>354</v>
      </c>
      <c r="DL5" s="384" t="s">
        <v>354</v>
      </c>
      <c r="DM5" s="384" t="s">
        <v>354</v>
      </c>
      <c r="DN5" s="384" t="s">
        <v>354</v>
      </c>
      <c r="DO5" s="384" t="s">
        <v>354</v>
      </c>
      <c r="DP5" s="384" t="s">
        <v>354</v>
      </c>
      <c r="DQ5" s="697"/>
    </row>
    <row r="6" spans="1:143" s="384" customFormat="1" ht="20" x14ac:dyDescent="0.2">
      <c r="A6" s="881"/>
      <c r="B6" s="388" t="s">
        <v>225</v>
      </c>
      <c r="C6" s="486">
        <v>0.83499999999999996</v>
      </c>
      <c r="D6" s="390" t="s">
        <v>238</v>
      </c>
      <c r="E6" s="671" t="s">
        <v>313</v>
      </c>
      <c r="R6" s="385"/>
      <c r="T6" s="385"/>
      <c r="X6" s="459"/>
      <c r="AK6" s="523">
        <v>0.83499999999999996</v>
      </c>
      <c r="AL6" s="523">
        <v>0.83499999999999996</v>
      </c>
      <c r="AM6" s="486">
        <v>0.83499999999999996</v>
      </c>
      <c r="AN6" s="486">
        <v>0.83499999999999996</v>
      </c>
      <c r="AO6" s="486">
        <v>0.83499999999999996</v>
      </c>
      <c r="AP6" s="486">
        <v>0.83499999999999996</v>
      </c>
      <c r="AQ6" s="486">
        <v>0.83499999999999996</v>
      </c>
      <c r="AR6" s="486">
        <v>0.83499999999999996</v>
      </c>
      <c r="AS6" s="486">
        <v>0.83499999999999996</v>
      </c>
      <c r="AT6" s="486">
        <v>0.83499999999999996</v>
      </c>
      <c r="AU6" s="486">
        <v>0.83499999999999996</v>
      </c>
      <c r="AV6" s="486">
        <v>0.83499999999999996</v>
      </c>
      <c r="AW6" s="486">
        <v>0.83499999999999996</v>
      </c>
      <c r="AX6" s="486">
        <v>0.83499999999999996</v>
      </c>
      <c r="AY6" s="486">
        <v>0.83499999999999996</v>
      </c>
      <c r="AZ6" s="486">
        <v>0.83499999999999996</v>
      </c>
      <c r="BA6" s="486">
        <v>0.83499999999999996</v>
      </c>
      <c r="BB6" s="486">
        <v>0.83499999999999996</v>
      </c>
      <c r="BC6" s="486">
        <v>0.83499999999999996</v>
      </c>
      <c r="BD6" s="486">
        <v>0.83499999999999996</v>
      </c>
      <c r="BE6" s="486">
        <v>0.83499999999999996</v>
      </c>
      <c r="BF6" s="486">
        <v>0.83499999999999996</v>
      </c>
      <c r="BG6" s="486">
        <v>0.83499999999999996</v>
      </c>
      <c r="BH6" s="486">
        <v>0.83499999999999996</v>
      </c>
      <c r="BI6" s="390">
        <v>0.83499999999999996</v>
      </c>
      <c r="BJ6" s="486">
        <v>0.83499999999999996</v>
      </c>
      <c r="BK6" s="486">
        <v>0.83499999999999996</v>
      </c>
      <c r="BL6" s="486">
        <v>0.83499999999999996</v>
      </c>
      <c r="BM6" s="486">
        <v>0.83499999999999996</v>
      </c>
      <c r="BN6" s="486">
        <v>0.83499999999999996</v>
      </c>
      <c r="BO6" s="486">
        <v>0.83499999999999996</v>
      </c>
      <c r="BP6" s="486">
        <v>0.83499999999999996</v>
      </c>
      <c r="BQ6" s="486">
        <v>0.83499999999999996</v>
      </c>
      <c r="BR6" s="486">
        <v>0.83499999999999996</v>
      </c>
      <c r="BS6" s="486">
        <v>0.83499999999999996</v>
      </c>
      <c r="BT6" s="486">
        <v>0.83499999999999996</v>
      </c>
      <c r="BU6" s="486">
        <v>0.83499999999999996</v>
      </c>
      <c r="BV6" s="486">
        <v>0.83499999999999996</v>
      </c>
      <c r="BW6" s="486">
        <v>0.83499999999999996</v>
      </c>
      <c r="BX6" s="486">
        <v>0.83499999999999996</v>
      </c>
      <c r="BY6" s="486">
        <v>0.83499999999999996</v>
      </c>
      <c r="BZ6" s="486">
        <v>0.83499999999999996</v>
      </c>
      <c r="CA6" s="486">
        <v>0.83499999999999996</v>
      </c>
      <c r="CB6" s="486">
        <v>0.83499999999999996</v>
      </c>
      <c r="CC6" s="486">
        <v>0.83499999999999996</v>
      </c>
      <c r="CD6" s="486">
        <v>0.83499999999999996</v>
      </c>
      <c r="CE6" s="486">
        <v>0.83499999999999996</v>
      </c>
      <c r="CF6" s="486">
        <v>0.83499999999999996</v>
      </c>
      <c r="CG6" s="486">
        <v>0.83499999999999996</v>
      </c>
      <c r="CH6" s="486">
        <v>0.83499999999999996</v>
      </c>
      <c r="CI6" s="486">
        <v>0.83499999999999996</v>
      </c>
      <c r="CJ6" s="486">
        <v>0.83499999999999996</v>
      </c>
      <c r="CK6" s="486">
        <v>0.83499999999999996</v>
      </c>
      <c r="CL6" s="486">
        <v>0.83499999999999996</v>
      </c>
      <c r="CM6" s="486">
        <v>0.83499999999999996</v>
      </c>
      <c r="CN6" s="486">
        <v>0.83499999999999996</v>
      </c>
      <c r="CO6" s="486">
        <v>0.83499999999999996</v>
      </c>
      <c r="CP6" s="384">
        <v>0.83499999999999996</v>
      </c>
      <c r="CQ6" s="384">
        <v>0.83499999999999996</v>
      </c>
      <c r="CR6" s="384">
        <v>0.83499999999999996</v>
      </c>
      <c r="CS6" s="384">
        <v>0.83499999999999996</v>
      </c>
      <c r="CT6" s="384">
        <v>0.83499999999999996</v>
      </c>
      <c r="CU6" s="384">
        <v>0.83499999999999996</v>
      </c>
      <c r="CV6" s="610">
        <v>0.83499999999999996</v>
      </c>
      <c r="CW6" s="384">
        <v>0.83499999999999996</v>
      </c>
      <c r="CX6" s="384">
        <v>0.83499999999999996</v>
      </c>
      <c r="CY6" s="384">
        <v>0.83499999999999996</v>
      </c>
      <c r="CZ6" s="384">
        <v>0.83499999999999996</v>
      </c>
      <c r="DA6" s="384">
        <v>0.83499999999999996</v>
      </c>
      <c r="DB6" s="384">
        <v>0.83499999999999996</v>
      </c>
      <c r="DC6" s="384">
        <v>0.83499999999999996</v>
      </c>
      <c r="DD6" s="384">
        <v>0.83499999999999996</v>
      </c>
      <c r="DE6" s="384">
        <v>0.83499999999999996</v>
      </c>
      <c r="DF6" s="614">
        <v>0.83499999999999996</v>
      </c>
      <c r="DG6" s="384">
        <v>0.83499999999999996</v>
      </c>
      <c r="DH6" s="384">
        <v>0.83499999999999996</v>
      </c>
      <c r="DI6" s="384">
        <v>0.83499999999999996</v>
      </c>
      <c r="DJ6" s="384">
        <v>0.83499999999999996</v>
      </c>
      <c r="DK6" s="384">
        <v>0.83499999999999996</v>
      </c>
      <c r="DL6" s="384">
        <v>0.83499999999999996</v>
      </c>
      <c r="DM6" s="384">
        <v>0.83499999999999996</v>
      </c>
      <c r="DN6" s="384">
        <v>0.83499999999999996</v>
      </c>
      <c r="DO6" s="384">
        <v>0.83499999999999996</v>
      </c>
      <c r="DP6" s="384">
        <v>0.83499999999999996</v>
      </c>
      <c r="DQ6" s="697"/>
    </row>
    <row r="7" spans="1:143" s="384" customFormat="1" ht="20" x14ac:dyDescent="0.2">
      <c r="A7" s="881"/>
      <c r="B7" s="388" t="s">
        <v>1</v>
      </c>
      <c r="C7" s="389">
        <v>350</v>
      </c>
      <c r="D7" s="389" t="s">
        <v>244</v>
      </c>
      <c r="E7" s="671" t="s">
        <v>266</v>
      </c>
      <c r="R7" s="385"/>
      <c r="T7" s="385"/>
      <c r="X7" s="459"/>
      <c r="AK7" s="522">
        <v>350</v>
      </c>
      <c r="AL7" s="522">
        <v>350</v>
      </c>
      <c r="AM7" s="389">
        <v>350</v>
      </c>
      <c r="AN7" s="389">
        <v>350</v>
      </c>
      <c r="AO7" s="389">
        <v>350</v>
      </c>
      <c r="AP7" s="389">
        <v>350</v>
      </c>
      <c r="AQ7" s="389">
        <v>350</v>
      </c>
      <c r="AR7" s="389">
        <v>350</v>
      </c>
      <c r="AS7" s="389">
        <v>350</v>
      </c>
      <c r="AT7" s="389">
        <v>350</v>
      </c>
      <c r="AU7" s="389">
        <v>350</v>
      </c>
      <c r="AV7" s="389">
        <v>350</v>
      </c>
      <c r="AW7" s="389">
        <v>350</v>
      </c>
      <c r="AX7" s="389">
        <v>350</v>
      </c>
      <c r="AY7" s="389">
        <v>350</v>
      </c>
      <c r="AZ7" s="389">
        <v>350</v>
      </c>
      <c r="BA7" s="389">
        <v>350</v>
      </c>
      <c r="BB7" s="389">
        <v>350</v>
      </c>
      <c r="BC7" s="389">
        <v>350</v>
      </c>
      <c r="BD7" s="389">
        <v>350</v>
      </c>
      <c r="BE7" s="389">
        <v>350</v>
      </c>
      <c r="BF7" s="389">
        <v>350</v>
      </c>
      <c r="BG7" s="389">
        <v>350</v>
      </c>
      <c r="BH7" s="389">
        <v>350</v>
      </c>
      <c r="BI7" s="389">
        <v>350</v>
      </c>
      <c r="BJ7" s="389">
        <v>350</v>
      </c>
      <c r="BK7" s="389">
        <v>350</v>
      </c>
      <c r="BL7" s="389">
        <v>350</v>
      </c>
      <c r="BM7" s="389">
        <v>350</v>
      </c>
      <c r="BN7" s="389">
        <v>350</v>
      </c>
      <c r="BO7" s="389">
        <v>350</v>
      </c>
      <c r="BP7" s="389">
        <v>350</v>
      </c>
      <c r="BQ7" s="389">
        <v>350</v>
      </c>
      <c r="BR7" s="389">
        <v>350</v>
      </c>
      <c r="BS7" s="389">
        <v>350</v>
      </c>
      <c r="BT7" s="389">
        <v>350</v>
      </c>
      <c r="BU7" s="389">
        <v>350</v>
      </c>
      <c r="BV7" s="389">
        <v>350</v>
      </c>
      <c r="BW7" s="389">
        <v>350</v>
      </c>
      <c r="BX7" s="389">
        <v>350</v>
      </c>
      <c r="BY7" s="389">
        <v>350</v>
      </c>
      <c r="BZ7" s="389">
        <v>350</v>
      </c>
      <c r="CA7" s="389">
        <v>350</v>
      </c>
      <c r="CB7" s="389">
        <v>350</v>
      </c>
      <c r="CC7" s="389">
        <v>350</v>
      </c>
      <c r="CD7" s="389">
        <v>350</v>
      </c>
      <c r="CE7" s="389">
        <v>350</v>
      </c>
      <c r="CF7" s="389">
        <v>350</v>
      </c>
      <c r="CG7" s="389">
        <v>350</v>
      </c>
      <c r="CH7" s="389">
        <v>350</v>
      </c>
      <c r="CI7" s="389">
        <v>350</v>
      </c>
      <c r="CJ7" s="389">
        <v>350</v>
      </c>
      <c r="CK7" s="389">
        <v>350</v>
      </c>
      <c r="CL7" s="389">
        <v>350</v>
      </c>
      <c r="CM7" s="389">
        <v>350</v>
      </c>
      <c r="CN7" s="389">
        <v>350</v>
      </c>
      <c r="CO7" s="389">
        <v>350</v>
      </c>
      <c r="CP7" s="384">
        <v>350</v>
      </c>
      <c r="CQ7" s="384">
        <v>350</v>
      </c>
      <c r="CR7" s="384">
        <v>350</v>
      </c>
      <c r="CS7" s="384">
        <v>350</v>
      </c>
      <c r="CT7" s="384">
        <v>350</v>
      </c>
      <c r="CU7" s="384">
        <v>350</v>
      </c>
      <c r="CV7" s="610">
        <v>340</v>
      </c>
      <c r="CW7" s="384">
        <v>340</v>
      </c>
      <c r="CX7" s="384">
        <v>340</v>
      </c>
      <c r="CY7" s="384">
        <v>340</v>
      </c>
      <c r="CZ7" s="384">
        <v>340</v>
      </c>
      <c r="DA7" s="384">
        <v>340</v>
      </c>
      <c r="DB7" s="384">
        <v>340</v>
      </c>
      <c r="DC7" s="384">
        <v>340</v>
      </c>
      <c r="DD7" s="384">
        <v>340</v>
      </c>
      <c r="DE7" s="384">
        <v>340</v>
      </c>
      <c r="DF7" s="614">
        <v>340</v>
      </c>
      <c r="DG7" s="384">
        <v>340</v>
      </c>
      <c r="DH7" s="384">
        <v>340</v>
      </c>
      <c r="DI7" s="384">
        <v>340</v>
      </c>
      <c r="DJ7" s="384">
        <v>340</v>
      </c>
      <c r="DK7" s="384">
        <v>340</v>
      </c>
      <c r="DL7" s="384">
        <v>340</v>
      </c>
      <c r="DM7" s="384">
        <v>340</v>
      </c>
      <c r="DN7" s="384">
        <v>340</v>
      </c>
      <c r="DO7" s="384">
        <v>340</v>
      </c>
      <c r="DP7" s="384">
        <v>340</v>
      </c>
      <c r="DQ7" s="697"/>
    </row>
    <row r="8" spans="1:143" s="384" customFormat="1" ht="21" x14ac:dyDescent="0.2">
      <c r="A8" s="881"/>
      <c r="B8" s="402" t="s">
        <v>254</v>
      </c>
      <c r="C8" s="404">
        <v>10</v>
      </c>
      <c r="D8" s="389" t="s">
        <v>253</v>
      </c>
      <c r="E8" s="672" t="s">
        <v>267</v>
      </c>
      <c r="R8" s="385"/>
      <c r="T8" s="385"/>
      <c r="X8" s="459"/>
      <c r="AK8" s="524">
        <v>10</v>
      </c>
      <c r="AL8" s="524">
        <v>10</v>
      </c>
      <c r="AM8" s="404">
        <v>10</v>
      </c>
      <c r="AN8" s="404">
        <v>10</v>
      </c>
      <c r="AO8" s="404">
        <v>10</v>
      </c>
      <c r="AP8" s="404">
        <v>10</v>
      </c>
      <c r="AQ8" s="404">
        <v>10</v>
      </c>
      <c r="AR8" s="404">
        <v>10</v>
      </c>
      <c r="AS8" s="404">
        <v>10</v>
      </c>
      <c r="AT8" s="404">
        <v>10</v>
      </c>
      <c r="AU8" s="404">
        <v>10</v>
      </c>
      <c r="AV8" s="404">
        <v>10</v>
      </c>
      <c r="AW8" s="404">
        <v>10</v>
      </c>
      <c r="AX8" s="404">
        <v>10</v>
      </c>
      <c r="AY8" s="404">
        <v>10</v>
      </c>
      <c r="AZ8" s="404">
        <v>10</v>
      </c>
      <c r="BA8" s="404">
        <v>10</v>
      </c>
      <c r="BB8" s="404">
        <v>10</v>
      </c>
      <c r="BC8" s="404">
        <v>10</v>
      </c>
      <c r="BD8" s="404">
        <v>10</v>
      </c>
      <c r="BE8" s="404">
        <v>10</v>
      </c>
      <c r="BF8" s="404">
        <v>10</v>
      </c>
      <c r="BG8" s="404">
        <v>10</v>
      </c>
      <c r="BH8" s="404">
        <v>10</v>
      </c>
      <c r="BI8" s="389">
        <v>10</v>
      </c>
      <c r="BJ8" s="404">
        <v>10</v>
      </c>
      <c r="BK8" s="404">
        <v>10</v>
      </c>
      <c r="BL8" s="404">
        <v>10</v>
      </c>
      <c r="BM8" s="404">
        <v>10</v>
      </c>
      <c r="BN8" s="404">
        <v>10</v>
      </c>
      <c r="BO8" s="404">
        <v>10</v>
      </c>
      <c r="BP8" s="404">
        <v>10</v>
      </c>
      <c r="BQ8" s="404">
        <v>10</v>
      </c>
      <c r="BR8" s="404">
        <v>10</v>
      </c>
      <c r="BS8" s="404">
        <v>10</v>
      </c>
      <c r="BT8" s="404">
        <v>10</v>
      </c>
      <c r="BU8" s="404">
        <v>10</v>
      </c>
      <c r="BV8" s="404">
        <v>10</v>
      </c>
      <c r="BW8" s="404">
        <v>10</v>
      </c>
      <c r="BX8" s="404">
        <v>10</v>
      </c>
      <c r="BY8" s="404">
        <v>10</v>
      </c>
      <c r="BZ8" s="404">
        <v>10</v>
      </c>
      <c r="CA8" s="404">
        <v>10</v>
      </c>
      <c r="CB8" s="404">
        <v>10</v>
      </c>
      <c r="CC8" s="404">
        <v>10</v>
      </c>
      <c r="CD8" s="404">
        <v>10</v>
      </c>
      <c r="CE8" s="404">
        <v>10</v>
      </c>
      <c r="CF8" s="404">
        <v>10</v>
      </c>
      <c r="CG8" s="404">
        <v>10</v>
      </c>
      <c r="CH8" s="404">
        <v>10</v>
      </c>
      <c r="CI8" s="404">
        <v>10</v>
      </c>
      <c r="CJ8" s="404">
        <v>10</v>
      </c>
      <c r="CK8" s="404">
        <v>10</v>
      </c>
      <c r="CL8" s="404">
        <v>10</v>
      </c>
      <c r="CM8" s="404">
        <v>10</v>
      </c>
      <c r="CN8" s="404">
        <v>10</v>
      </c>
      <c r="CO8" s="404">
        <v>10</v>
      </c>
      <c r="CP8" s="384">
        <v>10</v>
      </c>
      <c r="CQ8" s="384">
        <v>10</v>
      </c>
      <c r="CR8" s="384">
        <v>10</v>
      </c>
      <c r="CS8" s="384">
        <v>10</v>
      </c>
      <c r="CT8" s="384">
        <v>10</v>
      </c>
      <c r="CU8" s="384">
        <v>10</v>
      </c>
      <c r="CV8" s="610">
        <v>10</v>
      </c>
      <c r="CW8" s="384">
        <v>10</v>
      </c>
      <c r="CX8" s="384">
        <v>10</v>
      </c>
      <c r="CY8" s="384">
        <v>10</v>
      </c>
      <c r="CZ8" s="384">
        <v>10</v>
      </c>
      <c r="DA8" s="384">
        <v>10</v>
      </c>
      <c r="DB8" s="384">
        <v>10</v>
      </c>
      <c r="DC8" s="384">
        <v>10</v>
      </c>
      <c r="DD8" s="384">
        <v>10</v>
      </c>
      <c r="DE8" s="384">
        <v>10</v>
      </c>
      <c r="DF8" s="614">
        <v>10</v>
      </c>
      <c r="DG8" s="384">
        <v>10</v>
      </c>
      <c r="DH8" s="384">
        <v>10</v>
      </c>
      <c r="DI8" s="384">
        <v>10</v>
      </c>
      <c r="DJ8" s="384">
        <v>10</v>
      </c>
      <c r="DK8" s="384">
        <v>10</v>
      </c>
      <c r="DL8" s="384">
        <v>10</v>
      </c>
      <c r="DM8" s="384">
        <v>10</v>
      </c>
      <c r="DN8" s="384">
        <v>10</v>
      </c>
      <c r="DO8" s="384">
        <v>10</v>
      </c>
      <c r="DP8" s="384">
        <v>10</v>
      </c>
      <c r="DQ8" s="697"/>
    </row>
    <row r="9" spans="1:143" s="384" customFormat="1" ht="20" x14ac:dyDescent="0.2">
      <c r="A9" s="881"/>
      <c r="B9" s="388" t="s">
        <v>256</v>
      </c>
      <c r="C9" s="404" t="s">
        <v>156</v>
      </c>
      <c r="D9" s="390" t="s">
        <v>237</v>
      </c>
      <c r="E9" s="672" t="s">
        <v>257</v>
      </c>
      <c r="R9" s="385"/>
      <c r="T9" s="385"/>
      <c r="X9" s="459"/>
      <c r="AK9" s="524" t="s">
        <v>156</v>
      </c>
      <c r="AL9" s="524" t="s">
        <v>156</v>
      </c>
      <c r="AM9" s="404" t="s">
        <v>156</v>
      </c>
      <c r="AN9" s="404" t="s">
        <v>156</v>
      </c>
      <c r="AO9" s="404" t="s">
        <v>156</v>
      </c>
      <c r="AP9" s="404" t="s">
        <v>156</v>
      </c>
      <c r="AQ9" s="404" t="s">
        <v>156</v>
      </c>
      <c r="AR9" s="404" t="s">
        <v>156</v>
      </c>
      <c r="AS9" s="404" t="s">
        <v>156</v>
      </c>
      <c r="AT9" s="404" t="s">
        <v>156</v>
      </c>
      <c r="AU9" s="404" t="s">
        <v>156</v>
      </c>
      <c r="AV9" s="404" t="s">
        <v>156</v>
      </c>
      <c r="AW9" s="404" t="s">
        <v>156</v>
      </c>
      <c r="AX9" s="404" t="s">
        <v>156</v>
      </c>
      <c r="AY9" s="404" t="s">
        <v>156</v>
      </c>
      <c r="AZ9" s="404" t="s">
        <v>156</v>
      </c>
      <c r="BA9" s="404" t="s">
        <v>156</v>
      </c>
      <c r="BB9" s="404" t="s">
        <v>156</v>
      </c>
      <c r="BC9" s="404" t="s">
        <v>156</v>
      </c>
      <c r="BD9" s="404" t="s">
        <v>156</v>
      </c>
      <c r="BE9" s="404" t="s">
        <v>156</v>
      </c>
      <c r="BF9" s="404" t="s">
        <v>156</v>
      </c>
      <c r="BG9" s="404" t="s">
        <v>156</v>
      </c>
      <c r="BH9" s="404" t="s">
        <v>156</v>
      </c>
      <c r="BI9" s="390" t="s">
        <v>156</v>
      </c>
      <c r="BJ9" s="404" t="s">
        <v>156</v>
      </c>
      <c r="BK9" s="404" t="s">
        <v>156</v>
      </c>
      <c r="BL9" s="404" t="s">
        <v>156</v>
      </c>
      <c r="BM9" s="404" t="s">
        <v>156</v>
      </c>
      <c r="BN9" s="404" t="s">
        <v>156</v>
      </c>
      <c r="BO9" s="404" t="s">
        <v>156</v>
      </c>
      <c r="BP9" s="404" t="s">
        <v>156</v>
      </c>
      <c r="BQ9" s="404" t="s">
        <v>156</v>
      </c>
      <c r="BR9" s="404" t="s">
        <v>156</v>
      </c>
      <c r="BS9" s="404" t="s">
        <v>156</v>
      </c>
      <c r="BT9" s="404" t="s">
        <v>156</v>
      </c>
      <c r="BU9" s="404" t="s">
        <v>156</v>
      </c>
      <c r="BV9" s="404" t="s">
        <v>156</v>
      </c>
      <c r="BW9" s="404" t="s">
        <v>156</v>
      </c>
      <c r="BX9" s="404" t="s">
        <v>156</v>
      </c>
      <c r="BY9" s="404" t="s">
        <v>156</v>
      </c>
      <c r="BZ9" s="404" t="s">
        <v>156</v>
      </c>
      <c r="CA9" s="404" t="s">
        <v>156</v>
      </c>
      <c r="CB9" s="404" t="s">
        <v>156</v>
      </c>
      <c r="CC9" s="404" t="s">
        <v>156</v>
      </c>
      <c r="CD9" s="404" t="s">
        <v>156</v>
      </c>
      <c r="CE9" s="404" t="s">
        <v>156</v>
      </c>
      <c r="CF9" s="404" t="s">
        <v>156</v>
      </c>
      <c r="CG9" s="404" t="s">
        <v>156</v>
      </c>
      <c r="CH9" s="404" t="s">
        <v>156</v>
      </c>
      <c r="CI9" s="404" t="s">
        <v>156</v>
      </c>
      <c r="CJ9" s="404" t="s">
        <v>156</v>
      </c>
      <c r="CK9" s="404" t="s">
        <v>156</v>
      </c>
      <c r="CL9" s="404" t="s">
        <v>156</v>
      </c>
      <c r="CM9" s="404" t="s">
        <v>156</v>
      </c>
      <c r="CN9" s="404" t="s">
        <v>156</v>
      </c>
      <c r="CO9" s="404" t="s">
        <v>156</v>
      </c>
      <c r="CP9" s="384" t="s">
        <v>156</v>
      </c>
      <c r="CQ9" s="384" t="s">
        <v>156</v>
      </c>
      <c r="CR9" s="384" t="s">
        <v>156</v>
      </c>
      <c r="CS9" s="384" t="s">
        <v>156</v>
      </c>
      <c r="CT9" s="384" t="s">
        <v>156</v>
      </c>
      <c r="CU9" s="384" t="s">
        <v>156</v>
      </c>
      <c r="CV9" s="610" t="s">
        <v>156</v>
      </c>
      <c r="CW9" s="384" t="s">
        <v>156</v>
      </c>
      <c r="CX9" s="384" t="s">
        <v>156</v>
      </c>
      <c r="CY9" s="384" t="s">
        <v>156</v>
      </c>
      <c r="CZ9" s="384" t="s">
        <v>156</v>
      </c>
      <c r="DA9" s="384" t="s">
        <v>156</v>
      </c>
      <c r="DB9" s="384" t="s">
        <v>156</v>
      </c>
      <c r="DC9" s="384" t="s">
        <v>156</v>
      </c>
      <c r="DD9" s="384" t="s">
        <v>156</v>
      </c>
      <c r="DE9" s="384" t="s">
        <v>156</v>
      </c>
      <c r="DF9" s="614" t="s">
        <v>156</v>
      </c>
      <c r="DG9" s="384" t="s">
        <v>156</v>
      </c>
      <c r="DH9" s="384" t="s">
        <v>156</v>
      </c>
      <c r="DI9" s="384" t="s">
        <v>156</v>
      </c>
      <c r="DJ9" s="384" t="s">
        <v>156</v>
      </c>
      <c r="DK9" s="384" t="s">
        <v>156</v>
      </c>
      <c r="DL9" s="384" t="s">
        <v>156</v>
      </c>
      <c r="DM9" s="384" t="s">
        <v>156</v>
      </c>
      <c r="DN9" s="384" t="s">
        <v>156</v>
      </c>
      <c r="DO9" s="384" t="s">
        <v>156</v>
      </c>
      <c r="DP9" s="384" t="s">
        <v>156</v>
      </c>
      <c r="DQ9" s="697"/>
    </row>
    <row r="10" spans="1:143" s="384" customFormat="1" ht="20" x14ac:dyDescent="0.2">
      <c r="A10" s="881"/>
      <c r="B10" s="388" t="s">
        <v>240</v>
      </c>
      <c r="C10" s="389">
        <v>21.972999999999999</v>
      </c>
      <c r="D10" s="389" t="s">
        <v>51</v>
      </c>
      <c r="E10" s="891" t="s">
        <v>252</v>
      </c>
      <c r="R10" s="385"/>
      <c r="T10" s="385"/>
      <c r="X10" s="459"/>
      <c r="AK10" s="522">
        <v>21.972999999999999</v>
      </c>
      <c r="AL10" s="522">
        <v>21.972999999999999</v>
      </c>
      <c r="AM10" s="389">
        <v>21.972999999999999</v>
      </c>
      <c r="AN10" s="389">
        <v>21.972999999999999</v>
      </c>
      <c r="AO10" s="389">
        <v>21.972999999999999</v>
      </c>
      <c r="AP10" s="389">
        <v>21.972999999999999</v>
      </c>
      <c r="AQ10" s="389">
        <v>21.972999999999999</v>
      </c>
      <c r="AR10" s="389">
        <v>21.972999999999999</v>
      </c>
      <c r="AS10" s="389">
        <v>21.972999999999999</v>
      </c>
      <c r="AT10" s="389">
        <v>21.972999999999999</v>
      </c>
      <c r="AU10" s="389">
        <v>21.972999999999999</v>
      </c>
      <c r="AV10" s="389">
        <v>21.972999999999999</v>
      </c>
      <c r="AW10" s="389">
        <v>21.972999999999999</v>
      </c>
      <c r="AX10" s="389">
        <v>21.972999999999999</v>
      </c>
      <c r="AY10" s="389">
        <v>21.972999999999999</v>
      </c>
      <c r="AZ10" s="389">
        <v>21.972999999999999</v>
      </c>
      <c r="BA10" s="389">
        <v>21.972999999999999</v>
      </c>
      <c r="BB10" s="389">
        <v>21.972999999999999</v>
      </c>
      <c r="BC10" s="389">
        <v>21.972999999999999</v>
      </c>
      <c r="BD10" s="389">
        <v>21.972999999999999</v>
      </c>
      <c r="BE10" s="389">
        <v>21.972999999999999</v>
      </c>
      <c r="BF10" s="389">
        <v>21.972999999999999</v>
      </c>
      <c r="BG10" s="389">
        <v>21.972999999999999</v>
      </c>
      <c r="BH10" s="389">
        <v>21.972999999999999</v>
      </c>
      <c r="BI10" s="389">
        <v>21.972999999999999</v>
      </c>
      <c r="BJ10" s="389">
        <v>21.972999999999999</v>
      </c>
      <c r="BK10" s="389">
        <v>21.972999999999999</v>
      </c>
      <c r="BL10" s="389">
        <v>21.972999999999999</v>
      </c>
      <c r="BM10" s="389">
        <v>21.972999999999999</v>
      </c>
      <c r="BN10" s="389">
        <v>21.972999999999999</v>
      </c>
      <c r="BO10" s="389">
        <v>21.972999999999999</v>
      </c>
      <c r="BP10" s="389">
        <v>21.972999999999999</v>
      </c>
      <c r="BQ10" s="389">
        <v>21.972999999999999</v>
      </c>
      <c r="BR10" s="389">
        <v>21.972999999999999</v>
      </c>
      <c r="BS10" s="389">
        <v>21.972999999999999</v>
      </c>
      <c r="BT10" s="389">
        <v>21.972999999999999</v>
      </c>
      <c r="BU10" s="389">
        <v>21.972999999999999</v>
      </c>
      <c r="BV10" s="389">
        <v>21.972999999999999</v>
      </c>
      <c r="BW10" s="389">
        <v>21.972999999999999</v>
      </c>
      <c r="BX10" s="389">
        <v>21.972999999999999</v>
      </c>
      <c r="BY10" s="389">
        <v>21.972999999999999</v>
      </c>
      <c r="BZ10" s="389">
        <v>21.972999999999999</v>
      </c>
      <c r="CA10" s="389">
        <v>21.972999999999999</v>
      </c>
      <c r="CB10" s="389">
        <v>21.972999999999999</v>
      </c>
      <c r="CC10" s="389">
        <v>21.972999999999999</v>
      </c>
      <c r="CD10" s="389">
        <v>21.972999999999999</v>
      </c>
      <c r="CE10" s="389">
        <v>21.972999999999999</v>
      </c>
      <c r="CF10" s="389">
        <v>21.972999999999999</v>
      </c>
      <c r="CG10" s="389">
        <v>21.972999999999999</v>
      </c>
      <c r="CH10" s="389">
        <v>21.972999999999999</v>
      </c>
      <c r="CI10" s="389">
        <v>21.972999999999999</v>
      </c>
      <c r="CJ10" s="389">
        <v>21.972999999999999</v>
      </c>
      <c r="CK10" s="389">
        <v>21.972999999999999</v>
      </c>
      <c r="CL10" s="389">
        <v>21.972999999999999</v>
      </c>
      <c r="CM10" s="389">
        <v>21.972999999999999</v>
      </c>
      <c r="CN10" s="389">
        <v>21.972999999999999</v>
      </c>
      <c r="CO10" s="389">
        <v>21.972999999999999</v>
      </c>
      <c r="CP10" s="384">
        <v>21.972999999999999</v>
      </c>
      <c r="CQ10" s="384">
        <v>21.972999999999999</v>
      </c>
      <c r="CR10" s="384">
        <v>21.972999999999999</v>
      </c>
      <c r="CS10" s="384">
        <v>21.972999999999999</v>
      </c>
      <c r="CT10" s="384">
        <v>21.972999999999999</v>
      </c>
      <c r="CU10" s="384">
        <v>21.972999999999999</v>
      </c>
      <c r="CV10" s="610">
        <v>21.972999999999999</v>
      </c>
      <c r="CW10" s="384">
        <v>21.972999999999999</v>
      </c>
      <c r="CX10" s="384">
        <v>21.972999999999999</v>
      </c>
      <c r="CY10" s="384">
        <v>21.972999999999999</v>
      </c>
      <c r="CZ10" s="384">
        <v>21.972999999999999</v>
      </c>
      <c r="DA10" s="384">
        <v>21.972999999999999</v>
      </c>
      <c r="DB10" s="384">
        <v>21.972999999999999</v>
      </c>
      <c r="DC10" s="384">
        <v>21.972999999999999</v>
      </c>
      <c r="DD10" s="384">
        <v>21.972999999999999</v>
      </c>
      <c r="DE10" s="384">
        <v>21.972999999999999</v>
      </c>
      <c r="DF10" s="614">
        <v>21.972999999999999</v>
      </c>
      <c r="DG10" s="384">
        <v>21.972999999999999</v>
      </c>
      <c r="DH10" s="384">
        <v>21.972999999999999</v>
      </c>
      <c r="DI10" s="384">
        <v>21.972999999999999</v>
      </c>
      <c r="DJ10" s="384">
        <v>21.972999999999999</v>
      </c>
      <c r="DK10" s="384">
        <v>21.972999999999999</v>
      </c>
      <c r="DL10" s="384">
        <v>21.972999999999999</v>
      </c>
      <c r="DM10" s="384">
        <v>21.972999999999999</v>
      </c>
      <c r="DN10" s="384">
        <v>21.972999999999999</v>
      </c>
      <c r="DO10" s="384">
        <v>21.972999999999999</v>
      </c>
      <c r="DP10" s="384">
        <v>21.972999999999999</v>
      </c>
      <c r="DQ10" s="697"/>
    </row>
    <row r="11" spans="1:143" s="384" customFormat="1" ht="20" x14ac:dyDescent="0.2">
      <c r="A11" s="881"/>
      <c r="B11" s="391" t="s">
        <v>241</v>
      </c>
      <c r="C11" s="392">
        <v>21.827000000000002</v>
      </c>
      <c r="D11" s="392" t="s">
        <v>51</v>
      </c>
      <c r="E11" s="892"/>
      <c r="R11" s="385"/>
      <c r="T11" s="385"/>
      <c r="X11" s="459"/>
      <c r="AK11" s="525">
        <v>21.827000000000002</v>
      </c>
      <c r="AL11" s="525">
        <v>21.827000000000002</v>
      </c>
      <c r="AM11" s="392">
        <v>21.827000000000002</v>
      </c>
      <c r="AN11" s="392">
        <v>21.827000000000002</v>
      </c>
      <c r="AO11" s="392">
        <v>21.827000000000002</v>
      </c>
      <c r="AP11" s="392">
        <v>21.827000000000002</v>
      </c>
      <c r="AQ11" s="392">
        <v>21.827000000000002</v>
      </c>
      <c r="AR11" s="392">
        <v>21.827000000000002</v>
      </c>
      <c r="AS11" s="392">
        <v>21.827000000000002</v>
      </c>
      <c r="AT11" s="392">
        <v>21.827000000000002</v>
      </c>
      <c r="AU11" s="392">
        <v>21.827000000000002</v>
      </c>
      <c r="AV11" s="392">
        <v>21.827000000000002</v>
      </c>
      <c r="AW11" s="392">
        <v>21.827000000000002</v>
      </c>
      <c r="AX11" s="392">
        <v>21.827000000000002</v>
      </c>
      <c r="AY11" s="392">
        <v>21.827000000000002</v>
      </c>
      <c r="AZ11" s="392">
        <v>21.827000000000002</v>
      </c>
      <c r="BA11" s="392">
        <v>21.827000000000002</v>
      </c>
      <c r="BB11" s="392">
        <v>21.827000000000002</v>
      </c>
      <c r="BC11" s="392">
        <v>21.827000000000002</v>
      </c>
      <c r="BD11" s="392">
        <v>21.827000000000002</v>
      </c>
      <c r="BE11" s="392">
        <v>21.827000000000002</v>
      </c>
      <c r="BF11" s="392">
        <v>21.827000000000002</v>
      </c>
      <c r="BG11" s="392">
        <v>21.827000000000002</v>
      </c>
      <c r="BH11" s="392">
        <v>21.827000000000002</v>
      </c>
      <c r="BI11" s="392">
        <v>21.827000000000002</v>
      </c>
      <c r="BJ11" s="392">
        <v>21.827000000000002</v>
      </c>
      <c r="BK11" s="392">
        <v>21.827000000000002</v>
      </c>
      <c r="BL11" s="392">
        <v>21.827000000000002</v>
      </c>
      <c r="BM11" s="392">
        <v>21.827000000000002</v>
      </c>
      <c r="BN11" s="392">
        <v>21.827000000000002</v>
      </c>
      <c r="BO11" s="392">
        <v>21.827000000000002</v>
      </c>
      <c r="BP11" s="392">
        <v>21.827000000000002</v>
      </c>
      <c r="BQ11" s="392">
        <v>21.827000000000002</v>
      </c>
      <c r="BR11" s="392">
        <v>21.827000000000002</v>
      </c>
      <c r="BS11" s="392">
        <v>21.827000000000002</v>
      </c>
      <c r="BT11" s="392">
        <v>21.827000000000002</v>
      </c>
      <c r="BU11" s="392">
        <v>21.827000000000002</v>
      </c>
      <c r="BV11" s="392">
        <v>21.827000000000002</v>
      </c>
      <c r="BW11" s="392">
        <v>21.827000000000002</v>
      </c>
      <c r="BX11" s="392">
        <v>21.827000000000002</v>
      </c>
      <c r="BY11" s="392">
        <v>21.827000000000002</v>
      </c>
      <c r="BZ11" s="392">
        <v>21.827000000000002</v>
      </c>
      <c r="CA11" s="392">
        <v>21.827000000000002</v>
      </c>
      <c r="CB11" s="392">
        <v>21.827000000000002</v>
      </c>
      <c r="CC11" s="392">
        <v>21.827000000000002</v>
      </c>
      <c r="CD11" s="392">
        <v>21.827000000000002</v>
      </c>
      <c r="CE11" s="392">
        <v>21.827000000000002</v>
      </c>
      <c r="CF11" s="392">
        <v>21.827000000000002</v>
      </c>
      <c r="CG11" s="392">
        <v>21.827000000000002</v>
      </c>
      <c r="CH11" s="392">
        <v>21.827000000000002</v>
      </c>
      <c r="CI11" s="392">
        <v>21.827000000000002</v>
      </c>
      <c r="CJ11" s="392">
        <v>21.827000000000002</v>
      </c>
      <c r="CK11" s="392">
        <v>21.827000000000002</v>
      </c>
      <c r="CL11" s="392">
        <v>21.827000000000002</v>
      </c>
      <c r="CM11" s="392">
        <v>21.827000000000002</v>
      </c>
      <c r="CN11" s="392">
        <v>21.827000000000002</v>
      </c>
      <c r="CO11" s="392">
        <v>21.827000000000002</v>
      </c>
      <c r="CP11" s="384">
        <v>21.827000000000002</v>
      </c>
      <c r="CQ11" s="384">
        <v>21.827000000000002</v>
      </c>
      <c r="CR11" s="384">
        <v>21.827000000000002</v>
      </c>
      <c r="CS11" s="384">
        <v>21.827000000000002</v>
      </c>
      <c r="CT11" s="384">
        <v>21.827000000000002</v>
      </c>
      <c r="CU11" s="384">
        <v>21.827000000000002</v>
      </c>
      <c r="CV11" s="610">
        <v>21.827000000000002</v>
      </c>
      <c r="CW11" s="384">
        <v>21.827000000000002</v>
      </c>
      <c r="CX11" s="384">
        <v>21.827000000000002</v>
      </c>
      <c r="CY11" s="384">
        <v>21.827000000000002</v>
      </c>
      <c r="CZ11" s="384">
        <v>21.827000000000002</v>
      </c>
      <c r="DA11" s="384">
        <v>21.827000000000002</v>
      </c>
      <c r="DB11" s="384">
        <v>21.827000000000002</v>
      </c>
      <c r="DC11" s="384">
        <v>21.827000000000002</v>
      </c>
      <c r="DD11" s="384">
        <v>21.827000000000002</v>
      </c>
      <c r="DE11" s="384">
        <v>21.827000000000002</v>
      </c>
      <c r="DF11" s="614">
        <v>21.827000000000002</v>
      </c>
      <c r="DG11" s="384">
        <v>21.827000000000002</v>
      </c>
      <c r="DH11" s="384">
        <v>21.827000000000002</v>
      </c>
      <c r="DI11" s="384">
        <v>21.827000000000002</v>
      </c>
      <c r="DJ11" s="384">
        <v>21.827000000000002</v>
      </c>
      <c r="DK11" s="384">
        <v>21.827000000000002</v>
      </c>
      <c r="DL11" s="384">
        <v>21.827000000000002</v>
      </c>
      <c r="DM11" s="384">
        <v>21.827000000000002</v>
      </c>
      <c r="DN11" s="384">
        <v>21.827000000000002</v>
      </c>
      <c r="DO11" s="384">
        <v>21.827000000000002</v>
      </c>
      <c r="DP11" s="384">
        <v>21.827000000000002</v>
      </c>
      <c r="DQ11" s="697"/>
    </row>
    <row r="12" spans="1:143" s="384" customFormat="1" ht="20" x14ac:dyDescent="0.2">
      <c r="A12" s="893" t="s">
        <v>246</v>
      </c>
      <c r="B12" s="393" t="s">
        <v>234</v>
      </c>
      <c r="C12" s="407">
        <f>41705+17/24+22/1440</f>
        <v>41705.723611111112</v>
      </c>
      <c r="D12" s="394" t="s">
        <v>235</v>
      </c>
      <c r="E12" s="673" t="s">
        <v>327</v>
      </c>
      <c r="R12" s="385"/>
      <c r="T12" s="385"/>
      <c r="X12" s="459"/>
      <c r="AK12" s="526">
        <v>41705.723611111112</v>
      </c>
      <c r="AL12" s="526">
        <v>41705.723611111112</v>
      </c>
      <c r="AM12" s="407">
        <v>41705.723611111112</v>
      </c>
      <c r="AN12" s="407">
        <v>41705.723611111112</v>
      </c>
      <c r="AO12" s="407">
        <v>41705.723611111112</v>
      </c>
      <c r="AP12" s="407">
        <v>41705.723611111112</v>
      </c>
      <c r="AQ12" s="407">
        <v>41705.723611111112</v>
      </c>
      <c r="AR12" s="407">
        <v>41705.723611111112</v>
      </c>
      <c r="AS12" s="407">
        <v>41705.723611111112</v>
      </c>
      <c r="AT12" s="407">
        <v>41705.723611111112</v>
      </c>
      <c r="AU12" s="407">
        <v>41705.723611111112</v>
      </c>
      <c r="AV12" s="407">
        <v>41705.723611111112</v>
      </c>
      <c r="AW12" s="407">
        <v>41705.723611111112</v>
      </c>
      <c r="AX12" s="407">
        <v>41705.723611111112</v>
      </c>
      <c r="AY12" s="407">
        <v>41705.723611111112</v>
      </c>
      <c r="AZ12" s="407">
        <v>41705.723611111112</v>
      </c>
      <c r="BA12" s="407">
        <v>41705.723611111112</v>
      </c>
      <c r="BB12" s="407">
        <v>41705.723611111112</v>
      </c>
      <c r="BC12" s="407">
        <v>41705.723611111112</v>
      </c>
      <c r="BD12" s="407">
        <v>41705.723611111112</v>
      </c>
      <c r="BE12" s="407">
        <v>41705.723611111112</v>
      </c>
      <c r="BF12" s="407">
        <v>41705.723611111112</v>
      </c>
      <c r="BG12" s="407">
        <v>41705.723611111112</v>
      </c>
      <c r="BH12" s="407">
        <v>41705.723611111112</v>
      </c>
      <c r="BI12" s="394">
        <v>41705.723611111112</v>
      </c>
      <c r="BJ12" s="407">
        <v>41705.723611111112</v>
      </c>
      <c r="BK12" s="407">
        <v>41705.723611111112</v>
      </c>
      <c r="BL12" s="407">
        <v>41705.723611111112</v>
      </c>
      <c r="BM12" s="407">
        <v>41705.723611111112</v>
      </c>
      <c r="BN12" s="407">
        <v>41705.723611111112</v>
      </c>
      <c r="BO12" s="407">
        <v>41705.723611111112</v>
      </c>
      <c r="BP12" s="407">
        <v>41705.723611111112</v>
      </c>
      <c r="BQ12" s="407">
        <v>41705.723611111112</v>
      </c>
      <c r="BR12" s="407">
        <v>41705.723611111112</v>
      </c>
      <c r="BS12" s="407">
        <v>41705.723611111112</v>
      </c>
      <c r="BT12" s="407">
        <v>41705.723611111112</v>
      </c>
      <c r="BU12" s="407">
        <v>41705.723611111112</v>
      </c>
      <c r="BV12" s="407">
        <v>41705.723611111112</v>
      </c>
      <c r="BW12" s="407">
        <v>41705.723611111112</v>
      </c>
      <c r="BX12" s="407">
        <v>41705.723611111112</v>
      </c>
      <c r="BY12" s="407">
        <v>41705.723611111112</v>
      </c>
      <c r="BZ12" s="407">
        <v>41705.723611111112</v>
      </c>
      <c r="CA12" s="407">
        <v>41705.723611111112</v>
      </c>
      <c r="CB12" s="407">
        <v>41705.723611111112</v>
      </c>
      <c r="CC12" s="407">
        <v>41705.723611111112</v>
      </c>
      <c r="CD12" s="407">
        <v>41705.723611111112</v>
      </c>
      <c r="CE12" s="407">
        <v>41705.723611111112</v>
      </c>
      <c r="CF12" s="407">
        <v>41705.723611111112</v>
      </c>
      <c r="CG12" s="407">
        <v>41705.723611111112</v>
      </c>
      <c r="CH12" s="407">
        <v>41705.723611111112</v>
      </c>
      <c r="CI12" s="407">
        <v>41705.723611111112</v>
      </c>
      <c r="CJ12" s="407">
        <v>41705.723611111112</v>
      </c>
      <c r="CK12" s="407">
        <v>41705.723611111112</v>
      </c>
      <c r="CL12" s="407">
        <v>41705.723611111112</v>
      </c>
      <c r="CM12" s="407">
        <v>41705.723611111112</v>
      </c>
      <c r="CN12" s="407">
        <v>41705.723611111112</v>
      </c>
      <c r="CO12" s="407">
        <v>41705.723611111112</v>
      </c>
      <c r="CP12" s="384">
        <v>41705.723611111112</v>
      </c>
      <c r="CQ12" s="384">
        <v>41705.723611111112</v>
      </c>
      <c r="CR12" s="384">
        <v>41705.723611111112</v>
      </c>
      <c r="CS12" s="384">
        <v>41705.723611111112</v>
      </c>
      <c r="CT12" s="384">
        <v>41705.723611111112</v>
      </c>
      <c r="CU12" s="384">
        <v>41705.723611111112</v>
      </c>
      <c r="CV12" s="610">
        <v>41705.770138888889</v>
      </c>
      <c r="CW12" s="384">
        <v>41705.770138888889</v>
      </c>
      <c r="CX12" s="384">
        <v>41705.770138888889</v>
      </c>
      <c r="CY12" s="384">
        <v>41705.770138888889</v>
      </c>
      <c r="CZ12" s="384">
        <v>41705.770138888889</v>
      </c>
      <c r="DA12" s="384">
        <v>41705.770138888889</v>
      </c>
      <c r="DB12" s="384">
        <v>41705.770138888889</v>
      </c>
      <c r="DC12" s="384">
        <v>41705.770138888889</v>
      </c>
      <c r="DD12" s="384">
        <v>41705.770138888889</v>
      </c>
      <c r="DE12" s="384">
        <v>41705.770138888889</v>
      </c>
      <c r="DF12" s="614">
        <v>41705.770138888889</v>
      </c>
      <c r="DG12" s="384">
        <v>41705.770138888889</v>
      </c>
      <c r="DH12" s="384">
        <v>41705.770138888889</v>
      </c>
      <c r="DI12" s="384">
        <v>41705.770138888889</v>
      </c>
      <c r="DJ12" s="384">
        <v>41705.770138888889</v>
      </c>
      <c r="DK12" s="384">
        <v>41705.770138888889</v>
      </c>
      <c r="DL12" s="384">
        <v>41705.770138888889</v>
      </c>
      <c r="DM12" s="384">
        <v>41705.770138888889</v>
      </c>
      <c r="DN12" s="384">
        <v>41705.770138888889</v>
      </c>
      <c r="DO12" s="384">
        <v>41705.770138888889</v>
      </c>
      <c r="DP12" s="384">
        <v>41705.770138888889</v>
      </c>
      <c r="DQ12" s="697"/>
    </row>
    <row r="13" spans="1:143" s="384" customFormat="1" ht="40" x14ac:dyDescent="0.2">
      <c r="A13" s="894"/>
      <c r="B13" s="393" t="s">
        <v>236</v>
      </c>
      <c r="C13" s="394" t="s">
        <v>349</v>
      </c>
      <c r="D13" s="395" t="s">
        <v>237</v>
      </c>
      <c r="E13" s="673" t="s">
        <v>426</v>
      </c>
      <c r="R13" s="385"/>
      <c r="T13" s="385"/>
      <c r="X13" s="459"/>
      <c r="AK13" s="527" t="s">
        <v>349</v>
      </c>
      <c r="AL13" s="527" t="s">
        <v>349</v>
      </c>
      <c r="AM13" s="394" t="s">
        <v>349</v>
      </c>
      <c r="AN13" s="394" t="s">
        <v>349</v>
      </c>
      <c r="AO13" s="394" t="s">
        <v>349</v>
      </c>
      <c r="AP13" s="394" t="s">
        <v>349</v>
      </c>
      <c r="AQ13" s="394" t="s">
        <v>349</v>
      </c>
      <c r="AR13" s="394" t="s">
        <v>349</v>
      </c>
      <c r="AS13" s="394" t="s">
        <v>349</v>
      </c>
      <c r="AT13" s="394" t="s">
        <v>349</v>
      </c>
      <c r="AU13" s="394" t="s">
        <v>349</v>
      </c>
      <c r="AV13" s="394" t="s">
        <v>349</v>
      </c>
      <c r="AW13" s="394" t="s">
        <v>349</v>
      </c>
      <c r="AX13" s="394" t="s">
        <v>349</v>
      </c>
      <c r="AY13" s="394" t="s">
        <v>349</v>
      </c>
      <c r="AZ13" s="394" t="s">
        <v>349</v>
      </c>
      <c r="BA13" s="394" t="s">
        <v>349</v>
      </c>
      <c r="BB13" s="394" t="s">
        <v>349</v>
      </c>
      <c r="BC13" s="394" t="s">
        <v>349</v>
      </c>
      <c r="BD13" s="394" t="s">
        <v>349</v>
      </c>
      <c r="BE13" s="394" t="s">
        <v>349</v>
      </c>
      <c r="BF13" s="394" t="s">
        <v>349</v>
      </c>
      <c r="BG13" s="394" t="s">
        <v>349</v>
      </c>
      <c r="BH13" s="394" t="s">
        <v>349</v>
      </c>
      <c r="BI13" s="395" t="s">
        <v>349</v>
      </c>
      <c r="BJ13" s="394" t="s">
        <v>349</v>
      </c>
      <c r="BK13" s="394" t="s">
        <v>349</v>
      </c>
      <c r="BL13" s="394" t="s">
        <v>349</v>
      </c>
      <c r="BM13" s="394" t="s">
        <v>349</v>
      </c>
      <c r="BN13" s="394" t="s">
        <v>349</v>
      </c>
      <c r="BO13" s="394" t="s">
        <v>349</v>
      </c>
      <c r="BP13" s="394" t="s">
        <v>349</v>
      </c>
      <c r="BQ13" s="394" t="s">
        <v>349</v>
      </c>
      <c r="BR13" s="394" t="s">
        <v>349</v>
      </c>
      <c r="BS13" s="394" t="s">
        <v>349</v>
      </c>
      <c r="BT13" s="394" t="s">
        <v>349</v>
      </c>
      <c r="BU13" s="394" t="s">
        <v>349</v>
      </c>
      <c r="BV13" s="394" t="s">
        <v>349</v>
      </c>
      <c r="BW13" s="394" t="s">
        <v>349</v>
      </c>
      <c r="BX13" s="394" t="s">
        <v>349</v>
      </c>
      <c r="BY13" s="394" t="s">
        <v>349</v>
      </c>
      <c r="BZ13" s="394" t="s">
        <v>349</v>
      </c>
      <c r="CA13" s="394" t="s">
        <v>349</v>
      </c>
      <c r="CB13" s="394" t="s">
        <v>349</v>
      </c>
      <c r="CC13" s="394" t="s">
        <v>349</v>
      </c>
      <c r="CD13" s="394" t="s">
        <v>349</v>
      </c>
      <c r="CE13" s="394" t="s">
        <v>349</v>
      </c>
      <c r="CF13" s="394" t="s">
        <v>349</v>
      </c>
      <c r="CG13" s="394" t="s">
        <v>349</v>
      </c>
      <c r="CH13" s="394" t="s">
        <v>349</v>
      </c>
      <c r="CI13" s="394" t="s">
        <v>349</v>
      </c>
      <c r="CJ13" s="394" t="s">
        <v>349</v>
      </c>
      <c r="CK13" s="394" t="s">
        <v>349</v>
      </c>
      <c r="CL13" s="394" t="s">
        <v>349</v>
      </c>
      <c r="CM13" s="394" t="s">
        <v>349</v>
      </c>
      <c r="CN13" s="394" t="s">
        <v>349</v>
      </c>
      <c r="CO13" s="394" t="s">
        <v>349</v>
      </c>
      <c r="CP13" s="384" t="s">
        <v>349</v>
      </c>
      <c r="CQ13" s="384" t="s">
        <v>349</v>
      </c>
      <c r="CR13" s="384" t="s">
        <v>349</v>
      </c>
      <c r="CS13" s="384" t="s">
        <v>349</v>
      </c>
      <c r="CT13" s="384" t="s">
        <v>349</v>
      </c>
      <c r="CU13" s="384" t="s">
        <v>349</v>
      </c>
      <c r="CV13" s="610" t="s">
        <v>332</v>
      </c>
      <c r="CW13" s="384" t="s">
        <v>332</v>
      </c>
      <c r="CX13" s="384" t="s">
        <v>332</v>
      </c>
      <c r="CY13" s="384" t="s">
        <v>332</v>
      </c>
      <c r="CZ13" s="384" t="s">
        <v>332</v>
      </c>
      <c r="DA13" s="384" t="s">
        <v>332</v>
      </c>
      <c r="DB13" s="384" t="s">
        <v>332</v>
      </c>
      <c r="DC13" s="384" t="s">
        <v>332</v>
      </c>
      <c r="DD13" s="384" t="s">
        <v>332</v>
      </c>
      <c r="DE13" s="384" t="s">
        <v>332</v>
      </c>
      <c r="DF13" s="614" t="s">
        <v>332</v>
      </c>
      <c r="DG13" s="384" t="s">
        <v>332</v>
      </c>
      <c r="DH13" s="384" t="s">
        <v>332</v>
      </c>
      <c r="DI13" s="384" t="s">
        <v>332</v>
      </c>
      <c r="DJ13" s="384" t="s">
        <v>332</v>
      </c>
      <c r="DK13" s="384" t="s">
        <v>332</v>
      </c>
      <c r="DL13" s="384" t="s">
        <v>332</v>
      </c>
      <c r="DM13" s="384" t="s">
        <v>332</v>
      </c>
      <c r="DN13" s="384" t="s">
        <v>332</v>
      </c>
      <c r="DO13" s="384" t="s">
        <v>332</v>
      </c>
      <c r="DP13" s="384" t="s">
        <v>332</v>
      </c>
      <c r="DQ13" s="697"/>
    </row>
    <row r="14" spans="1:143" s="384" customFormat="1" ht="20" x14ac:dyDescent="0.2">
      <c r="A14" s="894"/>
      <c r="B14" s="393" t="s">
        <v>225</v>
      </c>
      <c r="C14" s="487">
        <v>0.83499999999999996</v>
      </c>
      <c r="D14" s="395" t="s">
        <v>238</v>
      </c>
      <c r="E14" s="673" t="s">
        <v>313</v>
      </c>
      <c r="R14" s="385"/>
      <c r="T14" s="385"/>
      <c r="X14" s="459"/>
      <c r="AK14" s="528">
        <v>0.83499999999999996</v>
      </c>
      <c r="AL14" s="528">
        <v>0.83499999999999996</v>
      </c>
      <c r="AM14" s="487">
        <v>0.83499999999999996</v>
      </c>
      <c r="AN14" s="487">
        <v>0.83499999999999996</v>
      </c>
      <c r="AO14" s="487">
        <v>0.83499999999999996</v>
      </c>
      <c r="AP14" s="487">
        <v>0.83499999999999996</v>
      </c>
      <c r="AQ14" s="487">
        <v>0.83499999999999996</v>
      </c>
      <c r="AR14" s="487">
        <v>0.83499999999999996</v>
      </c>
      <c r="AS14" s="487">
        <v>0.83499999999999996</v>
      </c>
      <c r="AT14" s="487">
        <v>0.83499999999999996</v>
      </c>
      <c r="AU14" s="487">
        <v>0.83499999999999996</v>
      </c>
      <c r="AV14" s="487">
        <v>0.83499999999999996</v>
      </c>
      <c r="AW14" s="487">
        <v>0.83499999999999996</v>
      </c>
      <c r="AX14" s="487">
        <v>0.83499999999999996</v>
      </c>
      <c r="AY14" s="487">
        <v>0.83499999999999996</v>
      </c>
      <c r="AZ14" s="487">
        <v>0.83499999999999996</v>
      </c>
      <c r="BA14" s="487">
        <v>0.83499999999999996</v>
      </c>
      <c r="BB14" s="487">
        <v>0.83499999999999996</v>
      </c>
      <c r="BC14" s="487">
        <v>0.83499999999999996</v>
      </c>
      <c r="BD14" s="487">
        <v>0.83499999999999996</v>
      </c>
      <c r="BE14" s="487">
        <v>0.83499999999999996</v>
      </c>
      <c r="BF14" s="487">
        <v>0.83499999999999996</v>
      </c>
      <c r="BG14" s="487">
        <v>0.83499999999999996</v>
      </c>
      <c r="BH14" s="487">
        <v>0.83499999999999996</v>
      </c>
      <c r="BI14" s="395">
        <v>0.83499999999999996</v>
      </c>
      <c r="BJ14" s="487">
        <v>0.83499999999999996</v>
      </c>
      <c r="BK14" s="487">
        <v>0.83499999999999996</v>
      </c>
      <c r="BL14" s="487">
        <v>0.83499999999999996</v>
      </c>
      <c r="BM14" s="487">
        <v>0.83499999999999996</v>
      </c>
      <c r="BN14" s="487">
        <v>0.83499999999999996</v>
      </c>
      <c r="BO14" s="487">
        <v>0.83499999999999996</v>
      </c>
      <c r="BP14" s="487">
        <v>0.83499999999999996</v>
      </c>
      <c r="BQ14" s="487">
        <v>0.83499999999999996</v>
      </c>
      <c r="BR14" s="487">
        <v>0.83499999999999996</v>
      </c>
      <c r="BS14" s="487">
        <v>0.83499999999999996</v>
      </c>
      <c r="BT14" s="487">
        <v>0.83499999999999996</v>
      </c>
      <c r="BU14" s="487">
        <v>0.83499999999999996</v>
      </c>
      <c r="BV14" s="487">
        <v>0.83499999999999996</v>
      </c>
      <c r="BW14" s="487">
        <v>0.83499999999999996</v>
      </c>
      <c r="BX14" s="487">
        <v>0.83499999999999996</v>
      </c>
      <c r="BY14" s="487">
        <v>0.83499999999999996</v>
      </c>
      <c r="BZ14" s="487">
        <v>0.83499999999999996</v>
      </c>
      <c r="CA14" s="487">
        <v>0.83499999999999996</v>
      </c>
      <c r="CB14" s="487">
        <v>0.83499999999999996</v>
      </c>
      <c r="CC14" s="487">
        <v>0.83499999999999996</v>
      </c>
      <c r="CD14" s="487">
        <v>0.83499999999999996</v>
      </c>
      <c r="CE14" s="487">
        <v>0.83499999999999996</v>
      </c>
      <c r="CF14" s="487">
        <v>0.83499999999999996</v>
      </c>
      <c r="CG14" s="487">
        <v>0.83499999999999996</v>
      </c>
      <c r="CH14" s="487">
        <v>0.83499999999999996</v>
      </c>
      <c r="CI14" s="487">
        <v>0.83499999999999996</v>
      </c>
      <c r="CJ14" s="487">
        <v>0.83499999999999996</v>
      </c>
      <c r="CK14" s="487">
        <v>0.83499999999999996</v>
      </c>
      <c r="CL14" s="487">
        <v>0.83499999999999996</v>
      </c>
      <c r="CM14" s="487">
        <v>0.83499999999999996</v>
      </c>
      <c r="CN14" s="487">
        <v>0.83499999999999996</v>
      </c>
      <c r="CO14" s="487">
        <v>0.83499999999999996</v>
      </c>
      <c r="CP14" s="384">
        <v>0.83499999999999996</v>
      </c>
      <c r="CQ14" s="384">
        <v>0.83499999999999996</v>
      </c>
      <c r="CR14" s="384">
        <v>0.83499999999999996</v>
      </c>
      <c r="CS14" s="384">
        <v>0.83499999999999996</v>
      </c>
      <c r="CT14" s="384">
        <v>0.83499999999999996</v>
      </c>
      <c r="CU14" s="384">
        <v>0.83499999999999996</v>
      </c>
      <c r="CV14" s="610">
        <v>0.83499999999999996</v>
      </c>
      <c r="CW14" s="384">
        <v>0.83499999999999996</v>
      </c>
      <c r="CX14" s="384">
        <v>0.83499999999999996</v>
      </c>
      <c r="CY14" s="384">
        <v>0.83499999999999996</v>
      </c>
      <c r="CZ14" s="384">
        <v>0.83499999999999996</v>
      </c>
      <c r="DA14" s="384">
        <v>0.83499999999999996</v>
      </c>
      <c r="DB14" s="384">
        <v>0.83499999999999996</v>
      </c>
      <c r="DC14" s="384">
        <v>0.83499999999999996</v>
      </c>
      <c r="DD14" s="384">
        <v>0.83499999999999996</v>
      </c>
      <c r="DE14" s="384">
        <v>0.83499999999999996</v>
      </c>
      <c r="DF14" s="614">
        <v>0.83499999999999996</v>
      </c>
      <c r="DG14" s="384">
        <v>0.83499999999999996</v>
      </c>
      <c r="DH14" s="384">
        <v>0.83499999999999996</v>
      </c>
      <c r="DI14" s="384">
        <v>0.83499999999999996</v>
      </c>
      <c r="DJ14" s="384">
        <v>0.83499999999999996</v>
      </c>
      <c r="DK14" s="384">
        <v>0.83499999999999996</v>
      </c>
      <c r="DL14" s="384">
        <v>0.83499999999999996</v>
      </c>
      <c r="DM14" s="384">
        <v>0.83499999999999996</v>
      </c>
      <c r="DN14" s="384">
        <v>0.83499999999999996</v>
      </c>
      <c r="DO14" s="384">
        <v>0.83499999999999996</v>
      </c>
      <c r="DP14" s="384">
        <v>0.83499999999999996</v>
      </c>
      <c r="DQ14" s="697"/>
    </row>
    <row r="15" spans="1:143" s="384" customFormat="1" ht="20" x14ac:dyDescent="0.2">
      <c r="A15" s="894"/>
      <c r="B15" s="393" t="s">
        <v>1</v>
      </c>
      <c r="C15" s="394">
        <v>340</v>
      </c>
      <c r="D15" s="394" t="s">
        <v>244</v>
      </c>
      <c r="E15" s="673" t="s">
        <v>245</v>
      </c>
      <c r="R15" s="385"/>
      <c r="T15" s="385"/>
      <c r="X15" s="459"/>
      <c r="AK15" s="527">
        <v>340</v>
      </c>
      <c r="AL15" s="527">
        <v>340</v>
      </c>
      <c r="AM15" s="394">
        <v>340</v>
      </c>
      <c r="AN15" s="394">
        <v>340</v>
      </c>
      <c r="AO15" s="394">
        <v>340</v>
      </c>
      <c r="AP15" s="394">
        <v>340</v>
      </c>
      <c r="AQ15" s="394">
        <v>340</v>
      </c>
      <c r="AR15" s="394">
        <v>340</v>
      </c>
      <c r="AS15" s="394">
        <v>340</v>
      </c>
      <c r="AT15" s="394">
        <v>340</v>
      </c>
      <c r="AU15" s="394">
        <v>340</v>
      </c>
      <c r="AV15" s="394">
        <v>340</v>
      </c>
      <c r="AW15" s="394">
        <v>340</v>
      </c>
      <c r="AX15" s="394">
        <v>340</v>
      </c>
      <c r="AY15" s="394">
        <v>340</v>
      </c>
      <c r="AZ15" s="394">
        <v>340</v>
      </c>
      <c r="BA15" s="394">
        <v>340</v>
      </c>
      <c r="BB15" s="394">
        <v>340</v>
      </c>
      <c r="BC15" s="394">
        <v>340</v>
      </c>
      <c r="BD15" s="394">
        <v>340</v>
      </c>
      <c r="BE15" s="394">
        <v>340</v>
      </c>
      <c r="BF15" s="394">
        <v>340</v>
      </c>
      <c r="BG15" s="394">
        <v>340</v>
      </c>
      <c r="BH15" s="394">
        <v>340</v>
      </c>
      <c r="BI15" s="394">
        <v>340</v>
      </c>
      <c r="BJ15" s="394">
        <v>340</v>
      </c>
      <c r="BK15" s="394">
        <v>340</v>
      </c>
      <c r="BL15" s="394">
        <v>340</v>
      </c>
      <c r="BM15" s="394">
        <v>340</v>
      </c>
      <c r="BN15" s="394">
        <v>340</v>
      </c>
      <c r="BO15" s="394">
        <v>340</v>
      </c>
      <c r="BP15" s="394">
        <v>340</v>
      </c>
      <c r="BQ15" s="394">
        <v>340</v>
      </c>
      <c r="BR15" s="394">
        <v>340</v>
      </c>
      <c r="BS15" s="394">
        <v>340</v>
      </c>
      <c r="BT15" s="394">
        <v>340</v>
      </c>
      <c r="BU15" s="394">
        <v>340</v>
      </c>
      <c r="BV15" s="394">
        <v>340</v>
      </c>
      <c r="BW15" s="394">
        <v>340</v>
      </c>
      <c r="BX15" s="394">
        <v>340</v>
      </c>
      <c r="BY15" s="394">
        <v>340</v>
      </c>
      <c r="BZ15" s="394">
        <v>340</v>
      </c>
      <c r="CA15" s="394">
        <v>340</v>
      </c>
      <c r="CB15" s="394">
        <v>340</v>
      </c>
      <c r="CC15" s="394">
        <v>340</v>
      </c>
      <c r="CD15" s="394">
        <v>340</v>
      </c>
      <c r="CE15" s="394">
        <v>340</v>
      </c>
      <c r="CF15" s="394">
        <v>340</v>
      </c>
      <c r="CG15" s="394">
        <v>340</v>
      </c>
      <c r="CH15" s="394">
        <v>340</v>
      </c>
      <c r="CI15" s="394">
        <v>340</v>
      </c>
      <c r="CJ15" s="394">
        <v>340</v>
      </c>
      <c r="CK15" s="394">
        <v>340</v>
      </c>
      <c r="CL15" s="394">
        <v>340</v>
      </c>
      <c r="CM15" s="394">
        <v>340</v>
      </c>
      <c r="CN15" s="394">
        <v>340</v>
      </c>
      <c r="CO15" s="394">
        <v>340</v>
      </c>
      <c r="CP15" s="384">
        <v>340</v>
      </c>
      <c r="CQ15" s="384">
        <v>340</v>
      </c>
      <c r="CR15" s="384">
        <v>340</v>
      </c>
      <c r="CS15" s="384">
        <v>340</v>
      </c>
      <c r="CT15" s="384">
        <v>340</v>
      </c>
      <c r="CU15" s="384">
        <v>340</v>
      </c>
      <c r="CV15" s="610">
        <v>210</v>
      </c>
      <c r="CW15" s="384">
        <v>210</v>
      </c>
      <c r="CX15" s="384">
        <v>210</v>
      </c>
      <c r="CY15" s="384">
        <v>210</v>
      </c>
      <c r="CZ15" s="384">
        <v>210</v>
      </c>
      <c r="DA15" s="384">
        <v>210</v>
      </c>
      <c r="DB15" s="384">
        <v>210</v>
      </c>
      <c r="DC15" s="384">
        <v>210</v>
      </c>
      <c r="DD15" s="384">
        <v>210</v>
      </c>
      <c r="DE15" s="384">
        <v>210</v>
      </c>
      <c r="DF15" s="614">
        <v>210</v>
      </c>
      <c r="DG15" s="384">
        <v>210</v>
      </c>
      <c r="DH15" s="384">
        <v>210</v>
      </c>
      <c r="DI15" s="384">
        <v>210</v>
      </c>
      <c r="DJ15" s="384">
        <v>210</v>
      </c>
      <c r="DK15" s="384">
        <v>210</v>
      </c>
      <c r="DL15" s="384">
        <v>210</v>
      </c>
      <c r="DM15" s="384">
        <v>210</v>
      </c>
      <c r="DN15" s="384">
        <v>210</v>
      </c>
      <c r="DO15" s="384">
        <v>210</v>
      </c>
      <c r="DP15" s="384">
        <v>210</v>
      </c>
      <c r="DQ15" s="697"/>
    </row>
    <row r="16" spans="1:143" s="384" customFormat="1" ht="20" x14ac:dyDescent="0.2">
      <c r="A16" s="894"/>
      <c r="B16" s="393" t="s">
        <v>255</v>
      </c>
      <c r="C16" s="408">
        <v>10</v>
      </c>
      <c r="D16" s="394" t="s">
        <v>253</v>
      </c>
      <c r="E16" s="673" t="s">
        <v>267</v>
      </c>
      <c r="R16" s="385"/>
      <c r="T16" s="385"/>
      <c r="X16" s="459"/>
      <c r="AK16" s="529">
        <v>10</v>
      </c>
      <c r="AL16" s="529">
        <v>10</v>
      </c>
      <c r="AM16" s="408">
        <v>10</v>
      </c>
      <c r="AN16" s="408">
        <v>10</v>
      </c>
      <c r="AO16" s="408">
        <v>10</v>
      </c>
      <c r="AP16" s="408">
        <v>10</v>
      </c>
      <c r="AQ16" s="408">
        <v>10</v>
      </c>
      <c r="AR16" s="408">
        <v>10</v>
      </c>
      <c r="AS16" s="408">
        <v>10</v>
      </c>
      <c r="AT16" s="408">
        <v>10</v>
      </c>
      <c r="AU16" s="408">
        <v>10</v>
      </c>
      <c r="AV16" s="408">
        <v>10</v>
      </c>
      <c r="AW16" s="408">
        <v>10</v>
      </c>
      <c r="AX16" s="408">
        <v>10</v>
      </c>
      <c r="AY16" s="408">
        <v>10</v>
      </c>
      <c r="AZ16" s="408">
        <v>10</v>
      </c>
      <c r="BA16" s="408">
        <v>10</v>
      </c>
      <c r="BB16" s="408">
        <v>10</v>
      </c>
      <c r="BC16" s="408">
        <v>10</v>
      </c>
      <c r="BD16" s="408">
        <v>10</v>
      </c>
      <c r="BE16" s="408">
        <v>10</v>
      </c>
      <c r="BF16" s="408">
        <v>10</v>
      </c>
      <c r="BG16" s="408">
        <v>10</v>
      </c>
      <c r="BH16" s="408">
        <v>10</v>
      </c>
      <c r="BI16" s="394">
        <v>10</v>
      </c>
      <c r="BJ16" s="408">
        <v>10</v>
      </c>
      <c r="BK16" s="408">
        <v>10</v>
      </c>
      <c r="BL16" s="408">
        <v>10</v>
      </c>
      <c r="BM16" s="408">
        <v>10</v>
      </c>
      <c r="BN16" s="408">
        <v>10</v>
      </c>
      <c r="BO16" s="408">
        <v>10</v>
      </c>
      <c r="BP16" s="408">
        <v>10</v>
      </c>
      <c r="BQ16" s="408">
        <v>10</v>
      </c>
      <c r="BR16" s="408">
        <v>10</v>
      </c>
      <c r="BS16" s="408">
        <v>10</v>
      </c>
      <c r="BT16" s="408">
        <v>10</v>
      </c>
      <c r="BU16" s="408">
        <v>10</v>
      </c>
      <c r="BV16" s="408">
        <v>10</v>
      </c>
      <c r="BW16" s="408">
        <v>10</v>
      </c>
      <c r="BX16" s="408">
        <v>10</v>
      </c>
      <c r="BY16" s="408">
        <v>10</v>
      </c>
      <c r="BZ16" s="408">
        <v>10</v>
      </c>
      <c r="CA16" s="408">
        <v>10</v>
      </c>
      <c r="CB16" s="408">
        <v>10</v>
      </c>
      <c r="CC16" s="408">
        <v>10</v>
      </c>
      <c r="CD16" s="408">
        <v>10</v>
      </c>
      <c r="CE16" s="408">
        <v>10</v>
      </c>
      <c r="CF16" s="408">
        <v>10</v>
      </c>
      <c r="CG16" s="408">
        <v>10</v>
      </c>
      <c r="CH16" s="408">
        <v>10</v>
      </c>
      <c r="CI16" s="408">
        <v>10</v>
      </c>
      <c r="CJ16" s="408">
        <v>10</v>
      </c>
      <c r="CK16" s="408">
        <v>10</v>
      </c>
      <c r="CL16" s="408">
        <v>10</v>
      </c>
      <c r="CM16" s="408">
        <v>10</v>
      </c>
      <c r="CN16" s="408">
        <v>10</v>
      </c>
      <c r="CO16" s="408">
        <v>10</v>
      </c>
      <c r="CP16" s="384">
        <v>10</v>
      </c>
      <c r="CQ16" s="384">
        <v>10</v>
      </c>
      <c r="CR16" s="384">
        <v>10</v>
      </c>
      <c r="CS16" s="384">
        <v>10</v>
      </c>
      <c r="CT16" s="384">
        <v>10</v>
      </c>
      <c r="CU16" s="384">
        <v>10</v>
      </c>
      <c r="CV16" s="610">
        <v>10</v>
      </c>
      <c r="CW16" s="384">
        <v>10</v>
      </c>
      <c r="CX16" s="384">
        <v>10</v>
      </c>
      <c r="CY16" s="384">
        <v>10</v>
      </c>
      <c r="CZ16" s="384">
        <v>10</v>
      </c>
      <c r="DA16" s="384">
        <v>10</v>
      </c>
      <c r="DB16" s="384">
        <v>10</v>
      </c>
      <c r="DC16" s="384">
        <v>10</v>
      </c>
      <c r="DD16" s="384">
        <v>10</v>
      </c>
      <c r="DE16" s="384">
        <v>10</v>
      </c>
      <c r="DF16" s="614">
        <v>10</v>
      </c>
      <c r="DG16" s="384">
        <v>10</v>
      </c>
      <c r="DH16" s="384">
        <v>10</v>
      </c>
      <c r="DI16" s="384">
        <v>10</v>
      </c>
      <c r="DJ16" s="384">
        <v>10</v>
      </c>
      <c r="DK16" s="384">
        <v>10</v>
      </c>
      <c r="DL16" s="384">
        <v>10</v>
      </c>
      <c r="DM16" s="384">
        <v>10</v>
      </c>
      <c r="DN16" s="384">
        <v>10</v>
      </c>
      <c r="DO16" s="384">
        <v>10</v>
      </c>
      <c r="DP16" s="384">
        <v>10</v>
      </c>
      <c r="DQ16" s="697"/>
    </row>
    <row r="17" spans="1:121" s="384" customFormat="1" ht="20" x14ac:dyDescent="0.2">
      <c r="A17" s="895"/>
      <c r="B17" s="393" t="s">
        <v>256</v>
      </c>
      <c r="C17" s="408" t="s">
        <v>156</v>
      </c>
      <c r="D17" s="394" t="s">
        <v>237</v>
      </c>
      <c r="E17" s="673" t="s">
        <v>257</v>
      </c>
      <c r="R17" s="385"/>
      <c r="T17" s="385"/>
      <c r="X17" s="459"/>
      <c r="AK17" s="529" t="s">
        <v>156</v>
      </c>
      <c r="AL17" s="529" t="s">
        <v>156</v>
      </c>
      <c r="AM17" s="408" t="s">
        <v>156</v>
      </c>
      <c r="AN17" s="408" t="s">
        <v>156</v>
      </c>
      <c r="AO17" s="408" t="s">
        <v>156</v>
      </c>
      <c r="AP17" s="408" t="s">
        <v>156</v>
      </c>
      <c r="AQ17" s="408" t="s">
        <v>156</v>
      </c>
      <c r="AR17" s="408" t="s">
        <v>156</v>
      </c>
      <c r="AS17" s="408" t="s">
        <v>156</v>
      </c>
      <c r="AT17" s="408" t="s">
        <v>156</v>
      </c>
      <c r="AU17" s="408" t="s">
        <v>156</v>
      </c>
      <c r="AV17" s="408" t="s">
        <v>156</v>
      </c>
      <c r="AW17" s="408" t="s">
        <v>156</v>
      </c>
      <c r="AX17" s="408" t="s">
        <v>156</v>
      </c>
      <c r="AY17" s="408" t="s">
        <v>156</v>
      </c>
      <c r="AZ17" s="408" t="s">
        <v>156</v>
      </c>
      <c r="BA17" s="408" t="s">
        <v>156</v>
      </c>
      <c r="BB17" s="408" t="s">
        <v>156</v>
      </c>
      <c r="BC17" s="408" t="s">
        <v>156</v>
      </c>
      <c r="BD17" s="408" t="s">
        <v>156</v>
      </c>
      <c r="BE17" s="408" t="s">
        <v>156</v>
      </c>
      <c r="BF17" s="408" t="s">
        <v>156</v>
      </c>
      <c r="BG17" s="408" t="s">
        <v>156</v>
      </c>
      <c r="BH17" s="408" t="s">
        <v>156</v>
      </c>
      <c r="BI17" s="394" t="s">
        <v>156</v>
      </c>
      <c r="BJ17" s="408" t="s">
        <v>156</v>
      </c>
      <c r="BK17" s="408" t="s">
        <v>156</v>
      </c>
      <c r="BL17" s="408" t="s">
        <v>156</v>
      </c>
      <c r="BM17" s="408" t="s">
        <v>156</v>
      </c>
      <c r="BN17" s="408" t="s">
        <v>156</v>
      </c>
      <c r="BO17" s="408" t="s">
        <v>156</v>
      </c>
      <c r="BP17" s="408" t="s">
        <v>156</v>
      </c>
      <c r="BQ17" s="408" t="s">
        <v>156</v>
      </c>
      <c r="BR17" s="408" t="s">
        <v>156</v>
      </c>
      <c r="BS17" s="408" t="s">
        <v>156</v>
      </c>
      <c r="BT17" s="408" t="s">
        <v>156</v>
      </c>
      <c r="BU17" s="408" t="s">
        <v>156</v>
      </c>
      <c r="BV17" s="408" t="s">
        <v>156</v>
      </c>
      <c r="BW17" s="408" t="s">
        <v>156</v>
      </c>
      <c r="BX17" s="408" t="s">
        <v>156</v>
      </c>
      <c r="BY17" s="408" t="s">
        <v>156</v>
      </c>
      <c r="BZ17" s="408" t="s">
        <v>156</v>
      </c>
      <c r="CA17" s="408" t="s">
        <v>156</v>
      </c>
      <c r="CB17" s="408" t="s">
        <v>156</v>
      </c>
      <c r="CC17" s="408" t="s">
        <v>156</v>
      </c>
      <c r="CD17" s="408" t="s">
        <v>156</v>
      </c>
      <c r="CE17" s="408" t="s">
        <v>156</v>
      </c>
      <c r="CF17" s="408" t="s">
        <v>156</v>
      </c>
      <c r="CG17" s="408" t="s">
        <v>156</v>
      </c>
      <c r="CH17" s="408" t="s">
        <v>156</v>
      </c>
      <c r="CI17" s="408" t="s">
        <v>156</v>
      </c>
      <c r="CJ17" s="408" t="s">
        <v>156</v>
      </c>
      <c r="CK17" s="408" t="s">
        <v>156</v>
      </c>
      <c r="CL17" s="408" t="s">
        <v>156</v>
      </c>
      <c r="CM17" s="408" t="s">
        <v>156</v>
      </c>
      <c r="CN17" s="408" t="s">
        <v>156</v>
      </c>
      <c r="CO17" s="408" t="s">
        <v>156</v>
      </c>
      <c r="CP17" s="384" t="s">
        <v>156</v>
      </c>
      <c r="CQ17" s="384" t="s">
        <v>156</v>
      </c>
      <c r="CR17" s="384" t="s">
        <v>156</v>
      </c>
      <c r="CS17" s="384" t="s">
        <v>156</v>
      </c>
      <c r="CT17" s="384" t="s">
        <v>156</v>
      </c>
      <c r="CU17" s="384" t="s">
        <v>156</v>
      </c>
      <c r="CV17" s="610" t="s">
        <v>156</v>
      </c>
      <c r="CW17" s="384" t="s">
        <v>156</v>
      </c>
      <c r="CX17" s="384" t="s">
        <v>156</v>
      </c>
      <c r="CY17" s="384" t="s">
        <v>156</v>
      </c>
      <c r="CZ17" s="384" t="s">
        <v>156</v>
      </c>
      <c r="DA17" s="384" t="s">
        <v>156</v>
      </c>
      <c r="DB17" s="384" t="s">
        <v>156</v>
      </c>
      <c r="DC17" s="384" t="s">
        <v>156</v>
      </c>
      <c r="DD17" s="384" t="s">
        <v>156</v>
      </c>
      <c r="DE17" s="384" t="s">
        <v>156</v>
      </c>
      <c r="DF17" s="614" t="s">
        <v>356</v>
      </c>
      <c r="DG17" s="384" t="s">
        <v>356</v>
      </c>
      <c r="DH17" s="384" t="s">
        <v>356</v>
      </c>
      <c r="DI17" s="384" t="s">
        <v>356</v>
      </c>
      <c r="DJ17" s="384" t="s">
        <v>356</v>
      </c>
      <c r="DK17" s="384" t="s">
        <v>356</v>
      </c>
      <c r="DL17" s="384" t="s">
        <v>356</v>
      </c>
      <c r="DM17" s="384" t="s">
        <v>356</v>
      </c>
      <c r="DN17" s="384" t="s">
        <v>356</v>
      </c>
      <c r="DO17" s="384" t="s">
        <v>356</v>
      </c>
      <c r="DP17" s="384" t="s">
        <v>356</v>
      </c>
      <c r="DQ17" s="697"/>
    </row>
    <row r="18" spans="1:121" s="384" customFormat="1" ht="51" customHeight="1" x14ac:dyDescent="0.2">
      <c r="A18" s="896" t="s">
        <v>248</v>
      </c>
      <c r="B18" s="396" t="s">
        <v>234</v>
      </c>
      <c r="C18" s="414">
        <f>41705+18/24+29/1440</f>
        <v>41705.770138888889</v>
      </c>
      <c r="D18" s="397" t="s">
        <v>235</v>
      </c>
      <c r="E18" s="674" t="s">
        <v>326</v>
      </c>
      <c r="R18" s="385"/>
      <c r="T18" s="385"/>
      <c r="X18" s="459"/>
      <c r="AK18" s="530">
        <v>41705.770138888889</v>
      </c>
      <c r="AL18" s="530">
        <v>41705.770138888889</v>
      </c>
      <c r="AM18" s="414">
        <v>41705.770138888889</v>
      </c>
      <c r="AN18" s="414">
        <v>41705.770138888889</v>
      </c>
      <c r="AO18" s="414">
        <v>41705.770138888889</v>
      </c>
      <c r="AP18" s="414">
        <v>41705.770138888889</v>
      </c>
      <c r="AQ18" s="414">
        <v>41705.770138888889</v>
      </c>
      <c r="AR18" s="414">
        <v>41705.770138888889</v>
      </c>
      <c r="AS18" s="414">
        <v>41705.770138888889</v>
      </c>
      <c r="AT18" s="414">
        <v>41705.770138888889</v>
      </c>
      <c r="AU18" s="414">
        <v>41705.770138888889</v>
      </c>
      <c r="AV18" s="414">
        <v>41705.770138888889</v>
      </c>
      <c r="AW18" s="414">
        <v>41705.770138888889</v>
      </c>
      <c r="AX18" s="414">
        <v>41705.770138888889</v>
      </c>
      <c r="AY18" s="414">
        <v>41705.770138888889</v>
      </c>
      <c r="AZ18" s="414">
        <v>41705.770138888889</v>
      </c>
      <c r="BA18" s="414">
        <v>41705.770138888889</v>
      </c>
      <c r="BB18" s="414">
        <v>41705.770138888889</v>
      </c>
      <c r="BC18" s="414">
        <v>41705.770138888889</v>
      </c>
      <c r="BD18" s="414">
        <v>41705.770138888889</v>
      </c>
      <c r="BE18" s="414">
        <v>41705.770138888889</v>
      </c>
      <c r="BF18" s="414">
        <v>41705.770138888889</v>
      </c>
      <c r="BG18" s="414">
        <v>41705.770138888889</v>
      </c>
      <c r="BH18" s="414">
        <v>41705.770138888889</v>
      </c>
      <c r="BI18" s="397">
        <v>41705.770138888889</v>
      </c>
      <c r="BJ18" s="414">
        <v>41705.770138888889</v>
      </c>
      <c r="BK18" s="414">
        <v>41705.770138888889</v>
      </c>
      <c r="BL18" s="414">
        <v>41705.770138888889</v>
      </c>
      <c r="BM18" s="414">
        <v>41705.770138888889</v>
      </c>
      <c r="BN18" s="414">
        <v>41705.770138888889</v>
      </c>
      <c r="BO18" s="414">
        <v>41705.770138888889</v>
      </c>
      <c r="BP18" s="414">
        <v>41705.770138888889</v>
      </c>
      <c r="BQ18" s="414">
        <v>41705.770138888889</v>
      </c>
      <c r="BR18" s="414">
        <v>41705.770138888889</v>
      </c>
      <c r="BS18" s="414">
        <v>41705.770138888889</v>
      </c>
      <c r="BT18" s="414">
        <v>41705.770138888889</v>
      </c>
      <c r="BU18" s="414">
        <v>41705.770138888889</v>
      </c>
      <c r="BV18" s="414">
        <v>41705.770138888889</v>
      </c>
      <c r="BW18" s="414">
        <v>41705.770138888889</v>
      </c>
      <c r="BX18" s="414">
        <v>41705.770138888889</v>
      </c>
      <c r="BY18" s="414">
        <v>41705.770138888889</v>
      </c>
      <c r="BZ18" s="414">
        <v>41705.770138888889</v>
      </c>
      <c r="CA18" s="414">
        <v>41705.770138888889</v>
      </c>
      <c r="CB18" s="414">
        <v>41705.770138888889</v>
      </c>
      <c r="CC18" s="414">
        <v>41705.770138888889</v>
      </c>
      <c r="CD18" s="414">
        <v>41705.770138888889</v>
      </c>
      <c r="CE18" s="414">
        <v>41705.770138888889</v>
      </c>
      <c r="CF18" s="414">
        <v>41705.770138888889</v>
      </c>
      <c r="CG18" s="414">
        <v>41705.770138888889</v>
      </c>
      <c r="CH18" s="414">
        <v>41705.770138888889</v>
      </c>
      <c r="CI18" s="414">
        <v>41705.770138888889</v>
      </c>
      <c r="CJ18" s="414">
        <v>41705.770138888889</v>
      </c>
      <c r="CK18" s="414">
        <v>41705.770138888889</v>
      </c>
      <c r="CL18" s="414">
        <v>41705.770138888889</v>
      </c>
      <c r="CM18" s="414">
        <v>41705.770138888889</v>
      </c>
      <c r="CN18" s="414">
        <v>41705.770138888889</v>
      </c>
      <c r="CO18" s="414">
        <v>41705.770138888889</v>
      </c>
      <c r="CP18" s="384">
        <v>41705.770138888889</v>
      </c>
      <c r="CQ18" s="384">
        <v>41705.770138888889</v>
      </c>
      <c r="CR18" s="384">
        <v>41705.770138888889</v>
      </c>
      <c r="CS18" s="384">
        <v>41705.770138888889</v>
      </c>
      <c r="CT18" s="384">
        <v>41705.770138888889</v>
      </c>
      <c r="CU18" s="384">
        <v>41705.770138888889</v>
      </c>
      <c r="CV18" s="610">
        <v>41705.811805555553</v>
      </c>
      <c r="CW18" s="384">
        <v>41705.811805555553</v>
      </c>
      <c r="CX18" s="384">
        <v>41705.811805555553</v>
      </c>
      <c r="CY18" s="384">
        <v>41705.811805555553</v>
      </c>
      <c r="CZ18" s="384">
        <v>41705.811805555553</v>
      </c>
      <c r="DA18" s="384">
        <v>41705.811805555553</v>
      </c>
      <c r="DB18" s="384">
        <v>41705.811805555553</v>
      </c>
      <c r="DC18" s="384">
        <v>41705.811805555553</v>
      </c>
      <c r="DD18" s="384">
        <v>41705.811805555553</v>
      </c>
      <c r="DE18" s="384">
        <v>41705.811805555553</v>
      </c>
      <c r="DF18" s="614">
        <v>41705.811805555553</v>
      </c>
      <c r="DG18" s="384">
        <v>41705.811805555553</v>
      </c>
      <c r="DH18" s="384">
        <v>41705.811805555553</v>
      </c>
      <c r="DI18" s="384">
        <v>41705.811805555553</v>
      </c>
      <c r="DJ18" s="384">
        <v>41705.811805555553</v>
      </c>
      <c r="DK18" s="384">
        <v>41705.811805555553</v>
      </c>
      <c r="DL18" s="384">
        <v>41705.811805555553</v>
      </c>
      <c r="DM18" s="384">
        <v>41705.811805555553</v>
      </c>
      <c r="DN18" s="384">
        <v>41705.811805555553</v>
      </c>
      <c r="DO18" s="384">
        <v>41705.811805555553</v>
      </c>
      <c r="DP18" s="384">
        <v>41705.811805555553</v>
      </c>
      <c r="DQ18" s="697"/>
    </row>
    <row r="19" spans="1:121" s="384" customFormat="1" ht="33" customHeight="1" x14ac:dyDescent="0.2">
      <c r="A19" s="897"/>
      <c r="B19" s="396" t="s">
        <v>236</v>
      </c>
      <c r="C19" s="520" t="s">
        <v>98</v>
      </c>
      <c r="D19" s="398" t="s">
        <v>237</v>
      </c>
      <c r="E19" s="674" t="s">
        <v>426</v>
      </c>
      <c r="R19" s="385"/>
      <c r="T19" s="385"/>
      <c r="X19" s="459"/>
      <c r="AK19" s="531" t="s">
        <v>355</v>
      </c>
      <c r="AL19" s="531" t="s">
        <v>355</v>
      </c>
      <c r="AM19" s="520" t="s">
        <v>355</v>
      </c>
      <c r="AN19" s="520" t="s">
        <v>355</v>
      </c>
      <c r="AO19" s="520" t="s">
        <v>355</v>
      </c>
      <c r="AP19" s="520" t="s">
        <v>355</v>
      </c>
      <c r="AQ19" s="520" t="s">
        <v>355</v>
      </c>
      <c r="AR19" s="520" t="s">
        <v>355</v>
      </c>
      <c r="AS19" s="520" t="s">
        <v>355</v>
      </c>
      <c r="AT19" s="520" t="s">
        <v>355</v>
      </c>
      <c r="AU19" s="520" t="s">
        <v>355</v>
      </c>
      <c r="AV19" s="520" t="s">
        <v>355</v>
      </c>
      <c r="AW19" s="520" t="s">
        <v>355</v>
      </c>
      <c r="AX19" s="520" t="s">
        <v>309</v>
      </c>
      <c r="AY19" s="520" t="s">
        <v>309</v>
      </c>
      <c r="AZ19" s="520" t="s">
        <v>309</v>
      </c>
      <c r="BA19" s="520" t="s">
        <v>309</v>
      </c>
      <c r="BB19" s="520" t="s">
        <v>309</v>
      </c>
      <c r="BC19" s="520" t="s">
        <v>309</v>
      </c>
      <c r="BD19" s="520" t="s">
        <v>309</v>
      </c>
      <c r="BE19" s="520" t="s">
        <v>309</v>
      </c>
      <c r="BF19" s="520" t="s">
        <v>309</v>
      </c>
      <c r="BG19" s="520" t="s">
        <v>309</v>
      </c>
      <c r="BH19" s="520" t="s">
        <v>309</v>
      </c>
      <c r="BI19" s="398" t="s">
        <v>332</v>
      </c>
      <c r="BJ19" s="520" t="s">
        <v>332</v>
      </c>
      <c r="BK19" s="520" t="s">
        <v>332</v>
      </c>
      <c r="BL19" s="520" t="s">
        <v>332</v>
      </c>
      <c r="BM19" s="520" t="s">
        <v>332</v>
      </c>
      <c r="BN19" s="520" t="s">
        <v>332</v>
      </c>
      <c r="BO19" s="520" t="s">
        <v>332</v>
      </c>
      <c r="BP19" s="520" t="s">
        <v>332</v>
      </c>
      <c r="BQ19" s="520" t="s">
        <v>332</v>
      </c>
      <c r="BR19" s="520" t="s">
        <v>332</v>
      </c>
      <c r="BS19" s="520" t="s">
        <v>332</v>
      </c>
      <c r="BT19" s="520" t="s">
        <v>332</v>
      </c>
      <c r="BU19" s="520" t="s">
        <v>332</v>
      </c>
      <c r="BV19" s="520" t="s">
        <v>332</v>
      </c>
      <c r="BW19" s="520" t="s">
        <v>332</v>
      </c>
      <c r="BX19" s="520" t="s">
        <v>332</v>
      </c>
      <c r="BY19" s="520" t="s">
        <v>332</v>
      </c>
      <c r="BZ19" s="520" t="s">
        <v>332</v>
      </c>
      <c r="CA19" s="520" t="s">
        <v>332</v>
      </c>
      <c r="CB19" s="606" t="s">
        <v>98</v>
      </c>
      <c r="CC19" s="520" t="s">
        <v>98</v>
      </c>
      <c r="CD19" s="520" t="s">
        <v>98</v>
      </c>
      <c r="CE19" s="520" t="s">
        <v>98</v>
      </c>
      <c r="CF19" s="520" t="s">
        <v>98</v>
      </c>
      <c r="CG19" s="520" t="s">
        <v>98</v>
      </c>
      <c r="CH19" s="520" t="s">
        <v>98</v>
      </c>
      <c r="CI19" s="520" t="s">
        <v>98</v>
      </c>
      <c r="CJ19" s="520" t="s">
        <v>98</v>
      </c>
      <c r="CK19" s="520" t="s">
        <v>98</v>
      </c>
      <c r="CL19" s="520" t="s">
        <v>98</v>
      </c>
      <c r="CM19" s="520" t="s">
        <v>98</v>
      </c>
      <c r="CN19" s="520" t="s">
        <v>98</v>
      </c>
      <c r="CO19" s="520" t="s">
        <v>98</v>
      </c>
      <c r="CP19" s="384" t="s">
        <v>349</v>
      </c>
      <c r="CQ19" s="384" t="s">
        <v>349</v>
      </c>
      <c r="CR19" s="384" t="s">
        <v>349</v>
      </c>
      <c r="CS19" s="384" t="s">
        <v>349</v>
      </c>
      <c r="CT19" s="384" t="s">
        <v>349</v>
      </c>
      <c r="CU19" s="384" t="s">
        <v>349</v>
      </c>
      <c r="CV19" s="610" t="s">
        <v>355</v>
      </c>
      <c r="CW19" s="384" t="s">
        <v>355</v>
      </c>
      <c r="CX19" s="384" t="s">
        <v>355</v>
      </c>
      <c r="CY19" s="384" t="s">
        <v>355</v>
      </c>
      <c r="CZ19" s="384" t="s">
        <v>355</v>
      </c>
      <c r="DA19" s="384" t="s">
        <v>355</v>
      </c>
      <c r="DB19" s="384" t="s">
        <v>355</v>
      </c>
      <c r="DC19" s="384" t="s">
        <v>355</v>
      </c>
      <c r="DD19" s="384" t="s">
        <v>355</v>
      </c>
      <c r="DE19" s="384" t="s">
        <v>355</v>
      </c>
      <c r="DF19" s="614" t="s">
        <v>355</v>
      </c>
      <c r="DG19" s="384" t="s">
        <v>355</v>
      </c>
      <c r="DH19" s="384" t="s">
        <v>355</v>
      </c>
      <c r="DI19" s="384" t="s">
        <v>355</v>
      </c>
      <c r="DJ19" s="384" t="s">
        <v>355</v>
      </c>
      <c r="DK19" s="384" t="s">
        <v>355</v>
      </c>
      <c r="DL19" s="384" t="s">
        <v>355</v>
      </c>
      <c r="DM19" s="384" t="s">
        <v>355</v>
      </c>
      <c r="DN19" s="384" t="s">
        <v>355</v>
      </c>
      <c r="DO19" s="384" t="s">
        <v>355</v>
      </c>
      <c r="DP19" s="384" t="s">
        <v>355</v>
      </c>
      <c r="DQ19" s="697"/>
    </row>
    <row r="20" spans="1:121" s="384" customFormat="1" ht="21" x14ac:dyDescent="0.2">
      <c r="A20" s="897"/>
      <c r="B20" s="396" t="s">
        <v>225</v>
      </c>
      <c r="C20" s="819">
        <v>260</v>
      </c>
      <c r="D20" s="398" t="s">
        <v>238</v>
      </c>
      <c r="E20" s="674" t="s">
        <v>313</v>
      </c>
      <c r="R20" s="385"/>
      <c r="T20" s="385"/>
      <c r="X20" s="459"/>
      <c r="AK20" s="532">
        <v>250</v>
      </c>
      <c r="AL20" s="532">
        <v>250</v>
      </c>
      <c r="AM20" s="488">
        <v>250</v>
      </c>
      <c r="AN20" s="488">
        <v>250</v>
      </c>
      <c r="AO20" s="488">
        <v>250</v>
      </c>
      <c r="AP20" s="488">
        <v>250</v>
      </c>
      <c r="AQ20" s="488">
        <v>250</v>
      </c>
      <c r="AR20" s="488">
        <v>250</v>
      </c>
      <c r="AS20" s="488">
        <v>250</v>
      </c>
      <c r="AT20" s="488">
        <v>250</v>
      </c>
      <c r="AU20" s="488">
        <v>250</v>
      </c>
      <c r="AV20" s="488">
        <v>250</v>
      </c>
      <c r="AW20" s="488">
        <v>250</v>
      </c>
      <c r="AX20" s="488">
        <v>250</v>
      </c>
      <c r="AY20" s="488">
        <v>250</v>
      </c>
      <c r="AZ20" s="488">
        <v>250</v>
      </c>
      <c r="BA20" s="488">
        <v>250</v>
      </c>
      <c r="BB20" s="488">
        <v>250</v>
      </c>
      <c r="BC20" s="488">
        <v>250</v>
      </c>
      <c r="BD20" s="488">
        <v>250</v>
      </c>
      <c r="BE20" s="488">
        <v>250</v>
      </c>
      <c r="BF20" s="488">
        <v>250</v>
      </c>
      <c r="BG20" s="488">
        <v>250</v>
      </c>
      <c r="BH20" s="488">
        <v>250</v>
      </c>
      <c r="BI20" s="398">
        <v>250</v>
      </c>
      <c r="BJ20" s="488">
        <v>250</v>
      </c>
      <c r="BK20" s="488">
        <v>250</v>
      </c>
      <c r="BL20" s="488">
        <v>250</v>
      </c>
      <c r="BM20" s="488">
        <v>250</v>
      </c>
      <c r="BN20" s="488">
        <v>250</v>
      </c>
      <c r="BO20" s="488">
        <v>250</v>
      </c>
      <c r="BP20" s="488">
        <v>250</v>
      </c>
      <c r="BQ20" s="488">
        <v>250</v>
      </c>
      <c r="BR20" s="488">
        <v>250</v>
      </c>
      <c r="BS20" s="488">
        <v>250</v>
      </c>
      <c r="BT20" s="488">
        <v>250</v>
      </c>
      <c r="BU20" s="488">
        <v>250</v>
      </c>
      <c r="BV20" s="488">
        <v>250</v>
      </c>
      <c r="BW20" s="488">
        <v>250</v>
      </c>
      <c r="BX20" s="488">
        <v>250</v>
      </c>
      <c r="BY20" s="488">
        <v>250</v>
      </c>
      <c r="BZ20" s="488">
        <v>250</v>
      </c>
      <c r="CA20" s="488">
        <v>250</v>
      </c>
      <c r="CB20" s="488">
        <v>250</v>
      </c>
      <c r="CC20" s="488">
        <v>250</v>
      </c>
      <c r="CD20" s="488">
        <v>250</v>
      </c>
      <c r="CE20" s="488">
        <v>250</v>
      </c>
      <c r="CF20" s="488">
        <v>250</v>
      </c>
      <c r="CG20" s="488">
        <v>250</v>
      </c>
      <c r="CH20" s="488">
        <v>250</v>
      </c>
      <c r="CI20" s="488">
        <v>250</v>
      </c>
      <c r="CJ20" s="488">
        <v>250</v>
      </c>
      <c r="CK20" s="488">
        <v>250</v>
      </c>
      <c r="CL20" s="488">
        <v>250</v>
      </c>
      <c r="CM20" s="488">
        <v>250</v>
      </c>
      <c r="CN20" s="488">
        <v>250</v>
      </c>
      <c r="CO20" s="488">
        <v>250</v>
      </c>
      <c r="CP20" s="384">
        <v>250</v>
      </c>
      <c r="CQ20" s="384">
        <v>250</v>
      </c>
      <c r="CR20" s="384">
        <v>250</v>
      </c>
      <c r="CS20" s="384">
        <v>250</v>
      </c>
      <c r="CT20" s="384">
        <v>250</v>
      </c>
      <c r="CU20" s="384">
        <v>250</v>
      </c>
      <c r="CV20" s="610">
        <v>250</v>
      </c>
      <c r="CW20" s="384">
        <v>250</v>
      </c>
      <c r="CX20" s="384">
        <v>250</v>
      </c>
      <c r="CY20" s="384">
        <v>250</v>
      </c>
      <c r="CZ20" s="384">
        <v>250</v>
      </c>
      <c r="DA20" s="384">
        <v>250</v>
      </c>
      <c r="DB20" s="384">
        <v>250</v>
      </c>
      <c r="DC20" s="384">
        <v>250</v>
      </c>
      <c r="DD20" s="384">
        <v>250</v>
      </c>
      <c r="DE20" s="384">
        <v>250</v>
      </c>
      <c r="DF20" s="614">
        <v>250</v>
      </c>
      <c r="DG20" s="384">
        <v>250</v>
      </c>
      <c r="DH20" s="384">
        <v>250</v>
      </c>
      <c r="DI20" s="384">
        <v>250</v>
      </c>
      <c r="DJ20" s="384">
        <v>250</v>
      </c>
      <c r="DK20" s="384">
        <v>250</v>
      </c>
      <c r="DL20" s="384">
        <v>250</v>
      </c>
      <c r="DM20" s="384">
        <v>250</v>
      </c>
      <c r="DN20" s="384">
        <v>250</v>
      </c>
      <c r="DO20" s="384">
        <v>250</v>
      </c>
      <c r="DP20" s="384">
        <v>250</v>
      </c>
      <c r="DQ20" s="697"/>
    </row>
    <row r="21" spans="1:121" s="384" customFormat="1" ht="21" x14ac:dyDescent="0.2">
      <c r="A21" s="897"/>
      <c r="B21" s="396" t="s">
        <v>1</v>
      </c>
      <c r="C21" s="764">
        <v>350</v>
      </c>
      <c r="D21" s="397" t="s">
        <v>244</v>
      </c>
      <c r="E21" s="674" t="s">
        <v>328</v>
      </c>
      <c r="R21" s="385"/>
      <c r="T21" s="385"/>
      <c r="X21" s="459"/>
      <c r="AK21" s="533">
        <v>200</v>
      </c>
      <c r="AL21" s="533">
        <v>250</v>
      </c>
      <c r="AM21" s="519">
        <v>270</v>
      </c>
      <c r="AN21" s="519">
        <v>290</v>
      </c>
      <c r="AO21" s="519">
        <v>310</v>
      </c>
      <c r="AP21" s="519">
        <v>330</v>
      </c>
      <c r="AQ21" s="519">
        <v>350</v>
      </c>
      <c r="AR21" s="519">
        <v>360</v>
      </c>
      <c r="AS21" s="519">
        <v>370</v>
      </c>
      <c r="AT21" s="519">
        <v>380</v>
      </c>
      <c r="AU21" s="519">
        <v>390</v>
      </c>
      <c r="AV21" s="519">
        <v>400</v>
      </c>
      <c r="AW21" s="519">
        <v>410</v>
      </c>
      <c r="AX21" s="519">
        <v>210</v>
      </c>
      <c r="AY21" s="519">
        <v>230</v>
      </c>
      <c r="AZ21" s="519">
        <v>250</v>
      </c>
      <c r="BA21" s="519">
        <v>270</v>
      </c>
      <c r="BB21" s="519">
        <v>290</v>
      </c>
      <c r="BC21" s="519">
        <v>310</v>
      </c>
      <c r="BD21" s="519">
        <v>330</v>
      </c>
      <c r="BE21" s="519">
        <v>350</v>
      </c>
      <c r="BF21" s="519">
        <v>370</v>
      </c>
      <c r="BG21" s="519">
        <v>390</v>
      </c>
      <c r="BH21" s="519">
        <v>400</v>
      </c>
      <c r="BI21" s="397">
        <v>25</v>
      </c>
      <c r="BJ21" s="519">
        <v>50</v>
      </c>
      <c r="BK21" s="519">
        <v>75</v>
      </c>
      <c r="BL21" s="519">
        <v>100</v>
      </c>
      <c r="BM21" s="519">
        <v>125</v>
      </c>
      <c r="BN21" s="519">
        <v>150</v>
      </c>
      <c r="BO21" s="519">
        <v>175</v>
      </c>
      <c r="BP21" s="519">
        <v>200</v>
      </c>
      <c r="BQ21" s="519">
        <v>225</v>
      </c>
      <c r="BR21" s="519">
        <v>250</v>
      </c>
      <c r="BS21" s="519">
        <v>275</v>
      </c>
      <c r="BT21" s="519">
        <v>300</v>
      </c>
      <c r="BU21" s="519">
        <v>325</v>
      </c>
      <c r="BV21" s="519">
        <v>350</v>
      </c>
      <c r="BW21" s="519">
        <v>375</v>
      </c>
      <c r="BX21" s="519">
        <v>385</v>
      </c>
      <c r="BY21" s="519">
        <v>395</v>
      </c>
      <c r="BZ21" s="519">
        <v>405</v>
      </c>
      <c r="CA21" s="519">
        <v>410</v>
      </c>
      <c r="CB21" s="519">
        <v>50</v>
      </c>
      <c r="CC21" s="519">
        <v>75</v>
      </c>
      <c r="CD21" s="519">
        <v>80</v>
      </c>
      <c r="CE21" s="519">
        <v>100</v>
      </c>
      <c r="CF21" s="519">
        <v>125</v>
      </c>
      <c r="CG21" s="519">
        <v>125</v>
      </c>
      <c r="CH21" s="519">
        <v>150</v>
      </c>
      <c r="CI21" s="519">
        <v>200</v>
      </c>
      <c r="CJ21" s="519">
        <v>250</v>
      </c>
      <c r="CK21" s="519">
        <v>300</v>
      </c>
      <c r="CL21" s="519">
        <v>350</v>
      </c>
      <c r="CM21" s="519">
        <v>390</v>
      </c>
      <c r="CN21" s="519">
        <v>400</v>
      </c>
      <c r="CO21" s="519">
        <v>410</v>
      </c>
      <c r="CP21" s="384">
        <v>410</v>
      </c>
      <c r="CQ21" s="384">
        <v>390</v>
      </c>
      <c r="CR21" s="384">
        <v>370</v>
      </c>
      <c r="CS21" s="384">
        <v>350</v>
      </c>
      <c r="CT21" s="384">
        <v>325</v>
      </c>
      <c r="CU21" s="384">
        <v>300</v>
      </c>
      <c r="CV21" s="610">
        <v>410</v>
      </c>
      <c r="CW21" s="610">
        <v>390</v>
      </c>
      <c r="CX21" s="384">
        <v>370</v>
      </c>
      <c r="CY21" s="384">
        <v>350</v>
      </c>
      <c r="CZ21" s="384">
        <v>330</v>
      </c>
      <c r="DA21" s="384">
        <v>310</v>
      </c>
      <c r="DB21" s="384">
        <v>290</v>
      </c>
      <c r="DC21" s="384">
        <v>270</v>
      </c>
      <c r="DD21" s="384">
        <v>250</v>
      </c>
      <c r="DE21" s="384">
        <v>200</v>
      </c>
      <c r="DF21" s="614">
        <v>410</v>
      </c>
      <c r="DG21" s="384">
        <v>390</v>
      </c>
      <c r="DH21" s="384">
        <v>370</v>
      </c>
      <c r="DI21" s="384">
        <v>350</v>
      </c>
      <c r="DJ21" s="384">
        <v>330</v>
      </c>
      <c r="DK21" s="384">
        <v>310</v>
      </c>
      <c r="DL21" s="384">
        <v>290</v>
      </c>
      <c r="DM21" s="384">
        <v>270</v>
      </c>
      <c r="DN21" s="384">
        <v>250</v>
      </c>
      <c r="DO21" s="384">
        <v>230</v>
      </c>
      <c r="DP21" s="384">
        <v>200</v>
      </c>
      <c r="DQ21" s="697"/>
    </row>
    <row r="22" spans="1:121" s="384" customFormat="1" ht="20" x14ac:dyDescent="0.2">
      <c r="A22" s="897"/>
      <c r="B22" s="396" t="s">
        <v>255</v>
      </c>
      <c r="C22" s="403">
        <v>8.5</v>
      </c>
      <c r="D22" s="397" t="s">
        <v>253</v>
      </c>
      <c r="E22" s="674" t="s">
        <v>329</v>
      </c>
      <c r="R22" s="385"/>
      <c r="T22" s="385"/>
      <c r="X22" s="459"/>
      <c r="AK22" s="534">
        <v>8.5</v>
      </c>
      <c r="AL22" s="534">
        <v>8.5</v>
      </c>
      <c r="AM22" s="403">
        <v>8.5</v>
      </c>
      <c r="AN22" s="403">
        <v>8.5</v>
      </c>
      <c r="AO22" s="403">
        <v>8.5</v>
      </c>
      <c r="AP22" s="403">
        <v>8.5</v>
      </c>
      <c r="AQ22" s="403">
        <v>8.5</v>
      </c>
      <c r="AR22" s="403">
        <v>8.5</v>
      </c>
      <c r="AS22" s="403">
        <v>8.5</v>
      </c>
      <c r="AT22" s="403">
        <v>8.5</v>
      </c>
      <c r="AU22" s="403">
        <v>8.5</v>
      </c>
      <c r="AV22" s="403">
        <v>8.5</v>
      </c>
      <c r="AW22" s="403">
        <v>8.5</v>
      </c>
      <c r="AX22" s="403">
        <v>8.5</v>
      </c>
      <c r="AY22" s="403">
        <v>8.5</v>
      </c>
      <c r="AZ22" s="403">
        <v>8.5</v>
      </c>
      <c r="BA22" s="403">
        <v>8.5</v>
      </c>
      <c r="BB22" s="403">
        <v>8.5</v>
      </c>
      <c r="BC22" s="403">
        <v>8.5</v>
      </c>
      <c r="BD22" s="403">
        <v>8.5</v>
      </c>
      <c r="BE22" s="403">
        <v>8.5</v>
      </c>
      <c r="BF22" s="403">
        <v>8.5</v>
      </c>
      <c r="BG22" s="403">
        <v>8.5</v>
      </c>
      <c r="BH22" s="403">
        <v>8.5</v>
      </c>
      <c r="BI22" s="397">
        <v>8.5</v>
      </c>
      <c r="BJ22" s="403">
        <v>8.5</v>
      </c>
      <c r="BK22" s="403">
        <v>8.5</v>
      </c>
      <c r="BL22" s="403">
        <v>8.5</v>
      </c>
      <c r="BM22" s="403">
        <v>8.5</v>
      </c>
      <c r="BN22" s="403">
        <v>8.5</v>
      </c>
      <c r="BO22" s="403"/>
      <c r="BP22" s="403"/>
      <c r="BQ22" s="403"/>
      <c r="BR22" s="403"/>
      <c r="BS22" s="403"/>
      <c r="BT22" s="403"/>
      <c r="BU22" s="403"/>
      <c r="BV22" s="403"/>
      <c r="BW22" s="403"/>
      <c r="BX22" s="403"/>
      <c r="BY22" s="403"/>
      <c r="BZ22" s="403"/>
      <c r="CA22" s="403"/>
      <c r="CB22" s="403"/>
      <c r="CC22" s="403"/>
      <c r="CD22" s="403"/>
      <c r="CE22" s="403"/>
      <c r="CF22" s="403"/>
      <c r="CG22" s="403"/>
      <c r="CH22" s="403"/>
      <c r="CI22" s="403"/>
      <c r="CJ22" s="403"/>
      <c r="CK22" s="403"/>
      <c r="CL22" s="403"/>
      <c r="CM22" s="403"/>
      <c r="CN22" s="403"/>
      <c r="CO22" s="403"/>
      <c r="CV22" s="610"/>
      <c r="DF22" s="614"/>
      <c r="DQ22" s="697"/>
    </row>
    <row r="23" spans="1:121" s="384" customFormat="1" ht="20" x14ac:dyDescent="0.2">
      <c r="A23" s="898"/>
      <c r="B23" s="396" t="s">
        <v>256</v>
      </c>
      <c r="C23" s="403" t="s">
        <v>156</v>
      </c>
      <c r="D23" s="397" t="s">
        <v>237</v>
      </c>
      <c r="E23" s="674" t="s">
        <v>257</v>
      </c>
      <c r="R23" s="385"/>
      <c r="T23" s="385"/>
      <c r="X23" s="459"/>
      <c r="AK23" s="534" t="s">
        <v>156</v>
      </c>
      <c r="AL23" s="534" t="s">
        <v>156</v>
      </c>
      <c r="AM23" s="403" t="s">
        <v>156</v>
      </c>
      <c r="AN23" s="403" t="s">
        <v>156</v>
      </c>
      <c r="AO23" s="403" t="s">
        <v>156</v>
      </c>
      <c r="AP23" s="403" t="s">
        <v>156</v>
      </c>
      <c r="AQ23" s="403" t="s">
        <v>156</v>
      </c>
      <c r="AR23" s="403" t="s">
        <v>156</v>
      </c>
      <c r="AS23" s="403" t="s">
        <v>156</v>
      </c>
      <c r="AT23" s="403" t="s">
        <v>156</v>
      </c>
      <c r="AU23" s="403" t="s">
        <v>156</v>
      </c>
      <c r="AV23" s="403" t="s">
        <v>156</v>
      </c>
      <c r="AW23" s="403" t="s">
        <v>156</v>
      </c>
      <c r="AX23" s="403" t="s">
        <v>156</v>
      </c>
      <c r="AY23" s="403" t="s">
        <v>156</v>
      </c>
      <c r="AZ23" s="403" t="s">
        <v>156</v>
      </c>
      <c r="BA23" s="403" t="s">
        <v>156</v>
      </c>
      <c r="BB23" s="403" t="s">
        <v>156</v>
      </c>
      <c r="BC23" s="403" t="s">
        <v>156</v>
      </c>
      <c r="BD23" s="403" t="s">
        <v>156</v>
      </c>
      <c r="BE23" s="403" t="s">
        <v>156</v>
      </c>
      <c r="BF23" s="403" t="s">
        <v>156</v>
      </c>
      <c r="BG23" s="403" t="s">
        <v>156</v>
      </c>
      <c r="BH23" s="403" t="s">
        <v>156</v>
      </c>
      <c r="BI23" s="397" t="s">
        <v>156</v>
      </c>
      <c r="BJ23" s="403" t="s">
        <v>156</v>
      </c>
      <c r="BK23" s="403" t="s">
        <v>156</v>
      </c>
      <c r="BL23" s="403" t="s">
        <v>156</v>
      </c>
      <c r="BM23" s="403" t="s">
        <v>156</v>
      </c>
      <c r="BN23" s="403" t="s">
        <v>156</v>
      </c>
      <c r="BO23" s="403" t="s">
        <v>156</v>
      </c>
      <c r="BP23" s="403" t="s">
        <v>156</v>
      </c>
      <c r="BQ23" s="403" t="s">
        <v>156</v>
      </c>
      <c r="BR23" s="403" t="s">
        <v>156</v>
      </c>
      <c r="BS23" s="403" t="s">
        <v>156</v>
      </c>
      <c r="BT23" s="403" t="s">
        <v>156</v>
      </c>
      <c r="BU23" s="403" t="s">
        <v>156</v>
      </c>
      <c r="BV23" s="403" t="s">
        <v>156</v>
      </c>
      <c r="BW23" s="403" t="s">
        <v>156</v>
      </c>
      <c r="BX23" s="403" t="s">
        <v>156</v>
      </c>
      <c r="BY23" s="403" t="s">
        <v>156</v>
      </c>
      <c r="BZ23" s="403" t="s">
        <v>156</v>
      </c>
      <c r="CA23" s="403" t="s">
        <v>156</v>
      </c>
      <c r="CB23" s="403" t="s">
        <v>156</v>
      </c>
      <c r="CC23" s="403" t="s">
        <v>156</v>
      </c>
      <c r="CD23" s="403" t="s">
        <v>156</v>
      </c>
      <c r="CE23" s="403" t="s">
        <v>156</v>
      </c>
      <c r="CF23" s="403" t="s">
        <v>156</v>
      </c>
      <c r="CG23" s="403" t="s">
        <v>156</v>
      </c>
      <c r="CH23" s="403" t="s">
        <v>156</v>
      </c>
      <c r="CI23" s="403" t="s">
        <v>156</v>
      </c>
      <c r="CJ23" s="403" t="s">
        <v>156</v>
      </c>
      <c r="CK23" s="403" t="s">
        <v>156</v>
      </c>
      <c r="CL23" s="403" t="s">
        <v>156</v>
      </c>
      <c r="CM23" s="403" t="s">
        <v>156</v>
      </c>
      <c r="CN23" s="403" t="s">
        <v>156</v>
      </c>
      <c r="CO23" s="403" t="s">
        <v>156</v>
      </c>
      <c r="CP23" s="384" t="s">
        <v>156</v>
      </c>
      <c r="CQ23" s="384" t="s">
        <v>156</v>
      </c>
      <c r="CR23" s="384" t="s">
        <v>156</v>
      </c>
      <c r="CS23" s="384" t="s">
        <v>156</v>
      </c>
      <c r="CT23" s="384" t="s">
        <v>156</v>
      </c>
      <c r="CU23" s="384" t="s">
        <v>156</v>
      </c>
      <c r="CV23" s="610" t="s">
        <v>156</v>
      </c>
      <c r="CW23" s="384" t="s">
        <v>156</v>
      </c>
      <c r="CX23" s="384" t="s">
        <v>156</v>
      </c>
      <c r="CY23" s="384" t="s">
        <v>156</v>
      </c>
      <c r="CZ23" s="384" t="s">
        <v>156</v>
      </c>
      <c r="DA23" s="384" t="s">
        <v>156</v>
      </c>
      <c r="DB23" s="384" t="s">
        <v>156</v>
      </c>
      <c r="DC23" s="384" t="s">
        <v>156</v>
      </c>
      <c r="DD23" s="384" t="s">
        <v>156</v>
      </c>
      <c r="DE23" s="384" t="s">
        <v>156</v>
      </c>
      <c r="DF23" s="614" t="s">
        <v>356</v>
      </c>
      <c r="DG23" s="384" t="s">
        <v>356</v>
      </c>
      <c r="DH23" s="384" t="s">
        <v>356</v>
      </c>
      <c r="DI23" s="384" t="s">
        <v>356</v>
      </c>
      <c r="DJ23" s="384" t="s">
        <v>356</v>
      </c>
      <c r="DK23" s="384" t="s">
        <v>356</v>
      </c>
      <c r="DL23" s="384" t="s">
        <v>356</v>
      </c>
      <c r="DM23" s="384" t="s">
        <v>356</v>
      </c>
      <c r="DN23" s="384" t="s">
        <v>356</v>
      </c>
      <c r="DO23" s="384" t="s">
        <v>356</v>
      </c>
      <c r="DP23" s="384" t="s">
        <v>356</v>
      </c>
      <c r="DQ23" s="697"/>
    </row>
    <row r="24" spans="1:121" s="384" customFormat="1" ht="20" x14ac:dyDescent="0.2">
      <c r="A24" s="888" t="s">
        <v>247</v>
      </c>
      <c r="B24" s="399" t="s">
        <v>242</v>
      </c>
      <c r="C24" s="400">
        <v>174.369</v>
      </c>
      <c r="D24" s="400" t="s">
        <v>51</v>
      </c>
      <c r="E24" s="675" t="s">
        <v>243</v>
      </c>
      <c r="R24" s="385"/>
      <c r="T24" s="385"/>
      <c r="X24" s="459"/>
      <c r="AK24" s="535">
        <v>174.369</v>
      </c>
      <c r="AL24" s="535">
        <v>174.369</v>
      </c>
      <c r="AM24" s="400">
        <v>174.369</v>
      </c>
      <c r="AN24" s="400">
        <v>174.369</v>
      </c>
      <c r="AO24" s="400">
        <v>174.369</v>
      </c>
      <c r="AP24" s="400">
        <v>174.369</v>
      </c>
      <c r="AQ24" s="400">
        <v>174.369</v>
      </c>
      <c r="AR24" s="400">
        <v>174.369</v>
      </c>
      <c r="AS24" s="400">
        <v>174.369</v>
      </c>
      <c r="AT24" s="400">
        <v>174.369</v>
      </c>
      <c r="AU24" s="400">
        <v>174.369</v>
      </c>
      <c r="AV24" s="400">
        <v>174.369</v>
      </c>
      <c r="AW24" s="400">
        <v>174.369</v>
      </c>
      <c r="AX24" s="400">
        <v>174.369</v>
      </c>
      <c r="AY24" s="400">
        <v>174.369</v>
      </c>
      <c r="AZ24" s="400">
        <v>174.369</v>
      </c>
      <c r="BA24" s="400">
        <v>174.369</v>
      </c>
      <c r="BB24" s="400">
        <v>174.369</v>
      </c>
      <c r="BC24" s="400">
        <v>174.369</v>
      </c>
      <c r="BD24" s="400">
        <v>174.369</v>
      </c>
      <c r="BE24" s="400">
        <v>174.369</v>
      </c>
      <c r="BF24" s="400">
        <v>174.369</v>
      </c>
      <c r="BG24" s="400">
        <v>174.369</v>
      </c>
      <c r="BH24" s="400">
        <v>174.369</v>
      </c>
      <c r="BI24" s="400">
        <v>174.369</v>
      </c>
      <c r="BJ24" s="400">
        <v>174.369</v>
      </c>
      <c r="BK24" s="400">
        <v>174.369</v>
      </c>
      <c r="BL24" s="400">
        <v>174.369</v>
      </c>
      <c r="BM24" s="400">
        <v>174.369</v>
      </c>
      <c r="BN24" s="400">
        <v>174.369</v>
      </c>
      <c r="BO24" s="400">
        <v>174.369</v>
      </c>
      <c r="BP24" s="400">
        <v>174.369</v>
      </c>
      <c r="BQ24" s="400">
        <v>174.369</v>
      </c>
      <c r="BR24" s="400">
        <v>174.369</v>
      </c>
      <c r="BS24" s="400">
        <v>174.369</v>
      </c>
      <c r="BT24" s="400">
        <v>174.369</v>
      </c>
      <c r="BU24" s="400">
        <v>174.369</v>
      </c>
      <c r="BV24" s="400">
        <v>174.369</v>
      </c>
      <c r="BW24" s="400">
        <v>174.369</v>
      </c>
      <c r="BX24" s="400">
        <v>174.369</v>
      </c>
      <c r="BY24" s="400">
        <v>174.369</v>
      </c>
      <c r="BZ24" s="400">
        <v>174.369</v>
      </c>
      <c r="CA24" s="400">
        <v>174.369</v>
      </c>
      <c r="CB24" s="400">
        <v>174.369</v>
      </c>
      <c r="CC24" s="400">
        <v>174.369</v>
      </c>
      <c r="CD24" s="400">
        <v>174.369</v>
      </c>
      <c r="CE24" s="400">
        <v>174.369</v>
      </c>
      <c r="CF24" s="400">
        <v>174.369</v>
      </c>
      <c r="CG24" s="400">
        <v>174.369</v>
      </c>
      <c r="CH24" s="400">
        <v>174.369</v>
      </c>
      <c r="CI24" s="400">
        <v>174.369</v>
      </c>
      <c r="CJ24" s="400">
        <v>174.369</v>
      </c>
      <c r="CK24" s="400">
        <v>174.369</v>
      </c>
      <c r="CL24" s="400">
        <v>174.369</v>
      </c>
      <c r="CM24" s="400">
        <v>174.369</v>
      </c>
      <c r="CN24" s="400">
        <v>174.369</v>
      </c>
      <c r="CO24" s="400">
        <v>174.369</v>
      </c>
      <c r="CP24" s="384">
        <v>174.369</v>
      </c>
      <c r="CQ24" s="384">
        <v>174.369</v>
      </c>
      <c r="CR24" s="384">
        <v>174.369</v>
      </c>
      <c r="CS24" s="384">
        <v>174.369</v>
      </c>
      <c r="CT24" s="384">
        <v>174.369</v>
      </c>
      <c r="CU24" s="384">
        <v>174.369</v>
      </c>
      <c r="CV24" s="610">
        <v>174.369</v>
      </c>
      <c r="CW24" s="384">
        <v>174.369</v>
      </c>
      <c r="CX24" s="384">
        <v>174.369</v>
      </c>
      <c r="CY24" s="384">
        <v>174.369</v>
      </c>
      <c r="CZ24" s="384">
        <v>174.369</v>
      </c>
      <c r="DA24" s="384">
        <v>174.369</v>
      </c>
      <c r="DB24" s="384">
        <v>174.369</v>
      </c>
      <c r="DC24" s="384">
        <v>174.369</v>
      </c>
      <c r="DD24" s="384">
        <v>174.369</v>
      </c>
      <c r="DE24" s="384">
        <v>174.369</v>
      </c>
      <c r="DF24" s="614">
        <v>174.369</v>
      </c>
      <c r="DG24" s="384">
        <v>174.369</v>
      </c>
      <c r="DH24" s="384">
        <v>174.369</v>
      </c>
      <c r="DI24" s="384">
        <v>174.369</v>
      </c>
      <c r="DJ24" s="384">
        <v>174.369</v>
      </c>
      <c r="DK24" s="384">
        <v>174.369</v>
      </c>
      <c r="DL24" s="384">
        <v>174.369</v>
      </c>
      <c r="DM24" s="384">
        <v>174.369</v>
      </c>
      <c r="DN24" s="384">
        <v>174.369</v>
      </c>
      <c r="DO24" s="384">
        <v>174.369</v>
      </c>
      <c r="DP24" s="384">
        <v>174.369</v>
      </c>
      <c r="DQ24" s="697"/>
    </row>
    <row r="25" spans="1:121" s="384" customFormat="1" ht="40" x14ac:dyDescent="0.2">
      <c r="A25" s="889"/>
      <c r="B25" s="399" t="s">
        <v>249</v>
      </c>
      <c r="C25" s="401">
        <v>1.4999999999999999E-2</v>
      </c>
      <c r="D25" s="400" t="s">
        <v>250</v>
      </c>
      <c r="E25" s="675" t="s">
        <v>251</v>
      </c>
      <c r="R25" s="385"/>
      <c r="T25" s="385"/>
      <c r="X25" s="459"/>
      <c r="AK25" s="536">
        <v>1.4999999999999999E-2</v>
      </c>
      <c r="AL25" s="536">
        <v>1.4999999999999999E-2</v>
      </c>
      <c r="AM25" s="401">
        <v>1.4999999999999999E-2</v>
      </c>
      <c r="AN25" s="401">
        <v>1.4999999999999999E-2</v>
      </c>
      <c r="AO25" s="401">
        <v>1.4999999999999999E-2</v>
      </c>
      <c r="AP25" s="401">
        <v>1.4999999999999999E-2</v>
      </c>
      <c r="AQ25" s="401">
        <v>1.4999999999999999E-2</v>
      </c>
      <c r="AR25" s="401">
        <v>1.4999999999999999E-2</v>
      </c>
      <c r="AS25" s="401">
        <v>1.4999999999999999E-2</v>
      </c>
      <c r="AT25" s="401">
        <v>1.4999999999999999E-2</v>
      </c>
      <c r="AU25" s="401">
        <v>1.4999999999999999E-2</v>
      </c>
      <c r="AV25" s="401">
        <v>1.4999999999999999E-2</v>
      </c>
      <c r="AW25" s="401">
        <v>1.4999999999999999E-2</v>
      </c>
      <c r="AX25" s="401">
        <v>1.4999999999999999E-2</v>
      </c>
      <c r="AY25" s="401">
        <v>1.4999999999999999E-2</v>
      </c>
      <c r="AZ25" s="401">
        <v>1.4999999999999999E-2</v>
      </c>
      <c r="BA25" s="401">
        <v>1.4999999999999999E-2</v>
      </c>
      <c r="BB25" s="401">
        <v>1.4999999999999999E-2</v>
      </c>
      <c r="BC25" s="401">
        <v>1.4999999999999999E-2</v>
      </c>
      <c r="BD25" s="401">
        <v>1.4999999999999999E-2</v>
      </c>
      <c r="BE25" s="401">
        <v>1.4999999999999999E-2</v>
      </c>
      <c r="BF25" s="401">
        <v>1.4999999999999999E-2</v>
      </c>
      <c r="BG25" s="401">
        <v>1.4999999999999999E-2</v>
      </c>
      <c r="BH25" s="401">
        <v>1.4999999999999999E-2</v>
      </c>
      <c r="BI25" s="400">
        <v>1.4999999999999999E-2</v>
      </c>
      <c r="BJ25" s="401">
        <v>1.4999999999999999E-2</v>
      </c>
      <c r="BK25" s="401">
        <v>1.4999999999999999E-2</v>
      </c>
      <c r="BL25" s="401">
        <v>1.4999999999999999E-2</v>
      </c>
      <c r="BM25" s="401">
        <v>1.4999999999999999E-2</v>
      </c>
      <c r="BN25" s="401">
        <v>1.4999999999999999E-2</v>
      </c>
      <c r="BO25" s="401">
        <v>1.4999999999999999E-2</v>
      </c>
      <c r="BP25" s="401">
        <v>1.4999999999999999E-2</v>
      </c>
      <c r="BQ25" s="401">
        <v>1.4999999999999999E-2</v>
      </c>
      <c r="BR25" s="401">
        <v>1.4999999999999999E-2</v>
      </c>
      <c r="BS25" s="401">
        <v>1.4999999999999999E-2</v>
      </c>
      <c r="BT25" s="401">
        <v>1.4999999999999999E-2</v>
      </c>
      <c r="BU25" s="401">
        <v>1.4999999999999999E-2</v>
      </c>
      <c r="BV25" s="401">
        <v>1.4999999999999999E-2</v>
      </c>
      <c r="BW25" s="401">
        <v>1.4999999999999999E-2</v>
      </c>
      <c r="BX25" s="401">
        <v>1.4999999999999999E-2</v>
      </c>
      <c r="BY25" s="401">
        <v>1.4999999999999999E-2</v>
      </c>
      <c r="BZ25" s="401">
        <v>1.4999999999999999E-2</v>
      </c>
      <c r="CA25" s="401">
        <v>1.4999999999999999E-2</v>
      </c>
      <c r="CB25" s="401">
        <v>1.4999999999999999E-2</v>
      </c>
      <c r="CC25" s="401">
        <v>1.4999999999999999E-2</v>
      </c>
      <c r="CD25" s="401">
        <v>1.4999999999999999E-2</v>
      </c>
      <c r="CE25" s="401">
        <v>1.4999999999999999E-2</v>
      </c>
      <c r="CF25" s="401">
        <v>1.4999999999999999E-2</v>
      </c>
      <c r="CG25" s="401">
        <v>1.4999999999999999E-2</v>
      </c>
      <c r="CH25" s="401">
        <v>1.4999999999999999E-2</v>
      </c>
      <c r="CI25" s="401">
        <v>1.4999999999999999E-2</v>
      </c>
      <c r="CJ25" s="401">
        <v>1.4999999999999999E-2</v>
      </c>
      <c r="CK25" s="401">
        <v>1.4999999999999999E-2</v>
      </c>
      <c r="CL25" s="401">
        <v>1.4999999999999999E-2</v>
      </c>
      <c r="CM25" s="401">
        <v>1.4999999999999999E-2</v>
      </c>
      <c r="CN25" s="401">
        <v>1.4999999999999999E-2</v>
      </c>
      <c r="CO25" s="401">
        <v>1.4999999999999999E-2</v>
      </c>
      <c r="CP25" s="384">
        <v>1.4999999999999999E-2</v>
      </c>
      <c r="CQ25" s="384">
        <v>1.4999999999999999E-2</v>
      </c>
      <c r="CR25" s="384">
        <v>1.4999999999999999E-2</v>
      </c>
      <c r="CS25" s="384">
        <v>1.4999999999999999E-2</v>
      </c>
      <c r="CT25" s="384">
        <v>1.4999999999999999E-2</v>
      </c>
      <c r="CU25" s="384">
        <v>1.4999999999999999E-2</v>
      </c>
      <c r="CV25" s="610">
        <v>1.4999999999999999E-2</v>
      </c>
      <c r="CW25" s="384">
        <v>1.4999999999999999E-2</v>
      </c>
      <c r="CX25" s="384">
        <v>1.4999999999999999E-2</v>
      </c>
      <c r="CY25" s="384">
        <v>1.4999999999999999E-2</v>
      </c>
      <c r="CZ25" s="384">
        <v>1.4999999999999999E-2</v>
      </c>
      <c r="DA25" s="384">
        <v>1.4999999999999999E-2</v>
      </c>
      <c r="DB25" s="384">
        <v>1.4999999999999999E-2</v>
      </c>
      <c r="DC25" s="384">
        <v>1.4999999999999999E-2</v>
      </c>
      <c r="DD25" s="384">
        <v>1.4999999999999999E-2</v>
      </c>
      <c r="DE25" s="384">
        <v>1.4999999999999999E-2</v>
      </c>
      <c r="DF25" s="614">
        <v>1.4999999999999999E-2</v>
      </c>
      <c r="DG25" s="384">
        <v>1.4999999999999999E-2</v>
      </c>
      <c r="DH25" s="384">
        <v>1.4999999999999999E-2</v>
      </c>
      <c r="DI25" s="384">
        <v>1.4999999999999999E-2</v>
      </c>
      <c r="DJ25" s="384">
        <v>1.4999999999999999E-2</v>
      </c>
      <c r="DK25" s="384">
        <v>1.4999999999999999E-2</v>
      </c>
      <c r="DL25" s="384">
        <v>1.4999999999999999E-2</v>
      </c>
      <c r="DM25" s="384">
        <v>1.4999999999999999E-2</v>
      </c>
      <c r="DN25" s="384">
        <v>1.4999999999999999E-2</v>
      </c>
      <c r="DO25" s="384">
        <v>1.4999999999999999E-2</v>
      </c>
      <c r="DP25" s="384">
        <v>1.4999999999999999E-2</v>
      </c>
      <c r="DQ25" s="697"/>
    </row>
    <row r="26" spans="1:121" s="384" customFormat="1" ht="40" x14ac:dyDescent="0.2">
      <c r="A26" s="889"/>
      <c r="B26" s="399" t="s">
        <v>264</v>
      </c>
      <c r="C26" s="415">
        <v>1.0209999999999999</v>
      </c>
      <c r="D26" s="416" t="s">
        <v>237</v>
      </c>
      <c r="E26" s="675" t="s">
        <v>330</v>
      </c>
      <c r="R26" s="385"/>
      <c r="T26" s="385"/>
      <c r="X26" s="459"/>
      <c r="AK26" s="537">
        <v>1.0209999999999999</v>
      </c>
      <c r="AL26" s="537">
        <v>1.0209999999999999</v>
      </c>
      <c r="AM26" s="415">
        <v>1.0209999999999999</v>
      </c>
      <c r="AN26" s="415">
        <v>1.0209999999999999</v>
      </c>
      <c r="AO26" s="415">
        <v>1.0209999999999999</v>
      </c>
      <c r="AP26" s="415">
        <v>1.0209999999999999</v>
      </c>
      <c r="AQ26" s="415">
        <v>1.0209999999999999</v>
      </c>
      <c r="AR26" s="415">
        <v>1.0209999999999999</v>
      </c>
      <c r="AS26" s="415">
        <v>1.0209999999999999</v>
      </c>
      <c r="AT26" s="415">
        <v>1.0209999999999999</v>
      </c>
      <c r="AU26" s="415">
        <v>1.0209999999999999</v>
      </c>
      <c r="AV26" s="415">
        <v>1.0209999999999999</v>
      </c>
      <c r="AW26" s="415">
        <v>1.0209999999999999</v>
      </c>
      <c r="AX26" s="415">
        <v>1.0209999999999999</v>
      </c>
      <c r="AY26" s="415">
        <v>1.0209999999999999</v>
      </c>
      <c r="AZ26" s="415">
        <v>1.0209999999999999</v>
      </c>
      <c r="BA26" s="415">
        <v>1.0209999999999999</v>
      </c>
      <c r="BB26" s="415">
        <v>1.0209999999999999</v>
      </c>
      <c r="BC26" s="415">
        <v>1.0209999999999999</v>
      </c>
      <c r="BD26" s="415">
        <v>1.0209999999999999</v>
      </c>
      <c r="BE26" s="415">
        <v>1.0209999999999999</v>
      </c>
      <c r="BF26" s="415">
        <v>1.0209999999999999</v>
      </c>
      <c r="BG26" s="415">
        <v>1.0209999999999999</v>
      </c>
      <c r="BH26" s="415">
        <v>1.0209999999999999</v>
      </c>
      <c r="BI26" s="416">
        <v>1.0209999999999999</v>
      </c>
      <c r="BJ26" s="415">
        <v>1.0209999999999999</v>
      </c>
      <c r="BK26" s="415">
        <v>1.0209999999999999</v>
      </c>
      <c r="BL26" s="415">
        <v>1.0209999999999999</v>
      </c>
      <c r="BM26" s="415">
        <v>1.0209999999999999</v>
      </c>
      <c r="BN26" s="415">
        <v>1.0209999999999999</v>
      </c>
      <c r="BO26" s="415">
        <v>1.0209999999999999</v>
      </c>
      <c r="BP26" s="415">
        <v>1.0209999999999999</v>
      </c>
      <c r="BQ26" s="415">
        <v>1.0209999999999999</v>
      </c>
      <c r="BR26" s="415">
        <v>1.0209999999999999</v>
      </c>
      <c r="BS26" s="415">
        <v>1.0209999999999999</v>
      </c>
      <c r="BT26" s="415">
        <v>1.0209999999999999</v>
      </c>
      <c r="BU26" s="415">
        <v>1.0209999999999999</v>
      </c>
      <c r="BV26" s="415">
        <v>1.0209999999999999</v>
      </c>
      <c r="BW26" s="415">
        <v>1.0209999999999999</v>
      </c>
      <c r="BX26" s="415">
        <v>1.0209999999999999</v>
      </c>
      <c r="BY26" s="415">
        <v>1.0209999999999999</v>
      </c>
      <c r="BZ26" s="415">
        <v>1.0209999999999999</v>
      </c>
      <c r="CA26" s="415">
        <v>1.0209999999999999</v>
      </c>
      <c r="CB26" s="415">
        <v>1.0209999999999999</v>
      </c>
      <c r="CC26" s="415">
        <v>1.0209999999999999</v>
      </c>
      <c r="CD26" s="415">
        <v>1.0209999999999999</v>
      </c>
      <c r="CE26" s="415">
        <v>1.0209999999999999</v>
      </c>
      <c r="CF26" s="415">
        <v>1.0209999999999999</v>
      </c>
      <c r="CG26" s="415">
        <v>1.0209999999999999</v>
      </c>
      <c r="CH26" s="415">
        <v>1.0209999999999999</v>
      </c>
      <c r="CI26" s="415">
        <v>1.0209999999999999</v>
      </c>
      <c r="CJ26" s="415">
        <v>1.0209999999999999</v>
      </c>
      <c r="CK26" s="415">
        <v>1.0209999999999999</v>
      </c>
      <c r="CL26" s="415">
        <v>1.0209999999999999</v>
      </c>
      <c r="CM26" s="415">
        <v>1.0209999999999999</v>
      </c>
      <c r="CN26" s="415">
        <v>1.0209999999999999</v>
      </c>
      <c r="CO26" s="415">
        <v>1.0209999999999999</v>
      </c>
      <c r="CP26" s="384">
        <v>1.0209999999999999</v>
      </c>
      <c r="CQ26" s="384">
        <v>1.0209999999999999</v>
      </c>
      <c r="CR26" s="384">
        <v>1.0209999999999999</v>
      </c>
      <c r="CS26" s="384">
        <v>1.0209999999999999</v>
      </c>
      <c r="CT26" s="384">
        <v>1.0209999999999999</v>
      </c>
      <c r="CU26" s="384">
        <v>1.0209999999999999</v>
      </c>
      <c r="CV26" s="610">
        <v>1.0209999999999999</v>
      </c>
      <c r="CW26" s="384">
        <v>1.0209999999999999</v>
      </c>
      <c r="CX26" s="384">
        <v>1.0209999999999999</v>
      </c>
      <c r="CY26" s="384">
        <v>1.0209999999999999</v>
      </c>
      <c r="CZ26" s="384">
        <v>1.0209999999999999</v>
      </c>
      <c r="DA26" s="384">
        <v>1.0209999999999999</v>
      </c>
      <c r="DB26" s="384">
        <v>1.0209999999999999</v>
      </c>
      <c r="DC26" s="384">
        <v>1.0209999999999999</v>
      </c>
      <c r="DD26" s="384">
        <v>1.0209999999999999</v>
      </c>
      <c r="DE26" s="384">
        <v>1.0209999999999999</v>
      </c>
      <c r="DF26" s="614">
        <v>1.0209999999999999</v>
      </c>
      <c r="DG26" s="384">
        <v>1.0209999999999999</v>
      </c>
      <c r="DH26" s="384">
        <v>1.0209999999999999</v>
      </c>
      <c r="DI26" s="384">
        <v>1.0209999999999999</v>
      </c>
      <c r="DJ26" s="384">
        <v>1.0209999999999999</v>
      </c>
      <c r="DK26" s="384">
        <v>1.0209999999999999</v>
      </c>
      <c r="DL26" s="384">
        <v>1.0209999999999999</v>
      </c>
      <c r="DM26" s="384">
        <v>1.0209999999999999</v>
      </c>
      <c r="DN26" s="384">
        <v>1.0209999999999999</v>
      </c>
      <c r="DO26" s="384">
        <v>1.0209999999999999</v>
      </c>
      <c r="DP26" s="384">
        <v>1.0209999999999999</v>
      </c>
      <c r="DQ26" s="697"/>
    </row>
    <row r="27" spans="1:121" s="384" customFormat="1" ht="20" x14ac:dyDescent="0.2">
      <c r="A27" s="889"/>
      <c r="B27" s="399" t="s">
        <v>335</v>
      </c>
      <c r="C27" s="417">
        <v>1000</v>
      </c>
      <c r="D27" s="400" t="s">
        <v>265</v>
      </c>
      <c r="E27" s="675" t="s">
        <v>322</v>
      </c>
      <c r="R27" s="385"/>
      <c r="T27" s="385"/>
      <c r="X27" s="459"/>
      <c r="AK27" s="538">
        <v>500</v>
      </c>
      <c r="AL27" s="538">
        <v>500</v>
      </c>
      <c r="AM27" s="417">
        <v>500</v>
      </c>
      <c r="AN27" s="417">
        <v>500</v>
      </c>
      <c r="AO27" s="417">
        <v>500</v>
      </c>
      <c r="AP27" s="417">
        <v>500</v>
      </c>
      <c r="AQ27" s="417">
        <v>500</v>
      </c>
      <c r="AR27" s="417">
        <v>500</v>
      </c>
      <c r="AS27" s="417">
        <v>500</v>
      </c>
      <c r="AT27" s="417">
        <v>500</v>
      </c>
      <c r="AU27" s="417">
        <v>500</v>
      </c>
      <c r="AV27" s="417">
        <v>500</v>
      </c>
      <c r="AW27" s="417">
        <v>500</v>
      </c>
      <c r="AX27" s="417">
        <v>500</v>
      </c>
      <c r="AY27" s="417">
        <v>500</v>
      </c>
      <c r="AZ27" s="417">
        <v>500</v>
      </c>
      <c r="BA27" s="417">
        <v>500</v>
      </c>
      <c r="BB27" s="417">
        <v>500</v>
      </c>
      <c r="BC27" s="417">
        <v>500</v>
      </c>
      <c r="BD27" s="417">
        <v>500</v>
      </c>
      <c r="BE27" s="417">
        <v>500</v>
      </c>
      <c r="BF27" s="417">
        <v>500</v>
      </c>
      <c r="BG27" s="417">
        <v>500</v>
      </c>
      <c r="BH27" s="417">
        <v>500</v>
      </c>
      <c r="BI27" s="400">
        <v>500</v>
      </c>
      <c r="BJ27" s="417">
        <v>500</v>
      </c>
      <c r="BK27" s="417">
        <v>500</v>
      </c>
      <c r="BL27" s="417">
        <v>500</v>
      </c>
      <c r="BM27" s="417">
        <v>500</v>
      </c>
      <c r="BN27" s="417">
        <v>500</v>
      </c>
      <c r="BO27" s="417">
        <v>500</v>
      </c>
      <c r="BP27" s="417">
        <v>500</v>
      </c>
      <c r="BQ27" s="417">
        <v>500</v>
      </c>
      <c r="BR27" s="417">
        <v>500</v>
      </c>
      <c r="BS27" s="417">
        <v>500</v>
      </c>
      <c r="BT27" s="417">
        <v>500</v>
      </c>
      <c r="BU27" s="417">
        <v>500</v>
      </c>
      <c r="BV27" s="417">
        <v>500</v>
      </c>
      <c r="BW27" s="417">
        <v>500</v>
      </c>
      <c r="BX27" s="417">
        <v>500</v>
      </c>
      <c r="BY27" s="417">
        <v>500</v>
      </c>
      <c r="BZ27" s="417">
        <v>500</v>
      </c>
      <c r="CA27" s="417">
        <v>500</v>
      </c>
      <c r="CB27" s="417">
        <v>500</v>
      </c>
      <c r="CC27" s="417">
        <v>500</v>
      </c>
      <c r="CD27" s="417">
        <v>500</v>
      </c>
      <c r="CE27" s="417">
        <v>500</v>
      </c>
      <c r="CF27" s="417">
        <v>500</v>
      </c>
      <c r="CG27" s="417">
        <v>500</v>
      </c>
      <c r="CH27" s="417">
        <v>500</v>
      </c>
      <c r="CI27" s="417">
        <v>500</v>
      </c>
      <c r="CJ27" s="417">
        <v>500</v>
      </c>
      <c r="CK27" s="417">
        <v>500</v>
      </c>
      <c r="CL27" s="417">
        <v>500</v>
      </c>
      <c r="CM27" s="417">
        <v>500</v>
      </c>
      <c r="CN27" s="417">
        <v>500</v>
      </c>
      <c r="CO27" s="417">
        <v>500</v>
      </c>
      <c r="CP27" s="384">
        <v>500</v>
      </c>
      <c r="CQ27" s="384">
        <v>500</v>
      </c>
      <c r="CR27" s="384">
        <v>500</v>
      </c>
      <c r="CS27" s="384">
        <v>500</v>
      </c>
      <c r="CT27" s="384">
        <v>500</v>
      </c>
      <c r="CU27" s="384">
        <v>500</v>
      </c>
      <c r="CV27" s="610">
        <v>1000</v>
      </c>
      <c r="CW27" s="384">
        <v>1000</v>
      </c>
      <c r="CX27" s="384">
        <v>1000</v>
      </c>
      <c r="CY27" s="384">
        <v>1000</v>
      </c>
      <c r="CZ27" s="384">
        <v>1000</v>
      </c>
      <c r="DA27" s="384">
        <v>1000</v>
      </c>
      <c r="DB27" s="384">
        <v>1000</v>
      </c>
      <c r="DC27" s="384">
        <v>1000</v>
      </c>
      <c r="DD27" s="384">
        <v>1000</v>
      </c>
      <c r="DE27" s="384">
        <v>1000</v>
      </c>
      <c r="DF27" s="614">
        <v>1000</v>
      </c>
      <c r="DG27" s="384">
        <v>1000</v>
      </c>
      <c r="DH27" s="384">
        <v>1000</v>
      </c>
      <c r="DI27" s="384">
        <v>1000</v>
      </c>
      <c r="DJ27" s="384">
        <v>1000</v>
      </c>
      <c r="DK27" s="384">
        <v>1000</v>
      </c>
      <c r="DL27" s="384">
        <v>1000</v>
      </c>
      <c r="DM27" s="384">
        <v>1000</v>
      </c>
      <c r="DN27" s="384">
        <v>1000</v>
      </c>
      <c r="DO27" s="384">
        <v>1000</v>
      </c>
      <c r="DP27" s="384">
        <v>1000</v>
      </c>
      <c r="DQ27" s="697"/>
    </row>
    <row r="28" spans="1:121" s="384" customFormat="1" ht="20" x14ac:dyDescent="0.2">
      <c r="A28" s="889"/>
      <c r="B28" s="399" t="s">
        <v>336</v>
      </c>
      <c r="C28" s="417">
        <v>-500</v>
      </c>
      <c r="D28" s="400" t="s">
        <v>265</v>
      </c>
      <c r="E28" s="675" t="s">
        <v>322</v>
      </c>
      <c r="R28" s="385"/>
      <c r="T28" s="385"/>
      <c r="X28" s="459"/>
      <c r="AK28" s="538">
        <v>-500</v>
      </c>
      <c r="AL28" s="538">
        <v>-500</v>
      </c>
      <c r="AM28" s="417">
        <v>-500</v>
      </c>
      <c r="AN28" s="417">
        <v>-500</v>
      </c>
      <c r="AO28" s="417">
        <v>-500</v>
      </c>
      <c r="AP28" s="417">
        <v>-500</v>
      </c>
      <c r="AQ28" s="417">
        <v>-500</v>
      </c>
      <c r="AR28" s="417">
        <v>-500</v>
      </c>
      <c r="AS28" s="417">
        <v>-500</v>
      </c>
      <c r="AT28" s="417">
        <v>-500</v>
      </c>
      <c r="AU28" s="417">
        <v>-500</v>
      </c>
      <c r="AV28" s="417">
        <v>-500</v>
      </c>
      <c r="AW28" s="417">
        <v>-500</v>
      </c>
      <c r="AX28" s="417">
        <v>-500</v>
      </c>
      <c r="AY28" s="417">
        <v>-500</v>
      </c>
      <c r="AZ28" s="417">
        <v>-500</v>
      </c>
      <c r="BA28" s="417">
        <v>-500</v>
      </c>
      <c r="BB28" s="417">
        <v>-500</v>
      </c>
      <c r="BC28" s="417">
        <v>-500</v>
      </c>
      <c r="BD28" s="417">
        <v>-500</v>
      </c>
      <c r="BE28" s="417">
        <v>-500</v>
      </c>
      <c r="BF28" s="417">
        <v>-500</v>
      </c>
      <c r="BG28" s="417">
        <v>-500</v>
      </c>
      <c r="BH28" s="417">
        <v>-500</v>
      </c>
      <c r="BI28" s="400">
        <v>-500</v>
      </c>
      <c r="BJ28" s="417">
        <v>-500</v>
      </c>
      <c r="BK28" s="417">
        <v>-500</v>
      </c>
      <c r="BL28" s="417">
        <v>-500</v>
      </c>
      <c r="BM28" s="417">
        <v>-500</v>
      </c>
      <c r="BN28" s="417">
        <v>-500</v>
      </c>
      <c r="BO28" s="417">
        <v>-500</v>
      </c>
      <c r="BP28" s="417">
        <v>-500</v>
      </c>
      <c r="BQ28" s="417">
        <v>-500</v>
      </c>
      <c r="BR28" s="417">
        <v>-500</v>
      </c>
      <c r="BS28" s="417">
        <v>-500</v>
      </c>
      <c r="BT28" s="417">
        <v>-500</v>
      </c>
      <c r="BU28" s="417">
        <v>-500</v>
      </c>
      <c r="BV28" s="417">
        <v>-500</v>
      </c>
      <c r="BW28" s="417">
        <v>-500</v>
      </c>
      <c r="BX28" s="417">
        <v>-500</v>
      </c>
      <c r="BY28" s="417">
        <v>-500</v>
      </c>
      <c r="BZ28" s="417">
        <v>-500</v>
      </c>
      <c r="CA28" s="417">
        <v>-500</v>
      </c>
      <c r="CB28" s="417">
        <v>-500</v>
      </c>
      <c r="CC28" s="417">
        <v>-500</v>
      </c>
      <c r="CD28" s="417">
        <v>-500</v>
      </c>
      <c r="CE28" s="417">
        <v>-500</v>
      </c>
      <c r="CF28" s="417">
        <v>-500</v>
      </c>
      <c r="CG28" s="417">
        <v>-500</v>
      </c>
      <c r="CH28" s="417">
        <v>-500</v>
      </c>
      <c r="CI28" s="417">
        <v>-500</v>
      </c>
      <c r="CJ28" s="417">
        <v>-500</v>
      </c>
      <c r="CK28" s="417">
        <v>-500</v>
      </c>
      <c r="CL28" s="417">
        <v>-500</v>
      </c>
      <c r="CM28" s="417">
        <v>-500</v>
      </c>
      <c r="CN28" s="417">
        <v>-500</v>
      </c>
      <c r="CO28" s="417">
        <v>-500</v>
      </c>
      <c r="CP28" s="384">
        <v>-500</v>
      </c>
      <c r="CQ28" s="384">
        <v>-500</v>
      </c>
      <c r="CR28" s="384">
        <v>-500</v>
      </c>
      <c r="CS28" s="384">
        <v>-500</v>
      </c>
      <c r="CT28" s="384">
        <v>-500</v>
      </c>
      <c r="CU28" s="384">
        <v>-500</v>
      </c>
      <c r="CV28" s="610">
        <v>-500</v>
      </c>
      <c r="CW28" s="384">
        <v>-500</v>
      </c>
      <c r="CX28" s="384">
        <v>-500</v>
      </c>
      <c r="CY28" s="384">
        <v>-500</v>
      </c>
      <c r="CZ28" s="384">
        <v>-500</v>
      </c>
      <c r="DA28" s="384">
        <v>-500</v>
      </c>
      <c r="DB28" s="384">
        <v>-500</v>
      </c>
      <c r="DC28" s="384">
        <v>-500</v>
      </c>
      <c r="DD28" s="384">
        <v>-500</v>
      </c>
      <c r="DE28" s="384">
        <v>-500</v>
      </c>
      <c r="DF28" s="614">
        <v>-500</v>
      </c>
      <c r="DG28" s="384">
        <v>-500</v>
      </c>
      <c r="DH28" s="384">
        <v>-500</v>
      </c>
      <c r="DI28" s="384">
        <v>-500</v>
      </c>
      <c r="DJ28" s="384">
        <v>-500</v>
      </c>
      <c r="DK28" s="384">
        <v>-500</v>
      </c>
      <c r="DL28" s="384">
        <v>-500</v>
      </c>
      <c r="DM28" s="384">
        <v>-500</v>
      </c>
      <c r="DN28" s="384">
        <v>-500</v>
      </c>
      <c r="DO28" s="384">
        <v>-500</v>
      </c>
      <c r="DP28" s="384">
        <v>-500</v>
      </c>
      <c r="DQ28" s="697"/>
    </row>
    <row r="29" spans="1:121" s="384" customFormat="1" ht="40" x14ac:dyDescent="0.2">
      <c r="A29" s="889"/>
      <c r="B29" s="399" t="s">
        <v>323</v>
      </c>
      <c r="C29" s="418">
        <v>0.37</v>
      </c>
      <c r="D29" s="400" t="s">
        <v>342</v>
      </c>
      <c r="E29" s="899" t="s">
        <v>338</v>
      </c>
      <c r="R29" s="385"/>
      <c r="T29" s="385"/>
      <c r="X29" s="459"/>
      <c r="AK29" s="539">
        <v>0.37</v>
      </c>
      <c r="AL29" s="539">
        <v>0.37</v>
      </c>
      <c r="AM29" s="418">
        <v>0.37</v>
      </c>
      <c r="AN29" s="418">
        <v>0.37</v>
      </c>
      <c r="AO29" s="418">
        <v>0.37</v>
      </c>
      <c r="AP29" s="418">
        <v>0.37</v>
      </c>
      <c r="AQ29" s="418">
        <v>0.37</v>
      </c>
      <c r="AR29" s="418">
        <v>0.37</v>
      </c>
      <c r="AS29" s="418">
        <v>0.37</v>
      </c>
      <c r="AT29" s="418">
        <v>0.37</v>
      </c>
      <c r="AU29" s="418">
        <v>0.37</v>
      </c>
      <c r="AV29" s="418">
        <v>0.37</v>
      </c>
      <c r="AW29" s="418">
        <v>0.37</v>
      </c>
      <c r="AX29" s="418">
        <v>0.37</v>
      </c>
      <c r="AY29" s="418">
        <v>0.37</v>
      </c>
      <c r="AZ29" s="418">
        <v>0.37</v>
      </c>
      <c r="BA29" s="418">
        <v>0.37</v>
      </c>
      <c r="BB29" s="418">
        <v>0.37</v>
      </c>
      <c r="BC29" s="418">
        <v>0.37</v>
      </c>
      <c r="BD29" s="418">
        <v>0.37</v>
      </c>
      <c r="BE29" s="418">
        <v>0.37</v>
      </c>
      <c r="BF29" s="418">
        <v>0.37</v>
      </c>
      <c r="BG29" s="418">
        <v>0.37</v>
      </c>
      <c r="BH29" s="418">
        <v>0.37</v>
      </c>
      <c r="BI29" s="400">
        <v>0.37</v>
      </c>
      <c r="BJ29" s="418">
        <v>0.37</v>
      </c>
      <c r="BK29" s="418">
        <v>0.37</v>
      </c>
      <c r="BL29" s="418">
        <v>0.37</v>
      </c>
      <c r="BM29" s="418">
        <v>0.37</v>
      </c>
      <c r="BN29" s="418">
        <v>0.37</v>
      </c>
      <c r="BO29" s="418">
        <v>0.37</v>
      </c>
      <c r="BP29" s="418">
        <v>0.37</v>
      </c>
      <c r="BQ29" s="418">
        <v>0.37</v>
      </c>
      <c r="BR29" s="418">
        <v>0.37</v>
      </c>
      <c r="BS29" s="418">
        <v>0.37</v>
      </c>
      <c r="BT29" s="418">
        <v>0.37</v>
      </c>
      <c r="BU29" s="418">
        <v>0.37</v>
      </c>
      <c r="BV29" s="418">
        <v>0.37</v>
      </c>
      <c r="BW29" s="418">
        <v>0.37</v>
      </c>
      <c r="BX29" s="418">
        <v>0.37</v>
      </c>
      <c r="BY29" s="418">
        <v>0.37</v>
      </c>
      <c r="BZ29" s="418">
        <v>0.37</v>
      </c>
      <c r="CA29" s="418">
        <v>0.37</v>
      </c>
      <c r="CB29" s="418">
        <v>0.37</v>
      </c>
      <c r="CC29" s="418">
        <v>0.37</v>
      </c>
      <c r="CD29" s="418">
        <v>0.37</v>
      </c>
      <c r="CE29" s="418">
        <v>0.37</v>
      </c>
      <c r="CF29" s="418">
        <v>0.37</v>
      </c>
      <c r="CG29" s="418">
        <v>0.37</v>
      </c>
      <c r="CH29" s="418">
        <v>0.37</v>
      </c>
      <c r="CI29" s="418">
        <v>0.37</v>
      </c>
      <c r="CJ29" s="418">
        <v>0.37</v>
      </c>
      <c r="CK29" s="418">
        <v>0.37</v>
      </c>
      <c r="CL29" s="418">
        <v>0.37</v>
      </c>
      <c r="CM29" s="418">
        <v>0.37</v>
      </c>
      <c r="CN29" s="418">
        <v>0.37</v>
      </c>
      <c r="CO29" s="418">
        <v>0.37</v>
      </c>
      <c r="CP29" s="384">
        <v>0.37</v>
      </c>
      <c r="CQ29" s="384">
        <v>0.37</v>
      </c>
      <c r="CR29" s="384">
        <v>0.37</v>
      </c>
      <c r="CS29" s="384">
        <v>0.37</v>
      </c>
      <c r="CT29" s="384">
        <v>0.37</v>
      </c>
      <c r="CU29" s="384">
        <v>0.37</v>
      </c>
      <c r="CV29" s="610">
        <v>0.37</v>
      </c>
      <c r="CW29" s="384">
        <v>0.37</v>
      </c>
      <c r="CX29" s="384">
        <v>0.37</v>
      </c>
      <c r="CY29" s="384">
        <v>0.37</v>
      </c>
      <c r="CZ29" s="384">
        <v>0.37</v>
      </c>
      <c r="DA29" s="384">
        <v>0.37</v>
      </c>
      <c r="DB29" s="384">
        <v>0.37</v>
      </c>
      <c r="DC29" s="384">
        <v>0.37</v>
      </c>
      <c r="DD29" s="384">
        <v>0.37</v>
      </c>
      <c r="DE29" s="384">
        <v>0.37</v>
      </c>
      <c r="DF29" s="614">
        <v>0.37</v>
      </c>
      <c r="DG29" s="384">
        <v>0.37</v>
      </c>
      <c r="DH29" s="384">
        <v>0.37</v>
      </c>
      <c r="DI29" s="384">
        <v>0.37</v>
      </c>
      <c r="DJ29" s="384">
        <v>0.37</v>
      </c>
      <c r="DK29" s="384">
        <v>0.37</v>
      </c>
      <c r="DL29" s="384">
        <v>0.37</v>
      </c>
      <c r="DM29" s="384">
        <v>0.37</v>
      </c>
      <c r="DN29" s="384">
        <v>0.37</v>
      </c>
      <c r="DO29" s="384">
        <v>0.37</v>
      </c>
      <c r="DP29" s="384">
        <v>0.37</v>
      </c>
      <c r="DQ29" s="697"/>
    </row>
    <row r="30" spans="1:121" s="384" customFormat="1" ht="60" x14ac:dyDescent="0.2">
      <c r="A30" s="889"/>
      <c r="B30" s="399" t="s">
        <v>334</v>
      </c>
      <c r="C30" s="418">
        <v>-0.5</v>
      </c>
      <c r="D30" s="400" t="s">
        <v>343</v>
      </c>
      <c r="E30" s="900"/>
      <c r="R30" s="385"/>
      <c r="T30" s="385"/>
      <c r="X30" s="459"/>
      <c r="AK30" s="539">
        <v>-0.5</v>
      </c>
      <c r="AL30" s="539">
        <v>-0.5</v>
      </c>
      <c r="AM30" s="418">
        <v>-0.5</v>
      </c>
      <c r="AN30" s="418">
        <v>-0.5</v>
      </c>
      <c r="AO30" s="418">
        <v>-0.5</v>
      </c>
      <c r="AP30" s="418">
        <v>-0.5</v>
      </c>
      <c r="AQ30" s="418">
        <v>-0.5</v>
      </c>
      <c r="AR30" s="418">
        <v>-0.5</v>
      </c>
      <c r="AS30" s="418">
        <v>-0.5</v>
      </c>
      <c r="AT30" s="418">
        <v>-0.5</v>
      </c>
      <c r="AU30" s="418">
        <v>-0.5</v>
      </c>
      <c r="AV30" s="418">
        <v>-0.5</v>
      </c>
      <c r="AW30" s="418">
        <v>-0.5</v>
      </c>
      <c r="AX30" s="418">
        <v>-0.5</v>
      </c>
      <c r="AY30" s="418">
        <v>-0.5</v>
      </c>
      <c r="AZ30" s="418">
        <v>-0.5</v>
      </c>
      <c r="BA30" s="418">
        <v>-0.5</v>
      </c>
      <c r="BB30" s="418">
        <v>-0.5</v>
      </c>
      <c r="BC30" s="418">
        <v>-0.5</v>
      </c>
      <c r="BD30" s="418">
        <v>-0.5</v>
      </c>
      <c r="BE30" s="418">
        <v>-0.5</v>
      </c>
      <c r="BF30" s="418">
        <v>-0.5</v>
      </c>
      <c r="BG30" s="418">
        <v>-0.5</v>
      </c>
      <c r="BH30" s="418">
        <v>-0.5</v>
      </c>
      <c r="BI30" s="400">
        <v>-0.5</v>
      </c>
      <c r="BJ30" s="418">
        <v>-0.5</v>
      </c>
      <c r="BK30" s="418">
        <v>-0.5</v>
      </c>
      <c r="BL30" s="418">
        <v>-0.5</v>
      </c>
      <c r="BM30" s="418">
        <v>-0.5</v>
      </c>
      <c r="BN30" s="418">
        <v>-0.5</v>
      </c>
      <c r="BO30" s="418">
        <v>-0.5</v>
      </c>
      <c r="BP30" s="418">
        <v>-0.5</v>
      </c>
      <c r="BQ30" s="418">
        <v>-0.5</v>
      </c>
      <c r="BR30" s="418">
        <v>-0.5</v>
      </c>
      <c r="BS30" s="418">
        <v>-0.5</v>
      </c>
      <c r="BT30" s="418">
        <v>-0.5</v>
      </c>
      <c r="BU30" s="418">
        <v>-0.5</v>
      </c>
      <c r="BV30" s="418">
        <v>-0.5</v>
      </c>
      <c r="BW30" s="418">
        <v>-0.5</v>
      </c>
      <c r="BX30" s="418">
        <v>-0.5</v>
      </c>
      <c r="BY30" s="418">
        <v>-0.5</v>
      </c>
      <c r="BZ30" s="418">
        <v>-0.5</v>
      </c>
      <c r="CA30" s="418">
        <v>-0.5</v>
      </c>
      <c r="CB30" s="418">
        <v>-0.5</v>
      </c>
      <c r="CC30" s="418">
        <v>-0.5</v>
      </c>
      <c r="CD30" s="418">
        <v>-0.5</v>
      </c>
      <c r="CE30" s="418">
        <v>-0.5</v>
      </c>
      <c r="CF30" s="418">
        <v>-0.5</v>
      </c>
      <c r="CG30" s="418">
        <v>-0.5</v>
      </c>
      <c r="CH30" s="418">
        <v>-0.5</v>
      </c>
      <c r="CI30" s="418">
        <v>-0.5</v>
      </c>
      <c r="CJ30" s="418">
        <v>-0.5</v>
      </c>
      <c r="CK30" s="418">
        <v>-0.5</v>
      </c>
      <c r="CL30" s="418">
        <v>-0.5</v>
      </c>
      <c r="CM30" s="418">
        <v>-0.5</v>
      </c>
      <c r="CN30" s="418">
        <v>-0.5</v>
      </c>
      <c r="CO30" s="418">
        <v>-0.5</v>
      </c>
      <c r="CP30" s="384">
        <v>-0.5</v>
      </c>
      <c r="CQ30" s="384">
        <v>-0.5</v>
      </c>
      <c r="CR30" s="384">
        <v>-0.5</v>
      </c>
      <c r="CS30" s="384">
        <v>-0.5</v>
      </c>
      <c r="CT30" s="384">
        <v>-0.5</v>
      </c>
      <c r="CU30" s="384">
        <v>-0.5</v>
      </c>
      <c r="CV30" s="610">
        <v>-0.5</v>
      </c>
      <c r="CW30" s="384">
        <v>-0.5</v>
      </c>
      <c r="CX30" s="384">
        <v>-0.5</v>
      </c>
      <c r="CY30" s="384">
        <v>-0.5</v>
      </c>
      <c r="CZ30" s="384">
        <v>-0.5</v>
      </c>
      <c r="DA30" s="384">
        <v>-0.5</v>
      </c>
      <c r="DB30" s="384">
        <v>-0.5</v>
      </c>
      <c r="DC30" s="384">
        <v>-0.5</v>
      </c>
      <c r="DD30" s="384">
        <v>-0.5</v>
      </c>
      <c r="DE30" s="384">
        <v>-0.5</v>
      </c>
      <c r="DF30" s="614">
        <v>-0.5</v>
      </c>
      <c r="DG30" s="384">
        <v>-0.5</v>
      </c>
      <c r="DH30" s="384">
        <v>-0.5</v>
      </c>
      <c r="DI30" s="384">
        <v>-0.5</v>
      </c>
      <c r="DJ30" s="384">
        <v>-0.5</v>
      </c>
      <c r="DK30" s="384">
        <v>-0.5</v>
      </c>
      <c r="DL30" s="384">
        <v>-0.5</v>
      </c>
      <c r="DM30" s="384">
        <v>-0.5</v>
      </c>
      <c r="DN30" s="384">
        <v>-0.5</v>
      </c>
      <c r="DO30" s="384">
        <v>-0.5</v>
      </c>
      <c r="DP30" s="384">
        <v>-0.5</v>
      </c>
      <c r="DQ30" s="697"/>
    </row>
    <row r="31" spans="1:121" s="384" customFormat="1" ht="60" x14ac:dyDescent="0.2">
      <c r="A31" s="889"/>
      <c r="B31" s="399" t="s">
        <v>339</v>
      </c>
      <c r="C31" s="491">
        <v>-2000</v>
      </c>
      <c r="D31" s="400" t="s">
        <v>265</v>
      </c>
      <c r="E31" s="676"/>
      <c r="R31" s="385"/>
      <c r="T31" s="385"/>
      <c r="X31" s="459"/>
      <c r="AK31" s="540">
        <v>-2000</v>
      </c>
      <c r="AL31" s="540">
        <v>-2000</v>
      </c>
      <c r="AM31" s="491">
        <v>-2000</v>
      </c>
      <c r="AN31" s="491">
        <v>-2000</v>
      </c>
      <c r="AO31" s="491">
        <v>-2000</v>
      </c>
      <c r="AP31" s="491">
        <v>-2000</v>
      </c>
      <c r="AQ31" s="491">
        <v>-2000</v>
      </c>
      <c r="AR31" s="491">
        <v>-2000</v>
      </c>
      <c r="AS31" s="491">
        <v>-2000</v>
      </c>
      <c r="AT31" s="491">
        <v>-2000</v>
      </c>
      <c r="AU31" s="491">
        <v>-2000</v>
      </c>
      <c r="AV31" s="491">
        <v>-2000</v>
      </c>
      <c r="AW31" s="491">
        <v>-2000</v>
      </c>
      <c r="AX31" s="491">
        <v>-2000</v>
      </c>
      <c r="AY31" s="491">
        <v>-2000</v>
      </c>
      <c r="AZ31" s="491">
        <v>-2000</v>
      </c>
      <c r="BA31" s="491">
        <v>-2000</v>
      </c>
      <c r="BB31" s="491">
        <v>-2000</v>
      </c>
      <c r="BC31" s="491">
        <v>-2000</v>
      </c>
      <c r="BD31" s="491">
        <v>-2000</v>
      </c>
      <c r="BE31" s="491">
        <v>-2000</v>
      </c>
      <c r="BF31" s="491">
        <v>-2000</v>
      </c>
      <c r="BG31" s="491">
        <v>-2000</v>
      </c>
      <c r="BH31" s="491">
        <v>-2000</v>
      </c>
      <c r="BI31" s="400">
        <v>-2000</v>
      </c>
      <c r="BJ31" s="491">
        <v>-2000</v>
      </c>
      <c r="BK31" s="491">
        <v>-2000</v>
      </c>
      <c r="BL31" s="491">
        <v>-2000</v>
      </c>
      <c r="BM31" s="491">
        <v>-2000</v>
      </c>
      <c r="BN31" s="491">
        <v>-2000</v>
      </c>
      <c r="BO31" s="491">
        <v>-2000</v>
      </c>
      <c r="BP31" s="491">
        <v>-2000</v>
      </c>
      <c r="BQ31" s="491">
        <v>-2000</v>
      </c>
      <c r="BR31" s="491">
        <v>-2000</v>
      </c>
      <c r="BS31" s="491">
        <v>-2000</v>
      </c>
      <c r="BT31" s="491">
        <v>-2000</v>
      </c>
      <c r="BU31" s="491">
        <v>-2000</v>
      </c>
      <c r="BV31" s="491">
        <v>-2000</v>
      </c>
      <c r="BW31" s="491">
        <v>-2000</v>
      </c>
      <c r="BX31" s="491">
        <v>-2000</v>
      </c>
      <c r="BY31" s="491">
        <v>-2000</v>
      </c>
      <c r="BZ31" s="491">
        <v>-2000</v>
      </c>
      <c r="CA31" s="491">
        <v>-2000</v>
      </c>
      <c r="CB31" s="491">
        <v>-2000</v>
      </c>
      <c r="CC31" s="491">
        <v>-2000</v>
      </c>
      <c r="CD31" s="491">
        <v>-2000</v>
      </c>
      <c r="CE31" s="491">
        <v>-2000</v>
      </c>
      <c r="CF31" s="491">
        <v>-2000</v>
      </c>
      <c r="CG31" s="491">
        <v>-2000</v>
      </c>
      <c r="CH31" s="491">
        <v>-2000</v>
      </c>
      <c r="CI31" s="491">
        <v>-2000</v>
      </c>
      <c r="CJ31" s="491">
        <v>-2000</v>
      </c>
      <c r="CK31" s="491">
        <v>-2000</v>
      </c>
      <c r="CL31" s="491">
        <v>-2000</v>
      </c>
      <c r="CM31" s="491">
        <v>-2000</v>
      </c>
      <c r="CN31" s="491">
        <v>-2000</v>
      </c>
      <c r="CO31" s="491">
        <v>-2000</v>
      </c>
      <c r="CP31" s="384">
        <v>-2000</v>
      </c>
      <c r="CQ31" s="384">
        <v>-2000</v>
      </c>
      <c r="CR31" s="384">
        <v>-2000</v>
      </c>
      <c r="CS31" s="384">
        <v>-2000</v>
      </c>
      <c r="CT31" s="384">
        <v>-2000</v>
      </c>
      <c r="CU31" s="384">
        <v>-2000</v>
      </c>
      <c r="CV31" s="610">
        <v>-2000</v>
      </c>
      <c r="CW31" s="384">
        <v>-2000</v>
      </c>
      <c r="CX31" s="384">
        <v>-2000</v>
      </c>
      <c r="CY31" s="384">
        <v>-2000</v>
      </c>
      <c r="CZ31" s="384">
        <v>-2000</v>
      </c>
      <c r="DA31" s="384">
        <v>-2000</v>
      </c>
      <c r="DB31" s="384">
        <v>-2000</v>
      </c>
      <c r="DC31" s="384">
        <v>-2000</v>
      </c>
      <c r="DD31" s="384">
        <v>-2000</v>
      </c>
      <c r="DE31" s="384">
        <v>-2000</v>
      </c>
      <c r="DF31" s="614">
        <v>-2000</v>
      </c>
      <c r="DG31" s="384">
        <v>-2000</v>
      </c>
      <c r="DH31" s="384">
        <v>-2000</v>
      </c>
      <c r="DI31" s="384">
        <v>-2000</v>
      </c>
      <c r="DJ31" s="384">
        <v>-2000</v>
      </c>
      <c r="DK31" s="384">
        <v>-2000</v>
      </c>
      <c r="DL31" s="384">
        <v>-2000</v>
      </c>
      <c r="DM31" s="384">
        <v>-2000</v>
      </c>
      <c r="DN31" s="384">
        <v>-2000</v>
      </c>
      <c r="DO31" s="384">
        <v>-2000</v>
      </c>
      <c r="DP31" s="384">
        <v>-2000</v>
      </c>
      <c r="DQ31" s="697"/>
    </row>
    <row r="32" spans="1:121" s="384" customFormat="1" ht="80" x14ac:dyDescent="0.2">
      <c r="A32" s="889"/>
      <c r="B32" s="399" t="s">
        <v>337</v>
      </c>
      <c r="C32" s="405">
        <v>870</v>
      </c>
      <c r="D32" s="400" t="s">
        <v>258</v>
      </c>
      <c r="E32" s="675" t="s">
        <v>340</v>
      </c>
      <c r="R32" s="385"/>
      <c r="T32" s="385"/>
      <c r="X32" s="459"/>
      <c r="AI32" s="602">
        <f>41706+17/1440+30/86400</f>
        <v>41706.012152777781</v>
      </c>
      <c r="AJ32" s="385">
        <f>AI32+AI33</f>
        <v>41706.014930555561</v>
      </c>
      <c r="AK32" s="541">
        <v>870</v>
      </c>
      <c r="AL32" s="541">
        <v>870</v>
      </c>
      <c r="AM32" s="405">
        <v>870</v>
      </c>
      <c r="AN32" s="405">
        <v>870</v>
      </c>
      <c r="AO32" s="405">
        <v>870</v>
      </c>
      <c r="AP32" s="405">
        <v>870</v>
      </c>
      <c r="AQ32" s="405">
        <v>870</v>
      </c>
      <c r="AR32" s="405">
        <v>870</v>
      </c>
      <c r="AS32" s="405">
        <v>870</v>
      </c>
      <c r="AT32" s="405">
        <v>870</v>
      </c>
      <c r="AU32" s="405">
        <v>870</v>
      </c>
      <c r="AV32" s="405">
        <v>870</v>
      </c>
      <c r="AW32" s="405">
        <v>870</v>
      </c>
      <c r="AX32" s="405">
        <v>870</v>
      </c>
      <c r="AY32" s="405">
        <v>870</v>
      </c>
      <c r="AZ32" s="405">
        <v>870</v>
      </c>
      <c r="BA32" s="405">
        <v>870</v>
      </c>
      <c r="BB32" s="405">
        <v>870</v>
      </c>
      <c r="BC32" s="405">
        <v>870</v>
      </c>
      <c r="BD32" s="405">
        <v>870</v>
      </c>
      <c r="BE32" s="405">
        <v>870</v>
      </c>
      <c r="BF32" s="405">
        <v>870</v>
      </c>
      <c r="BG32" s="405">
        <v>870</v>
      </c>
      <c r="BH32" s="405">
        <v>870</v>
      </c>
      <c r="BI32" s="400">
        <v>870</v>
      </c>
      <c r="BJ32" s="405">
        <v>870</v>
      </c>
      <c r="BK32" s="405">
        <v>870</v>
      </c>
      <c r="BL32" s="405">
        <v>870</v>
      </c>
      <c r="BM32" s="405">
        <v>870</v>
      </c>
      <c r="BN32" s="405">
        <v>870</v>
      </c>
      <c r="BO32" s="405">
        <v>870</v>
      </c>
      <c r="BP32" s="405">
        <v>870</v>
      </c>
      <c r="BQ32" s="405">
        <v>870</v>
      </c>
      <c r="BR32" s="405">
        <v>870</v>
      </c>
      <c r="BS32" s="405">
        <v>870</v>
      </c>
      <c r="BT32" s="405">
        <v>870</v>
      </c>
      <c r="BU32" s="405">
        <v>870</v>
      </c>
      <c r="BV32" s="405">
        <v>870</v>
      </c>
      <c r="BW32" s="405">
        <v>870</v>
      </c>
      <c r="BX32" s="405">
        <v>870</v>
      </c>
      <c r="BY32" s="405">
        <v>870</v>
      </c>
      <c r="BZ32" s="405">
        <v>870</v>
      </c>
      <c r="CA32" s="405">
        <v>870</v>
      </c>
      <c r="CB32" s="405">
        <v>870</v>
      </c>
      <c r="CC32" s="405">
        <v>870</v>
      </c>
      <c r="CD32" s="405">
        <v>870</v>
      </c>
      <c r="CE32" s="405">
        <v>870</v>
      </c>
      <c r="CF32" s="405">
        <v>870</v>
      </c>
      <c r="CG32" s="405">
        <v>870</v>
      </c>
      <c r="CH32" s="405">
        <v>870</v>
      </c>
      <c r="CI32" s="405">
        <v>870</v>
      </c>
      <c r="CJ32" s="405">
        <v>870</v>
      </c>
      <c r="CK32" s="405">
        <v>870</v>
      </c>
      <c r="CL32" s="405">
        <v>870</v>
      </c>
      <c r="CM32" s="405">
        <v>870</v>
      </c>
      <c r="CN32" s="405">
        <v>870</v>
      </c>
      <c r="CO32" s="405">
        <v>870</v>
      </c>
      <c r="CP32" s="384">
        <v>870</v>
      </c>
      <c r="CQ32" s="384">
        <v>870</v>
      </c>
      <c r="CR32" s="384">
        <v>870</v>
      </c>
      <c r="CS32" s="384">
        <v>870</v>
      </c>
      <c r="CT32" s="384">
        <v>870</v>
      </c>
      <c r="CU32" s="384">
        <v>870</v>
      </c>
      <c r="CV32" s="610">
        <v>870</v>
      </c>
      <c r="CW32" s="384">
        <v>870</v>
      </c>
      <c r="CX32" s="384">
        <v>870</v>
      </c>
      <c r="CY32" s="384">
        <v>870</v>
      </c>
      <c r="CZ32" s="384">
        <v>870</v>
      </c>
      <c r="DA32" s="384">
        <v>870</v>
      </c>
      <c r="DB32" s="384">
        <v>870</v>
      </c>
      <c r="DC32" s="384">
        <v>870</v>
      </c>
      <c r="DD32" s="384">
        <v>870</v>
      </c>
      <c r="DE32" s="384">
        <v>870</v>
      </c>
      <c r="DF32" s="614">
        <v>870</v>
      </c>
      <c r="DG32" s="384">
        <v>870</v>
      </c>
      <c r="DH32" s="384">
        <v>870</v>
      </c>
      <c r="DI32" s="384">
        <v>870</v>
      </c>
      <c r="DJ32" s="384">
        <v>870</v>
      </c>
      <c r="DK32" s="384">
        <v>870</v>
      </c>
      <c r="DL32" s="384">
        <v>870</v>
      </c>
      <c r="DM32" s="384">
        <v>870</v>
      </c>
      <c r="DN32" s="384">
        <v>870</v>
      </c>
      <c r="DO32" s="384">
        <v>870</v>
      </c>
      <c r="DP32" s="384">
        <v>870</v>
      </c>
      <c r="DQ32" s="697"/>
    </row>
    <row r="33" spans="1:121" s="384" customFormat="1" ht="51" x14ac:dyDescent="0.2">
      <c r="A33" s="890"/>
      <c r="B33" s="399" t="s">
        <v>259</v>
      </c>
      <c r="C33" s="405">
        <f>0.025*3500</f>
        <v>87.5</v>
      </c>
      <c r="D33" s="400" t="s">
        <v>258</v>
      </c>
      <c r="E33" s="675" t="s">
        <v>348</v>
      </c>
      <c r="R33" s="385"/>
      <c r="T33" s="385"/>
      <c r="X33" s="459"/>
      <c r="AI33" s="384">
        <f>4/1440</f>
        <v>2.7777777777777779E-3</v>
      </c>
      <c r="AJ33" s="385">
        <f>AI32-AI33</f>
        <v>41706.009375000001</v>
      </c>
      <c r="AK33" s="541">
        <v>87.5</v>
      </c>
      <c r="AL33" s="541">
        <v>87.5</v>
      </c>
      <c r="AM33" s="405">
        <v>87.5</v>
      </c>
      <c r="AN33" s="405">
        <v>87.5</v>
      </c>
      <c r="AO33" s="405">
        <v>87.5</v>
      </c>
      <c r="AP33" s="405">
        <v>87.5</v>
      </c>
      <c r="AQ33" s="405">
        <v>87.5</v>
      </c>
      <c r="AR33" s="405">
        <v>87.5</v>
      </c>
      <c r="AS33" s="405">
        <v>87.5</v>
      </c>
      <c r="AT33" s="405">
        <v>87.5</v>
      </c>
      <c r="AU33" s="405">
        <v>87.5</v>
      </c>
      <c r="AV33" s="405">
        <v>87.5</v>
      </c>
      <c r="AW33" s="405">
        <v>87.5</v>
      </c>
      <c r="AX33" s="405">
        <v>87.5</v>
      </c>
      <c r="AY33" s="405">
        <v>87.5</v>
      </c>
      <c r="AZ33" s="405">
        <v>87.5</v>
      </c>
      <c r="BA33" s="405">
        <v>87.5</v>
      </c>
      <c r="BB33" s="405">
        <v>87.5</v>
      </c>
      <c r="BC33" s="405">
        <v>87.5</v>
      </c>
      <c r="BD33" s="405">
        <v>87.5</v>
      </c>
      <c r="BE33" s="405">
        <v>87.5</v>
      </c>
      <c r="BF33" s="405">
        <v>87.5</v>
      </c>
      <c r="BG33" s="405">
        <v>87.5</v>
      </c>
      <c r="BH33" s="405">
        <v>87.5</v>
      </c>
      <c r="BI33" s="400">
        <v>87.5</v>
      </c>
      <c r="BJ33" s="405">
        <v>87.5</v>
      </c>
      <c r="BK33" s="405">
        <v>87.5</v>
      </c>
      <c r="BL33" s="405">
        <v>87.5</v>
      </c>
      <c r="BM33" s="405">
        <v>87.5</v>
      </c>
      <c r="BN33" s="405">
        <v>87.5</v>
      </c>
      <c r="BO33" s="405">
        <v>87.5</v>
      </c>
      <c r="BP33" s="405">
        <v>87.5</v>
      </c>
      <c r="BQ33" s="405">
        <v>87.5</v>
      </c>
      <c r="BR33" s="405">
        <v>87.5</v>
      </c>
      <c r="BS33" s="405">
        <v>87.5</v>
      </c>
      <c r="BT33" s="405">
        <v>87.5</v>
      </c>
      <c r="BU33" s="405">
        <v>87.5</v>
      </c>
      <c r="BV33" s="405">
        <v>87.5</v>
      </c>
      <c r="BW33" s="405">
        <v>87.5</v>
      </c>
      <c r="BX33" s="405">
        <v>87.5</v>
      </c>
      <c r="BY33" s="405">
        <v>87.5</v>
      </c>
      <c r="BZ33" s="405">
        <v>87.5</v>
      </c>
      <c r="CA33" s="405">
        <v>87.5</v>
      </c>
      <c r="CB33" s="405">
        <v>87.5</v>
      </c>
      <c r="CC33" s="405">
        <v>87.5</v>
      </c>
      <c r="CD33" s="405">
        <v>87.5</v>
      </c>
      <c r="CE33" s="405">
        <v>87.5</v>
      </c>
      <c r="CF33" s="405">
        <v>87.5</v>
      </c>
      <c r="CG33" s="405">
        <v>87.5</v>
      </c>
      <c r="CH33" s="405">
        <v>87.5</v>
      </c>
      <c r="CI33" s="405">
        <v>87.5</v>
      </c>
      <c r="CJ33" s="405">
        <v>87.5</v>
      </c>
      <c r="CK33" s="405">
        <v>87.5</v>
      </c>
      <c r="CL33" s="405">
        <v>87.5</v>
      </c>
      <c r="CM33" s="405">
        <v>87.5</v>
      </c>
      <c r="CN33" s="405">
        <v>87.5</v>
      </c>
      <c r="CO33" s="405">
        <v>87.5</v>
      </c>
      <c r="CP33" s="384">
        <v>87.5</v>
      </c>
      <c r="CQ33" s="384">
        <v>87.5</v>
      </c>
      <c r="CR33" s="384">
        <v>87.5</v>
      </c>
      <c r="CS33" s="384">
        <v>87.5</v>
      </c>
      <c r="CT33" s="384">
        <v>87.5</v>
      </c>
      <c r="CU33" s="384">
        <v>87.5</v>
      </c>
      <c r="CV33" s="610">
        <v>87.5</v>
      </c>
      <c r="CW33" s="384">
        <v>87.5</v>
      </c>
      <c r="CX33" s="384">
        <v>87.5</v>
      </c>
      <c r="CY33" s="384">
        <v>87.5</v>
      </c>
      <c r="CZ33" s="384">
        <v>87.5</v>
      </c>
      <c r="DA33" s="384">
        <v>87.5</v>
      </c>
      <c r="DB33" s="384">
        <v>87.5</v>
      </c>
      <c r="DC33" s="384">
        <v>87.5</v>
      </c>
      <c r="DD33" s="384">
        <v>87.5</v>
      </c>
      <c r="DE33" s="384">
        <v>87.5</v>
      </c>
      <c r="DF33" s="614">
        <v>87.5</v>
      </c>
      <c r="DG33" s="384">
        <v>87.5</v>
      </c>
      <c r="DH33" s="384">
        <v>87.5</v>
      </c>
      <c r="DI33" s="384">
        <v>87.5</v>
      </c>
      <c r="DJ33" s="384">
        <v>87.5</v>
      </c>
      <c r="DK33" s="384">
        <v>87.5</v>
      </c>
      <c r="DL33" s="384">
        <v>87.5</v>
      </c>
      <c r="DM33" s="384">
        <v>87.5</v>
      </c>
      <c r="DN33" s="384">
        <v>87.5</v>
      </c>
      <c r="DO33" s="384">
        <v>87.5</v>
      </c>
      <c r="DP33" s="384">
        <v>87.5</v>
      </c>
      <c r="DQ33" s="697"/>
    </row>
    <row r="34" spans="1:121" s="384" customFormat="1" ht="68" x14ac:dyDescent="0.2">
      <c r="A34" s="677" t="s">
        <v>332</v>
      </c>
      <c r="B34" s="412" t="s">
        <v>345</v>
      </c>
      <c r="C34" s="492">
        <v>0</v>
      </c>
      <c r="D34" s="493" t="s">
        <v>237</v>
      </c>
      <c r="E34" s="678" t="s">
        <v>387</v>
      </c>
      <c r="R34" s="385"/>
      <c r="T34" s="385"/>
      <c r="X34" s="459"/>
      <c r="AK34" s="542">
        <v>1</v>
      </c>
      <c r="AL34" s="542">
        <v>1</v>
      </c>
      <c r="AM34" s="492">
        <v>1</v>
      </c>
      <c r="AN34" s="492">
        <v>1</v>
      </c>
      <c r="AO34" s="492">
        <v>1</v>
      </c>
      <c r="AP34" s="492">
        <v>1</v>
      </c>
      <c r="AQ34" s="492">
        <v>1</v>
      </c>
      <c r="AR34" s="492">
        <v>1</v>
      </c>
      <c r="AS34" s="492">
        <v>1</v>
      </c>
      <c r="AT34" s="492">
        <v>1</v>
      </c>
      <c r="AU34" s="492">
        <v>1</v>
      </c>
      <c r="AV34" s="492">
        <v>1</v>
      </c>
      <c r="AW34" s="492">
        <v>1</v>
      </c>
      <c r="AX34" s="492">
        <v>1</v>
      </c>
      <c r="AY34" s="492">
        <v>1</v>
      </c>
      <c r="AZ34" s="492">
        <v>1</v>
      </c>
      <c r="BA34" s="492">
        <v>1</v>
      </c>
      <c r="BB34" s="492">
        <v>1</v>
      </c>
      <c r="BC34" s="492">
        <v>1</v>
      </c>
      <c r="BD34" s="492">
        <v>1</v>
      </c>
      <c r="BE34" s="492">
        <v>1</v>
      </c>
      <c r="BF34" s="492">
        <v>1</v>
      </c>
      <c r="BG34" s="492">
        <v>1</v>
      </c>
      <c r="BH34" s="492">
        <v>1</v>
      </c>
      <c r="BI34" s="493">
        <v>0</v>
      </c>
      <c r="BJ34" s="492">
        <v>0</v>
      </c>
      <c r="BK34" s="492">
        <v>0</v>
      </c>
      <c r="BL34" s="492">
        <v>0</v>
      </c>
      <c r="BM34" s="492">
        <v>0</v>
      </c>
      <c r="BN34" s="492">
        <v>0</v>
      </c>
      <c r="BO34" s="492">
        <v>0</v>
      </c>
      <c r="BP34" s="492">
        <v>0</v>
      </c>
      <c r="BQ34" s="492">
        <v>0</v>
      </c>
      <c r="BR34" s="492">
        <v>0</v>
      </c>
      <c r="BS34" s="492">
        <v>0</v>
      </c>
      <c r="BT34" s="492">
        <v>0</v>
      </c>
      <c r="BU34" s="492">
        <v>0</v>
      </c>
      <c r="BV34" s="492">
        <v>0</v>
      </c>
      <c r="BW34" s="492">
        <v>0</v>
      </c>
      <c r="BX34" s="492">
        <v>0</v>
      </c>
      <c r="BY34" s="492">
        <v>0</v>
      </c>
      <c r="BZ34" s="492">
        <v>0</v>
      </c>
      <c r="CA34" s="492">
        <v>0</v>
      </c>
      <c r="CB34" s="492">
        <v>0</v>
      </c>
      <c r="CC34" s="492">
        <v>0</v>
      </c>
      <c r="CD34" s="492">
        <v>0</v>
      </c>
      <c r="CE34" s="492">
        <v>0</v>
      </c>
      <c r="CF34" s="492">
        <v>0</v>
      </c>
      <c r="CG34" s="492">
        <v>0</v>
      </c>
      <c r="CH34" s="492">
        <v>0</v>
      </c>
      <c r="CI34" s="492">
        <v>0</v>
      </c>
      <c r="CJ34" s="492">
        <v>0</v>
      </c>
      <c r="CK34" s="492">
        <v>0</v>
      </c>
      <c r="CL34" s="492">
        <v>0</v>
      </c>
      <c r="CM34" s="492">
        <v>0</v>
      </c>
      <c r="CN34" s="492">
        <v>0</v>
      </c>
      <c r="CO34" s="492">
        <v>0</v>
      </c>
      <c r="CP34" s="384">
        <v>0</v>
      </c>
      <c r="CQ34" s="384">
        <v>0</v>
      </c>
      <c r="CR34" s="384">
        <v>0</v>
      </c>
      <c r="CS34" s="384">
        <v>0</v>
      </c>
      <c r="CT34" s="384">
        <v>0</v>
      </c>
      <c r="CU34" s="384">
        <v>0</v>
      </c>
      <c r="CV34" s="610">
        <v>1</v>
      </c>
      <c r="CW34" s="384">
        <v>1</v>
      </c>
      <c r="CX34" s="384">
        <v>1</v>
      </c>
      <c r="CY34" s="384">
        <v>1</v>
      </c>
      <c r="CZ34" s="384">
        <v>1</v>
      </c>
      <c r="DA34" s="384">
        <v>1</v>
      </c>
      <c r="DB34" s="384">
        <v>1</v>
      </c>
      <c r="DC34" s="384">
        <v>1</v>
      </c>
      <c r="DD34" s="384">
        <v>1</v>
      </c>
      <c r="DE34" s="384">
        <v>1</v>
      </c>
      <c r="DF34" s="614">
        <v>1</v>
      </c>
      <c r="DG34" s="384">
        <v>1</v>
      </c>
      <c r="DH34" s="384">
        <v>1</v>
      </c>
      <c r="DI34" s="384">
        <v>1</v>
      </c>
      <c r="DJ34" s="384">
        <v>1</v>
      </c>
      <c r="DK34" s="384">
        <v>1</v>
      </c>
      <c r="DL34" s="384">
        <v>1</v>
      </c>
      <c r="DM34" s="384">
        <v>1</v>
      </c>
      <c r="DN34" s="384">
        <v>1</v>
      </c>
      <c r="DO34" s="384">
        <v>1</v>
      </c>
      <c r="DP34" s="384">
        <v>1</v>
      </c>
      <c r="DQ34" s="697"/>
    </row>
    <row r="35" spans="1:121" s="384" customFormat="1" ht="85" x14ac:dyDescent="0.2">
      <c r="A35" s="679" t="s">
        <v>380</v>
      </c>
      <c r="B35" s="424" t="s">
        <v>381</v>
      </c>
      <c r="C35" s="659" t="str">
        <f>"R"</f>
        <v>R</v>
      </c>
      <c r="D35" s="660" t="s">
        <v>382</v>
      </c>
      <c r="E35" s="680" t="s">
        <v>385</v>
      </c>
      <c r="R35" s="385"/>
      <c r="T35" s="385"/>
      <c r="X35" s="459"/>
      <c r="AK35" s="542"/>
      <c r="AL35" s="542"/>
      <c r="AM35" s="492"/>
      <c r="AN35" s="492"/>
      <c r="AO35" s="492"/>
      <c r="AP35" s="492"/>
      <c r="AQ35" s="492"/>
      <c r="AR35" s="492"/>
      <c r="AS35" s="492"/>
      <c r="AT35" s="492"/>
      <c r="AU35" s="492"/>
      <c r="AV35" s="492"/>
      <c r="AW35" s="492"/>
      <c r="AX35" s="492"/>
      <c r="AY35" s="492"/>
      <c r="AZ35" s="492"/>
      <c r="BA35" s="492"/>
      <c r="BB35" s="492"/>
      <c r="BC35" s="492"/>
      <c r="BD35" s="492"/>
      <c r="BE35" s="492"/>
      <c r="BF35" s="492"/>
      <c r="BG35" s="492"/>
      <c r="BH35" s="492"/>
      <c r="BI35" s="493"/>
      <c r="BJ35" s="492"/>
      <c r="BK35" s="492"/>
      <c r="BL35" s="492"/>
      <c r="BM35" s="492"/>
      <c r="BN35" s="492"/>
      <c r="BO35" s="492"/>
      <c r="BP35" s="492"/>
      <c r="BQ35" s="492"/>
      <c r="BR35" s="492"/>
      <c r="BS35" s="492"/>
      <c r="BT35" s="492"/>
      <c r="BU35" s="492"/>
      <c r="BV35" s="492"/>
      <c r="BW35" s="492"/>
      <c r="BX35" s="492"/>
      <c r="BY35" s="492"/>
      <c r="BZ35" s="492"/>
      <c r="CA35" s="492"/>
      <c r="CB35" s="492"/>
      <c r="CC35" s="492"/>
      <c r="CD35" s="492"/>
      <c r="CE35" s="492"/>
      <c r="CF35" s="492"/>
      <c r="CG35" s="492"/>
      <c r="CH35" s="492"/>
      <c r="CI35" s="492"/>
      <c r="CJ35" s="492"/>
      <c r="CK35" s="492"/>
      <c r="CL35" s="492"/>
      <c r="CM35" s="492"/>
      <c r="CN35" s="492"/>
      <c r="CO35" s="492"/>
      <c r="CV35" s="610"/>
      <c r="DF35" s="614"/>
      <c r="DQ35" s="697"/>
    </row>
    <row r="36" spans="1:121" s="384" customFormat="1" ht="32" customHeight="1" x14ac:dyDescent="0.2">
      <c r="A36" s="863" t="s">
        <v>379</v>
      </c>
      <c r="B36" s="444" t="s">
        <v>221</v>
      </c>
      <c r="C36" s="445">
        <v>4000</v>
      </c>
      <c r="D36" s="446" t="s">
        <v>295</v>
      </c>
      <c r="E36" s="681" t="s">
        <v>316</v>
      </c>
      <c r="R36" s="385"/>
      <c r="T36" s="385"/>
      <c r="X36" s="459"/>
      <c r="AK36" s="543">
        <v>4000</v>
      </c>
      <c r="AL36" s="543">
        <v>4000</v>
      </c>
      <c r="AM36" s="445">
        <v>4000</v>
      </c>
      <c r="AN36" s="445">
        <v>4000</v>
      </c>
      <c r="AO36" s="445">
        <v>4000</v>
      </c>
      <c r="AP36" s="445">
        <v>4000</v>
      </c>
      <c r="AQ36" s="445">
        <v>4000</v>
      </c>
      <c r="AR36" s="445">
        <v>4000</v>
      </c>
      <c r="AS36" s="445">
        <v>4000</v>
      </c>
      <c r="AT36" s="445">
        <v>4000</v>
      </c>
      <c r="AU36" s="445">
        <v>4000</v>
      </c>
      <c r="AV36" s="445">
        <v>4000</v>
      </c>
      <c r="AW36" s="445">
        <v>4000</v>
      </c>
      <c r="AX36" s="445">
        <v>4000</v>
      </c>
      <c r="AY36" s="445">
        <v>4000</v>
      </c>
      <c r="AZ36" s="445">
        <v>4000</v>
      </c>
      <c r="BA36" s="445">
        <v>4000</v>
      </c>
      <c r="BB36" s="445">
        <v>4000</v>
      </c>
      <c r="BC36" s="445">
        <v>4000</v>
      </c>
      <c r="BD36" s="445">
        <v>4000</v>
      </c>
      <c r="BE36" s="445">
        <v>4000</v>
      </c>
      <c r="BF36" s="445">
        <v>4000</v>
      </c>
      <c r="BG36" s="445">
        <v>4000</v>
      </c>
      <c r="BH36" s="445">
        <v>4000</v>
      </c>
      <c r="BI36" s="446">
        <v>4000</v>
      </c>
      <c r="BJ36" s="445">
        <v>4000</v>
      </c>
      <c r="BK36" s="445">
        <v>4000</v>
      </c>
      <c r="BL36" s="445">
        <v>4000</v>
      </c>
      <c r="BM36" s="445">
        <v>4000</v>
      </c>
      <c r="BN36" s="445">
        <v>4000</v>
      </c>
      <c r="BO36" s="445">
        <v>4000</v>
      </c>
      <c r="BP36" s="445">
        <v>4000</v>
      </c>
      <c r="BQ36" s="445">
        <v>4000</v>
      </c>
      <c r="BR36" s="445">
        <v>4000</v>
      </c>
      <c r="BS36" s="445">
        <v>4000</v>
      </c>
      <c r="BT36" s="445">
        <v>4000</v>
      </c>
      <c r="BU36" s="445">
        <v>4000</v>
      </c>
      <c r="BV36" s="445">
        <v>4000</v>
      </c>
      <c r="BW36" s="445">
        <v>4000</v>
      </c>
      <c r="BX36" s="445">
        <v>4000</v>
      </c>
      <c r="BY36" s="445">
        <v>4000</v>
      </c>
      <c r="BZ36" s="445">
        <v>4000</v>
      </c>
      <c r="CA36" s="445">
        <v>4000</v>
      </c>
      <c r="CB36" s="445">
        <v>4000</v>
      </c>
      <c r="CC36" s="445">
        <v>4000</v>
      </c>
      <c r="CD36" s="445">
        <v>4000</v>
      </c>
      <c r="CE36" s="445">
        <v>4000</v>
      </c>
      <c r="CF36" s="445">
        <v>4000</v>
      </c>
      <c r="CG36" s="445">
        <v>4000</v>
      </c>
      <c r="CH36" s="445">
        <v>4000</v>
      </c>
      <c r="CI36" s="445">
        <v>4000</v>
      </c>
      <c r="CJ36" s="445">
        <v>4000</v>
      </c>
      <c r="CK36" s="445">
        <v>4000</v>
      </c>
      <c r="CL36" s="445">
        <v>4000</v>
      </c>
      <c r="CM36" s="445">
        <v>4000</v>
      </c>
      <c r="CN36" s="445">
        <v>4000</v>
      </c>
      <c r="CO36" s="445">
        <v>4000</v>
      </c>
      <c r="CP36" s="384">
        <v>4000</v>
      </c>
      <c r="CQ36" s="384">
        <v>4000</v>
      </c>
      <c r="CR36" s="384">
        <v>4000</v>
      </c>
      <c r="CS36" s="384">
        <v>4000</v>
      </c>
      <c r="CT36" s="384">
        <v>4000</v>
      </c>
      <c r="CU36" s="384">
        <v>4000</v>
      </c>
      <c r="CV36" s="610">
        <v>4000</v>
      </c>
      <c r="CW36" s="384">
        <v>4000</v>
      </c>
      <c r="CX36" s="384">
        <v>4000</v>
      </c>
      <c r="CY36" s="384">
        <v>4000</v>
      </c>
      <c r="CZ36" s="384">
        <v>4000</v>
      </c>
      <c r="DA36" s="384">
        <v>4000</v>
      </c>
      <c r="DB36" s="384">
        <v>4000</v>
      </c>
      <c r="DC36" s="384">
        <v>4000</v>
      </c>
      <c r="DD36" s="384">
        <v>4000</v>
      </c>
      <c r="DE36" s="384">
        <v>4000</v>
      </c>
      <c r="DF36" s="614">
        <v>4000</v>
      </c>
      <c r="DG36" s="384">
        <v>4000</v>
      </c>
      <c r="DH36" s="384">
        <v>4000</v>
      </c>
      <c r="DI36" s="384">
        <v>4000</v>
      </c>
      <c r="DJ36" s="384">
        <v>4000</v>
      </c>
      <c r="DK36" s="384">
        <v>4000</v>
      </c>
      <c r="DL36" s="384">
        <v>4000</v>
      </c>
      <c r="DM36" s="384">
        <v>4000</v>
      </c>
      <c r="DN36" s="384">
        <v>4000</v>
      </c>
      <c r="DO36" s="384">
        <v>4000</v>
      </c>
      <c r="DP36" s="384">
        <v>4000</v>
      </c>
      <c r="DQ36" s="697"/>
    </row>
    <row r="37" spans="1:121" s="384" customFormat="1" ht="18" customHeight="1" x14ac:dyDescent="0.2">
      <c r="A37" s="864"/>
      <c r="B37" s="444" t="s">
        <v>255</v>
      </c>
      <c r="C37" s="466">
        <v>6</v>
      </c>
      <c r="D37" s="446" t="s">
        <v>253</v>
      </c>
      <c r="E37" s="681" t="s">
        <v>267</v>
      </c>
      <c r="R37" s="385"/>
      <c r="T37" s="385"/>
      <c r="X37" s="459"/>
      <c r="AK37" s="544">
        <v>6</v>
      </c>
      <c r="AL37" s="544">
        <v>6</v>
      </c>
      <c r="AM37" s="466">
        <v>6</v>
      </c>
      <c r="AN37" s="466">
        <v>6</v>
      </c>
      <c r="AO37" s="466">
        <v>6</v>
      </c>
      <c r="AP37" s="466">
        <v>6</v>
      </c>
      <c r="AQ37" s="466">
        <v>6</v>
      </c>
      <c r="AR37" s="466">
        <v>6</v>
      </c>
      <c r="AS37" s="466">
        <v>6</v>
      </c>
      <c r="AT37" s="466">
        <v>6</v>
      </c>
      <c r="AU37" s="466">
        <v>6</v>
      </c>
      <c r="AV37" s="466">
        <v>6</v>
      </c>
      <c r="AW37" s="466">
        <v>6</v>
      </c>
      <c r="AX37" s="466">
        <v>6</v>
      </c>
      <c r="AY37" s="466">
        <v>6</v>
      </c>
      <c r="AZ37" s="466">
        <v>6</v>
      </c>
      <c r="BA37" s="466">
        <v>6</v>
      </c>
      <c r="BB37" s="466">
        <v>6</v>
      </c>
      <c r="BC37" s="466">
        <v>6</v>
      </c>
      <c r="BD37" s="466">
        <v>6</v>
      </c>
      <c r="BE37" s="466">
        <v>6</v>
      </c>
      <c r="BF37" s="466">
        <v>6</v>
      </c>
      <c r="BG37" s="466">
        <v>6</v>
      </c>
      <c r="BH37" s="466">
        <v>6</v>
      </c>
      <c r="BI37" s="446">
        <v>6</v>
      </c>
      <c r="BJ37" s="466">
        <v>6</v>
      </c>
      <c r="BK37" s="466">
        <v>6</v>
      </c>
      <c r="BL37" s="466">
        <v>6</v>
      </c>
      <c r="BM37" s="466">
        <v>6</v>
      </c>
      <c r="BN37" s="466">
        <v>6</v>
      </c>
      <c r="BO37" s="466">
        <v>6</v>
      </c>
      <c r="BP37" s="466">
        <v>6</v>
      </c>
      <c r="BQ37" s="466">
        <v>6</v>
      </c>
      <c r="BR37" s="466">
        <v>6</v>
      </c>
      <c r="BS37" s="466">
        <v>6</v>
      </c>
      <c r="BT37" s="466">
        <v>6</v>
      </c>
      <c r="BU37" s="466">
        <v>6</v>
      </c>
      <c r="BV37" s="466">
        <v>6</v>
      </c>
      <c r="BW37" s="466">
        <v>6</v>
      </c>
      <c r="BX37" s="466">
        <v>6</v>
      </c>
      <c r="BY37" s="466">
        <v>6</v>
      </c>
      <c r="BZ37" s="466">
        <v>6</v>
      </c>
      <c r="CA37" s="466">
        <v>6</v>
      </c>
      <c r="CB37" s="466">
        <v>6</v>
      </c>
      <c r="CC37" s="466">
        <v>6</v>
      </c>
      <c r="CD37" s="466">
        <v>6</v>
      </c>
      <c r="CE37" s="466">
        <v>6</v>
      </c>
      <c r="CF37" s="466">
        <v>6</v>
      </c>
      <c r="CG37" s="466">
        <v>6</v>
      </c>
      <c r="CH37" s="466">
        <v>6</v>
      </c>
      <c r="CI37" s="466">
        <v>6</v>
      </c>
      <c r="CJ37" s="466">
        <v>6</v>
      </c>
      <c r="CK37" s="466">
        <v>6</v>
      </c>
      <c r="CL37" s="466">
        <v>6</v>
      </c>
      <c r="CM37" s="466">
        <v>6</v>
      </c>
      <c r="CN37" s="466">
        <v>6</v>
      </c>
      <c r="CO37" s="466">
        <v>6</v>
      </c>
      <c r="CP37" s="384">
        <v>6</v>
      </c>
      <c r="CQ37" s="384">
        <v>6</v>
      </c>
      <c r="CR37" s="384">
        <v>6</v>
      </c>
      <c r="CS37" s="384">
        <v>6</v>
      </c>
      <c r="CT37" s="384">
        <v>6</v>
      </c>
      <c r="CU37" s="384">
        <v>6</v>
      </c>
      <c r="CV37" s="610">
        <v>6</v>
      </c>
      <c r="CW37" s="384">
        <v>6</v>
      </c>
      <c r="CX37" s="384">
        <v>6</v>
      </c>
      <c r="CY37" s="384">
        <v>6</v>
      </c>
      <c r="CZ37" s="384">
        <v>6</v>
      </c>
      <c r="DA37" s="384">
        <v>6</v>
      </c>
      <c r="DB37" s="384">
        <v>6</v>
      </c>
      <c r="DC37" s="384">
        <v>6</v>
      </c>
      <c r="DD37" s="384">
        <v>6</v>
      </c>
      <c r="DE37" s="384">
        <v>6</v>
      </c>
      <c r="DF37" s="614">
        <v>6</v>
      </c>
      <c r="DG37" s="384">
        <v>6</v>
      </c>
      <c r="DH37" s="384">
        <v>6</v>
      </c>
      <c r="DI37" s="384">
        <v>6</v>
      </c>
      <c r="DJ37" s="384">
        <v>6</v>
      </c>
      <c r="DK37" s="384">
        <v>6</v>
      </c>
      <c r="DL37" s="384">
        <v>6</v>
      </c>
      <c r="DM37" s="384">
        <v>6</v>
      </c>
      <c r="DN37" s="384">
        <v>6</v>
      </c>
      <c r="DO37" s="384">
        <v>6</v>
      </c>
      <c r="DP37" s="384">
        <v>6</v>
      </c>
      <c r="DQ37" s="697"/>
    </row>
    <row r="38" spans="1:121" s="384" customFormat="1" ht="34" x14ac:dyDescent="0.2">
      <c r="A38" s="864"/>
      <c r="B38" s="444" t="s">
        <v>297</v>
      </c>
      <c r="C38" s="445">
        <v>-10</v>
      </c>
      <c r="D38" s="446" t="s">
        <v>296</v>
      </c>
      <c r="E38" s="681" t="s">
        <v>314</v>
      </c>
      <c r="R38" s="385"/>
      <c r="T38" s="385"/>
      <c r="X38" s="459"/>
      <c r="AK38" s="543">
        <v>-10</v>
      </c>
      <c r="AL38" s="543">
        <v>-10</v>
      </c>
      <c r="AM38" s="445">
        <v>-10</v>
      </c>
      <c r="AN38" s="445">
        <v>-10</v>
      </c>
      <c r="AO38" s="445">
        <v>-10</v>
      </c>
      <c r="AP38" s="445">
        <v>-10</v>
      </c>
      <c r="AQ38" s="445">
        <v>-10</v>
      </c>
      <c r="AR38" s="445">
        <v>-10</v>
      </c>
      <c r="AS38" s="445">
        <v>-10</v>
      </c>
      <c r="AT38" s="445">
        <v>-10</v>
      </c>
      <c r="AU38" s="445">
        <v>-10</v>
      </c>
      <c r="AV38" s="445">
        <v>-10</v>
      </c>
      <c r="AW38" s="445">
        <v>-10</v>
      </c>
      <c r="AX38" s="445">
        <v>-10</v>
      </c>
      <c r="AY38" s="445">
        <v>-10</v>
      </c>
      <c r="AZ38" s="445">
        <v>-10</v>
      </c>
      <c r="BA38" s="445">
        <v>-10</v>
      </c>
      <c r="BB38" s="445">
        <v>-10</v>
      </c>
      <c r="BC38" s="445">
        <v>-10</v>
      </c>
      <c r="BD38" s="445">
        <v>-10</v>
      </c>
      <c r="BE38" s="445">
        <v>-10</v>
      </c>
      <c r="BF38" s="445">
        <v>-10</v>
      </c>
      <c r="BG38" s="445">
        <v>-10</v>
      </c>
      <c r="BH38" s="445">
        <v>-10</v>
      </c>
      <c r="BI38" s="446">
        <v>-10</v>
      </c>
      <c r="BJ38" s="445">
        <v>-10</v>
      </c>
      <c r="BK38" s="445">
        <v>-10</v>
      </c>
      <c r="BL38" s="445">
        <v>-10</v>
      </c>
      <c r="BM38" s="445">
        <v>-10</v>
      </c>
      <c r="BN38" s="445">
        <v>-10</v>
      </c>
      <c r="BO38" s="445">
        <v>-10</v>
      </c>
      <c r="BP38" s="445">
        <v>-10</v>
      </c>
      <c r="BQ38" s="445">
        <v>-10</v>
      </c>
      <c r="BR38" s="445">
        <v>-10</v>
      </c>
      <c r="BS38" s="445">
        <v>-10</v>
      </c>
      <c r="BT38" s="445">
        <v>-10</v>
      </c>
      <c r="BU38" s="445">
        <v>-10</v>
      </c>
      <c r="BV38" s="445">
        <v>-10</v>
      </c>
      <c r="BW38" s="445">
        <v>-10</v>
      </c>
      <c r="BX38" s="445">
        <v>-10</v>
      </c>
      <c r="BY38" s="445">
        <v>-10</v>
      </c>
      <c r="BZ38" s="445">
        <v>-10</v>
      </c>
      <c r="CA38" s="445">
        <v>-10</v>
      </c>
      <c r="CB38" s="445">
        <v>-10</v>
      </c>
      <c r="CC38" s="445">
        <v>-10</v>
      </c>
      <c r="CD38" s="445">
        <v>-10</v>
      </c>
      <c r="CE38" s="445">
        <v>-10</v>
      </c>
      <c r="CF38" s="445">
        <v>-10</v>
      </c>
      <c r="CG38" s="445">
        <v>-10</v>
      </c>
      <c r="CH38" s="445">
        <v>-10</v>
      </c>
      <c r="CI38" s="445">
        <v>-10</v>
      </c>
      <c r="CJ38" s="445">
        <v>-10</v>
      </c>
      <c r="CK38" s="445">
        <v>-10</v>
      </c>
      <c r="CL38" s="445">
        <v>-10</v>
      </c>
      <c r="CM38" s="445">
        <v>-10</v>
      </c>
      <c r="CN38" s="445">
        <v>-10</v>
      </c>
      <c r="CO38" s="445">
        <v>-10</v>
      </c>
      <c r="CP38" s="384">
        <v>-10</v>
      </c>
      <c r="CQ38" s="384">
        <v>-10</v>
      </c>
      <c r="CR38" s="384">
        <v>-10</v>
      </c>
      <c r="CS38" s="384">
        <v>-10</v>
      </c>
      <c r="CT38" s="384">
        <v>-10</v>
      </c>
      <c r="CU38" s="384">
        <v>-10</v>
      </c>
      <c r="CV38" s="610">
        <v>-10</v>
      </c>
      <c r="CW38" s="384">
        <v>-10</v>
      </c>
      <c r="CX38" s="384">
        <v>-10</v>
      </c>
      <c r="CY38" s="384">
        <v>-10</v>
      </c>
      <c r="CZ38" s="384">
        <v>-10</v>
      </c>
      <c r="DA38" s="384">
        <v>-10</v>
      </c>
      <c r="DB38" s="384">
        <v>-10</v>
      </c>
      <c r="DC38" s="384">
        <v>-10</v>
      </c>
      <c r="DD38" s="384">
        <v>-10</v>
      </c>
      <c r="DE38" s="384">
        <v>-10</v>
      </c>
      <c r="DF38" s="614">
        <v>-10</v>
      </c>
      <c r="DG38" s="384">
        <v>-10</v>
      </c>
      <c r="DH38" s="384">
        <v>-10</v>
      </c>
      <c r="DI38" s="384">
        <v>-10</v>
      </c>
      <c r="DJ38" s="384">
        <v>-10</v>
      </c>
      <c r="DK38" s="384">
        <v>-10</v>
      </c>
      <c r="DL38" s="384">
        <v>-10</v>
      </c>
      <c r="DM38" s="384">
        <v>-10</v>
      </c>
      <c r="DN38" s="384">
        <v>-10</v>
      </c>
      <c r="DO38" s="384">
        <v>-10</v>
      </c>
      <c r="DP38" s="384">
        <v>-10</v>
      </c>
      <c r="DQ38" s="697"/>
    </row>
    <row r="39" spans="1:121" s="384" customFormat="1" ht="20" x14ac:dyDescent="0.2">
      <c r="A39" s="864"/>
      <c r="B39" s="444" t="s">
        <v>306</v>
      </c>
      <c r="C39" s="445">
        <v>208</v>
      </c>
      <c r="D39" s="446" t="s">
        <v>272</v>
      </c>
      <c r="E39" s="681" t="s">
        <v>308</v>
      </c>
      <c r="R39" s="385"/>
      <c r="T39" s="385"/>
      <c r="X39" s="459"/>
      <c r="AK39" s="543">
        <v>208</v>
      </c>
      <c r="AL39" s="543">
        <v>208</v>
      </c>
      <c r="AM39" s="445">
        <v>208</v>
      </c>
      <c r="AN39" s="445">
        <v>208</v>
      </c>
      <c r="AO39" s="445">
        <v>208</v>
      </c>
      <c r="AP39" s="445">
        <v>208</v>
      </c>
      <c r="AQ39" s="445">
        <v>208</v>
      </c>
      <c r="AR39" s="445">
        <v>208</v>
      </c>
      <c r="AS39" s="445">
        <v>208</v>
      </c>
      <c r="AT39" s="445">
        <v>208</v>
      </c>
      <c r="AU39" s="445">
        <v>208</v>
      </c>
      <c r="AV39" s="445">
        <v>208</v>
      </c>
      <c r="AW39" s="445">
        <v>208</v>
      </c>
      <c r="AX39" s="445">
        <v>208</v>
      </c>
      <c r="AY39" s="445">
        <v>208</v>
      </c>
      <c r="AZ39" s="445">
        <v>208</v>
      </c>
      <c r="BA39" s="445">
        <v>208</v>
      </c>
      <c r="BB39" s="445">
        <v>208</v>
      </c>
      <c r="BC39" s="445">
        <v>208</v>
      </c>
      <c r="BD39" s="445">
        <v>208</v>
      </c>
      <c r="BE39" s="445">
        <v>208</v>
      </c>
      <c r="BF39" s="445">
        <v>208</v>
      </c>
      <c r="BG39" s="445">
        <v>208</v>
      </c>
      <c r="BH39" s="445">
        <v>208</v>
      </c>
      <c r="BI39" s="446">
        <v>208</v>
      </c>
      <c r="BJ39" s="445">
        <v>208</v>
      </c>
      <c r="BK39" s="445">
        <v>208</v>
      </c>
      <c r="BL39" s="445">
        <v>208</v>
      </c>
      <c r="BM39" s="445">
        <v>208</v>
      </c>
      <c r="BN39" s="445">
        <v>208</v>
      </c>
      <c r="BO39" s="445">
        <v>208</v>
      </c>
      <c r="BP39" s="445">
        <v>208</v>
      </c>
      <c r="BQ39" s="445">
        <v>208</v>
      </c>
      <c r="BR39" s="445">
        <v>208</v>
      </c>
      <c r="BS39" s="445">
        <v>208</v>
      </c>
      <c r="BT39" s="445">
        <v>208</v>
      </c>
      <c r="BU39" s="445">
        <v>208</v>
      </c>
      <c r="BV39" s="445">
        <v>208</v>
      </c>
      <c r="BW39" s="445">
        <v>208</v>
      </c>
      <c r="BX39" s="445">
        <v>208</v>
      </c>
      <c r="BY39" s="445">
        <v>208</v>
      </c>
      <c r="BZ39" s="445">
        <v>208</v>
      </c>
      <c r="CA39" s="445">
        <v>208</v>
      </c>
      <c r="CB39" s="445">
        <v>208</v>
      </c>
      <c r="CC39" s="445">
        <v>208</v>
      </c>
      <c r="CD39" s="445">
        <v>208</v>
      </c>
      <c r="CE39" s="445">
        <v>208</v>
      </c>
      <c r="CF39" s="445">
        <v>208</v>
      </c>
      <c r="CG39" s="445">
        <v>208</v>
      </c>
      <c r="CH39" s="445">
        <v>208</v>
      </c>
      <c r="CI39" s="445">
        <v>208</v>
      </c>
      <c r="CJ39" s="445">
        <v>208</v>
      </c>
      <c r="CK39" s="445">
        <v>208</v>
      </c>
      <c r="CL39" s="445">
        <v>208</v>
      </c>
      <c r="CM39" s="445">
        <v>208</v>
      </c>
      <c r="CN39" s="445">
        <v>208</v>
      </c>
      <c r="CO39" s="445">
        <v>208</v>
      </c>
      <c r="CP39" s="384">
        <v>208</v>
      </c>
      <c r="CQ39" s="384">
        <v>208</v>
      </c>
      <c r="CR39" s="384">
        <v>208</v>
      </c>
      <c r="CS39" s="384">
        <v>208</v>
      </c>
      <c r="CT39" s="384">
        <v>208</v>
      </c>
      <c r="CU39" s="384">
        <v>208</v>
      </c>
      <c r="CV39" s="610">
        <v>208</v>
      </c>
      <c r="CW39" s="384">
        <v>208</v>
      </c>
      <c r="CX39" s="384">
        <v>208</v>
      </c>
      <c r="CY39" s="384">
        <v>208</v>
      </c>
      <c r="CZ39" s="384">
        <v>208</v>
      </c>
      <c r="DA39" s="384">
        <v>208</v>
      </c>
      <c r="DB39" s="384">
        <v>208</v>
      </c>
      <c r="DC39" s="384">
        <v>208</v>
      </c>
      <c r="DD39" s="384">
        <v>208</v>
      </c>
      <c r="DE39" s="384">
        <v>208</v>
      </c>
      <c r="DF39" s="614">
        <v>208</v>
      </c>
      <c r="DG39" s="384">
        <v>208</v>
      </c>
      <c r="DH39" s="384">
        <v>208</v>
      </c>
      <c r="DI39" s="384">
        <v>208</v>
      </c>
      <c r="DJ39" s="384">
        <v>208</v>
      </c>
      <c r="DK39" s="384">
        <v>208</v>
      </c>
      <c r="DL39" s="384">
        <v>208</v>
      </c>
      <c r="DM39" s="384">
        <v>208</v>
      </c>
      <c r="DN39" s="384">
        <v>208</v>
      </c>
      <c r="DO39" s="384">
        <v>208</v>
      </c>
      <c r="DP39" s="384">
        <v>208</v>
      </c>
      <c r="DQ39" s="697"/>
    </row>
    <row r="40" spans="1:121" s="384" customFormat="1" ht="40" x14ac:dyDescent="0.2">
      <c r="A40" s="864"/>
      <c r="B40" s="444" t="s">
        <v>347</v>
      </c>
      <c r="C40" s="445">
        <v>300</v>
      </c>
      <c r="D40" s="446" t="s">
        <v>244</v>
      </c>
      <c r="E40" s="681" t="s">
        <v>315</v>
      </c>
      <c r="R40" s="385"/>
      <c r="T40" s="385"/>
      <c r="X40" s="459"/>
      <c r="AK40" s="543">
        <v>250</v>
      </c>
      <c r="AL40" s="543">
        <v>250</v>
      </c>
      <c r="AM40" s="445">
        <v>250</v>
      </c>
      <c r="AN40" s="445">
        <v>250</v>
      </c>
      <c r="AO40" s="445">
        <v>250</v>
      </c>
      <c r="AP40" s="445">
        <v>250</v>
      </c>
      <c r="AQ40" s="445">
        <v>250</v>
      </c>
      <c r="AR40" s="445">
        <v>250</v>
      </c>
      <c r="AS40" s="445">
        <v>250</v>
      </c>
      <c r="AT40" s="445">
        <v>250</v>
      </c>
      <c r="AU40" s="445">
        <v>250</v>
      </c>
      <c r="AV40" s="445">
        <v>250</v>
      </c>
      <c r="AW40" s="445">
        <v>250</v>
      </c>
      <c r="AX40" s="445">
        <v>250</v>
      </c>
      <c r="AY40" s="445">
        <v>250</v>
      </c>
      <c r="AZ40" s="445">
        <v>250</v>
      </c>
      <c r="BA40" s="445">
        <v>250</v>
      </c>
      <c r="BB40" s="445">
        <v>250</v>
      </c>
      <c r="BC40" s="445">
        <v>250</v>
      </c>
      <c r="BD40" s="445">
        <v>250</v>
      </c>
      <c r="BE40" s="445">
        <v>250</v>
      </c>
      <c r="BF40" s="445">
        <v>250</v>
      </c>
      <c r="BG40" s="445">
        <v>250</v>
      </c>
      <c r="BH40" s="445">
        <v>250</v>
      </c>
      <c r="BI40" s="446">
        <v>250</v>
      </c>
      <c r="BJ40" s="445">
        <v>250</v>
      </c>
      <c r="BK40" s="445">
        <v>250</v>
      </c>
      <c r="BL40" s="445">
        <v>250</v>
      </c>
      <c r="BM40" s="445">
        <v>250</v>
      </c>
      <c r="BN40" s="445">
        <v>250</v>
      </c>
      <c r="BO40" s="445">
        <v>250</v>
      </c>
      <c r="BP40" s="445">
        <v>250</v>
      </c>
      <c r="BQ40" s="445">
        <v>250</v>
      </c>
      <c r="BR40" s="445">
        <v>250</v>
      </c>
      <c r="BS40" s="445">
        <v>250</v>
      </c>
      <c r="BT40" s="445">
        <v>250</v>
      </c>
      <c r="BU40" s="445">
        <v>250</v>
      </c>
      <c r="BV40" s="445">
        <v>250</v>
      </c>
      <c r="BW40" s="445">
        <v>250</v>
      </c>
      <c r="BX40" s="445">
        <v>250</v>
      </c>
      <c r="BY40" s="445">
        <v>250</v>
      </c>
      <c r="BZ40" s="445">
        <v>250</v>
      </c>
      <c r="CA40" s="445">
        <v>250</v>
      </c>
      <c r="CB40" s="445">
        <v>250</v>
      </c>
      <c r="CC40" s="445">
        <v>250</v>
      </c>
      <c r="CD40" s="445">
        <v>250</v>
      </c>
      <c r="CE40" s="445">
        <v>250</v>
      </c>
      <c r="CF40" s="445">
        <v>250</v>
      </c>
      <c r="CG40" s="445">
        <v>250</v>
      </c>
      <c r="CH40" s="445">
        <v>250</v>
      </c>
      <c r="CI40" s="445">
        <v>250</v>
      </c>
      <c r="CJ40" s="445">
        <v>250</v>
      </c>
      <c r="CK40" s="445">
        <v>250</v>
      </c>
      <c r="CL40" s="445">
        <v>250</v>
      </c>
      <c r="CM40" s="445">
        <v>250</v>
      </c>
      <c r="CN40" s="445">
        <v>250</v>
      </c>
      <c r="CO40" s="445">
        <v>250</v>
      </c>
      <c r="CP40" s="384">
        <v>250</v>
      </c>
      <c r="CQ40" s="384">
        <v>250</v>
      </c>
      <c r="CR40" s="384">
        <v>250</v>
      </c>
      <c r="CS40" s="384">
        <v>250</v>
      </c>
      <c r="CT40" s="384">
        <v>250</v>
      </c>
      <c r="CU40" s="384">
        <v>250</v>
      </c>
      <c r="CV40" s="610">
        <v>250</v>
      </c>
      <c r="CW40" s="384">
        <v>250</v>
      </c>
      <c r="CX40" s="384">
        <v>250</v>
      </c>
      <c r="CY40" s="384">
        <v>250</v>
      </c>
      <c r="CZ40" s="384">
        <v>250</v>
      </c>
      <c r="DA40" s="384">
        <v>250</v>
      </c>
      <c r="DB40" s="384">
        <v>250</v>
      </c>
      <c r="DC40" s="384">
        <v>250</v>
      </c>
      <c r="DD40" s="384">
        <v>250</v>
      </c>
      <c r="DE40" s="384">
        <v>250</v>
      </c>
      <c r="DF40" s="614">
        <v>250</v>
      </c>
      <c r="DG40" s="384">
        <v>250</v>
      </c>
      <c r="DH40" s="384">
        <v>250</v>
      </c>
      <c r="DI40" s="384">
        <v>250</v>
      </c>
      <c r="DJ40" s="384">
        <v>250</v>
      </c>
      <c r="DK40" s="384">
        <v>250</v>
      </c>
      <c r="DL40" s="384">
        <v>250</v>
      </c>
      <c r="DM40" s="384">
        <v>250</v>
      </c>
      <c r="DN40" s="384">
        <v>250</v>
      </c>
      <c r="DO40" s="384">
        <v>250</v>
      </c>
      <c r="DP40" s="384">
        <v>250</v>
      </c>
      <c r="DQ40" s="697"/>
    </row>
    <row r="41" spans="1:121" s="384" customFormat="1" ht="40" x14ac:dyDescent="0.2">
      <c r="A41" s="865"/>
      <c r="B41" s="444" t="s">
        <v>298</v>
      </c>
      <c r="C41" s="445">
        <v>-600</v>
      </c>
      <c r="D41" s="446" t="s">
        <v>265</v>
      </c>
      <c r="E41" s="681" t="s">
        <v>307</v>
      </c>
      <c r="R41" s="385"/>
      <c r="T41" s="385"/>
      <c r="X41" s="459"/>
      <c r="AK41" s="543">
        <v>-600</v>
      </c>
      <c r="AL41" s="543">
        <v>-600</v>
      </c>
      <c r="AM41" s="445">
        <v>-600</v>
      </c>
      <c r="AN41" s="445">
        <v>-600</v>
      </c>
      <c r="AO41" s="445">
        <v>-600</v>
      </c>
      <c r="AP41" s="445">
        <v>-600</v>
      </c>
      <c r="AQ41" s="445">
        <v>-600</v>
      </c>
      <c r="AR41" s="445">
        <v>-600</v>
      </c>
      <c r="AS41" s="445">
        <v>-600</v>
      </c>
      <c r="AT41" s="445">
        <v>-600</v>
      </c>
      <c r="AU41" s="445">
        <v>-600</v>
      </c>
      <c r="AV41" s="445">
        <v>-600</v>
      </c>
      <c r="AW41" s="445">
        <v>-600</v>
      </c>
      <c r="AX41" s="445">
        <v>-600</v>
      </c>
      <c r="AY41" s="445">
        <v>-600</v>
      </c>
      <c r="AZ41" s="445">
        <v>-600</v>
      </c>
      <c r="BA41" s="445">
        <v>-600</v>
      </c>
      <c r="BB41" s="445">
        <v>-600</v>
      </c>
      <c r="BC41" s="445">
        <v>-600</v>
      </c>
      <c r="BD41" s="445">
        <v>-600</v>
      </c>
      <c r="BE41" s="445">
        <v>-600</v>
      </c>
      <c r="BF41" s="445">
        <v>-600</v>
      </c>
      <c r="BG41" s="445">
        <v>-600</v>
      </c>
      <c r="BH41" s="445">
        <v>-600</v>
      </c>
      <c r="BI41" s="446">
        <v>-600</v>
      </c>
      <c r="BJ41" s="445">
        <v>-600</v>
      </c>
      <c r="BK41" s="445">
        <v>-600</v>
      </c>
      <c r="BL41" s="445">
        <v>-600</v>
      </c>
      <c r="BM41" s="445">
        <v>-600</v>
      </c>
      <c r="BN41" s="445">
        <v>-600</v>
      </c>
      <c r="BO41" s="445">
        <v>-600</v>
      </c>
      <c r="BP41" s="445">
        <v>-600</v>
      </c>
      <c r="BQ41" s="445">
        <v>-600</v>
      </c>
      <c r="BR41" s="445">
        <v>-600</v>
      </c>
      <c r="BS41" s="445">
        <v>-600</v>
      </c>
      <c r="BT41" s="445">
        <v>-600</v>
      </c>
      <c r="BU41" s="445">
        <v>-600</v>
      </c>
      <c r="BV41" s="445">
        <v>-600</v>
      </c>
      <c r="BW41" s="445">
        <v>-600</v>
      </c>
      <c r="BX41" s="445">
        <v>-600</v>
      </c>
      <c r="BY41" s="445">
        <v>-600</v>
      </c>
      <c r="BZ41" s="445">
        <v>-600</v>
      </c>
      <c r="CA41" s="445">
        <v>-600</v>
      </c>
      <c r="CB41" s="445">
        <v>-600</v>
      </c>
      <c r="CC41" s="445">
        <v>-600</v>
      </c>
      <c r="CD41" s="445">
        <v>-600</v>
      </c>
      <c r="CE41" s="445">
        <v>-600</v>
      </c>
      <c r="CF41" s="445">
        <v>-600</v>
      </c>
      <c r="CG41" s="445">
        <v>-600</v>
      </c>
      <c r="CH41" s="445">
        <v>-600</v>
      </c>
      <c r="CI41" s="445">
        <v>-600</v>
      </c>
      <c r="CJ41" s="445">
        <v>-600</v>
      </c>
      <c r="CK41" s="445">
        <v>-600</v>
      </c>
      <c r="CL41" s="445">
        <v>-600</v>
      </c>
      <c r="CM41" s="445">
        <v>-600</v>
      </c>
      <c r="CN41" s="445">
        <v>-600</v>
      </c>
      <c r="CO41" s="445">
        <v>-600</v>
      </c>
      <c r="CP41" s="384">
        <v>-600</v>
      </c>
      <c r="CQ41" s="384">
        <v>-600</v>
      </c>
      <c r="CR41" s="384">
        <v>-600</v>
      </c>
      <c r="CS41" s="384">
        <v>-600</v>
      </c>
      <c r="CT41" s="384">
        <v>-600</v>
      </c>
      <c r="CU41" s="384">
        <v>-600</v>
      </c>
      <c r="CV41" s="610">
        <v>-600</v>
      </c>
      <c r="CW41" s="384">
        <v>-600</v>
      </c>
      <c r="CX41" s="384">
        <v>-600</v>
      </c>
      <c r="CY41" s="384">
        <v>-600</v>
      </c>
      <c r="CZ41" s="384">
        <v>-600</v>
      </c>
      <c r="DA41" s="384">
        <v>-600</v>
      </c>
      <c r="DB41" s="384">
        <v>-600</v>
      </c>
      <c r="DC41" s="384">
        <v>-600</v>
      </c>
      <c r="DD41" s="384">
        <v>-600</v>
      </c>
      <c r="DE41" s="384">
        <v>-600</v>
      </c>
      <c r="DF41" s="614">
        <v>-600</v>
      </c>
      <c r="DG41" s="384">
        <v>-600</v>
      </c>
      <c r="DH41" s="384">
        <v>-600</v>
      </c>
      <c r="DI41" s="384">
        <v>-600</v>
      </c>
      <c r="DJ41" s="384">
        <v>-600</v>
      </c>
      <c r="DK41" s="384">
        <v>-600</v>
      </c>
      <c r="DL41" s="384">
        <v>-600</v>
      </c>
      <c r="DM41" s="384">
        <v>-600</v>
      </c>
      <c r="DN41" s="384">
        <v>-600</v>
      </c>
      <c r="DO41" s="384">
        <v>-600</v>
      </c>
      <c r="DP41" s="384">
        <v>-600</v>
      </c>
      <c r="DQ41" s="697"/>
    </row>
    <row r="42" spans="1:121" s="384" customFormat="1" ht="41.25" customHeight="1" x14ac:dyDescent="0.2">
      <c r="A42" s="682" t="s">
        <v>317</v>
      </c>
      <c r="B42" s="424" t="s">
        <v>298</v>
      </c>
      <c r="C42" s="426">
        <v>-3000</v>
      </c>
      <c r="D42" s="425" t="s">
        <v>265</v>
      </c>
      <c r="E42" s="680" t="s">
        <v>344</v>
      </c>
      <c r="R42" s="385"/>
      <c r="T42" s="385"/>
      <c r="X42" s="459"/>
      <c r="AK42" s="545">
        <v>-3000</v>
      </c>
      <c r="AL42" s="545">
        <v>-3000</v>
      </c>
      <c r="AM42" s="426">
        <v>-3000</v>
      </c>
      <c r="AN42" s="426">
        <v>-3000</v>
      </c>
      <c r="AO42" s="426">
        <v>-3000</v>
      </c>
      <c r="AP42" s="426">
        <v>-3000</v>
      </c>
      <c r="AQ42" s="426">
        <v>-3000</v>
      </c>
      <c r="AR42" s="426">
        <v>-3000</v>
      </c>
      <c r="AS42" s="426">
        <v>-3000</v>
      </c>
      <c r="AT42" s="426">
        <v>-3000</v>
      </c>
      <c r="AU42" s="426">
        <v>-3000</v>
      </c>
      <c r="AV42" s="426">
        <v>-3000</v>
      </c>
      <c r="AW42" s="426">
        <v>-3000</v>
      </c>
      <c r="AX42" s="426">
        <v>-3000</v>
      </c>
      <c r="AY42" s="426">
        <v>-3000</v>
      </c>
      <c r="AZ42" s="426">
        <v>-3000</v>
      </c>
      <c r="BA42" s="426">
        <v>-3000</v>
      </c>
      <c r="BB42" s="426">
        <v>-3000</v>
      </c>
      <c r="BC42" s="426">
        <v>-3000</v>
      </c>
      <c r="BD42" s="426">
        <v>-3000</v>
      </c>
      <c r="BE42" s="426">
        <v>-3000</v>
      </c>
      <c r="BF42" s="426">
        <v>-3000</v>
      </c>
      <c r="BG42" s="426">
        <v>-3000</v>
      </c>
      <c r="BH42" s="426">
        <v>-3000</v>
      </c>
      <c r="BI42" s="425">
        <v>-3000</v>
      </c>
      <c r="BJ42" s="426">
        <v>-3000</v>
      </c>
      <c r="BK42" s="426">
        <v>-3000</v>
      </c>
      <c r="BL42" s="426">
        <v>-3000</v>
      </c>
      <c r="BM42" s="426">
        <v>-3000</v>
      </c>
      <c r="BN42" s="426">
        <v>-3000</v>
      </c>
      <c r="BO42" s="426">
        <v>-3000</v>
      </c>
      <c r="BP42" s="426">
        <v>-3000</v>
      </c>
      <c r="BQ42" s="426">
        <v>-3000</v>
      </c>
      <c r="BR42" s="426">
        <v>-3000</v>
      </c>
      <c r="BS42" s="426">
        <v>-3000</v>
      </c>
      <c r="BT42" s="426">
        <v>-3000</v>
      </c>
      <c r="BU42" s="426">
        <v>-3000</v>
      </c>
      <c r="BV42" s="426">
        <v>-3000</v>
      </c>
      <c r="BW42" s="426">
        <v>-3000</v>
      </c>
      <c r="BX42" s="426">
        <v>-3000</v>
      </c>
      <c r="BY42" s="426">
        <v>-3000</v>
      </c>
      <c r="BZ42" s="426">
        <v>-3000</v>
      </c>
      <c r="CA42" s="426">
        <v>-3000</v>
      </c>
      <c r="CB42" s="426">
        <v>-3000</v>
      </c>
      <c r="CC42" s="426">
        <v>-3000</v>
      </c>
      <c r="CD42" s="426">
        <v>-3000</v>
      </c>
      <c r="CE42" s="426">
        <v>-3000</v>
      </c>
      <c r="CF42" s="426">
        <v>-3000</v>
      </c>
      <c r="CG42" s="426">
        <v>-3000</v>
      </c>
      <c r="CH42" s="426">
        <v>-3000</v>
      </c>
      <c r="CI42" s="426">
        <v>-3000</v>
      </c>
      <c r="CJ42" s="426">
        <v>-3000</v>
      </c>
      <c r="CK42" s="426">
        <v>-3000</v>
      </c>
      <c r="CL42" s="426">
        <v>-3000</v>
      </c>
      <c r="CM42" s="426">
        <v>-3000</v>
      </c>
      <c r="CN42" s="426">
        <v>-3000</v>
      </c>
      <c r="CO42" s="426">
        <v>-3000</v>
      </c>
      <c r="CP42" s="384">
        <v>-3000</v>
      </c>
      <c r="CQ42" s="384">
        <v>-3000</v>
      </c>
      <c r="CR42" s="384">
        <v>-3000</v>
      </c>
      <c r="CS42" s="384">
        <v>-3000</v>
      </c>
      <c r="CT42" s="384">
        <v>-3000</v>
      </c>
      <c r="CU42" s="384">
        <v>-3000</v>
      </c>
      <c r="CV42" s="610">
        <v>-3000</v>
      </c>
      <c r="CW42" s="384">
        <v>-3000</v>
      </c>
      <c r="CX42" s="384">
        <v>-3000</v>
      </c>
      <c r="CY42" s="384">
        <v>-3000</v>
      </c>
      <c r="CZ42" s="384">
        <v>-3000</v>
      </c>
      <c r="DA42" s="384">
        <v>-3000</v>
      </c>
      <c r="DB42" s="384">
        <v>-3000</v>
      </c>
      <c r="DC42" s="384">
        <v>-3000</v>
      </c>
      <c r="DD42" s="384">
        <v>-3000</v>
      </c>
      <c r="DE42" s="384">
        <v>-3000</v>
      </c>
      <c r="DF42" s="614">
        <v>-3000</v>
      </c>
      <c r="DG42" s="384">
        <v>-3000</v>
      </c>
      <c r="DH42" s="384">
        <v>-3000</v>
      </c>
      <c r="DI42" s="384">
        <v>-3000</v>
      </c>
      <c r="DJ42" s="384">
        <v>-3000</v>
      </c>
      <c r="DK42" s="384">
        <v>-3000</v>
      </c>
      <c r="DL42" s="384">
        <v>-3000</v>
      </c>
      <c r="DM42" s="384">
        <v>-3000</v>
      </c>
      <c r="DN42" s="384">
        <v>-3000</v>
      </c>
      <c r="DO42" s="384">
        <v>-3000</v>
      </c>
      <c r="DP42" s="384">
        <v>-3000</v>
      </c>
      <c r="DQ42" s="697"/>
    </row>
    <row r="43" spans="1:121" s="384" customFormat="1" ht="20" x14ac:dyDescent="0.2">
      <c r="A43" s="866" t="s">
        <v>288</v>
      </c>
      <c r="B43" s="447" t="s">
        <v>297</v>
      </c>
      <c r="C43" s="448">
        <v>-10</v>
      </c>
      <c r="D43" s="449" t="s">
        <v>296</v>
      </c>
      <c r="E43" s="683" t="s">
        <v>312</v>
      </c>
      <c r="R43" s="385"/>
      <c r="T43" s="385"/>
      <c r="X43" s="459"/>
      <c r="AK43" s="546">
        <v>-10</v>
      </c>
      <c r="AL43" s="546">
        <v>-10</v>
      </c>
      <c r="AM43" s="448">
        <v>-10</v>
      </c>
      <c r="AN43" s="448">
        <v>-10</v>
      </c>
      <c r="AO43" s="448">
        <v>-10</v>
      </c>
      <c r="AP43" s="448">
        <v>-10</v>
      </c>
      <c r="AQ43" s="448">
        <v>-10</v>
      </c>
      <c r="AR43" s="448">
        <v>-10</v>
      </c>
      <c r="AS43" s="448">
        <v>-10</v>
      </c>
      <c r="AT43" s="448">
        <v>-10</v>
      </c>
      <c r="AU43" s="448">
        <v>-10</v>
      </c>
      <c r="AV43" s="448">
        <v>-10</v>
      </c>
      <c r="AW43" s="448">
        <v>-10</v>
      </c>
      <c r="AX43" s="448">
        <v>-10</v>
      </c>
      <c r="AY43" s="448">
        <v>-10</v>
      </c>
      <c r="AZ43" s="448">
        <v>-10</v>
      </c>
      <c r="BA43" s="448">
        <v>-10</v>
      </c>
      <c r="BB43" s="448">
        <v>-10</v>
      </c>
      <c r="BC43" s="448">
        <v>-10</v>
      </c>
      <c r="BD43" s="448">
        <v>-10</v>
      </c>
      <c r="BE43" s="448">
        <v>-10</v>
      </c>
      <c r="BF43" s="448">
        <v>-10</v>
      </c>
      <c r="BG43" s="448">
        <v>-10</v>
      </c>
      <c r="BH43" s="448">
        <v>-10</v>
      </c>
      <c r="BI43" s="449">
        <v>-10</v>
      </c>
      <c r="BJ43" s="448">
        <v>-10</v>
      </c>
      <c r="BK43" s="448">
        <v>-10</v>
      </c>
      <c r="BL43" s="448">
        <v>-10</v>
      </c>
      <c r="BM43" s="448">
        <v>-10</v>
      </c>
      <c r="BN43" s="448">
        <v>-10</v>
      </c>
      <c r="BO43" s="448">
        <v>-10</v>
      </c>
      <c r="BP43" s="448">
        <v>-10</v>
      </c>
      <c r="BQ43" s="448">
        <v>-10</v>
      </c>
      <c r="BR43" s="448">
        <v>-10</v>
      </c>
      <c r="BS43" s="448">
        <v>-10</v>
      </c>
      <c r="BT43" s="448">
        <v>-10</v>
      </c>
      <c r="BU43" s="448">
        <v>-10</v>
      </c>
      <c r="BV43" s="448">
        <v>-10</v>
      </c>
      <c r="BW43" s="448">
        <v>-10</v>
      </c>
      <c r="BX43" s="448">
        <v>-10</v>
      </c>
      <c r="BY43" s="448">
        <v>-10</v>
      </c>
      <c r="BZ43" s="448">
        <v>-10</v>
      </c>
      <c r="CA43" s="448">
        <v>-10</v>
      </c>
      <c r="CB43" s="448">
        <v>-10</v>
      </c>
      <c r="CC43" s="448">
        <v>-10</v>
      </c>
      <c r="CD43" s="448">
        <v>-10</v>
      </c>
      <c r="CE43" s="448">
        <v>-10</v>
      </c>
      <c r="CF43" s="448">
        <v>-10</v>
      </c>
      <c r="CG43" s="448">
        <v>-10</v>
      </c>
      <c r="CH43" s="448">
        <v>-10</v>
      </c>
      <c r="CI43" s="448">
        <v>-10</v>
      </c>
      <c r="CJ43" s="448">
        <v>-10</v>
      </c>
      <c r="CK43" s="448">
        <v>-10</v>
      </c>
      <c r="CL43" s="448">
        <v>-10</v>
      </c>
      <c r="CM43" s="448">
        <v>-10</v>
      </c>
      <c r="CN43" s="448">
        <v>-10</v>
      </c>
      <c r="CO43" s="448">
        <v>-10</v>
      </c>
      <c r="CP43" s="384">
        <v>-10</v>
      </c>
      <c r="CQ43" s="384">
        <v>-10</v>
      </c>
      <c r="CR43" s="384">
        <v>-10</v>
      </c>
      <c r="CS43" s="384">
        <v>-10</v>
      </c>
      <c r="CT43" s="384">
        <v>-10</v>
      </c>
      <c r="CU43" s="384">
        <v>-10</v>
      </c>
      <c r="CV43" s="610">
        <v>-10</v>
      </c>
      <c r="CW43" s="384">
        <v>-10</v>
      </c>
      <c r="CX43" s="384">
        <v>-10</v>
      </c>
      <c r="CY43" s="384">
        <v>-10</v>
      </c>
      <c r="CZ43" s="384">
        <v>-10</v>
      </c>
      <c r="DA43" s="384">
        <v>-10</v>
      </c>
      <c r="DB43" s="384">
        <v>-10</v>
      </c>
      <c r="DC43" s="384">
        <v>-10</v>
      </c>
      <c r="DD43" s="384">
        <v>-10</v>
      </c>
      <c r="DE43" s="384">
        <v>-10</v>
      </c>
      <c r="DF43" s="614">
        <v>-10</v>
      </c>
      <c r="DG43" s="384">
        <v>-10</v>
      </c>
      <c r="DH43" s="384">
        <v>-10</v>
      </c>
      <c r="DI43" s="384">
        <v>-10</v>
      </c>
      <c r="DJ43" s="384">
        <v>-10</v>
      </c>
      <c r="DK43" s="384">
        <v>-10</v>
      </c>
      <c r="DL43" s="384">
        <v>-10</v>
      </c>
      <c r="DM43" s="384">
        <v>-10</v>
      </c>
      <c r="DN43" s="384">
        <v>-10</v>
      </c>
      <c r="DO43" s="384">
        <v>-10</v>
      </c>
      <c r="DP43" s="384">
        <v>-10</v>
      </c>
      <c r="DQ43" s="697"/>
    </row>
    <row r="44" spans="1:121" s="384" customFormat="1" ht="21" thickBot="1" x14ac:dyDescent="0.25">
      <c r="A44" s="867"/>
      <c r="B44" s="684" t="s">
        <v>299</v>
      </c>
      <c r="C44" s="685">
        <v>-15000</v>
      </c>
      <c r="D44" s="686" t="s">
        <v>265</v>
      </c>
      <c r="E44" s="687" t="s">
        <v>300</v>
      </c>
      <c r="R44" s="385"/>
      <c r="T44" s="385"/>
      <c r="X44" s="459"/>
      <c r="AK44" s="547">
        <v>-15000</v>
      </c>
      <c r="AL44" s="547">
        <v>-15000</v>
      </c>
      <c r="AM44" s="570">
        <v>-15000</v>
      </c>
      <c r="AN44" s="570">
        <v>-15000</v>
      </c>
      <c r="AO44" s="570">
        <v>-15000</v>
      </c>
      <c r="AP44" s="570">
        <v>-15000</v>
      </c>
      <c r="AQ44" s="570">
        <v>-15000</v>
      </c>
      <c r="AR44" s="570">
        <v>-15000</v>
      </c>
      <c r="AS44" s="570">
        <v>-15000</v>
      </c>
      <c r="AT44" s="570">
        <v>-15000</v>
      </c>
      <c r="AU44" s="479">
        <v>-15000</v>
      </c>
      <c r="AV44" s="479">
        <v>-15000</v>
      </c>
      <c r="AW44" s="570">
        <v>-15000</v>
      </c>
      <c r="AX44" s="570">
        <v>-15000</v>
      </c>
      <c r="AY44" s="570">
        <v>-15000</v>
      </c>
      <c r="AZ44" s="570">
        <v>-15000</v>
      </c>
      <c r="BA44" s="479">
        <v>-15000</v>
      </c>
      <c r="BB44" s="570">
        <v>-15000</v>
      </c>
      <c r="BC44" s="570">
        <v>-15000</v>
      </c>
      <c r="BD44" s="570">
        <v>-15000</v>
      </c>
      <c r="BE44" s="570">
        <v>-15000</v>
      </c>
      <c r="BF44" s="570">
        <v>-15000</v>
      </c>
      <c r="BG44" s="570">
        <v>-15000</v>
      </c>
      <c r="BH44" s="570">
        <v>-15000</v>
      </c>
      <c r="BI44" s="480">
        <v>-15000</v>
      </c>
      <c r="BJ44" s="570">
        <v>-15000</v>
      </c>
      <c r="BK44" s="570">
        <v>-15000</v>
      </c>
      <c r="BL44" s="570">
        <v>-15000</v>
      </c>
      <c r="BM44" s="570">
        <v>-15000</v>
      </c>
      <c r="BN44" s="570">
        <v>-15000</v>
      </c>
      <c r="BO44" s="570">
        <v>-15000</v>
      </c>
      <c r="BP44" s="570">
        <v>-15000</v>
      </c>
      <c r="BQ44" s="570">
        <v>-15000</v>
      </c>
      <c r="BR44" s="570">
        <v>-15000</v>
      </c>
      <c r="BS44" s="570">
        <v>-15000</v>
      </c>
      <c r="BT44" s="570">
        <v>-15000</v>
      </c>
      <c r="BU44" s="570">
        <v>-15000</v>
      </c>
      <c r="BV44" s="570">
        <v>-15000</v>
      </c>
      <c r="BW44" s="570">
        <v>-15000</v>
      </c>
      <c r="BX44" s="570">
        <v>-15000</v>
      </c>
      <c r="BY44" s="570">
        <v>-15000</v>
      </c>
      <c r="BZ44" s="570">
        <v>-15000</v>
      </c>
      <c r="CA44" s="570">
        <v>-15000</v>
      </c>
      <c r="CB44" s="570">
        <v>-15000</v>
      </c>
      <c r="CC44" s="570">
        <v>-15000</v>
      </c>
      <c r="CD44" s="479">
        <v>-15000</v>
      </c>
      <c r="CE44" s="570">
        <v>-15000</v>
      </c>
      <c r="CF44" s="570">
        <v>-15000</v>
      </c>
      <c r="CG44" s="570">
        <v>-15000</v>
      </c>
      <c r="CH44" s="570">
        <v>-15000</v>
      </c>
      <c r="CI44" s="570">
        <v>-15000</v>
      </c>
      <c r="CJ44" s="570">
        <v>-15000</v>
      </c>
      <c r="CK44" s="570">
        <v>-15000</v>
      </c>
      <c r="CL44" s="570">
        <v>-15000</v>
      </c>
      <c r="CM44" s="479">
        <v>-15000</v>
      </c>
      <c r="CN44" s="570">
        <v>-15000</v>
      </c>
      <c r="CO44" s="570">
        <v>-15000</v>
      </c>
      <c r="CP44" s="384">
        <v>-15000</v>
      </c>
      <c r="CQ44" s="384">
        <v>-15000</v>
      </c>
      <c r="CR44" s="384">
        <v>-15000</v>
      </c>
      <c r="CS44" s="384">
        <v>-15000</v>
      </c>
      <c r="CT44" s="384">
        <v>-15000</v>
      </c>
      <c r="CU44" s="384">
        <v>-15000</v>
      </c>
      <c r="CV44" s="610">
        <v>-15000</v>
      </c>
      <c r="CW44" s="384">
        <v>-15000</v>
      </c>
      <c r="CX44" s="384">
        <v>-15000</v>
      </c>
      <c r="CY44" s="384">
        <v>-15000</v>
      </c>
      <c r="CZ44" s="384">
        <v>-15000</v>
      </c>
      <c r="DA44" s="384">
        <v>-15000</v>
      </c>
      <c r="DB44" s="384">
        <v>-15000</v>
      </c>
      <c r="DC44" s="384">
        <v>-15000</v>
      </c>
      <c r="DD44" s="384">
        <v>-15000</v>
      </c>
      <c r="DE44" s="384">
        <v>-15000</v>
      </c>
      <c r="DF44" s="614">
        <v>-15000</v>
      </c>
      <c r="DG44" s="384">
        <v>-15000</v>
      </c>
      <c r="DH44" s="384">
        <v>-15000</v>
      </c>
      <c r="DI44" s="384">
        <v>-15000</v>
      </c>
      <c r="DJ44" s="384">
        <v>-15000</v>
      </c>
      <c r="DK44" s="384">
        <v>-15000</v>
      </c>
      <c r="DL44" s="384">
        <v>-15000</v>
      </c>
      <c r="DM44" s="384">
        <v>-15000</v>
      </c>
      <c r="DN44" s="384">
        <v>-15000</v>
      </c>
      <c r="DO44" s="384">
        <v>-15000</v>
      </c>
      <c r="DP44" s="384">
        <v>-15000</v>
      </c>
      <c r="DQ44" s="697"/>
    </row>
    <row r="45" spans="1:121" ht="17" thickBot="1" x14ac:dyDescent="0.25">
      <c r="AL45" s="423"/>
      <c r="AM45" s="571"/>
      <c r="AN45" s="571"/>
      <c r="AO45" s="571"/>
      <c r="AP45" s="571"/>
      <c r="AQ45" s="571"/>
      <c r="AR45" s="571"/>
      <c r="AS45" s="571"/>
      <c r="AT45" s="571"/>
      <c r="AW45" s="571"/>
      <c r="AX45" s="571"/>
      <c r="AY45" s="571"/>
      <c r="AZ45" s="571"/>
      <c r="BB45" s="571"/>
      <c r="BC45" s="571"/>
      <c r="BD45" s="571"/>
      <c r="BE45" s="571"/>
      <c r="BF45" s="571"/>
      <c r="BG45" s="571"/>
      <c r="BH45" s="571"/>
      <c r="BJ45" s="571"/>
      <c r="BK45" s="571"/>
      <c r="BL45" s="571"/>
      <c r="BM45" s="571"/>
      <c r="BN45" s="571"/>
      <c r="BO45" s="571"/>
      <c r="BP45" s="571"/>
      <c r="BQ45" s="571"/>
      <c r="BR45" s="571"/>
      <c r="BS45" s="571"/>
      <c r="BT45" s="571"/>
      <c r="BU45" s="571"/>
      <c r="BV45" s="571"/>
      <c r="BW45" s="571"/>
      <c r="BX45" s="571"/>
      <c r="BY45" s="571"/>
      <c r="BZ45" s="571"/>
      <c r="CA45" s="571"/>
      <c r="CB45" s="571"/>
      <c r="CC45" s="571"/>
      <c r="CE45" s="571"/>
      <c r="CF45" s="571"/>
      <c r="CG45" s="571"/>
      <c r="CH45" s="571"/>
      <c r="CI45" s="571"/>
      <c r="CJ45" s="571"/>
      <c r="CK45" s="571"/>
      <c r="CL45" s="571"/>
      <c r="CN45" s="571"/>
      <c r="CO45" s="571"/>
      <c r="CV45" s="611"/>
      <c r="DF45" s="615"/>
      <c r="DQ45" s="698"/>
    </row>
    <row r="46" spans="1:121" s="384" customFormat="1" ht="24.75" customHeight="1" thickTop="1" x14ac:dyDescent="0.2">
      <c r="A46" s="496" t="s">
        <v>232</v>
      </c>
      <c r="B46" s="497"/>
      <c r="C46" s="498"/>
      <c r="D46" s="498"/>
      <c r="E46" s="499"/>
      <c r="R46" s="385"/>
      <c r="T46" s="385"/>
      <c r="X46" s="459"/>
      <c r="AK46" s="548"/>
      <c r="AL46" s="548"/>
      <c r="AM46" s="572"/>
      <c r="AN46" s="572"/>
      <c r="AO46" s="572"/>
      <c r="AP46" s="572"/>
      <c r="AQ46" s="572"/>
      <c r="AR46" s="572"/>
      <c r="AS46" s="572"/>
      <c r="AT46" s="572"/>
      <c r="AU46" s="498"/>
      <c r="AV46" s="498"/>
      <c r="AW46" s="572"/>
      <c r="AX46" s="572"/>
      <c r="AY46" s="572"/>
      <c r="AZ46" s="572"/>
      <c r="BA46" s="498"/>
      <c r="BB46" s="572"/>
      <c r="BC46" s="572"/>
      <c r="BD46" s="572"/>
      <c r="BE46" s="572"/>
      <c r="BF46" s="572"/>
      <c r="BG46" s="572"/>
      <c r="BH46" s="572"/>
      <c r="BI46" s="498"/>
      <c r="BJ46" s="572"/>
      <c r="BK46" s="572"/>
      <c r="BL46" s="572"/>
      <c r="BM46" s="572"/>
      <c r="BN46" s="572"/>
      <c r="BO46" s="572"/>
      <c r="BP46" s="572"/>
      <c r="BQ46" s="572"/>
      <c r="BR46" s="572"/>
      <c r="BS46" s="572"/>
      <c r="BT46" s="572"/>
      <c r="BU46" s="572"/>
      <c r="BV46" s="572"/>
      <c r="BW46" s="572"/>
      <c r="BX46" s="572"/>
      <c r="BY46" s="572"/>
      <c r="BZ46" s="572"/>
      <c r="CA46" s="572"/>
      <c r="CB46" s="572"/>
      <c r="CC46" s="572"/>
      <c r="CD46" s="498"/>
      <c r="CE46" s="572"/>
      <c r="CF46" s="572"/>
      <c r="CG46" s="572"/>
      <c r="CH46" s="572"/>
      <c r="CI46" s="572"/>
      <c r="CJ46" s="572"/>
      <c r="CK46" s="572"/>
      <c r="CL46" s="572"/>
      <c r="CM46" s="498"/>
      <c r="CN46" s="572"/>
      <c r="CO46" s="572"/>
      <c r="CV46" s="610"/>
      <c r="DF46" s="614"/>
      <c r="DQ46" s="697"/>
    </row>
    <row r="47" spans="1:121" s="384" customFormat="1" ht="20" x14ac:dyDescent="0.2">
      <c r="A47" s="861" t="s">
        <v>260</v>
      </c>
      <c r="B47" s="862"/>
      <c r="C47" s="409" t="e">
        <f ca="1">INDEX($J$85:$J$680,$BU$84)</f>
        <v>#NAME?</v>
      </c>
      <c r="D47" s="410" t="s">
        <v>235</v>
      </c>
      <c r="E47" s="868" t="s">
        <v>351</v>
      </c>
      <c r="R47" s="385"/>
      <c r="T47" s="385"/>
      <c r="X47" s="459"/>
      <c r="AK47" s="549">
        <v>41705.994444445365</v>
      </c>
      <c r="AL47" s="549">
        <v>41705.997222223152</v>
      </c>
      <c r="AM47" s="573">
        <v>41705.997916667598</v>
      </c>
      <c r="AN47" s="573">
        <v>41705.997916667598</v>
      </c>
      <c r="AO47" s="573">
        <v>41705.997916667598</v>
      </c>
      <c r="AP47" s="573">
        <v>41705.997222223152</v>
      </c>
      <c r="AQ47" s="573">
        <v>41705.996527778705</v>
      </c>
      <c r="AR47" s="573">
        <v>41705.996527778705</v>
      </c>
      <c r="AS47" s="573">
        <v>41705.996527778705</v>
      </c>
      <c r="AT47" s="573">
        <v>41705.996527778705</v>
      </c>
      <c r="AU47" s="569">
        <v>41705.996527778705</v>
      </c>
      <c r="AV47" s="569">
        <v>41705.995833334258</v>
      </c>
      <c r="AW47" s="573">
        <v>41705.994444445365</v>
      </c>
      <c r="AX47" s="573">
        <v>41706.013194445426</v>
      </c>
      <c r="AY47" s="573">
        <v>41706.009722223193</v>
      </c>
      <c r="AZ47" s="573">
        <v>41706.009722223193</v>
      </c>
      <c r="BA47" s="409">
        <v>41706.013194445426</v>
      </c>
      <c r="BB47" s="573">
        <v>41706.015277778766</v>
      </c>
      <c r="BC47" s="573">
        <v>41706.015277778766</v>
      </c>
      <c r="BD47" s="573">
        <v>41706.012500000979</v>
      </c>
      <c r="BE47" s="573">
        <v>41706.008333334299</v>
      </c>
      <c r="BF47" s="573">
        <v>41706.006250000959</v>
      </c>
      <c r="BG47" s="573">
        <v>41706.004861112066</v>
      </c>
      <c r="BH47" s="573">
        <v>41706.004166667619</v>
      </c>
      <c r="BI47" s="410">
        <v>41705.995833334258</v>
      </c>
      <c r="BJ47" s="573">
        <v>41706.002777778725</v>
      </c>
      <c r="BK47" s="573">
        <v>41706.011111112086</v>
      </c>
      <c r="BL47" s="573">
        <v>41706.018750001</v>
      </c>
      <c r="BM47" s="573">
        <v>41706.027777778807</v>
      </c>
      <c r="BN47" s="573">
        <v>41706.034722223274</v>
      </c>
      <c r="BO47" s="573">
        <v>41706.039583334401</v>
      </c>
      <c r="BP47" s="573">
        <v>41706.040972223294</v>
      </c>
      <c r="BQ47" s="573">
        <v>41706.040972223294</v>
      </c>
      <c r="BR47" s="573">
        <v>41706.038194445508</v>
      </c>
      <c r="BS47" s="573">
        <v>41706.033333334381</v>
      </c>
      <c r="BT47" s="573">
        <v>41706.027777778807</v>
      </c>
      <c r="BU47" s="573">
        <v>41706.024305556573</v>
      </c>
      <c r="BV47" s="573">
        <v>41706.020138889893</v>
      </c>
      <c r="BW47" s="573">
        <v>41706.013194445426</v>
      </c>
      <c r="BX47" s="573">
        <v>41706.010416667639</v>
      </c>
      <c r="BY47" s="573">
        <v>41706.008333334299</v>
      </c>
      <c r="BZ47" s="573">
        <v>41706.004861112066</v>
      </c>
      <c r="CA47" s="573">
        <v>41706.003472223172</v>
      </c>
      <c r="CB47" s="573">
        <v>41706.01666666766</v>
      </c>
      <c r="CC47" s="573">
        <v>41706.012500000979</v>
      </c>
      <c r="CD47" s="409">
        <v>41706.011805556533</v>
      </c>
      <c r="CE47" s="573">
        <v>41706.012500000979</v>
      </c>
      <c r="CF47" s="573">
        <v>41706.015972223213</v>
      </c>
      <c r="CG47" s="573">
        <v>41706.015972223213</v>
      </c>
      <c r="CH47" s="573">
        <v>41706.020138889893</v>
      </c>
      <c r="CI47" s="573">
        <v>41706.02291666768</v>
      </c>
      <c r="CJ47" s="573">
        <v>41706.023611112127</v>
      </c>
      <c r="CK47" s="573">
        <v>41706.02291666768</v>
      </c>
      <c r="CL47" s="573">
        <v>41706.018055556553</v>
      </c>
      <c r="CM47" s="409">
        <v>41706.008333334299</v>
      </c>
      <c r="CN47" s="573">
        <v>41706.003472223172</v>
      </c>
      <c r="CO47" s="573">
        <v>41705.993055556472</v>
      </c>
      <c r="CP47" s="384">
        <v>41705.993750000918</v>
      </c>
      <c r="CQ47" s="384">
        <v>41705.996527778705</v>
      </c>
      <c r="CR47" s="384">
        <v>41705.993055556472</v>
      </c>
      <c r="CS47" s="384">
        <v>41705.984722223111</v>
      </c>
      <c r="CT47" s="384">
        <v>41705.97013888973</v>
      </c>
      <c r="CU47" s="384">
        <v>41705.955555556349</v>
      </c>
      <c r="CV47" s="610">
        <v>41705.999305556492</v>
      </c>
      <c r="CW47" s="384">
        <v>41706.000000000939</v>
      </c>
      <c r="CX47" s="384">
        <v>41706.000000000939</v>
      </c>
      <c r="CY47" s="384">
        <v>41706.000694445385</v>
      </c>
      <c r="CZ47" s="384">
        <v>41706.001388889832</v>
      </c>
      <c r="DA47" s="384">
        <v>41706.001388889832</v>
      </c>
      <c r="DB47" s="384">
        <v>41706.002083334279</v>
      </c>
      <c r="DC47" s="384">
        <v>41706.001388889832</v>
      </c>
      <c r="DD47" s="384">
        <v>41706.000694445385</v>
      </c>
      <c r="DE47" s="384">
        <v>41705.997916667598</v>
      </c>
      <c r="DF47" s="614">
        <v>41706.003472223172</v>
      </c>
      <c r="DG47" s="384">
        <v>41706.004166667619</v>
      </c>
      <c r="DH47" s="384">
        <v>41706.004166667619</v>
      </c>
      <c r="DI47" s="384">
        <v>41706.004861112066</v>
      </c>
      <c r="DJ47" s="384">
        <v>41706.005555556512</v>
      </c>
      <c r="DK47" s="384">
        <v>41706.006250000959</v>
      </c>
      <c r="DL47" s="384">
        <v>41706.006250000959</v>
      </c>
      <c r="DM47" s="384">
        <v>41706.006250000959</v>
      </c>
      <c r="DN47" s="384">
        <v>41706.004861112066</v>
      </c>
      <c r="DO47" s="384">
        <v>41706.004166667619</v>
      </c>
      <c r="DP47" s="384">
        <v>41706.002083334279</v>
      </c>
      <c r="DQ47" s="697"/>
    </row>
    <row r="48" spans="1:121" s="384" customFormat="1" ht="20" x14ac:dyDescent="0.2">
      <c r="A48" s="861" t="s">
        <v>353</v>
      </c>
      <c r="B48" s="862"/>
      <c r="C48" s="751" t="e">
        <f ca="1">INDEX($J$85:$J$680,$BT$84)</f>
        <v>#NAME?</v>
      </c>
      <c r="D48" s="410" t="s">
        <v>235</v>
      </c>
      <c r="E48" s="869"/>
      <c r="R48" s="385"/>
      <c r="T48" s="385"/>
      <c r="X48" s="459"/>
      <c r="AK48" s="599">
        <v>41705.997916667598</v>
      </c>
      <c r="AL48" s="599">
        <v>41706.001388889832</v>
      </c>
      <c r="AM48" s="600">
        <v>41706.002083334279</v>
      </c>
      <c r="AN48" s="600">
        <v>41706.002777778725</v>
      </c>
      <c r="AO48" s="600">
        <v>41706.002777778725</v>
      </c>
      <c r="AP48" s="600">
        <v>41706.002777778725</v>
      </c>
      <c r="AQ48" s="600">
        <v>41706.002777778725</v>
      </c>
      <c r="AR48" s="600">
        <v>41706.002777778725</v>
      </c>
      <c r="AS48" s="600">
        <v>41706.002777778725</v>
      </c>
      <c r="AT48" s="600">
        <v>41706.003472223172</v>
      </c>
      <c r="AU48" s="601">
        <v>41706.003472223172</v>
      </c>
      <c r="AV48" s="601">
        <v>41706.003472223172</v>
      </c>
      <c r="AW48" s="600">
        <v>41706.002083334279</v>
      </c>
      <c r="AX48" s="574">
        <v>41706.01666666766</v>
      </c>
      <c r="AY48" s="574">
        <v>41706.013194445426</v>
      </c>
      <c r="AZ48" s="574">
        <v>41706.013888889873</v>
      </c>
      <c r="BA48" s="490">
        <v>41706.017361112106</v>
      </c>
      <c r="BB48" s="574">
        <v>41706.020138889893</v>
      </c>
      <c r="BC48" s="574">
        <v>41706.020138888889</v>
      </c>
      <c r="BD48" s="574">
        <v>41706.018055556553</v>
      </c>
      <c r="BE48" s="574">
        <v>41706.013888889873</v>
      </c>
      <c r="BF48" s="574">
        <v>41706.012500000979</v>
      </c>
      <c r="BG48" s="574">
        <v>41706.011805556533</v>
      </c>
      <c r="BH48" s="574">
        <v>41706.011111112086</v>
      </c>
      <c r="BI48" s="410">
        <v>41705.997916667598</v>
      </c>
      <c r="BJ48" s="574">
        <v>41706.004861112066</v>
      </c>
      <c r="BK48" s="574">
        <v>41706.013194445426</v>
      </c>
      <c r="BL48" s="574">
        <v>41706.02083333434</v>
      </c>
      <c r="BM48" s="574">
        <v>41706.029861112147</v>
      </c>
      <c r="BN48" s="574">
        <v>41706.037500001061</v>
      </c>
      <c r="BO48" s="574">
        <v>41706.042361112188</v>
      </c>
      <c r="BP48" s="574">
        <v>41706.044444445528</v>
      </c>
      <c r="BQ48" s="574">
        <v>41706.044444445528</v>
      </c>
      <c r="BR48" s="574">
        <v>41706.042361112188</v>
      </c>
      <c r="BS48" s="574">
        <v>41706.037500001061</v>
      </c>
      <c r="BT48" s="574">
        <v>41706.032638889934</v>
      </c>
      <c r="BU48" s="574">
        <v>41706.029861112147</v>
      </c>
      <c r="BV48" s="574">
        <v>41706.026388889914</v>
      </c>
      <c r="BW48" s="574">
        <v>41706.020138889893</v>
      </c>
      <c r="BX48" s="574">
        <v>41706.017361112106</v>
      </c>
      <c r="BY48" s="574">
        <v>41706.015277778766</v>
      </c>
      <c r="BZ48" s="574">
        <v>41706.012500000979</v>
      </c>
      <c r="CA48" s="574">
        <v>41706.010416667639</v>
      </c>
      <c r="CB48" s="574">
        <v>41706.018750001</v>
      </c>
      <c r="CC48" s="574">
        <v>41706.014583334319</v>
      </c>
      <c r="CD48" s="490">
        <v>41706.013888889873</v>
      </c>
      <c r="CE48" s="574">
        <v>41706.014583334319</v>
      </c>
      <c r="CF48" s="574">
        <v>41706.018750001</v>
      </c>
      <c r="CG48" s="574">
        <v>41706.018750001</v>
      </c>
      <c r="CH48" s="574">
        <v>41706.02291666768</v>
      </c>
      <c r="CI48" s="574">
        <v>41706.026388889914</v>
      </c>
      <c r="CJ48" s="574">
        <v>41706.027777778807</v>
      </c>
      <c r="CK48" s="574">
        <v>41706.027777778807</v>
      </c>
      <c r="CL48" s="574">
        <v>41706.023611112127</v>
      </c>
      <c r="CM48" s="490">
        <v>41706.015277778766</v>
      </c>
      <c r="CN48" s="574">
        <v>41706.011111112086</v>
      </c>
      <c r="CO48" s="574">
        <v>41706.000694445385</v>
      </c>
      <c r="CP48" s="384">
        <v>41706.001388889832</v>
      </c>
      <c r="CQ48" s="384">
        <v>41706.003472223172</v>
      </c>
      <c r="CR48" s="384">
        <v>41705.999305556492</v>
      </c>
      <c r="CS48" s="384">
        <v>41705.990277778685</v>
      </c>
      <c r="CT48" s="384">
        <v>41705.975694445304</v>
      </c>
      <c r="CU48" s="384">
        <v>41705.960416667476</v>
      </c>
      <c r="CV48" s="610">
        <v>41706.006944445406</v>
      </c>
      <c r="CW48" s="384">
        <v>41706.006944445406</v>
      </c>
      <c r="CX48" s="384">
        <v>41706.006250000959</v>
      </c>
      <c r="CY48" s="384">
        <v>41706.006250000959</v>
      </c>
      <c r="CZ48" s="384">
        <v>41706.006944445406</v>
      </c>
      <c r="DA48" s="384">
        <v>41706.006250000959</v>
      </c>
      <c r="DB48" s="384">
        <v>41706.006944445406</v>
      </c>
      <c r="DC48" s="384">
        <v>41706.005555556512</v>
      </c>
      <c r="DD48" s="384">
        <v>41706.004861112066</v>
      </c>
      <c r="DE48" s="384">
        <v>41706.001388889832</v>
      </c>
      <c r="DF48" s="614">
        <v>41706.011111112086</v>
      </c>
      <c r="DG48" s="384">
        <v>41706.011111112086</v>
      </c>
      <c r="DH48" s="384">
        <v>41706.011111112086</v>
      </c>
      <c r="DI48" s="384">
        <v>41706.010416667639</v>
      </c>
      <c r="DJ48" s="384">
        <v>41706.011111112086</v>
      </c>
      <c r="DK48" s="384">
        <v>41706.011111112086</v>
      </c>
      <c r="DL48" s="384">
        <v>41706.011111112086</v>
      </c>
      <c r="DM48" s="384">
        <v>41706.010416667639</v>
      </c>
      <c r="DN48" s="384">
        <v>41706.009027778746</v>
      </c>
      <c r="DO48" s="384">
        <v>41706.007638889852</v>
      </c>
      <c r="DP48" s="384">
        <v>41706.005555556512</v>
      </c>
      <c r="DQ48" s="697"/>
    </row>
    <row r="49" spans="1:121" s="384" customFormat="1" ht="39" customHeight="1" x14ac:dyDescent="0.2">
      <c r="A49" s="861" t="s">
        <v>384</v>
      </c>
      <c r="B49" s="862"/>
      <c r="C49" s="666" t="e">
        <f ca="1">1440*(C48-C47)</f>
        <v>#NAME?</v>
      </c>
      <c r="D49" s="410" t="s">
        <v>383</v>
      </c>
      <c r="E49" s="869"/>
      <c r="R49" s="385"/>
      <c r="T49" s="385"/>
      <c r="X49" s="459"/>
      <c r="AK49" s="550">
        <v>3.4722222335403785E-3</v>
      </c>
      <c r="AL49" s="550">
        <v>4.1666666802484542E-3</v>
      </c>
      <c r="AM49" s="575">
        <v>4.1666666802484542E-3</v>
      </c>
      <c r="AN49" s="575">
        <v>4.8611111269565299E-3</v>
      </c>
      <c r="AO49" s="575">
        <v>4.8611111269565299E-3</v>
      </c>
      <c r="AP49" s="575">
        <v>5.5555555736646056E-3</v>
      </c>
      <c r="AQ49" s="575">
        <v>6.2500000203726813E-3</v>
      </c>
      <c r="AR49" s="575">
        <v>6.2500000203726813E-3</v>
      </c>
      <c r="AS49" s="575">
        <v>6.2500000203726813E-3</v>
      </c>
      <c r="AT49" s="575">
        <v>6.944444467080757E-3</v>
      </c>
      <c r="AU49" s="411">
        <v>6.944444467080757E-3</v>
      </c>
      <c r="AV49" s="411">
        <v>7.6388889137888327E-3</v>
      </c>
      <c r="AW49" s="575">
        <v>7.6388889137888327E-3</v>
      </c>
      <c r="AX49" s="575">
        <v>3.4722222335403785E-3</v>
      </c>
      <c r="AY49" s="575">
        <v>3.4722222335403785E-3</v>
      </c>
      <c r="AZ49" s="575">
        <v>4.1666666802484542E-3</v>
      </c>
      <c r="BA49" s="411">
        <v>4.1666666802484542E-3</v>
      </c>
      <c r="BB49" s="575">
        <v>4.8611111269565299E-3</v>
      </c>
      <c r="BC49" s="575">
        <v>4.8611111269565299E-3</v>
      </c>
      <c r="BD49" s="575">
        <v>5.5555555736646056E-3</v>
      </c>
      <c r="BE49" s="575">
        <v>5.5555555736646056E-3</v>
      </c>
      <c r="BF49" s="575">
        <v>6.2500000203726813E-3</v>
      </c>
      <c r="BG49" s="575">
        <v>6.944444467080757E-3</v>
      </c>
      <c r="BH49" s="575">
        <v>6.944444467080757E-3</v>
      </c>
      <c r="BI49" s="410">
        <v>2.0833333401242271E-3</v>
      </c>
      <c r="BJ49" s="575">
        <v>2.0833333401242271E-3</v>
      </c>
      <c r="BK49" s="575">
        <v>2.0833333401242271E-3</v>
      </c>
      <c r="BL49" s="575">
        <v>2.0833333401242271E-3</v>
      </c>
      <c r="BM49" s="575">
        <v>2.0833333401242271E-3</v>
      </c>
      <c r="BN49" s="575">
        <v>2.7777777868323028E-3</v>
      </c>
      <c r="BO49" s="575">
        <v>2.7777777868323028E-3</v>
      </c>
      <c r="BP49" s="575">
        <v>3.4722222335403785E-3</v>
      </c>
      <c r="BQ49" s="575">
        <v>3.4722222335403785E-3</v>
      </c>
      <c r="BR49" s="575">
        <v>4.1666666802484542E-3</v>
      </c>
      <c r="BS49" s="575">
        <v>4.1666666802484542E-3</v>
      </c>
      <c r="BT49" s="575">
        <v>4.8611111269565299E-3</v>
      </c>
      <c r="BU49" s="575">
        <v>5.5555555736646056E-3</v>
      </c>
      <c r="BV49" s="575">
        <v>6.2500000203726813E-3</v>
      </c>
      <c r="BW49" s="575">
        <v>6.944444467080757E-3</v>
      </c>
      <c r="BX49" s="575">
        <v>6.944444467080757E-3</v>
      </c>
      <c r="BY49" s="575">
        <v>6.944444467080757E-3</v>
      </c>
      <c r="BZ49" s="575">
        <v>7.6388889137888327E-3</v>
      </c>
      <c r="CA49" s="575">
        <v>6.944444467080757E-3</v>
      </c>
      <c r="CB49" s="575">
        <v>2.0833333401242271E-3</v>
      </c>
      <c r="CC49" s="575">
        <v>2.0833333401242271E-3</v>
      </c>
      <c r="CD49" s="411">
        <v>2.0833333401242271E-3</v>
      </c>
      <c r="CE49" s="575">
        <v>2.0833333401242271E-3</v>
      </c>
      <c r="CF49" s="575">
        <v>2.7777777868323028E-3</v>
      </c>
      <c r="CG49" s="575">
        <v>2.7777777868323028E-3</v>
      </c>
      <c r="CH49" s="575">
        <v>2.7777777868323028E-3</v>
      </c>
      <c r="CI49" s="575">
        <v>3.4722222335403785E-3</v>
      </c>
      <c r="CJ49" s="575">
        <v>4.1666666802484542E-3</v>
      </c>
      <c r="CK49" s="575">
        <v>4.8611111269565299E-3</v>
      </c>
      <c r="CL49" s="575">
        <v>5.5555555736646056E-3</v>
      </c>
      <c r="CM49" s="411">
        <v>6.944444467080757E-3</v>
      </c>
      <c r="CN49" s="575">
        <v>7.6388889137888327E-3</v>
      </c>
      <c r="CO49" s="575">
        <v>7.6388889137888327E-3</v>
      </c>
      <c r="CP49" s="384">
        <v>7.6388889137888327E-3</v>
      </c>
      <c r="CQ49" s="384">
        <v>6.944444467080757E-3</v>
      </c>
      <c r="CR49" s="384">
        <v>6.2500000203726813E-3</v>
      </c>
      <c r="CS49" s="384">
        <v>5.5555555736646056E-3</v>
      </c>
      <c r="CT49" s="384">
        <v>5.5555555736646056E-3</v>
      </c>
      <c r="CU49" s="384">
        <v>4.8611111269565299E-3</v>
      </c>
      <c r="CV49" s="610">
        <v>7.6388889137888327E-3</v>
      </c>
      <c r="CW49" s="384">
        <v>6.944444467080757E-3</v>
      </c>
      <c r="CX49" s="384">
        <v>6.2500000203726813E-3</v>
      </c>
      <c r="CY49" s="384">
        <v>5.5555555736646056E-3</v>
      </c>
      <c r="CZ49" s="384">
        <v>5.5555555736646056E-3</v>
      </c>
      <c r="DA49" s="384">
        <v>4.8611111269565299E-3</v>
      </c>
      <c r="DB49" s="384">
        <v>4.8611111269565299E-3</v>
      </c>
      <c r="DC49" s="384">
        <v>4.1666666802484542E-3</v>
      </c>
      <c r="DD49" s="384">
        <v>4.1666666802484542E-3</v>
      </c>
      <c r="DE49" s="384">
        <v>3.4722222335403785E-3</v>
      </c>
      <c r="DF49" s="614">
        <v>7.6388889137888327E-3</v>
      </c>
      <c r="DG49" s="384">
        <v>6.944444467080757E-3</v>
      </c>
      <c r="DH49" s="384">
        <v>6.944444467080757E-3</v>
      </c>
      <c r="DI49" s="384">
        <v>5.5555555736646056E-3</v>
      </c>
      <c r="DJ49" s="384">
        <v>5.5555555736646056E-3</v>
      </c>
      <c r="DK49" s="384">
        <v>4.8611111269565299E-3</v>
      </c>
      <c r="DL49" s="384">
        <v>4.8611111269565299E-3</v>
      </c>
      <c r="DM49" s="384">
        <v>4.1666666802484542E-3</v>
      </c>
      <c r="DN49" s="384">
        <v>4.1666666802484542E-3</v>
      </c>
      <c r="DO49" s="384">
        <v>3.4722222335403785E-3</v>
      </c>
      <c r="DP49" s="384">
        <v>3.4722222335403785E-3</v>
      </c>
      <c r="DQ49" s="697"/>
    </row>
    <row r="50" spans="1:121" s="384" customFormat="1" ht="39" customHeight="1" x14ac:dyDescent="0.2">
      <c r="A50" s="861" t="s">
        <v>399</v>
      </c>
      <c r="B50" s="862"/>
      <c r="C50" s="752" t="e">
        <f ca="1">MAX(C47:C48)</f>
        <v>#NAME?</v>
      </c>
      <c r="D50" s="410"/>
      <c r="E50" s="869"/>
      <c r="R50" s="385"/>
      <c r="T50" s="385"/>
      <c r="X50" s="459"/>
      <c r="AK50" s="550"/>
      <c r="AL50" s="550"/>
      <c r="AM50" s="575"/>
      <c r="AN50" s="575"/>
      <c r="AO50" s="575"/>
      <c r="AP50" s="575"/>
      <c r="AQ50" s="575"/>
      <c r="AR50" s="575"/>
      <c r="AS50" s="575"/>
      <c r="AT50" s="575"/>
      <c r="AU50" s="411"/>
      <c r="AV50" s="411"/>
      <c r="AW50" s="575"/>
      <c r="AX50" s="575"/>
      <c r="AY50" s="575"/>
      <c r="AZ50" s="575"/>
      <c r="BA50" s="411"/>
      <c r="BB50" s="575"/>
      <c r="BC50" s="575"/>
      <c r="BD50" s="575"/>
      <c r="BE50" s="575"/>
      <c r="BF50" s="575"/>
      <c r="BG50" s="575"/>
      <c r="BH50" s="575"/>
      <c r="BI50" s="410"/>
      <c r="BJ50" s="575"/>
      <c r="BK50" s="575"/>
      <c r="BL50" s="575"/>
      <c r="BM50" s="575"/>
      <c r="BN50" s="575"/>
      <c r="BO50" s="575"/>
      <c r="BP50" s="575"/>
      <c r="BQ50" s="575"/>
      <c r="BR50" s="575"/>
      <c r="BS50" s="575"/>
      <c r="BT50" s="575"/>
      <c r="BU50" s="575"/>
      <c r="BV50" s="575"/>
      <c r="BW50" s="575"/>
      <c r="BX50" s="575"/>
      <c r="BY50" s="575"/>
      <c r="BZ50" s="575"/>
      <c r="CA50" s="575"/>
      <c r="CB50" s="575"/>
      <c r="CC50" s="575"/>
      <c r="CD50" s="411"/>
      <c r="CE50" s="575"/>
      <c r="CF50" s="575"/>
      <c r="CG50" s="575"/>
      <c r="CH50" s="575"/>
      <c r="CI50" s="575"/>
      <c r="CJ50" s="575"/>
      <c r="CK50" s="575"/>
      <c r="CL50" s="575"/>
      <c r="CM50" s="411"/>
      <c r="CN50" s="575"/>
      <c r="CO50" s="575"/>
      <c r="CV50" s="610"/>
      <c r="DF50" s="614"/>
      <c r="DQ50" s="697"/>
    </row>
    <row r="51" spans="1:121" s="384" customFormat="1" ht="39" customHeight="1" x14ac:dyDescent="0.2">
      <c r="A51" s="861" t="s">
        <v>325</v>
      </c>
      <c r="B51" s="862"/>
      <c r="C51" s="409" t="e">
        <f ca="1">MAX(C48,C47)+2/1440</f>
        <v>#NAME?</v>
      </c>
      <c r="D51" s="410" t="s">
        <v>235</v>
      </c>
      <c r="E51" s="869"/>
      <c r="R51" s="385"/>
      <c r="T51" s="385"/>
      <c r="X51" s="459"/>
      <c r="AK51" s="549">
        <v>41705.999305556485</v>
      </c>
      <c r="AL51" s="549">
        <v>41706.002777778718</v>
      </c>
      <c r="AM51" s="573">
        <v>41706.003472223165</v>
      </c>
      <c r="AN51" s="573">
        <v>41706.004166667612</v>
      </c>
      <c r="AO51" s="573">
        <v>41706.004166667612</v>
      </c>
      <c r="AP51" s="573">
        <v>41706.004166667612</v>
      </c>
      <c r="AQ51" s="573">
        <v>41706.004166667612</v>
      </c>
      <c r="AR51" s="573">
        <v>41706.004166667612</v>
      </c>
      <c r="AS51" s="573">
        <v>41706.004166667612</v>
      </c>
      <c r="AT51" s="573">
        <v>41706.004861112058</v>
      </c>
      <c r="AU51" s="409">
        <v>41706.004861112058</v>
      </c>
      <c r="AV51" s="409">
        <v>41706.004861112058</v>
      </c>
      <c r="AW51" s="573">
        <v>41706.003472223165</v>
      </c>
      <c r="AX51" s="573">
        <v>41706.018055556546</v>
      </c>
      <c r="AY51" s="573">
        <v>41706.014583334312</v>
      </c>
      <c r="AZ51" s="573">
        <v>41706.015277778759</v>
      </c>
      <c r="BA51" s="409">
        <v>41706.018750000992</v>
      </c>
      <c r="BB51" s="573">
        <v>41706.021527778779</v>
      </c>
      <c r="BC51" s="573">
        <v>41706.021527778779</v>
      </c>
      <c r="BD51" s="573">
        <v>41706.019444445439</v>
      </c>
      <c r="BE51" s="573">
        <v>41706.015277778759</v>
      </c>
      <c r="BF51" s="573">
        <v>41706.013888889865</v>
      </c>
      <c r="BG51" s="573">
        <v>41706.013194445419</v>
      </c>
      <c r="BH51" s="573">
        <v>41706.012500000972</v>
      </c>
      <c r="BI51" s="410">
        <v>41705.999305556485</v>
      </c>
      <c r="BJ51" s="573">
        <v>41706.006250000952</v>
      </c>
      <c r="BK51" s="573">
        <v>41706.014583334312</v>
      </c>
      <c r="BL51" s="573">
        <v>41706.022222223226</v>
      </c>
      <c r="BM51" s="573">
        <v>41706.031250001033</v>
      </c>
      <c r="BN51" s="573">
        <v>41706.038888889947</v>
      </c>
      <c r="BO51" s="573">
        <v>41706.043750001074</v>
      </c>
      <c r="BP51" s="573">
        <v>41706.045833334414</v>
      </c>
      <c r="BQ51" s="573">
        <v>41706.045833334414</v>
      </c>
      <c r="BR51" s="573">
        <v>41706.043750001074</v>
      </c>
      <c r="BS51" s="573">
        <v>41706.038888889947</v>
      </c>
      <c r="BT51" s="573">
        <v>41706.03402777882</v>
      </c>
      <c r="BU51" s="573">
        <v>41706.031250001033</v>
      </c>
      <c r="BV51" s="573">
        <v>41706.0277777788</v>
      </c>
      <c r="BW51" s="573">
        <v>41706.021527778779</v>
      </c>
      <c r="BX51" s="573">
        <v>41706.018750000992</v>
      </c>
      <c r="BY51" s="573">
        <v>41706.016666667652</v>
      </c>
      <c r="BZ51" s="573">
        <v>41706.013888889865</v>
      </c>
      <c r="CA51" s="573">
        <v>41706.011805556525</v>
      </c>
      <c r="CB51" s="573">
        <v>41706.020138889886</v>
      </c>
      <c r="CC51" s="573">
        <v>41706.015972223206</v>
      </c>
      <c r="CD51" s="409">
        <v>41706.015277778759</v>
      </c>
      <c r="CE51" s="573">
        <v>41706.015972223206</v>
      </c>
      <c r="CF51" s="573">
        <v>41706.020138889886</v>
      </c>
      <c r="CG51" s="573">
        <v>41706.020138889886</v>
      </c>
      <c r="CH51" s="573">
        <v>41706.024305556566</v>
      </c>
      <c r="CI51" s="573">
        <v>41706.0277777788</v>
      </c>
      <c r="CJ51" s="573">
        <v>41706.029166667693</v>
      </c>
      <c r="CK51" s="573">
        <v>41706.029166667693</v>
      </c>
      <c r="CL51" s="573">
        <v>41706.025000001013</v>
      </c>
      <c r="CM51" s="409">
        <v>41706.016666667652</v>
      </c>
      <c r="CN51" s="573">
        <v>41706.012500000972</v>
      </c>
      <c r="CO51" s="573">
        <v>41706.002083334271</v>
      </c>
      <c r="CP51" s="384">
        <v>41706.002777778718</v>
      </c>
      <c r="CQ51" s="384">
        <v>41706.004861112058</v>
      </c>
      <c r="CR51" s="384">
        <v>41706.000694445378</v>
      </c>
      <c r="CS51" s="384">
        <v>41705.991666667571</v>
      </c>
      <c r="CT51" s="384">
        <v>41705.97708333419</v>
      </c>
      <c r="CU51" s="384">
        <v>41705.961805556362</v>
      </c>
      <c r="CV51" s="610">
        <v>41706.008333334292</v>
      </c>
      <c r="CW51" s="384">
        <v>41706.008333334292</v>
      </c>
      <c r="CX51" s="384">
        <v>41706.007638889845</v>
      </c>
      <c r="CY51" s="384">
        <v>41706.007638889845</v>
      </c>
      <c r="CZ51" s="384">
        <v>41706.008333334292</v>
      </c>
      <c r="DA51" s="384">
        <v>41706.007638889845</v>
      </c>
      <c r="DB51" s="384">
        <v>41706.008333334292</v>
      </c>
      <c r="DC51" s="384">
        <v>41706.006944445398</v>
      </c>
      <c r="DD51" s="384">
        <v>41706.006250000952</v>
      </c>
      <c r="DE51" s="384">
        <v>41706.002777778718</v>
      </c>
      <c r="DF51" s="614">
        <v>41706.012500000972</v>
      </c>
      <c r="DG51" s="384">
        <v>41706.012500000972</v>
      </c>
      <c r="DH51" s="384">
        <v>41706.012500000972</v>
      </c>
      <c r="DI51" s="384">
        <v>41706.011805556525</v>
      </c>
      <c r="DJ51" s="384">
        <v>41706.012500000972</v>
      </c>
      <c r="DK51" s="384">
        <v>41706.012500000972</v>
      </c>
      <c r="DL51" s="384">
        <v>41706.012500000972</v>
      </c>
      <c r="DM51" s="384">
        <v>41706.011805556525</v>
      </c>
      <c r="DN51" s="384">
        <v>41706.010416667632</v>
      </c>
      <c r="DO51" s="384">
        <v>41706.009027778739</v>
      </c>
      <c r="DP51" s="384">
        <v>41706.006944445398</v>
      </c>
      <c r="DQ51" s="697"/>
    </row>
    <row r="52" spans="1:121" s="384" customFormat="1" ht="23" customHeight="1" x14ac:dyDescent="0.2">
      <c r="A52" s="861" t="s">
        <v>310</v>
      </c>
      <c r="B52" s="862"/>
      <c r="C52" s="409" t="e">
        <f ca="1">INDEX($J$85:$J$680,$BX$84)</f>
        <v>#NAME?</v>
      </c>
      <c r="D52" s="410" t="s">
        <v>235</v>
      </c>
      <c r="E52" s="870"/>
      <c r="R52" s="385"/>
      <c r="T52" s="385"/>
      <c r="X52" s="459"/>
      <c r="AK52" s="549">
        <v>41706.002777778725</v>
      </c>
      <c r="AL52" s="549">
        <v>41706.007638889852</v>
      </c>
      <c r="AM52" s="573">
        <v>41706.008333334299</v>
      </c>
      <c r="AN52" s="573">
        <v>41706.009027778746</v>
      </c>
      <c r="AO52" s="573">
        <v>41706.009722223193</v>
      </c>
      <c r="AP52" s="573">
        <v>41706.009722223193</v>
      </c>
      <c r="AQ52" s="573">
        <v>41706.010416667639</v>
      </c>
      <c r="AR52" s="573">
        <v>41706.010416667639</v>
      </c>
      <c r="AS52" s="573">
        <v>41706.010416667639</v>
      </c>
      <c r="AT52" s="573">
        <v>41706.011111112086</v>
      </c>
      <c r="AU52" s="409">
        <v>41706.011805556533</v>
      </c>
      <c r="AV52" s="409">
        <v>41706.011805556533</v>
      </c>
      <c r="AW52" s="573">
        <v>41706.010416667639</v>
      </c>
      <c r="AX52" s="573">
        <v>41706.021527778787</v>
      </c>
      <c r="AY52" s="573">
        <v>41706.018750001</v>
      </c>
      <c r="AZ52" s="573">
        <v>41706.020138889893</v>
      </c>
      <c r="BA52" s="409">
        <v>41706.023611112127</v>
      </c>
      <c r="BB52" s="573">
        <v>41706.026388889914</v>
      </c>
      <c r="BC52" s="573">
        <v>41706.026388889914</v>
      </c>
      <c r="BD52" s="573">
        <v>41706.02500000102</v>
      </c>
      <c r="BE52" s="573">
        <v>41706.021527778787</v>
      </c>
      <c r="BF52" s="573">
        <v>41706.020138889893</v>
      </c>
      <c r="BG52" s="573">
        <v>41706.019444445446</v>
      </c>
      <c r="BH52" s="573">
        <v>41706.019444445446</v>
      </c>
      <c r="BI52" s="410">
        <v>41705.998611112045</v>
      </c>
      <c r="BJ52" s="573">
        <v>41706.006250000959</v>
      </c>
      <c r="BK52" s="573">
        <v>41706.015277778766</v>
      </c>
      <c r="BL52" s="573">
        <v>41706.023611112127</v>
      </c>
      <c r="BM52" s="573">
        <v>41706.033333334381</v>
      </c>
      <c r="BN52" s="573">
        <v>41706.040972223294</v>
      </c>
      <c r="BO52" s="573">
        <v>41706.046527778868</v>
      </c>
      <c r="BP52" s="573">
        <v>41706.049305556655</v>
      </c>
      <c r="BQ52" s="573">
        <v>41706.050000001102</v>
      </c>
      <c r="BR52" s="573">
        <v>41706.048611112208</v>
      </c>
      <c r="BS52" s="573">
        <v>41706.043750001081</v>
      </c>
      <c r="BT52" s="573">
        <v>41706.038888889954</v>
      </c>
      <c r="BU52" s="573">
        <v>41706.036111112167</v>
      </c>
      <c r="BV52" s="573">
        <v>41706.033333334381</v>
      </c>
      <c r="BW52" s="573">
        <v>41706.027777778807</v>
      </c>
      <c r="BX52" s="573">
        <v>41706.02500000102</v>
      </c>
      <c r="BY52" s="573">
        <v>41706.02291666768</v>
      </c>
      <c r="BZ52" s="573">
        <v>41706.02083333434</v>
      </c>
      <c r="CA52" s="573">
        <v>41706.018750001</v>
      </c>
      <c r="CB52" s="573">
        <v>41706.020138889893</v>
      </c>
      <c r="CC52" s="573">
        <v>41706.01666666766</v>
      </c>
      <c r="CD52" s="409">
        <v>41706.015972223213</v>
      </c>
      <c r="CE52" s="573">
        <v>41706.017361112106</v>
      </c>
      <c r="CF52" s="573">
        <v>41706.022222223233</v>
      </c>
      <c r="CG52" s="573">
        <v>41706.022222223233</v>
      </c>
      <c r="CH52" s="573">
        <v>41706.026388889914</v>
      </c>
      <c r="CI52" s="573">
        <v>41706.03125000104</v>
      </c>
      <c r="CJ52" s="573">
        <v>41706.034027778827</v>
      </c>
      <c r="CK52" s="573">
        <v>41706.034027778827</v>
      </c>
      <c r="CL52" s="573">
        <v>41706.03125000104</v>
      </c>
      <c r="CM52" s="409">
        <v>41706.02291666768</v>
      </c>
      <c r="CN52" s="573">
        <v>41706.019444445446</v>
      </c>
      <c r="CO52" s="573">
        <v>41706.009027778746</v>
      </c>
      <c r="CP52" s="384">
        <v>41706.009722223193</v>
      </c>
      <c r="CQ52" s="384">
        <v>41706.011805556533</v>
      </c>
      <c r="CR52" s="384">
        <v>41706.006944445406</v>
      </c>
      <c r="CS52" s="384">
        <v>41705.997916667598</v>
      </c>
      <c r="CT52" s="384">
        <v>41705.983333334218</v>
      </c>
      <c r="CU52" s="384">
        <v>41705.967361111943</v>
      </c>
      <c r="CV52" s="610">
        <v>41706.015277778766</v>
      </c>
      <c r="CW52" s="384">
        <v>41706.015277778766</v>
      </c>
      <c r="CX52" s="384">
        <v>41706.013888889873</v>
      </c>
      <c r="CY52" s="384">
        <v>41706.013888889873</v>
      </c>
      <c r="CZ52" s="384">
        <v>41706.013888889873</v>
      </c>
      <c r="DA52" s="384">
        <v>41706.013194445426</v>
      </c>
      <c r="DB52" s="384">
        <v>41706.013194445426</v>
      </c>
      <c r="DC52" s="384">
        <v>41706.011805556533</v>
      </c>
      <c r="DD52" s="384">
        <v>41706.011111112086</v>
      </c>
      <c r="DE52" s="384">
        <v>41706.006250000959</v>
      </c>
      <c r="DF52" s="614">
        <v>41706.019444445446</v>
      </c>
      <c r="DG52" s="384">
        <v>41706.019444445446</v>
      </c>
      <c r="DH52" s="384">
        <v>41706.018750001</v>
      </c>
      <c r="DI52" s="384">
        <v>41706.018055556553</v>
      </c>
      <c r="DJ52" s="384">
        <v>41706.018055556553</v>
      </c>
      <c r="DK52" s="384">
        <v>41706.018055556553</v>
      </c>
      <c r="DL52" s="384">
        <v>41706.017361112106</v>
      </c>
      <c r="DM52" s="384">
        <v>41706.01666666766</v>
      </c>
      <c r="DN52" s="384">
        <v>41706.015277778766</v>
      </c>
      <c r="DO52" s="384">
        <v>41706.013194445426</v>
      </c>
      <c r="DP52" s="384">
        <v>41706.010416667639</v>
      </c>
      <c r="DQ52" s="697"/>
    </row>
    <row r="53" spans="1:121" s="384" customFormat="1" ht="19.5" customHeight="1" x14ac:dyDescent="0.2">
      <c r="A53" s="876" t="s">
        <v>233</v>
      </c>
      <c r="B53" s="424" t="s">
        <v>268</v>
      </c>
      <c r="C53" s="159" t="e">
        <f ca="1">INDEX($BV$85:$BV$680,$K$83)/($K$83-1)</f>
        <v>#NAME?</v>
      </c>
      <c r="D53" s="500" t="s">
        <v>237</v>
      </c>
      <c r="E53" s="478"/>
      <c r="R53" s="385"/>
      <c r="T53" s="385"/>
      <c r="X53" s="459"/>
      <c r="AK53" s="551">
        <v>0.81425871116491966</v>
      </c>
      <c r="AL53" s="551">
        <v>0.81425871116491966</v>
      </c>
      <c r="AM53" s="576">
        <v>0.81425871116491966</v>
      </c>
      <c r="AN53" s="576">
        <v>0.81425871116491966</v>
      </c>
      <c r="AO53" s="576">
        <v>0.81425871116491966</v>
      </c>
      <c r="AP53" s="576">
        <v>0.81425871116491966</v>
      </c>
      <c r="AQ53" s="576">
        <v>0.81425871116491966</v>
      </c>
      <c r="AR53" s="576">
        <v>0.81425871116491966</v>
      </c>
      <c r="AS53" s="576">
        <v>0.81425871116491966</v>
      </c>
      <c r="AT53" s="576">
        <v>0.81425871116491966</v>
      </c>
      <c r="AU53" s="159">
        <v>0.81425871116491966</v>
      </c>
      <c r="AV53" s="159">
        <v>0.81425871116491966</v>
      </c>
      <c r="AW53" s="576">
        <v>0.81425871116491966</v>
      </c>
      <c r="AX53" s="576">
        <v>0.81425871116491966</v>
      </c>
      <c r="AY53" s="576">
        <v>0.81425871116491966</v>
      </c>
      <c r="AZ53" s="576">
        <v>0.81425871116491966</v>
      </c>
      <c r="BA53" s="159">
        <v>0.81425871116491966</v>
      </c>
      <c r="BB53" s="576">
        <v>0.81425871116491966</v>
      </c>
      <c r="BC53" s="576">
        <v>0.81425871116491966</v>
      </c>
      <c r="BD53" s="576">
        <v>0.81425871116491966</v>
      </c>
      <c r="BE53" s="576">
        <v>0.81425871116491966</v>
      </c>
      <c r="BF53" s="576">
        <v>0.81425871116491966</v>
      </c>
      <c r="BG53" s="576">
        <v>0.81425871116491966</v>
      </c>
      <c r="BH53" s="576">
        <v>0.81425871116491966</v>
      </c>
      <c r="BI53" s="500">
        <v>0.81425871116491966</v>
      </c>
      <c r="BJ53" s="576">
        <v>0.81425871116491966</v>
      </c>
      <c r="BK53" s="576">
        <v>0.81425871116491966</v>
      </c>
      <c r="BL53" s="576">
        <v>0.81425871116491966</v>
      </c>
      <c r="BM53" s="576">
        <v>0.81425871116491966</v>
      </c>
      <c r="BN53" s="576">
        <v>0.81425871116491966</v>
      </c>
      <c r="BO53" s="576">
        <v>0.81425871116491966</v>
      </c>
      <c r="BP53" s="576">
        <v>0.81425871116491966</v>
      </c>
      <c r="BQ53" s="576">
        <v>0.81425871116491966</v>
      </c>
      <c r="BR53" s="576">
        <v>0.81425871116491966</v>
      </c>
      <c r="BS53" s="576">
        <v>0.81425871116491966</v>
      </c>
      <c r="BT53" s="576">
        <v>0.81425871116491966</v>
      </c>
      <c r="BU53" s="576">
        <v>0.81425871116491966</v>
      </c>
      <c r="BV53" s="576">
        <v>0.81425871116491966</v>
      </c>
      <c r="BW53" s="576">
        <v>0.81425871116491966</v>
      </c>
      <c r="BX53" s="576">
        <v>0.81425871116491966</v>
      </c>
      <c r="BY53" s="576">
        <v>0.81425871116491966</v>
      </c>
      <c r="BZ53" s="576">
        <v>0.81425871116491966</v>
      </c>
      <c r="CA53" s="576">
        <v>0.81425871116491966</v>
      </c>
      <c r="CB53" s="576">
        <v>0.81425871116491966</v>
      </c>
      <c r="CC53" s="576">
        <v>0.81425871116491966</v>
      </c>
      <c r="CD53" s="159">
        <v>0.81425871116491966</v>
      </c>
      <c r="CE53" s="576">
        <v>0.81425871116491966</v>
      </c>
      <c r="CF53" s="576">
        <v>0.81425871116491966</v>
      </c>
      <c r="CG53" s="576">
        <v>0.81425871116491966</v>
      </c>
      <c r="CH53" s="576">
        <v>0.81425871116491966</v>
      </c>
      <c r="CI53" s="576">
        <v>0.81425871116491966</v>
      </c>
      <c r="CJ53" s="576">
        <v>0.81425871116491966</v>
      </c>
      <c r="CK53" s="576">
        <v>0.81425871116491966</v>
      </c>
      <c r="CL53" s="576">
        <v>0.81425871116491966</v>
      </c>
      <c r="CM53" s="159">
        <v>0.81425871116491966</v>
      </c>
      <c r="CN53" s="576">
        <v>0.81425871116491966</v>
      </c>
      <c r="CO53" s="576">
        <v>0.81425871116491966</v>
      </c>
      <c r="CP53" s="384">
        <v>0.81425871116491966</v>
      </c>
      <c r="CQ53" s="384">
        <v>0.81425871116491966</v>
      </c>
      <c r="CR53" s="384">
        <v>0.81425871116491966</v>
      </c>
      <c r="CS53" s="384">
        <v>0.81425871116491966</v>
      </c>
      <c r="CT53" s="384">
        <v>0.81425871116491966</v>
      </c>
      <c r="CU53" s="384">
        <v>0.81425871116491966</v>
      </c>
      <c r="CV53" s="610">
        <v>0.83500000000000019</v>
      </c>
      <c r="CW53" s="384">
        <v>0.83500000000000019</v>
      </c>
      <c r="CX53" s="384">
        <v>0.83500000000000019</v>
      </c>
      <c r="CY53" s="384">
        <v>0.83500000000000019</v>
      </c>
      <c r="CZ53" s="384">
        <v>0.83500000000000019</v>
      </c>
      <c r="DA53" s="384">
        <v>0.83500000000000019</v>
      </c>
      <c r="DB53" s="384">
        <v>0.83500000000000019</v>
      </c>
      <c r="DC53" s="384">
        <v>0.83500000000000019</v>
      </c>
      <c r="DD53" s="384">
        <v>0.83500000000000019</v>
      </c>
      <c r="DE53" s="384">
        <v>0.83500000000000019</v>
      </c>
      <c r="DF53" s="614">
        <v>0.83500000000000019</v>
      </c>
      <c r="DG53" s="384">
        <v>0.83500000000000019</v>
      </c>
      <c r="DH53" s="384">
        <v>0.83500000000000019</v>
      </c>
      <c r="DI53" s="384">
        <v>0.83500000000000019</v>
      </c>
      <c r="DJ53" s="384">
        <v>0.83500000000000019</v>
      </c>
      <c r="DK53" s="384">
        <v>0.83500000000000019</v>
      </c>
      <c r="DL53" s="384">
        <v>0.83500000000000019</v>
      </c>
      <c r="DM53" s="384">
        <v>0.83500000000000019</v>
      </c>
      <c r="DN53" s="384">
        <v>0.83500000000000019</v>
      </c>
      <c r="DO53" s="384">
        <v>0.83500000000000019</v>
      </c>
      <c r="DP53" s="384">
        <v>0.83500000000000019</v>
      </c>
      <c r="DQ53" s="697"/>
    </row>
    <row r="54" spans="1:121" s="384" customFormat="1" ht="19.5" customHeight="1" x14ac:dyDescent="0.2">
      <c r="A54" s="877"/>
      <c r="B54" s="424" t="s">
        <v>271</v>
      </c>
      <c r="C54" s="354" t="e">
        <f ca="1">INDEX($BW$85:$BW$680,$K$83)/($K$83-1)</f>
        <v>#NAME?</v>
      </c>
      <c r="D54" s="500" t="s">
        <v>272</v>
      </c>
      <c r="E54" s="478"/>
      <c r="R54" s="385"/>
      <c r="T54" s="385"/>
      <c r="X54" s="459"/>
      <c r="AK54" s="552">
        <v>479.95940088974436</v>
      </c>
      <c r="AL54" s="552">
        <v>479.95940088974436</v>
      </c>
      <c r="AM54" s="577">
        <v>479.95940088974436</v>
      </c>
      <c r="AN54" s="577">
        <v>479.95940088974436</v>
      </c>
      <c r="AO54" s="577">
        <v>479.95940088974436</v>
      </c>
      <c r="AP54" s="577">
        <v>479.95940088974436</v>
      </c>
      <c r="AQ54" s="577">
        <v>479.95940088974436</v>
      </c>
      <c r="AR54" s="577">
        <v>479.95940088974436</v>
      </c>
      <c r="AS54" s="577">
        <v>479.95940088974436</v>
      </c>
      <c r="AT54" s="577">
        <v>479.95940088974436</v>
      </c>
      <c r="AU54" s="354">
        <v>479.95940088974436</v>
      </c>
      <c r="AV54" s="354">
        <v>479.95940088974436</v>
      </c>
      <c r="AW54" s="577">
        <v>479.95940088974436</v>
      </c>
      <c r="AX54" s="577">
        <v>479.95940088974436</v>
      </c>
      <c r="AY54" s="577">
        <v>479.95940088974436</v>
      </c>
      <c r="AZ54" s="577">
        <v>479.95940088974436</v>
      </c>
      <c r="BA54" s="354">
        <v>479.95940088974436</v>
      </c>
      <c r="BB54" s="577">
        <v>479.95940088974436</v>
      </c>
      <c r="BC54" s="577">
        <v>479.95940088974436</v>
      </c>
      <c r="BD54" s="577">
        <v>479.95940088974436</v>
      </c>
      <c r="BE54" s="577">
        <v>479.95940088974436</v>
      </c>
      <c r="BF54" s="577">
        <v>479.95940088974436</v>
      </c>
      <c r="BG54" s="577">
        <v>479.95940088974436</v>
      </c>
      <c r="BH54" s="577">
        <v>479.95940088974436</v>
      </c>
      <c r="BI54" s="500">
        <v>479.95940088974436</v>
      </c>
      <c r="BJ54" s="577">
        <v>479.95940088974436</v>
      </c>
      <c r="BK54" s="577">
        <v>479.95940088974436</v>
      </c>
      <c r="BL54" s="577">
        <v>479.95940088974436</v>
      </c>
      <c r="BM54" s="577">
        <v>479.95940088974436</v>
      </c>
      <c r="BN54" s="577">
        <v>479.95940088974436</v>
      </c>
      <c r="BO54" s="577">
        <v>479.95940088974436</v>
      </c>
      <c r="BP54" s="577">
        <v>479.95940088974436</v>
      </c>
      <c r="BQ54" s="577">
        <v>479.95940088974436</v>
      </c>
      <c r="BR54" s="577">
        <v>479.95940088974436</v>
      </c>
      <c r="BS54" s="577">
        <v>479.95940088974436</v>
      </c>
      <c r="BT54" s="577">
        <v>479.95940088974436</v>
      </c>
      <c r="BU54" s="577">
        <v>479.95940088974436</v>
      </c>
      <c r="BV54" s="577">
        <v>479.95940088974436</v>
      </c>
      <c r="BW54" s="577">
        <v>479.95940088974436</v>
      </c>
      <c r="BX54" s="577">
        <v>479.95940088974436</v>
      </c>
      <c r="BY54" s="577">
        <v>479.95940088974436</v>
      </c>
      <c r="BZ54" s="577">
        <v>479.95940088974436</v>
      </c>
      <c r="CA54" s="577">
        <v>479.95940088974436</v>
      </c>
      <c r="CB54" s="577">
        <v>479.95940088974436</v>
      </c>
      <c r="CC54" s="577">
        <v>479.95940088974436</v>
      </c>
      <c r="CD54" s="354">
        <v>479.95940088974436</v>
      </c>
      <c r="CE54" s="577">
        <v>479.95940088974436</v>
      </c>
      <c r="CF54" s="577">
        <v>479.95940088974436</v>
      </c>
      <c r="CG54" s="577">
        <v>479.95940088974436</v>
      </c>
      <c r="CH54" s="577">
        <v>479.95940088974436</v>
      </c>
      <c r="CI54" s="577">
        <v>479.95940088974436</v>
      </c>
      <c r="CJ54" s="577">
        <v>479.95940088974436</v>
      </c>
      <c r="CK54" s="577">
        <v>479.95940088974436</v>
      </c>
      <c r="CL54" s="577">
        <v>479.95940088974436</v>
      </c>
      <c r="CM54" s="354">
        <v>479.95940088974436</v>
      </c>
      <c r="CN54" s="577">
        <v>479.95940088974436</v>
      </c>
      <c r="CO54" s="577">
        <v>479.95940088974436</v>
      </c>
      <c r="CP54" s="384">
        <v>479.95940088974436</v>
      </c>
      <c r="CQ54" s="384">
        <v>479.95940088974436</v>
      </c>
      <c r="CR54" s="384">
        <v>479.95940088974436</v>
      </c>
      <c r="CS54" s="384">
        <v>479.95940088974436</v>
      </c>
      <c r="CT54" s="384">
        <v>479.95940088974436</v>
      </c>
      <c r="CU54" s="384">
        <v>479.95940088974436</v>
      </c>
      <c r="CV54" s="610">
        <v>494.31148708083504</v>
      </c>
      <c r="CW54" s="384">
        <v>494.31148708083504</v>
      </c>
      <c r="CX54" s="384">
        <v>494.31148708083504</v>
      </c>
      <c r="CY54" s="384">
        <v>494.31148708083504</v>
      </c>
      <c r="CZ54" s="384">
        <v>494.31148708083504</v>
      </c>
      <c r="DA54" s="384">
        <v>494.31148708083504</v>
      </c>
      <c r="DB54" s="384">
        <v>494.31148708083504</v>
      </c>
      <c r="DC54" s="384">
        <v>494.31148708083504</v>
      </c>
      <c r="DD54" s="384">
        <v>494.31148708083504</v>
      </c>
      <c r="DE54" s="384">
        <v>494.31148708083504</v>
      </c>
      <c r="DF54" s="614">
        <v>494.31148708083504</v>
      </c>
      <c r="DG54" s="384">
        <v>494.31148708083504</v>
      </c>
      <c r="DH54" s="384">
        <v>494.31148708083504</v>
      </c>
      <c r="DI54" s="384">
        <v>494.31148708083504</v>
      </c>
      <c r="DJ54" s="384">
        <v>494.31148708083504</v>
      </c>
      <c r="DK54" s="384">
        <v>494.31148708083504</v>
      </c>
      <c r="DL54" s="384">
        <v>494.31148708083504</v>
      </c>
      <c r="DM54" s="384">
        <v>494.31148708083504</v>
      </c>
      <c r="DN54" s="384">
        <v>494.31148708083504</v>
      </c>
      <c r="DO54" s="384">
        <v>494.31148708083504</v>
      </c>
      <c r="DP54" s="384">
        <v>494.31148708083504</v>
      </c>
      <c r="DQ54" s="697"/>
    </row>
    <row r="55" spans="1:121" s="384" customFormat="1" ht="39.5" customHeight="1" x14ac:dyDescent="0.2">
      <c r="A55" s="877"/>
      <c r="B55" s="424" t="s">
        <v>319</v>
      </c>
      <c r="C55" s="369" t="e">
        <f ca="1">INDEX($O$85:$O$680,$K$83)</f>
        <v>#NAME?</v>
      </c>
      <c r="D55" s="500" t="s">
        <v>51</v>
      </c>
      <c r="E55" s="478"/>
      <c r="R55" s="385"/>
      <c r="T55" s="385"/>
      <c r="X55" s="459"/>
      <c r="AK55" s="553">
        <v>42.11276364716808</v>
      </c>
      <c r="AL55" s="553">
        <v>42.11276364716808</v>
      </c>
      <c r="AM55" s="578">
        <v>42.11276364716808</v>
      </c>
      <c r="AN55" s="578">
        <v>42.11276364716808</v>
      </c>
      <c r="AO55" s="578">
        <v>42.11276364716808</v>
      </c>
      <c r="AP55" s="578">
        <v>42.11276364716808</v>
      </c>
      <c r="AQ55" s="578">
        <v>42.11276364716808</v>
      </c>
      <c r="AR55" s="578">
        <v>42.11276364716808</v>
      </c>
      <c r="AS55" s="578">
        <v>42.11276364716808</v>
      </c>
      <c r="AT55" s="578">
        <v>42.11276364716808</v>
      </c>
      <c r="AU55" s="369">
        <v>42.11276364716808</v>
      </c>
      <c r="AV55" s="369">
        <v>42.11276364716808</v>
      </c>
      <c r="AW55" s="578">
        <v>42.11276364716808</v>
      </c>
      <c r="AX55" s="578">
        <v>42.11276364716808</v>
      </c>
      <c r="AY55" s="578">
        <v>42.11276364716808</v>
      </c>
      <c r="AZ55" s="578">
        <v>42.11276364716808</v>
      </c>
      <c r="BA55" s="369">
        <v>42.11276364716808</v>
      </c>
      <c r="BB55" s="578">
        <v>42.11276364716808</v>
      </c>
      <c r="BC55" s="578">
        <v>42.11276364716808</v>
      </c>
      <c r="BD55" s="578">
        <v>42.11276364716808</v>
      </c>
      <c r="BE55" s="578">
        <v>42.11276364716808</v>
      </c>
      <c r="BF55" s="578">
        <v>42.11276364716808</v>
      </c>
      <c r="BG55" s="578">
        <v>42.11276364716808</v>
      </c>
      <c r="BH55" s="578">
        <v>42.11276364716808</v>
      </c>
      <c r="BI55" s="500">
        <v>42.11276364716808</v>
      </c>
      <c r="BJ55" s="578">
        <v>42.11276364716808</v>
      </c>
      <c r="BK55" s="578">
        <v>42.11276364716808</v>
      </c>
      <c r="BL55" s="578">
        <v>42.11276364716808</v>
      </c>
      <c r="BM55" s="578">
        <v>42.11276364716808</v>
      </c>
      <c r="BN55" s="578">
        <v>42.11276364716808</v>
      </c>
      <c r="BO55" s="578">
        <v>42.11276364716808</v>
      </c>
      <c r="BP55" s="578">
        <v>42.11276364716808</v>
      </c>
      <c r="BQ55" s="578">
        <v>42.11276364716808</v>
      </c>
      <c r="BR55" s="578">
        <v>42.11276364716808</v>
      </c>
      <c r="BS55" s="578">
        <v>42.11276364716808</v>
      </c>
      <c r="BT55" s="578">
        <v>42.11276364716808</v>
      </c>
      <c r="BU55" s="578">
        <v>42.11276364716808</v>
      </c>
      <c r="BV55" s="578">
        <v>42.11276364716808</v>
      </c>
      <c r="BW55" s="578">
        <v>42.11276364716808</v>
      </c>
      <c r="BX55" s="578">
        <v>42.11276364716808</v>
      </c>
      <c r="BY55" s="578">
        <v>42.11276364716808</v>
      </c>
      <c r="BZ55" s="578">
        <v>42.11276364716808</v>
      </c>
      <c r="CA55" s="578">
        <v>42.11276364716808</v>
      </c>
      <c r="CB55" s="578">
        <v>42.11276364716808</v>
      </c>
      <c r="CC55" s="578">
        <v>42.11276364716808</v>
      </c>
      <c r="CD55" s="369">
        <v>42.11276364716808</v>
      </c>
      <c r="CE55" s="578">
        <v>42.11276364716808</v>
      </c>
      <c r="CF55" s="578">
        <v>42.11276364716808</v>
      </c>
      <c r="CG55" s="578">
        <v>42.11276364716808</v>
      </c>
      <c r="CH55" s="578">
        <v>42.11276364716808</v>
      </c>
      <c r="CI55" s="578">
        <v>42.11276364716808</v>
      </c>
      <c r="CJ55" s="578">
        <v>42.11276364716808</v>
      </c>
      <c r="CK55" s="578">
        <v>42.11276364716808</v>
      </c>
      <c r="CL55" s="578">
        <v>42.11276364716808</v>
      </c>
      <c r="CM55" s="369">
        <v>42.11276364716808</v>
      </c>
      <c r="CN55" s="578">
        <v>42.11276364716808</v>
      </c>
      <c r="CO55" s="578">
        <v>42.11276364716808</v>
      </c>
      <c r="CP55" s="384">
        <v>42.11276364716808</v>
      </c>
      <c r="CQ55" s="384">
        <v>42.11276364716808</v>
      </c>
      <c r="CR55" s="384">
        <v>42.11276364716808</v>
      </c>
      <c r="CS55" s="384">
        <v>42.11276364716808</v>
      </c>
      <c r="CT55" s="384">
        <v>42.11276364716808</v>
      </c>
      <c r="CU55" s="384">
        <v>42.11276364716808</v>
      </c>
      <c r="CV55" s="610">
        <v>34.217941642060651</v>
      </c>
      <c r="CW55" s="384">
        <v>34.217941642060651</v>
      </c>
      <c r="CX55" s="384">
        <v>34.217941642060651</v>
      </c>
      <c r="CY55" s="384">
        <v>34.217941642060651</v>
      </c>
      <c r="CZ55" s="384">
        <v>34.217941642060651</v>
      </c>
      <c r="DA55" s="384">
        <v>34.217941642060651</v>
      </c>
      <c r="DB55" s="384">
        <v>34.217941642060651</v>
      </c>
      <c r="DC55" s="384">
        <v>34.217941642060651</v>
      </c>
      <c r="DD55" s="384">
        <v>34.217941642060651</v>
      </c>
      <c r="DE55" s="384">
        <v>34.217941642060651</v>
      </c>
      <c r="DF55" s="614">
        <v>34.217941642060651</v>
      </c>
      <c r="DG55" s="384">
        <v>34.217941642060651</v>
      </c>
      <c r="DH55" s="384">
        <v>34.217941642060651</v>
      </c>
      <c r="DI55" s="384">
        <v>34.217941642060651</v>
      </c>
      <c r="DJ55" s="384">
        <v>34.217941642060651</v>
      </c>
      <c r="DK55" s="384">
        <v>34.217941642060651</v>
      </c>
      <c r="DL55" s="384">
        <v>34.217941642060651</v>
      </c>
      <c r="DM55" s="384">
        <v>34.217941642060651</v>
      </c>
      <c r="DN55" s="384">
        <v>34.217941642060651</v>
      </c>
      <c r="DO55" s="384">
        <v>34.217941642060651</v>
      </c>
      <c r="DP55" s="384">
        <v>34.217941642060651</v>
      </c>
      <c r="DQ55" s="697"/>
    </row>
    <row r="56" spans="1:121" s="384" customFormat="1" ht="23.75" customHeight="1" x14ac:dyDescent="0.2">
      <c r="A56" s="877"/>
      <c r="B56" s="424" t="s">
        <v>388</v>
      </c>
      <c r="C56" s="369" t="e">
        <f ca="1">C55+C24</f>
        <v>#NAME?</v>
      </c>
      <c r="D56" s="500" t="s">
        <v>51</v>
      </c>
      <c r="E56" s="478"/>
      <c r="R56" s="385"/>
      <c r="T56" s="385"/>
      <c r="X56" s="459"/>
      <c r="AK56" s="553"/>
      <c r="AL56" s="553"/>
      <c r="AM56" s="578"/>
      <c r="AN56" s="578"/>
      <c r="AO56" s="578"/>
      <c r="AP56" s="578"/>
      <c r="AQ56" s="578"/>
      <c r="AR56" s="578"/>
      <c r="AS56" s="578"/>
      <c r="AT56" s="578"/>
      <c r="AU56" s="369"/>
      <c r="AV56" s="369"/>
      <c r="AW56" s="578"/>
      <c r="AX56" s="578"/>
      <c r="AY56" s="578"/>
      <c r="AZ56" s="578"/>
      <c r="BA56" s="369"/>
      <c r="BB56" s="578"/>
      <c r="BC56" s="578"/>
      <c r="BD56" s="578"/>
      <c r="BE56" s="578"/>
      <c r="BF56" s="578"/>
      <c r="BG56" s="578"/>
      <c r="BH56" s="578"/>
      <c r="BI56" s="500"/>
      <c r="BJ56" s="578"/>
      <c r="BK56" s="578"/>
      <c r="BL56" s="578"/>
      <c r="BM56" s="578"/>
      <c r="BN56" s="578"/>
      <c r="BO56" s="578"/>
      <c r="BP56" s="578"/>
      <c r="BQ56" s="578"/>
      <c r="BR56" s="578"/>
      <c r="BS56" s="578"/>
      <c r="BT56" s="578"/>
      <c r="BU56" s="578"/>
      <c r="BV56" s="578"/>
      <c r="BW56" s="578"/>
      <c r="BX56" s="578"/>
      <c r="BY56" s="578"/>
      <c r="BZ56" s="578"/>
      <c r="CA56" s="578"/>
      <c r="CB56" s="578"/>
      <c r="CC56" s="578"/>
      <c r="CD56" s="369"/>
      <c r="CE56" s="578"/>
      <c r="CF56" s="578"/>
      <c r="CG56" s="578"/>
      <c r="CH56" s="578"/>
      <c r="CI56" s="578"/>
      <c r="CJ56" s="578"/>
      <c r="CK56" s="578"/>
      <c r="CL56" s="578"/>
      <c r="CM56" s="369"/>
      <c r="CN56" s="578"/>
      <c r="CO56" s="578"/>
      <c r="CV56" s="610"/>
      <c r="DF56" s="614"/>
      <c r="DQ56" s="697"/>
    </row>
    <row r="57" spans="1:121" s="384" customFormat="1" ht="23.75" customHeight="1" x14ac:dyDescent="0.2">
      <c r="A57" s="877"/>
      <c r="B57" s="424" t="s">
        <v>397</v>
      </c>
      <c r="C57" s="426" t="e">
        <f ca="1">1000*(O85-C55)/(24*(C12-C4))</f>
        <v>#NAME?</v>
      </c>
      <c r="D57" s="500" t="s">
        <v>398</v>
      </c>
      <c r="E57" s="478"/>
      <c r="R57" s="385"/>
      <c r="T57" s="385"/>
      <c r="X57" s="459"/>
      <c r="AK57" s="553"/>
      <c r="AL57" s="553"/>
      <c r="AM57" s="578"/>
      <c r="AN57" s="578"/>
      <c r="AO57" s="578"/>
      <c r="AP57" s="578"/>
      <c r="AQ57" s="578"/>
      <c r="AR57" s="578"/>
      <c r="AS57" s="578"/>
      <c r="AT57" s="578"/>
      <c r="AU57" s="369"/>
      <c r="AV57" s="369"/>
      <c r="AW57" s="578"/>
      <c r="AX57" s="578"/>
      <c r="AY57" s="578"/>
      <c r="AZ57" s="578"/>
      <c r="BA57" s="369"/>
      <c r="BB57" s="578"/>
      <c r="BC57" s="578"/>
      <c r="BD57" s="578"/>
      <c r="BE57" s="578"/>
      <c r="BF57" s="578"/>
      <c r="BG57" s="578"/>
      <c r="BH57" s="578"/>
      <c r="BI57" s="500"/>
      <c r="BJ57" s="578"/>
      <c r="BK57" s="578"/>
      <c r="BL57" s="578"/>
      <c r="BM57" s="578"/>
      <c r="BN57" s="578"/>
      <c r="BO57" s="578"/>
      <c r="BP57" s="578"/>
      <c r="BQ57" s="578"/>
      <c r="BR57" s="578"/>
      <c r="BS57" s="578"/>
      <c r="BT57" s="578"/>
      <c r="BU57" s="578"/>
      <c r="BV57" s="578"/>
      <c r="BW57" s="578"/>
      <c r="BX57" s="578"/>
      <c r="BY57" s="578"/>
      <c r="BZ57" s="578"/>
      <c r="CA57" s="578"/>
      <c r="CB57" s="578"/>
      <c r="CC57" s="578"/>
      <c r="CD57" s="369"/>
      <c r="CE57" s="578"/>
      <c r="CF57" s="578"/>
      <c r="CG57" s="578"/>
      <c r="CH57" s="578"/>
      <c r="CI57" s="578"/>
      <c r="CJ57" s="578"/>
      <c r="CK57" s="578"/>
      <c r="CL57" s="578"/>
      <c r="CM57" s="369"/>
      <c r="CN57" s="578"/>
      <c r="CO57" s="578"/>
      <c r="CV57" s="610"/>
      <c r="DF57" s="614"/>
      <c r="DQ57" s="697"/>
    </row>
    <row r="58" spans="1:121" s="384" customFormat="1" ht="23.75" customHeight="1" x14ac:dyDescent="0.2">
      <c r="A58" s="877"/>
      <c r="B58" s="424" t="s">
        <v>394</v>
      </c>
      <c r="C58" s="704" t="e">
        <f ca="1">$C$59/($U$85-$C$56)</f>
        <v>#NAME?</v>
      </c>
      <c r="D58" s="702" t="s">
        <v>395</v>
      </c>
      <c r="E58" s="478"/>
      <c r="R58" s="385"/>
      <c r="T58" s="385"/>
      <c r="X58" s="459"/>
      <c r="AK58" s="553"/>
      <c r="AL58" s="553"/>
      <c r="AM58" s="578"/>
      <c r="AN58" s="578"/>
      <c r="AO58" s="578"/>
      <c r="AP58" s="578"/>
      <c r="AQ58" s="578"/>
      <c r="AR58" s="578"/>
      <c r="AS58" s="578"/>
      <c r="AT58" s="578"/>
      <c r="AU58" s="369"/>
      <c r="AV58" s="369"/>
      <c r="AW58" s="578"/>
      <c r="AX58" s="578"/>
      <c r="AY58" s="578"/>
      <c r="AZ58" s="578"/>
      <c r="BA58" s="369"/>
      <c r="BB58" s="578"/>
      <c r="BC58" s="578"/>
      <c r="BD58" s="578"/>
      <c r="BE58" s="578"/>
      <c r="BF58" s="578"/>
      <c r="BG58" s="578"/>
      <c r="BH58" s="578"/>
      <c r="BI58" s="500"/>
      <c r="BJ58" s="578"/>
      <c r="BK58" s="578"/>
      <c r="BL58" s="578"/>
      <c r="BM58" s="578"/>
      <c r="BN58" s="578"/>
      <c r="BO58" s="578"/>
      <c r="BP58" s="578"/>
      <c r="BQ58" s="578"/>
      <c r="BR58" s="578"/>
      <c r="BS58" s="578"/>
      <c r="BT58" s="578"/>
      <c r="BU58" s="578"/>
      <c r="BV58" s="578"/>
      <c r="BW58" s="578"/>
      <c r="BX58" s="578"/>
      <c r="BY58" s="578"/>
      <c r="BZ58" s="578"/>
      <c r="CA58" s="578"/>
      <c r="CB58" s="578"/>
      <c r="CC58" s="578"/>
      <c r="CD58" s="369"/>
      <c r="CE58" s="578"/>
      <c r="CF58" s="578"/>
      <c r="CG58" s="578"/>
      <c r="CH58" s="578"/>
      <c r="CI58" s="578"/>
      <c r="CJ58" s="578"/>
      <c r="CK58" s="578"/>
      <c r="CL58" s="578"/>
      <c r="CM58" s="369"/>
      <c r="CN58" s="578"/>
      <c r="CO58" s="578"/>
      <c r="CV58" s="610"/>
      <c r="DF58" s="614"/>
      <c r="DQ58" s="697"/>
    </row>
    <row r="59" spans="1:121" s="384" customFormat="1" ht="19.5" customHeight="1" x14ac:dyDescent="0.2">
      <c r="A59" s="878"/>
      <c r="B59" s="424" t="s">
        <v>269</v>
      </c>
      <c r="C59" s="501" t="e">
        <f ca="1">INDEX(AN85:AN680,K83)</f>
        <v>#NAME?</v>
      </c>
      <c r="D59" s="425" t="s">
        <v>261</v>
      </c>
      <c r="E59" s="478"/>
      <c r="R59" s="385"/>
      <c r="T59" s="385"/>
      <c r="X59" s="459"/>
      <c r="AK59" s="554">
        <v>120.11351138755515</v>
      </c>
      <c r="AL59" s="554">
        <v>120.11351138755515</v>
      </c>
      <c r="AM59" s="579">
        <v>120.11351138755515</v>
      </c>
      <c r="AN59" s="579">
        <v>120.11351138755515</v>
      </c>
      <c r="AO59" s="579">
        <v>120.11351138755515</v>
      </c>
      <c r="AP59" s="579">
        <v>120.11351138755515</v>
      </c>
      <c r="AQ59" s="579">
        <v>120.11351138755515</v>
      </c>
      <c r="AR59" s="579">
        <v>120.11351138755515</v>
      </c>
      <c r="AS59" s="579">
        <v>120.11351138755515</v>
      </c>
      <c r="AT59" s="579">
        <v>120.11351138755515</v>
      </c>
      <c r="AU59" s="501" t="e">
        <v>#VALUE!</v>
      </c>
      <c r="AV59" s="501">
        <v>120.11351138755515</v>
      </c>
      <c r="AW59" s="579">
        <v>120.11351138755515</v>
      </c>
      <c r="AX59" s="579">
        <v>120.11351138755515</v>
      </c>
      <c r="AY59" s="579">
        <v>120.11351138755515</v>
      </c>
      <c r="AZ59" s="579">
        <v>120.11351138755515</v>
      </c>
      <c r="BA59" s="501">
        <v>120.11351138755515</v>
      </c>
      <c r="BB59" s="579">
        <v>120.11351138755515</v>
      </c>
      <c r="BC59" s="579">
        <v>120.11351138755515</v>
      </c>
      <c r="BD59" s="579">
        <v>120.11351138755515</v>
      </c>
      <c r="BE59" s="579">
        <v>120.11351138755515</v>
      </c>
      <c r="BF59" s="579">
        <v>120.11351138755515</v>
      </c>
      <c r="BG59" s="579">
        <v>120.11351138755515</v>
      </c>
      <c r="BH59" s="579">
        <v>120.11351138755515</v>
      </c>
      <c r="BI59" s="425">
        <v>120.11351138755515</v>
      </c>
      <c r="BJ59" s="579">
        <v>120.11351138755515</v>
      </c>
      <c r="BK59" s="579">
        <v>120.11351138755515</v>
      </c>
      <c r="BL59" s="579">
        <v>120.11351138755515</v>
      </c>
      <c r="BM59" s="579">
        <v>120.11351138755515</v>
      </c>
      <c r="BN59" s="579">
        <v>120.11351138755515</v>
      </c>
      <c r="BO59" s="579">
        <v>120.11351138755515</v>
      </c>
      <c r="BP59" s="579">
        <v>120.11351138755515</v>
      </c>
      <c r="BQ59" s="579">
        <v>120.11351138755515</v>
      </c>
      <c r="BR59" s="579">
        <v>120.11351138755515</v>
      </c>
      <c r="BS59" s="579">
        <v>120.11351138755515</v>
      </c>
      <c r="BT59" s="579">
        <v>120.11351138755515</v>
      </c>
      <c r="BU59" s="579">
        <v>120.11351138755515</v>
      </c>
      <c r="BV59" s="579">
        <v>120.11351138755515</v>
      </c>
      <c r="BW59" s="579">
        <v>120.11351138755515</v>
      </c>
      <c r="BX59" s="579">
        <v>120.11351138755515</v>
      </c>
      <c r="BY59" s="579">
        <v>120.11351138755515</v>
      </c>
      <c r="BZ59" s="579">
        <v>120.11351138755515</v>
      </c>
      <c r="CA59" s="579">
        <v>120.11351138755515</v>
      </c>
      <c r="CB59" s="579">
        <v>120.11351138755515</v>
      </c>
      <c r="CC59" s="579">
        <v>120.11351138755515</v>
      </c>
      <c r="CD59" s="501">
        <v>120.11351138755515</v>
      </c>
      <c r="CE59" s="579">
        <v>120.11351138755515</v>
      </c>
      <c r="CF59" s="579">
        <v>120.11351138755515</v>
      </c>
      <c r="CG59" s="579">
        <v>120.11351138755515</v>
      </c>
      <c r="CH59" s="579">
        <v>120.11351138755515</v>
      </c>
      <c r="CI59" s="579">
        <v>120.11351138755515</v>
      </c>
      <c r="CJ59" s="579">
        <v>120.11351138755515</v>
      </c>
      <c r="CK59" s="579">
        <v>120.11351138755515</v>
      </c>
      <c r="CL59" s="579">
        <v>120.11351138755515</v>
      </c>
      <c r="CM59" s="501">
        <v>120.11351138755515</v>
      </c>
      <c r="CN59" s="579">
        <v>120.11351138755515</v>
      </c>
      <c r="CO59" s="579">
        <v>120.11351138755515</v>
      </c>
      <c r="CP59" s="384">
        <v>120.11351138755515</v>
      </c>
      <c r="CQ59" s="384">
        <v>120.11351138755515</v>
      </c>
      <c r="CR59" s="384">
        <v>120.11351138755515</v>
      </c>
      <c r="CS59" s="384">
        <v>120.11351138755515</v>
      </c>
      <c r="CT59" s="384">
        <v>120.11351138755515</v>
      </c>
      <c r="CU59" s="384">
        <v>120.11351138755515</v>
      </c>
      <c r="CV59" s="610">
        <v>675.13773429366779</v>
      </c>
      <c r="CW59" s="384">
        <v>675.13773429366779</v>
      </c>
      <c r="CX59" s="384">
        <v>675.13773429366779</v>
      </c>
      <c r="CY59" s="384">
        <v>675.13773429366779</v>
      </c>
      <c r="CZ59" s="384">
        <v>675.13773429366779</v>
      </c>
      <c r="DA59" s="384">
        <v>675.13773429366779</v>
      </c>
      <c r="DB59" s="384">
        <v>675.13773429366779</v>
      </c>
      <c r="DC59" s="384">
        <v>675.13773429366779</v>
      </c>
      <c r="DD59" s="384">
        <v>675.13773429366779</v>
      </c>
      <c r="DE59" s="384">
        <v>675.13773429366779</v>
      </c>
      <c r="DF59" s="614">
        <v>675.13773429366779</v>
      </c>
      <c r="DG59" s="384">
        <v>675.13773429366779</v>
      </c>
      <c r="DH59" s="384">
        <v>675.13773429366779</v>
      </c>
      <c r="DI59" s="384">
        <v>675.13773429366779</v>
      </c>
      <c r="DJ59" s="384">
        <v>675.13773429366779</v>
      </c>
      <c r="DK59" s="384">
        <v>675.13773429366779</v>
      </c>
      <c r="DL59" s="384">
        <v>675.13773429366779</v>
      </c>
      <c r="DM59" s="384">
        <v>675.13773429366779</v>
      </c>
      <c r="DN59" s="384">
        <v>675.13773429366779</v>
      </c>
      <c r="DO59" s="384">
        <v>675.13773429366779</v>
      </c>
      <c r="DP59" s="384">
        <v>675.13773429366779</v>
      </c>
      <c r="DQ59" s="697"/>
    </row>
    <row r="60" spans="1:121" s="384" customFormat="1" ht="19.5" customHeight="1" x14ac:dyDescent="0.2">
      <c r="A60" s="872" t="s">
        <v>246</v>
      </c>
      <c r="B60" s="412" t="s">
        <v>268</v>
      </c>
      <c r="C60" s="467" t="e">
        <f ca="1" xml:space="preserve">  (  INDEX($BV$85:$BV$680,$L$83)   - INDEX($BV$85:$BV$680,$K$83)   )/($L$83-$K$83)</f>
        <v>#NAME?</v>
      </c>
      <c r="D60" s="419" t="s">
        <v>237</v>
      </c>
      <c r="E60" s="474"/>
      <c r="R60" s="385"/>
      <c r="T60" s="385"/>
      <c r="X60" s="459"/>
      <c r="AK60" s="555">
        <v>0.84000000000000208</v>
      </c>
      <c r="AL60" s="555">
        <v>0.84000000000000208</v>
      </c>
      <c r="AM60" s="580">
        <v>0.84000000000000208</v>
      </c>
      <c r="AN60" s="580">
        <v>0.84000000000000208</v>
      </c>
      <c r="AO60" s="580">
        <v>0.84000000000000208</v>
      </c>
      <c r="AP60" s="580">
        <v>0.84000000000000208</v>
      </c>
      <c r="AQ60" s="580">
        <v>0.84000000000000208</v>
      </c>
      <c r="AR60" s="580">
        <v>0.84000000000000208</v>
      </c>
      <c r="AS60" s="580">
        <v>0.84000000000000208</v>
      </c>
      <c r="AT60" s="580">
        <v>0.84000000000000208</v>
      </c>
      <c r="AU60" s="467">
        <v>0.84000000000000208</v>
      </c>
      <c r="AV60" s="467">
        <v>0.84000000000000208</v>
      </c>
      <c r="AW60" s="580">
        <v>0.84000000000000208</v>
      </c>
      <c r="AX60" s="580">
        <v>0.84000000000000208</v>
      </c>
      <c r="AY60" s="580">
        <v>0.84000000000000208</v>
      </c>
      <c r="AZ60" s="580">
        <v>0.84000000000000208</v>
      </c>
      <c r="BA60" s="467">
        <v>0.84000000000000208</v>
      </c>
      <c r="BB60" s="580">
        <v>0.84000000000000208</v>
      </c>
      <c r="BC60" s="580">
        <v>0.84000000000000208</v>
      </c>
      <c r="BD60" s="580">
        <v>0.84000000000000208</v>
      </c>
      <c r="BE60" s="580">
        <v>0.84000000000000208</v>
      </c>
      <c r="BF60" s="580">
        <v>0.84000000000000208</v>
      </c>
      <c r="BG60" s="580">
        <v>0.84000000000000208</v>
      </c>
      <c r="BH60" s="580">
        <v>0.84000000000000208</v>
      </c>
      <c r="BI60" s="419">
        <v>0.84000000000000208</v>
      </c>
      <c r="BJ60" s="580">
        <v>0.84000000000000208</v>
      </c>
      <c r="BK60" s="580">
        <v>0.84000000000000208</v>
      </c>
      <c r="BL60" s="580">
        <v>0.84000000000000208</v>
      </c>
      <c r="BM60" s="580">
        <v>0.84000000000000208</v>
      </c>
      <c r="BN60" s="580">
        <v>0.84000000000000208</v>
      </c>
      <c r="BO60" s="580">
        <v>0.84000000000000208</v>
      </c>
      <c r="BP60" s="580">
        <v>0.84000000000000208</v>
      </c>
      <c r="BQ60" s="580">
        <v>0.84000000000000208</v>
      </c>
      <c r="BR60" s="580">
        <v>0.84000000000000208</v>
      </c>
      <c r="BS60" s="580">
        <v>0.84000000000000208</v>
      </c>
      <c r="BT60" s="580">
        <v>0.84000000000000208</v>
      </c>
      <c r="BU60" s="580">
        <v>0.84000000000000208</v>
      </c>
      <c r="BV60" s="580">
        <v>0.84000000000000208</v>
      </c>
      <c r="BW60" s="580">
        <v>0.84000000000000208</v>
      </c>
      <c r="BX60" s="580">
        <v>0.84000000000000208</v>
      </c>
      <c r="BY60" s="580">
        <v>0.84000000000000208</v>
      </c>
      <c r="BZ60" s="580">
        <v>0.84000000000000208</v>
      </c>
      <c r="CA60" s="580">
        <v>0.84000000000000208</v>
      </c>
      <c r="CB60" s="580">
        <v>0.84000000000000208</v>
      </c>
      <c r="CC60" s="580">
        <v>0.84000000000000208</v>
      </c>
      <c r="CD60" s="467">
        <v>0.84000000000000208</v>
      </c>
      <c r="CE60" s="580">
        <v>0.84000000000000208</v>
      </c>
      <c r="CF60" s="580">
        <v>0.84000000000000208</v>
      </c>
      <c r="CG60" s="580">
        <v>0.84000000000000208</v>
      </c>
      <c r="CH60" s="580">
        <v>0.84000000000000208</v>
      </c>
      <c r="CI60" s="580">
        <v>0.84000000000000208</v>
      </c>
      <c r="CJ60" s="580">
        <v>0.84000000000000208</v>
      </c>
      <c r="CK60" s="580">
        <v>0.84000000000000208</v>
      </c>
      <c r="CL60" s="580">
        <v>0.84000000000000208</v>
      </c>
      <c r="CM60" s="467">
        <v>0.84000000000000208</v>
      </c>
      <c r="CN60" s="580">
        <v>0.84000000000000208</v>
      </c>
      <c r="CO60" s="580">
        <v>0.84000000000000208</v>
      </c>
      <c r="CP60" s="384">
        <v>0.84000000000000208</v>
      </c>
      <c r="CQ60" s="384">
        <v>0.84000000000000208</v>
      </c>
      <c r="CR60" s="384">
        <v>0.84000000000000208</v>
      </c>
      <c r="CS60" s="384">
        <v>0.84000000000000208</v>
      </c>
      <c r="CT60" s="384">
        <v>0.84000000000000208</v>
      </c>
      <c r="CU60" s="384">
        <v>0.84000000000000208</v>
      </c>
      <c r="CV60" s="610">
        <v>0.51236037229367737</v>
      </c>
      <c r="CW60" s="384">
        <v>0.51236037229367737</v>
      </c>
      <c r="CX60" s="384">
        <v>0.51236037229367737</v>
      </c>
      <c r="CY60" s="384">
        <v>0.51236037229367737</v>
      </c>
      <c r="CZ60" s="384">
        <v>0.51236037229367737</v>
      </c>
      <c r="DA60" s="384">
        <v>0.51236037229367737</v>
      </c>
      <c r="DB60" s="384">
        <v>0.51236037229367737</v>
      </c>
      <c r="DC60" s="384">
        <v>0.51236037229367737</v>
      </c>
      <c r="DD60" s="384">
        <v>0.51236037229367737</v>
      </c>
      <c r="DE60" s="384">
        <v>0.51236037229367737</v>
      </c>
      <c r="DF60" s="614">
        <v>0.51243747390837291</v>
      </c>
      <c r="DG60" s="384">
        <v>0.51243747390837291</v>
      </c>
      <c r="DH60" s="384">
        <v>0.51243747390837291</v>
      </c>
      <c r="DI60" s="384">
        <v>0.51243747390837291</v>
      </c>
      <c r="DJ60" s="384">
        <v>0.51243747390837291</v>
      </c>
      <c r="DK60" s="384">
        <v>0.51243747390837291</v>
      </c>
      <c r="DL60" s="384">
        <v>0.51243747390837291</v>
      </c>
      <c r="DM60" s="384">
        <v>0.51243747390837291</v>
      </c>
      <c r="DN60" s="384">
        <v>0.51243747390837291</v>
      </c>
      <c r="DO60" s="384">
        <v>0.51243747390837291</v>
      </c>
      <c r="DP60" s="384">
        <v>0.51243747390837291</v>
      </c>
      <c r="DQ60" s="697"/>
    </row>
    <row r="61" spans="1:121" s="384" customFormat="1" ht="19.5" customHeight="1" x14ac:dyDescent="0.2">
      <c r="A61" s="879"/>
      <c r="B61" s="412" t="s">
        <v>271</v>
      </c>
      <c r="C61" s="468" t="e">
        <f ca="1" xml:space="preserve">  (  INDEX($BW$85:$BW$680,$L$83)   - INDEX($BW$85:$BW$680,$K$83)   )/($L$83-$K$83)</f>
        <v>#NAME?</v>
      </c>
      <c r="D61" s="419" t="s">
        <v>272</v>
      </c>
      <c r="E61" s="474"/>
      <c r="R61" s="385"/>
      <c r="T61" s="385"/>
      <c r="X61" s="459"/>
      <c r="AK61" s="556">
        <v>497.22356517876023</v>
      </c>
      <c r="AL61" s="556">
        <v>497.22356517876023</v>
      </c>
      <c r="AM61" s="581">
        <v>497.22356517876023</v>
      </c>
      <c r="AN61" s="581">
        <v>497.22356517876023</v>
      </c>
      <c r="AO61" s="581">
        <v>497.22356517876023</v>
      </c>
      <c r="AP61" s="581">
        <v>497.22356517876023</v>
      </c>
      <c r="AQ61" s="581">
        <v>497.22356517876023</v>
      </c>
      <c r="AR61" s="581">
        <v>497.22356517876023</v>
      </c>
      <c r="AS61" s="581">
        <v>497.22356517876023</v>
      </c>
      <c r="AT61" s="581">
        <v>497.22356517876023</v>
      </c>
      <c r="AU61" s="468">
        <v>497.22356517876023</v>
      </c>
      <c r="AV61" s="468">
        <v>497.22356517876023</v>
      </c>
      <c r="AW61" s="581">
        <v>497.22356517876023</v>
      </c>
      <c r="AX61" s="581">
        <v>497.22356517876023</v>
      </c>
      <c r="AY61" s="581">
        <v>497.22356517876023</v>
      </c>
      <c r="AZ61" s="581">
        <v>497.22356517876023</v>
      </c>
      <c r="BA61" s="468">
        <v>497.22356517876023</v>
      </c>
      <c r="BB61" s="581">
        <v>497.22356517876023</v>
      </c>
      <c r="BC61" s="581">
        <v>497.22356517876023</v>
      </c>
      <c r="BD61" s="581">
        <v>497.22356517876023</v>
      </c>
      <c r="BE61" s="581">
        <v>497.22356517876023</v>
      </c>
      <c r="BF61" s="581">
        <v>497.22356517876023</v>
      </c>
      <c r="BG61" s="581">
        <v>497.22356517876023</v>
      </c>
      <c r="BH61" s="581">
        <v>497.22356517876023</v>
      </c>
      <c r="BI61" s="419">
        <v>497.22356517876023</v>
      </c>
      <c r="BJ61" s="581">
        <v>497.22356517876023</v>
      </c>
      <c r="BK61" s="581">
        <v>497.22356517876023</v>
      </c>
      <c r="BL61" s="581">
        <v>497.22356517876023</v>
      </c>
      <c r="BM61" s="581">
        <v>497.22356517876023</v>
      </c>
      <c r="BN61" s="581">
        <v>497.22356517876023</v>
      </c>
      <c r="BO61" s="581">
        <v>497.22356517876023</v>
      </c>
      <c r="BP61" s="581">
        <v>497.22356517876023</v>
      </c>
      <c r="BQ61" s="581">
        <v>497.22356517876023</v>
      </c>
      <c r="BR61" s="581">
        <v>497.22356517876023</v>
      </c>
      <c r="BS61" s="581">
        <v>497.22356517876023</v>
      </c>
      <c r="BT61" s="581">
        <v>497.22356517876023</v>
      </c>
      <c r="BU61" s="581">
        <v>497.22356517876023</v>
      </c>
      <c r="BV61" s="581">
        <v>497.22356517876023</v>
      </c>
      <c r="BW61" s="581">
        <v>497.22356517876023</v>
      </c>
      <c r="BX61" s="581">
        <v>497.22356517876023</v>
      </c>
      <c r="BY61" s="581">
        <v>497.22356517876023</v>
      </c>
      <c r="BZ61" s="581">
        <v>497.22356517876023</v>
      </c>
      <c r="CA61" s="581">
        <v>497.22356517876023</v>
      </c>
      <c r="CB61" s="581">
        <v>497.22356517876023</v>
      </c>
      <c r="CC61" s="581">
        <v>497.22356517876023</v>
      </c>
      <c r="CD61" s="468">
        <v>497.22356517876023</v>
      </c>
      <c r="CE61" s="581">
        <v>497.22356517876023</v>
      </c>
      <c r="CF61" s="581">
        <v>497.22356517876023</v>
      </c>
      <c r="CG61" s="581">
        <v>497.22356517876023</v>
      </c>
      <c r="CH61" s="581">
        <v>497.22356517876023</v>
      </c>
      <c r="CI61" s="581">
        <v>497.22356517876023</v>
      </c>
      <c r="CJ61" s="581">
        <v>497.22356517876023</v>
      </c>
      <c r="CK61" s="581">
        <v>497.22356517876023</v>
      </c>
      <c r="CL61" s="581">
        <v>497.22356517876023</v>
      </c>
      <c r="CM61" s="468">
        <v>497.22356517876023</v>
      </c>
      <c r="CN61" s="581">
        <v>497.22356517876023</v>
      </c>
      <c r="CO61" s="581">
        <v>497.22356517876023</v>
      </c>
      <c r="CP61" s="384">
        <v>497.22356517876023</v>
      </c>
      <c r="CQ61" s="384">
        <v>497.22356517876023</v>
      </c>
      <c r="CR61" s="384">
        <v>497.22356517876023</v>
      </c>
      <c r="CS61" s="384">
        <v>497.22356517876023</v>
      </c>
      <c r="CT61" s="384">
        <v>497.22356517876023</v>
      </c>
      <c r="CU61" s="384">
        <v>497.22356517876023</v>
      </c>
      <c r="CV61" s="610">
        <v>318.42167368526913</v>
      </c>
      <c r="CW61" s="384">
        <v>318.42167368526913</v>
      </c>
      <c r="CX61" s="384">
        <v>318.42167368526913</v>
      </c>
      <c r="CY61" s="384">
        <v>318.42167368526913</v>
      </c>
      <c r="CZ61" s="384">
        <v>318.42167368526913</v>
      </c>
      <c r="DA61" s="384">
        <v>318.42167368526913</v>
      </c>
      <c r="DB61" s="384">
        <v>318.42167368526913</v>
      </c>
      <c r="DC61" s="384">
        <v>318.42167368526913</v>
      </c>
      <c r="DD61" s="384">
        <v>318.42167368526913</v>
      </c>
      <c r="DE61" s="384">
        <v>318.42167368526913</v>
      </c>
      <c r="DF61" s="614">
        <v>318.46979106452153</v>
      </c>
      <c r="DG61" s="384">
        <v>318.46979106452153</v>
      </c>
      <c r="DH61" s="384">
        <v>318.46979106452153</v>
      </c>
      <c r="DI61" s="384">
        <v>318.46979106452153</v>
      </c>
      <c r="DJ61" s="384">
        <v>318.46979106452153</v>
      </c>
      <c r="DK61" s="384">
        <v>318.46979106452153</v>
      </c>
      <c r="DL61" s="384">
        <v>318.46979106452153</v>
      </c>
      <c r="DM61" s="384">
        <v>318.46979106452153</v>
      </c>
      <c r="DN61" s="384">
        <v>318.46979106452153</v>
      </c>
      <c r="DO61" s="384">
        <v>318.46979106452153</v>
      </c>
      <c r="DP61" s="384">
        <v>318.46979106452153</v>
      </c>
      <c r="DQ61" s="697"/>
    </row>
    <row r="62" spans="1:121" s="384" customFormat="1" ht="37.5" customHeight="1" x14ac:dyDescent="0.2">
      <c r="A62" s="879"/>
      <c r="B62" s="412" t="s">
        <v>319</v>
      </c>
      <c r="C62" s="473" t="e">
        <f ca="1">INDEX($O$85:$O$680,$L$83)</f>
        <v>#NAME?</v>
      </c>
      <c r="D62" s="419" t="s">
        <v>51</v>
      </c>
      <c r="E62" s="474"/>
      <c r="R62" s="385"/>
      <c r="T62" s="385"/>
      <c r="X62" s="459"/>
      <c r="AK62" s="557">
        <v>34.258731768404417</v>
      </c>
      <c r="AL62" s="557">
        <v>34.258731768404417</v>
      </c>
      <c r="AM62" s="582">
        <v>34.258731768404417</v>
      </c>
      <c r="AN62" s="582">
        <v>34.258731768404417</v>
      </c>
      <c r="AO62" s="582">
        <v>34.258731768404417</v>
      </c>
      <c r="AP62" s="582">
        <v>34.258731768404417</v>
      </c>
      <c r="AQ62" s="582">
        <v>34.258731768404417</v>
      </c>
      <c r="AR62" s="582">
        <v>34.258731768404417</v>
      </c>
      <c r="AS62" s="582">
        <v>34.258731768404417</v>
      </c>
      <c r="AT62" s="582">
        <v>34.258731768404417</v>
      </c>
      <c r="AU62" s="473">
        <v>34.258731768404417</v>
      </c>
      <c r="AV62" s="473">
        <v>34.258731768404417</v>
      </c>
      <c r="AW62" s="582">
        <v>34.258731768404417</v>
      </c>
      <c r="AX62" s="582">
        <v>34.258731768404417</v>
      </c>
      <c r="AY62" s="582">
        <v>34.258731768404417</v>
      </c>
      <c r="AZ62" s="582">
        <v>34.258731768404417</v>
      </c>
      <c r="BA62" s="473">
        <v>34.258731768404417</v>
      </c>
      <c r="BB62" s="582">
        <v>34.258731768404417</v>
      </c>
      <c r="BC62" s="582">
        <v>34.258731768404417</v>
      </c>
      <c r="BD62" s="582">
        <v>34.258731768404417</v>
      </c>
      <c r="BE62" s="582">
        <v>34.258731768404417</v>
      </c>
      <c r="BF62" s="582">
        <v>34.258731768404417</v>
      </c>
      <c r="BG62" s="582">
        <v>34.258731768404417</v>
      </c>
      <c r="BH62" s="582">
        <v>34.258731768404417</v>
      </c>
      <c r="BI62" s="419">
        <v>34.258731768404417</v>
      </c>
      <c r="BJ62" s="582">
        <v>34.258731768404417</v>
      </c>
      <c r="BK62" s="582">
        <v>34.258731768404417</v>
      </c>
      <c r="BL62" s="582">
        <v>34.258731768404417</v>
      </c>
      <c r="BM62" s="582">
        <v>34.258731768404417</v>
      </c>
      <c r="BN62" s="582">
        <v>34.258731768404417</v>
      </c>
      <c r="BO62" s="582">
        <v>34.258731768404417</v>
      </c>
      <c r="BP62" s="582">
        <v>34.258731768404417</v>
      </c>
      <c r="BQ62" s="582">
        <v>34.258731768404417</v>
      </c>
      <c r="BR62" s="582">
        <v>34.258731768404417</v>
      </c>
      <c r="BS62" s="582">
        <v>34.258731768404417</v>
      </c>
      <c r="BT62" s="582">
        <v>34.258731768404417</v>
      </c>
      <c r="BU62" s="582">
        <v>34.258731768404417</v>
      </c>
      <c r="BV62" s="582">
        <v>34.258731768404417</v>
      </c>
      <c r="BW62" s="582">
        <v>34.258731768404417</v>
      </c>
      <c r="BX62" s="582">
        <v>34.258731768404417</v>
      </c>
      <c r="BY62" s="582">
        <v>34.258731768404417</v>
      </c>
      <c r="BZ62" s="582">
        <v>34.258731768404417</v>
      </c>
      <c r="CA62" s="582">
        <v>34.258731768404417</v>
      </c>
      <c r="CB62" s="582">
        <v>34.258731768404417</v>
      </c>
      <c r="CC62" s="582">
        <v>34.258731768404417</v>
      </c>
      <c r="CD62" s="473">
        <v>34.258731768404417</v>
      </c>
      <c r="CE62" s="582">
        <v>34.258731768404417</v>
      </c>
      <c r="CF62" s="582">
        <v>34.258731768404417</v>
      </c>
      <c r="CG62" s="582">
        <v>34.258731768404417</v>
      </c>
      <c r="CH62" s="582">
        <v>34.258731768404417</v>
      </c>
      <c r="CI62" s="582">
        <v>34.258731768404417</v>
      </c>
      <c r="CJ62" s="582">
        <v>34.258731768404417</v>
      </c>
      <c r="CK62" s="582">
        <v>34.258731768404417</v>
      </c>
      <c r="CL62" s="582">
        <v>34.258731768404417</v>
      </c>
      <c r="CM62" s="473">
        <v>34.258731768404417</v>
      </c>
      <c r="CN62" s="582">
        <v>34.258731768404417</v>
      </c>
      <c r="CO62" s="582">
        <v>34.258731768404417</v>
      </c>
      <c r="CP62" s="384">
        <v>34.258731768404417</v>
      </c>
      <c r="CQ62" s="384">
        <v>34.258731768404417</v>
      </c>
      <c r="CR62" s="384">
        <v>34.258731768404417</v>
      </c>
      <c r="CS62" s="384">
        <v>34.258731768404417</v>
      </c>
      <c r="CT62" s="384">
        <v>34.258731768404417</v>
      </c>
      <c r="CU62" s="384">
        <v>34.258731768404417</v>
      </c>
      <c r="CV62" s="610">
        <v>28.770215134190813</v>
      </c>
      <c r="CW62" s="384">
        <v>28.770215134190813</v>
      </c>
      <c r="CX62" s="384">
        <v>28.770215134190813</v>
      </c>
      <c r="CY62" s="384">
        <v>28.770215134190813</v>
      </c>
      <c r="CZ62" s="384">
        <v>28.770215134190813</v>
      </c>
      <c r="DA62" s="384">
        <v>28.770215134190813</v>
      </c>
      <c r="DB62" s="384">
        <v>28.770215134190813</v>
      </c>
      <c r="DC62" s="384">
        <v>28.770215134190813</v>
      </c>
      <c r="DD62" s="384">
        <v>28.770215134190813</v>
      </c>
      <c r="DE62" s="384">
        <v>28.770215134190813</v>
      </c>
      <c r="DF62" s="614">
        <v>28.872365037525704</v>
      </c>
      <c r="DG62" s="384">
        <v>28.872365037525704</v>
      </c>
      <c r="DH62" s="384">
        <v>28.872365037525704</v>
      </c>
      <c r="DI62" s="384">
        <v>28.872365037525704</v>
      </c>
      <c r="DJ62" s="384">
        <v>28.872365037525704</v>
      </c>
      <c r="DK62" s="384">
        <v>28.872365037525704</v>
      </c>
      <c r="DL62" s="384">
        <v>28.872365037525704</v>
      </c>
      <c r="DM62" s="384">
        <v>28.872365037525704</v>
      </c>
      <c r="DN62" s="384">
        <v>28.872365037525704</v>
      </c>
      <c r="DO62" s="384">
        <v>28.872365037525704</v>
      </c>
      <c r="DP62" s="384">
        <v>28.872365037525704</v>
      </c>
      <c r="DQ62" s="697"/>
    </row>
    <row r="63" spans="1:121" s="384" customFormat="1" ht="23.25" customHeight="1" x14ac:dyDescent="0.2">
      <c r="A63" s="879"/>
      <c r="B63" s="412" t="s">
        <v>388</v>
      </c>
      <c r="C63" s="473" t="e">
        <f ca="1">C62+C24</f>
        <v>#NAME?</v>
      </c>
      <c r="D63" s="419" t="s">
        <v>51</v>
      </c>
      <c r="E63" s="474"/>
      <c r="R63" s="385"/>
      <c r="T63" s="385"/>
      <c r="X63" s="459"/>
      <c r="AK63" s="557"/>
      <c r="AL63" s="557"/>
      <c r="AM63" s="582"/>
      <c r="AN63" s="582"/>
      <c r="AO63" s="582"/>
      <c r="AP63" s="582"/>
      <c r="AQ63" s="582"/>
      <c r="AR63" s="582"/>
      <c r="AS63" s="582"/>
      <c r="AT63" s="582"/>
      <c r="AU63" s="473"/>
      <c r="AV63" s="473"/>
      <c r="AW63" s="582"/>
      <c r="AX63" s="582"/>
      <c r="AY63" s="582"/>
      <c r="AZ63" s="582"/>
      <c r="BA63" s="473"/>
      <c r="BB63" s="582"/>
      <c r="BC63" s="582"/>
      <c r="BD63" s="582"/>
      <c r="BE63" s="582"/>
      <c r="BF63" s="582"/>
      <c r="BG63" s="582"/>
      <c r="BH63" s="582"/>
      <c r="BI63" s="419"/>
      <c r="BJ63" s="582"/>
      <c r="BK63" s="582"/>
      <c r="BL63" s="582"/>
      <c r="BM63" s="582"/>
      <c r="BN63" s="582"/>
      <c r="BO63" s="582"/>
      <c r="BP63" s="582"/>
      <c r="BQ63" s="582"/>
      <c r="BR63" s="582"/>
      <c r="BS63" s="582"/>
      <c r="BT63" s="582"/>
      <c r="BU63" s="582"/>
      <c r="BV63" s="582"/>
      <c r="BW63" s="582"/>
      <c r="BX63" s="582"/>
      <c r="BY63" s="582"/>
      <c r="BZ63" s="582"/>
      <c r="CA63" s="582"/>
      <c r="CB63" s="582"/>
      <c r="CC63" s="582"/>
      <c r="CD63" s="473"/>
      <c r="CE63" s="582"/>
      <c r="CF63" s="582"/>
      <c r="CG63" s="582"/>
      <c r="CH63" s="582"/>
      <c r="CI63" s="582"/>
      <c r="CJ63" s="582"/>
      <c r="CK63" s="582"/>
      <c r="CL63" s="582"/>
      <c r="CM63" s="473"/>
      <c r="CN63" s="582"/>
      <c r="CO63" s="582"/>
      <c r="CV63" s="610"/>
      <c r="DF63" s="614"/>
      <c r="DQ63" s="697"/>
    </row>
    <row r="64" spans="1:121" s="384" customFormat="1" ht="23.25" customHeight="1" x14ac:dyDescent="0.2">
      <c r="A64" s="879"/>
      <c r="B64" s="412" t="s">
        <v>397</v>
      </c>
      <c r="C64" s="750" t="e">
        <f ca="1">1000*(C56-C63)/(24*(C18-C12))</f>
        <v>#NAME?</v>
      </c>
      <c r="D64" s="419" t="s">
        <v>398</v>
      </c>
      <c r="E64" s="474"/>
      <c r="R64" s="385"/>
      <c r="T64" s="385"/>
      <c r="X64" s="459"/>
      <c r="AK64" s="557"/>
      <c r="AL64" s="557"/>
      <c r="AM64" s="582"/>
      <c r="AN64" s="582"/>
      <c r="AO64" s="582"/>
      <c r="AP64" s="582"/>
      <c r="AQ64" s="582"/>
      <c r="AR64" s="582"/>
      <c r="AS64" s="582"/>
      <c r="AT64" s="582"/>
      <c r="AU64" s="473"/>
      <c r="AV64" s="473"/>
      <c r="AW64" s="582"/>
      <c r="AX64" s="582"/>
      <c r="AY64" s="582"/>
      <c r="AZ64" s="582"/>
      <c r="BA64" s="473"/>
      <c r="BB64" s="582"/>
      <c r="BC64" s="582"/>
      <c r="BD64" s="582"/>
      <c r="BE64" s="582"/>
      <c r="BF64" s="582"/>
      <c r="BG64" s="582"/>
      <c r="BH64" s="582"/>
      <c r="BI64" s="419"/>
      <c r="BJ64" s="582"/>
      <c r="BK64" s="582"/>
      <c r="BL64" s="582"/>
      <c r="BM64" s="582"/>
      <c r="BN64" s="582"/>
      <c r="BO64" s="582"/>
      <c r="BP64" s="582"/>
      <c r="BQ64" s="582"/>
      <c r="BR64" s="582"/>
      <c r="BS64" s="582"/>
      <c r="BT64" s="582"/>
      <c r="BU64" s="582"/>
      <c r="BV64" s="582"/>
      <c r="BW64" s="582"/>
      <c r="BX64" s="582"/>
      <c r="BY64" s="582"/>
      <c r="BZ64" s="582"/>
      <c r="CA64" s="582"/>
      <c r="CB64" s="582"/>
      <c r="CC64" s="582"/>
      <c r="CD64" s="473"/>
      <c r="CE64" s="582"/>
      <c r="CF64" s="582"/>
      <c r="CG64" s="582"/>
      <c r="CH64" s="582"/>
      <c r="CI64" s="582"/>
      <c r="CJ64" s="582"/>
      <c r="CK64" s="582"/>
      <c r="CL64" s="582"/>
      <c r="CM64" s="473"/>
      <c r="CN64" s="582"/>
      <c r="CO64" s="582"/>
      <c r="CV64" s="610"/>
      <c r="DF64" s="614"/>
      <c r="DQ64" s="697"/>
    </row>
    <row r="65" spans="1:121" s="384" customFormat="1" ht="23.25" customHeight="1" x14ac:dyDescent="0.2">
      <c r="A65" s="879"/>
      <c r="B65" s="412" t="s">
        <v>394</v>
      </c>
      <c r="C65" s="705" t="e">
        <f ca="1">$C$66/($C$56-$C$63)</f>
        <v>#NAME?</v>
      </c>
      <c r="D65" s="703" t="s">
        <v>395</v>
      </c>
      <c r="E65" s="474"/>
      <c r="R65" s="385"/>
      <c r="T65" s="385"/>
      <c r="X65" s="459"/>
      <c r="AK65" s="557"/>
      <c r="AL65" s="557"/>
      <c r="AM65" s="582"/>
      <c r="AN65" s="582"/>
      <c r="AO65" s="582"/>
      <c r="AP65" s="582"/>
      <c r="AQ65" s="582"/>
      <c r="AR65" s="582"/>
      <c r="AS65" s="582"/>
      <c r="AT65" s="582"/>
      <c r="AU65" s="473"/>
      <c r="AV65" s="473"/>
      <c r="AW65" s="582"/>
      <c r="AX65" s="582"/>
      <c r="AY65" s="582"/>
      <c r="AZ65" s="582"/>
      <c r="BA65" s="473"/>
      <c r="BB65" s="582"/>
      <c r="BC65" s="582"/>
      <c r="BD65" s="582"/>
      <c r="BE65" s="582"/>
      <c r="BF65" s="582"/>
      <c r="BG65" s="582"/>
      <c r="BH65" s="582"/>
      <c r="BI65" s="419"/>
      <c r="BJ65" s="582"/>
      <c r="BK65" s="582"/>
      <c r="BL65" s="582"/>
      <c r="BM65" s="582"/>
      <c r="BN65" s="582"/>
      <c r="BO65" s="582"/>
      <c r="BP65" s="582"/>
      <c r="BQ65" s="582"/>
      <c r="BR65" s="582"/>
      <c r="BS65" s="582"/>
      <c r="BT65" s="582"/>
      <c r="BU65" s="582"/>
      <c r="BV65" s="582"/>
      <c r="BW65" s="582"/>
      <c r="BX65" s="582"/>
      <c r="BY65" s="582"/>
      <c r="BZ65" s="582"/>
      <c r="CA65" s="582"/>
      <c r="CB65" s="582"/>
      <c r="CC65" s="582"/>
      <c r="CD65" s="473"/>
      <c r="CE65" s="582"/>
      <c r="CF65" s="582"/>
      <c r="CG65" s="582"/>
      <c r="CH65" s="582"/>
      <c r="CI65" s="582"/>
      <c r="CJ65" s="582"/>
      <c r="CK65" s="582"/>
      <c r="CL65" s="582"/>
      <c r="CM65" s="473"/>
      <c r="CN65" s="582"/>
      <c r="CO65" s="582"/>
      <c r="CV65" s="610"/>
      <c r="DF65" s="614"/>
      <c r="DQ65" s="697"/>
    </row>
    <row r="66" spans="1:121" s="384" customFormat="1" ht="19.5" customHeight="1" x14ac:dyDescent="0.2">
      <c r="A66" s="880"/>
      <c r="B66" s="412" t="s">
        <v>269</v>
      </c>
      <c r="C66" s="420" t="e">
        <f ca="1">IF($C$18&lt;$J$680,INDEX($AN$85:$AN$680,$M$83)-$C$59,  INDEX($AN$85:$AN$680,$O$83+2)-$C$59    )</f>
        <v>#NAME?</v>
      </c>
      <c r="D66" s="410" t="s">
        <v>261</v>
      </c>
      <c r="E66" s="474"/>
      <c r="R66" s="385"/>
      <c r="T66" s="385"/>
      <c r="X66" s="459"/>
      <c r="AK66" s="558">
        <v>555.16884279168755</v>
      </c>
      <c r="AL66" s="558">
        <v>555.16884279168755</v>
      </c>
      <c r="AM66" s="583">
        <v>555.16884279168755</v>
      </c>
      <c r="AN66" s="583">
        <v>555.16884279168755</v>
      </c>
      <c r="AO66" s="583">
        <v>555.16884279168755</v>
      </c>
      <c r="AP66" s="583">
        <v>555.16884279168755</v>
      </c>
      <c r="AQ66" s="583">
        <v>555.16884279168755</v>
      </c>
      <c r="AR66" s="583">
        <v>555.16884279168755</v>
      </c>
      <c r="AS66" s="583">
        <v>555.16884279168755</v>
      </c>
      <c r="AT66" s="583">
        <v>555.16884279168755</v>
      </c>
      <c r="AU66" s="420">
        <v>555.16884279168755</v>
      </c>
      <c r="AV66" s="420">
        <v>555.16884279168755</v>
      </c>
      <c r="AW66" s="583">
        <v>555.16884279168755</v>
      </c>
      <c r="AX66" s="583">
        <v>555.01778704362471</v>
      </c>
      <c r="AY66" s="583">
        <v>555.01778704362471</v>
      </c>
      <c r="AZ66" s="583">
        <v>555.01778704362471</v>
      </c>
      <c r="BA66" s="420">
        <v>555.01778704362471</v>
      </c>
      <c r="BB66" s="583">
        <v>555.01778704362471</v>
      </c>
      <c r="BC66" s="583">
        <v>555.01778704362471</v>
      </c>
      <c r="BD66" s="583">
        <v>555.01778704362471</v>
      </c>
      <c r="BE66" s="583">
        <v>555.01778704362471</v>
      </c>
      <c r="BF66" s="583">
        <v>555.01778704362471</v>
      </c>
      <c r="BG66" s="583">
        <v>555.01778704362471</v>
      </c>
      <c r="BH66" s="583">
        <v>555.01778704362471</v>
      </c>
      <c r="BI66" s="410">
        <v>554.805199261643</v>
      </c>
      <c r="BJ66" s="583">
        <v>554.805199261643</v>
      </c>
      <c r="BK66" s="583">
        <v>554.805199261643</v>
      </c>
      <c r="BL66" s="583">
        <v>554.805199261643</v>
      </c>
      <c r="BM66" s="583">
        <v>554.805199261643</v>
      </c>
      <c r="BN66" s="583">
        <v>554.805199261643</v>
      </c>
      <c r="BO66" s="583">
        <v>554.805199261643</v>
      </c>
      <c r="BP66" s="583">
        <v>554.805199261643</v>
      </c>
      <c r="BQ66" s="583">
        <v>554.805199261643</v>
      </c>
      <c r="BR66" s="583">
        <v>554.805199261643</v>
      </c>
      <c r="BS66" s="583">
        <v>554.805199261643</v>
      </c>
      <c r="BT66" s="583">
        <v>554.805199261643</v>
      </c>
      <c r="BU66" s="583">
        <v>554.805199261643</v>
      </c>
      <c r="BV66" s="583">
        <v>554.805199261643</v>
      </c>
      <c r="BW66" s="583">
        <v>554.805199261643</v>
      </c>
      <c r="BX66" s="583">
        <v>554.805199261643</v>
      </c>
      <c r="BY66" s="583">
        <v>554.805199261643</v>
      </c>
      <c r="BZ66" s="583">
        <v>554.805199261643</v>
      </c>
      <c r="CA66" s="583">
        <v>554.805199261643</v>
      </c>
      <c r="CB66" s="583">
        <v>554.68758519936148</v>
      </c>
      <c r="CC66" s="583">
        <v>554.68758519936148</v>
      </c>
      <c r="CD66" s="420">
        <v>554.68758519936148</v>
      </c>
      <c r="CE66" s="583">
        <v>554.68758519936148</v>
      </c>
      <c r="CF66" s="583">
        <v>554.68758519936148</v>
      </c>
      <c r="CG66" s="583">
        <v>554.68758519936148</v>
      </c>
      <c r="CH66" s="583">
        <v>554.68758519936148</v>
      </c>
      <c r="CI66" s="583">
        <v>554.68758519936148</v>
      </c>
      <c r="CJ66" s="583">
        <v>554.68758519936148</v>
      </c>
      <c r="CK66" s="583">
        <v>554.68758519936148</v>
      </c>
      <c r="CL66" s="583">
        <v>554.68758519936148</v>
      </c>
      <c r="CM66" s="420">
        <v>554.68758519936148</v>
      </c>
      <c r="CN66" s="583">
        <v>554.68758519936148</v>
      </c>
      <c r="CO66" s="583">
        <v>554.68758519936148</v>
      </c>
      <c r="CP66" s="384">
        <v>555.25080614219064</v>
      </c>
      <c r="CQ66" s="384">
        <v>555.25080614219064</v>
      </c>
      <c r="CR66" s="384">
        <v>555.25080614219064</v>
      </c>
      <c r="CS66" s="384">
        <v>555.25080614219064</v>
      </c>
      <c r="CT66" s="384">
        <v>555.25080614219064</v>
      </c>
      <c r="CU66" s="384">
        <v>555.25080614219064</v>
      </c>
      <c r="CV66" s="610">
        <v>318.12473795367805</v>
      </c>
      <c r="CW66" s="384">
        <v>318.12473795367805</v>
      </c>
      <c r="CX66" s="384">
        <v>318.12473795367805</v>
      </c>
      <c r="CY66" s="384">
        <v>318.12473795367805</v>
      </c>
      <c r="CZ66" s="384">
        <v>318.12473795367805</v>
      </c>
      <c r="DA66" s="384">
        <v>318.12473795367805</v>
      </c>
      <c r="DB66" s="384">
        <v>318.12473795367805</v>
      </c>
      <c r="DC66" s="384">
        <v>318.12473795367805</v>
      </c>
      <c r="DD66" s="384">
        <v>318.12473795367805</v>
      </c>
      <c r="DE66" s="384">
        <v>318.12473795367805</v>
      </c>
      <c r="DF66" s="614">
        <v>318.17349982832445</v>
      </c>
      <c r="DG66" s="384">
        <v>318.17349982832445</v>
      </c>
      <c r="DH66" s="384">
        <v>318.17349982832445</v>
      </c>
      <c r="DI66" s="384">
        <v>318.17349982832445</v>
      </c>
      <c r="DJ66" s="384">
        <v>318.17349982832445</v>
      </c>
      <c r="DK66" s="384">
        <v>318.17349982832445</v>
      </c>
      <c r="DL66" s="384">
        <v>318.17349982832445</v>
      </c>
      <c r="DM66" s="384">
        <v>318.17349982832445</v>
      </c>
      <c r="DN66" s="384">
        <v>318.17349982832445</v>
      </c>
      <c r="DO66" s="384">
        <v>318.17349982832445</v>
      </c>
      <c r="DP66" s="384">
        <v>318.17349982832445</v>
      </c>
      <c r="DQ66" s="697"/>
    </row>
    <row r="67" spans="1:121" s="384" customFormat="1" ht="19.5" customHeight="1" x14ac:dyDescent="0.2">
      <c r="A67" s="876" t="s">
        <v>248</v>
      </c>
      <c r="B67" s="424" t="s">
        <v>268</v>
      </c>
      <c r="C67" s="502" t="e">
        <f ca="1">IF($C$18&gt;$J$680,"--",    (  INDEX($BV$85:$BV$680,$P$83)   - INDEX($BV$85:$BV$680,$M$83)   )/($P$83-$M$83)  )</f>
        <v>#NAME?</v>
      </c>
      <c r="D67" s="500" t="s">
        <v>237</v>
      </c>
      <c r="E67" s="871" t="s">
        <v>284</v>
      </c>
      <c r="R67" s="385"/>
      <c r="T67" s="385"/>
      <c r="X67" s="459"/>
      <c r="AK67" s="559">
        <v>0.63327283530840839</v>
      </c>
      <c r="AL67" s="559">
        <v>0.68388167408769318</v>
      </c>
      <c r="AM67" s="584">
        <v>0.70629021481628962</v>
      </c>
      <c r="AN67" s="584">
        <v>0.72947896627683828</v>
      </c>
      <c r="AO67" s="584">
        <v>0.75496258526931803</v>
      </c>
      <c r="AP67" s="584">
        <v>0.78137302729566782</v>
      </c>
      <c r="AQ67" s="584">
        <v>0.80706496147844298</v>
      </c>
      <c r="AR67" s="584">
        <v>0.81860391860568182</v>
      </c>
      <c r="AS67" s="584">
        <v>0.82736213504232614</v>
      </c>
      <c r="AT67" s="584">
        <v>0.83217822352154169</v>
      </c>
      <c r="AU67" s="502">
        <v>0.83471799047029938</v>
      </c>
      <c r="AV67" s="502">
        <v>0.83431949808309536</v>
      </c>
      <c r="AW67" s="584">
        <v>0.83409027592586582</v>
      </c>
      <c r="AX67" s="584">
        <v>0.59216718580704197</v>
      </c>
      <c r="AY67" s="584">
        <v>0.62921213266268738</v>
      </c>
      <c r="AZ67" s="584">
        <v>0.65199642894837184</v>
      </c>
      <c r="BA67" s="502">
        <v>0.66823019673076955</v>
      </c>
      <c r="BB67" s="584">
        <v>0.68426255168203098</v>
      </c>
      <c r="BC67" s="584">
        <v>0.70722365835181111</v>
      </c>
      <c r="BD67" s="584">
        <v>0.73820470761986112</v>
      </c>
      <c r="BE67" s="584">
        <v>0.77318277510572309</v>
      </c>
      <c r="BF67" s="584">
        <v>0.80074362382563347</v>
      </c>
      <c r="BG67" s="584">
        <v>0.81408731444131244</v>
      </c>
      <c r="BH67" s="584">
        <v>0.81662268399179494</v>
      </c>
      <c r="BI67" s="500">
        <v>0.34320618201101039</v>
      </c>
      <c r="BJ67" s="584">
        <v>0.35769842624235537</v>
      </c>
      <c r="BK67" s="584">
        <v>0.37316921066600128</v>
      </c>
      <c r="BL67" s="584">
        <v>0.38976566237880206</v>
      </c>
      <c r="BM67" s="584">
        <v>0.40746418600896472</v>
      </c>
      <c r="BN67" s="584">
        <v>0.42647306118998218</v>
      </c>
      <c r="BO67" s="584">
        <v>0.44581580067647769</v>
      </c>
      <c r="BP67" s="584">
        <v>0.46889668825205288</v>
      </c>
      <c r="BQ67" s="584">
        <v>0.49816651435954501</v>
      </c>
      <c r="BR67" s="584">
        <v>0.53545011606847259</v>
      </c>
      <c r="BS67" s="584">
        <v>0.58762598670717792</v>
      </c>
      <c r="BT67" s="584">
        <v>0.64237418200438468</v>
      </c>
      <c r="BU67" s="584">
        <v>0.68755159487208273</v>
      </c>
      <c r="BV67" s="584">
        <v>0.72884559067636134</v>
      </c>
      <c r="BW67" s="584">
        <v>0.77332100985731334</v>
      </c>
      <c r="BX67" s="584">
        <v>0.78842139995279148</v>
      </c>
      <c r="BY67" s="584">
        <v>0.80105930624450628</v>
      </c>
      <c r="BZ67" s="584">
        <v>0.81022663967133246</v>
      </c>
      <c r="CA67" s="584">
        <v>0.81404831040708769</v>
      </c>
      <c r="CB67" s="584">
        <v>0.41840434026088852</v>
      </c>
      <c r="CC67" s="584">
        <v>0.4367911868810484</v>
      </c>
      <c r="CD67" s="502">
        <v>0.4405999154747805</v>
      </c>
      <c r="CE67" s="584">
        <v>0.45627845525570598</v>
      </c>
      <c r="CF67" s="584">
        <v>0.47678916342684263</v>
      </c>
      <c r="CG67" s="584">
        <v>0.47678916342684263</v>
      </c>
      <c r="CH67" s="584">
        <v>0.49891630722194752</v>
      </c>
      <c r="CI67" s="584">
        <v>0.54756835250822689</v>
      </c>
      <c r="CJ67" s="584">
        <v>0.60308223756464774</v>
      </c>
      <c r="CK67" s="584">
        <v>0.66613037499039662</v>
      </c>
      <c r="CL67" s="584">
        <v>0.73824970672332957</v>
      </c>
      <c r="CM67" s="502">
        <v>0.80119185075059873</v>
      </c>
      <c r="CN67" s="584">
        <v>0.81731306162725292</v>
      </c>
      <c r="CO67" s="584">
        <v>0.83405871115435926</v>
      </c>
      <c r="CP67" s="384">
        <v>0.83480755320854616</v>
      </c>
      <c r="CQ67" s="384">
        <v>0.83509239558952009</v>
      </c>
      <c r="CR67" s="384">
        <v>0.83545374653570526</v>
      </c>
      <c r="CS67" s="384">
        <v>0.83594397203811266</v>
      </c>
      <c r="CT67" s="384">
        <v>0.83601763216410774</v>
      </c>
      <c r="CU67" s="384">
        <v>0.83670455185097869</v>
      </c>
      <c r="CV67" s="610">
        <v>0.82795051920219431</v>
      </c>
      <c r="CW67" s="384">
        <v>0.8284545051753367</v>
      </c>
      <c r="CX67" s="384">
        <v>0.81939111159229661</v>
      </c>
      <c r="CY67" s="384">
        <v>0.79855629999943656</v>
      </c>
      <c r="CZ67" s="384">
        <v>0.77283151551216533</v>
      </c>
      <c r="DA67" s="384">
        <v>0.74713549370587529</v>
      </c>
      <c r="DB67" s="384">
        <v>0.72195396497111697</v>
      </c>
      <c r="DC67" s="384">
        <v>0.69881811527544524</v>
      </c>
      <c r="DD67" s="384">
        <v>0.67580221186906131</v>
      </c>
      <c r="DE67" s="384">
        <v>0.62186880098143715</v>
      </c>
      <c r="DF67" s="614">
        <v>0.82819618740809919</v>
      </c>
      <c r="DG67" s="384">
        <v>0.82870205080465209</v>
      </c>
      <c r="DH67" s="384">
        <v>0.81892882858357063</v>
      </c>
      <c r="DI67" s="384">
        <v>0.79883192755034704</v>
      </c>
      <c r="DJ67" s="384">
        <v>0.77308000440044278</v>
      </c>
      <c r="DK67" s="384">
        <v>0.7472900875503472</v>
      </c>
      <c r="DL67" s="384">
        <v>0.72213857706176365</v>
      </c>
      <c r="DM67" s="384">
        <v>0.69890208835108836</v>
      </c>
      <c r="DN67" s="384">
        <v>0.67592795700913144</v>
      </c>
      <c r="DO67" s="384">
        <v>0.65392577348984937</v>
      </c>
      <c r="DP67" s="384">
        <v>0.62194754188144163</v>
      </c>
      <c r="DQ67" s="697"/>
    </row>
    <row r="68" spans="1:121" s="384" customFormat="1" ht="19.5" customHeight="1" x14ac:dyDescent="0.2">
      <c r="A68" s="877"/>
      <c r="B68" s="424" t="s">
        <v>271</v>
      </c>
      <c r="C68" s="501" t="e">
        <f ca="1">IF($C$18&gt;$J$680,"--",    (  INDEX($BW$85:$BW$680,$P$83)   - INDEX($BW$85:$BW$680,$M$83)   )/($P$83-$M$83)  )</f>
        <v>#NAME?</v>
      </c>
      <c r="D68" s="500" t="s">
        <v>272</v>
      </c>
      <c r="E68" s="871"/>
      <c r="R68" s="385"/>
      <c r="T68" s="385"/>
      <c r="X68" s="459"/>
      <c r="AK68" s="554">
        <v>395.63955454469703</v>
      </c>
      <c r="AL68" s="554">
        <v>419.71258048182608</v>
      </c>
      <c r="AM68" s="579">
        <v>430.1971954915162</v>
      </c>
      <c r="AN68" s="579">
        <v>440.88283424155208</v>
      </c>
      <c r="AO68" s="579">
        <v>452.61900897035355</v>
      </c>
      <c r="AP68" s="579">
        <v>464.57979534325455</v>
      </c>
      <c r="AQ68" s="579">
        <v>475.79601222470865</v>
      </c>
      <c r="AR68" s="579">
        <v>480.52778105598094</v>
      </c>
      <c r="AS68" s="579">
        <v>485.46354635593184</v>
      </c>
      <c r="AT68" s="579">
        <v>488.28238336020269</v>
      </c>
      <c r="AU68" s="501">
        <v>489.76217352484719</v>
      </c>
      <c r="AV68" s="501">
        <v>489.52999266356665</v>
      </c>
      <c r="AW68" s="579">
        <v>489.38774318717304</v>
      </c>
      <c r="AX68" s="579">
        <v>368.73139182664505</v>
      </c>
      <c r="AY68" s="579">
        <v>389.03481859429235</v>
      </c>
      <c r="AZ68" s="579">
        <v>400.17084327732277</v>
      </c>
      <c r="BA68" s="501">
        <v>407.04493760795697</v>
      </c>
      <c r="BB68" s="579">
        <v>413.57565668225061</v>
      </c>
      <c r="BC68" s="579">
        <v>424.01553474274772</v>
      </c>
      <c r="BD68" s="579">
        <v>438.93334232166558</v>
      </c>
      <c r="BE68" s="579">
        <v>455.82057115257174</v>
      </c>
      <c r="BF68" s="579">
        <v>469.85404250619183</v>
      </c>
      <c r="BG68" s="579">
        <v>477.66053856628741</v>
      </c>
      <c r="BH68" s="579">
        <v>479.14466471108125</v>
      </c>
      <c r="BI68" s="500">
        <v>227.91699793274765</v>
      </c>
      <c r="BJ68" s="579">
        <v>235.72946601422859</v>
      </c>
      <c r="BK68" s="579">
        <v>243.98946169601868</v>
      </c>
      <c r="BL68" s="579">
        <v>252.76713161222051</v>
      </c>
      <c r="BM68" s="579">
        <v>262.0298288155339</v>
      </c>
      <c r="BN68" s="579">
        <v>271.88402879537534</v>
      </c>
      <c r="BO68" s="579">
        <v>281.6864061847171</v>
      </c>
      <c r="BP68" s="579">
        <v>293.56324348407418</v>
      </c>
      <c r="BQ68" s="579">
        <v>308.96454961499825</v>
      </c>
      <c r="BR68" s="579">
        <v>328.89564919394888</v>
      </c>
      <c r="BS68" s="579">
        <v>357.42914866108805</v>
      </c>
      <c r="BT68" s="579">
        <v>386.79621556146492</v>
      </c>
      <c r="BU68" s="579">
        <v>409.71204691324709</v>
      </c>
      <c r="BV68" s="579">
        <v>429.72926418777786</v>
      </c>
      <c r="BW68" s="579">
        <v>453.77735117631772</v>
      </c>
      <c r="BX68" s="579">
        <v>462.61567303660706</v>
      </c>
      <c r="BY68" s="579">
        <v>470.01612145657361</v>
      </c>
      <c r="BZ68" s="579">
        <v>475.39109065840046</v>
      </c>
      <c r="CA68" s="579">
        <v>477.62978014846675</v>
      </c>
      <c r="CB68" s="579">
        <v>275.9149716020454</v>
      </c>
      <c r="CC68" s="579">
        <v>285.70170739624388</v>
      </c>
      <c r="CD68" s="501">
        <v>287.71773225080614</v>
      </c>
      <c r="CE68" s="579">
        <v>295.97904416289578</v>
      </c>
      <c r="CF68" s="579">
        <v>306.66654635256896</v>
      </c>
      <c r="CG68" s="579">
        <v>306.66654635256896</v>
      </c>
      <c r="CH68" s="579">
        <v>318.10931703063125</v>
      </c>
      <c r="CI68" s="579">
        <v>342.8417033211166</v>
      </c>
      <c r="CJ68" s="579">
        <v>370.44791439731233</v>
      </c>
      <c r="CK68" s="579">
        <v>401.07067645721355</v>
      </c>
      <c r="CL68" s="579">
        <v>435.22602198363546</v>
      </c>
      <c r="CM68" s="501">
        <v>470.09175969920869</v>
      </c>
      <c r="CN68" s="579">
        <v>479.54706400815763</v>
      </c>
      <c r="CO68" s="579">
        <v>489.36567336984979</v>
      </c>
      <c r="CP68" s="384">
        <v>489.80920721225237</v>
      </c>
      <c r="CQ68" s="384">
        <v>489.98229759675604</v>
      </c>
      <c r="CR68" s="384">
        <v>490.2033724536322</v>
      </c>
      <c r="CS68" s="384">
        <v>492.79174078219864</v>
      </c>
      <c r="CT68" s="384">
        <v>498.0831477809715</v>
      </c>
      <c r="CU68" s="384">
        <v>503.63158273487539</v>
      </c>
      <c r="CV68" s="610">
        <v>486.51984328227081</v>
      </c>
      <c r="CW68" s="384">
        <v>486.82333127622633</v>
      </c>
      <c r="CX68" s="384">
        <v>481.52883793317733</v>
      </c>
      <c r="CY68" s="384">
        <v>471.42540331990978</v>
      </c>
      <c r="CZ68" s="384">
        <v>459.99615264058775</v>
      </c>
      <c r="DA68" s="384">
        <v>448.32845933950244</v>
      </c>
      <c r="DB68" s="384">
        <v>436.71690418729173</v>
      </c>
      <c r="DC68" s="384">
        <v>426.07744478823122</v>
      </c>
      <c r="DD68" s="384">
        <v>415.30536832492112</v>
      </c>
      <c r="DE68" s="384">
        <v>389.63764938658284</v>
      </c>
      <c r="DF68" s="614">
        <v>486.64758443073737</v>
      </c>
      <c r="DG68" s="384">
        <v>486.9520114541283</v>
      </c>
      <c r="DH68" s="384">
        <v>481.25110646161602</v>
      </c>
      <c r="DI68" s="384">
        <v>471.57297233368325</v>
      </c>
      <c r="DJ68" s="384">
        <v>460.13301716919682</v>
      </c>
      <c r="DK68" s="384">
        <v>448.41218675907339</v>
      </c>
      <c r="DL68" s="384">
        <v>436.82333189385628</v>
      </c>
      <c r="DM68" s="384">
        <v>426.12534840530014</v>
      </c>
      <c r="DN68" s="384">
        <v>415.38116851763647</v>
      </c>
      <c r="DO68" s="384">
        <v>405.01162958295129</v>
      </c>
      <c r="DP68" s="384">
        <v>389.68691427448073</v>
      </c>
      <c r="DQ68" s="697"/>
    </row>
    <row r="69" spans="1:121" s="384" customFormat="1" ht="38.25" customHeight="1" x14ac:dyDescent="0.2">
      <c r="A69" s="877"/>
      <c r="B69" s="424" t="s">
        <v>319</v>
      </c>
      <c r="C69" s="503" t="e">
        <f ca="1">INDEX($O$85:$O$680,$P$83)</f>
        <v>#NAME?</v>
      </c>
      <c r="D69" s="500" t="s">
        <v>51</v>
      </c>
      <c r="E69" s="504"/>
      <c r="R69" s="385"/>
      <c r="T69" s="385"/>
      <c r="X69" s="459"/>
      <c r="AK69" s="560">
        <v>0</v>
      </c>
      <c r="AL69" s="560">
        <v>0</v>
      </c>
      <c r="AM69" s="585">
        <v>0</v>
      </c>
      <c r="AN69" s="585">
        <v>0</v>
      </c>
      <c r="AO69" s="585">
        <v>0</v>
      </c>
      <c r="AP69" s="585">
        <v>0</v>
      </c>
      <c r="AQ69" s="585">
        <v>0</v>
      </c>
      <c r="AR69" s="585">
        <v>0</v>
      </c>
      <c r="AS69" s="585">
        <v>0</v>
      </c>
      <c r="AT69" s="585">
        <v>0</v>
      </c>
      <c r="AU69" s="503">
        <v>0</v>
      </c>
      <c r="AV69" s="503">
        <v>0</v>
      </c>
      <c r="AW69" s="585">
        <v>0</v>
      </c>
      <c r="AX69" s="585">
        <v>0</v>
      </c>
      <c r="AY69" s="585">
        <v>0</v>
      </c>
      <c r="AZ69" s="585">
        <v>0</v>
      </c>
      <c r="BA69" s="503">
        <v>0</v>
      </c>
      <c r="BB69" s="585">
        <v>0</v>
      </c>
      <c r="BC69" s="585">
        <v>0</v>
      </c>
      <c r="BD69" s="585">
        <v>0</v>
      </c>
      <c r="BE69" s="585">
        <v>0</v>
      </c>
      <c r="BF69" s="585">
        <v>0</v>
      </c>
      <c r="BG69" s="585">
        <v>0</v>
      </c>
      <c r="BH69" s="585">
        <v>0</v>
      </c>
      <c r="BI69" s="500">
        <v>0</v>
      </c>
      <c r="BJ69" s="585">
        <v>0</v>
      </c>
      <c r="BK69" s="585">
        <v>0</v>
      </c>
      <c r="BL69" s="585">
        <v>0</v>
      </c>
      <c r="BM69" s="585">
        <v>0</v>
      </c>
      <c r="BN69" s="585">
        <v>0</v>
      </c>
      <c r="BO69" s="585">
        <v>0</v>
      </c>
      <c r="BP69" s="585">
        <v>0</v>
      </c>
      <c r="BQ69" s="585">
        <v>0</v>
      </c>
      <c r="BR69" s="585">
        <v>0</v>
      </c>
      <c r="BS69" s="585">
        <v>0</v>
      </c>
      <c r="BT69" s="585">
        <v>0</v>
      </c>
      <c r="BU69" s="585">
        <v>0</v>
      </c>
      <c r="BV69" s="585">
        <v>0</v>
      </c>
      <c r="BW69" s="585">
        <v>0</v>
      </c>
      <c r="BX69" s="585">
        <v>0</v>
      </c>
      <c r="BY69" s="585">
        <v>0</v>
      </c>
      <c r="BZ69" s="585">
        <v>0</v>
      </c>
      <c r="CA69" s="585">
        <v>0</v>
      </c>
      <c r="CB69" s="585">
        <v>0</v>
      </c>
      <c r="CC69" s="585">
        <v>0</v>
      </c>
      <c r="CD69" s="503">
        <v>0</v>
      </c>
      <c r="CE69" s="585">
        <v>0</v>
      </c>
      <c r="CF69" s="585">
        <v>0</v>
      </c>
      <c r="CG69" s="585">
        <v>0</v>
      </c>
      <c r="CH69" s="585">
        <v>0</v>
      </c>
      <c r="CI69" s="585">
        <v>0</v>
      </c>
      <c r="CJ69" s="585">
        <v>0</v>
      </c>
      <c r="CK69" s="585">
        <v>0</v>
      </c>
      <c r="CL69" s="585">
        <v>0</v>
      </c>
      <c r="CM69" s="503">
        <v>0</v>
      </c>
      <c r="CN69" s="585">
        <v>0</v>
      </c>
      <c r="CO69" s="585">
        <v>0</v>
      </c>
      <c r="CP69" s="384">
        <v>0</v>
      </c>
      <c r="CQ69" s="384">
        <v>0</v>
      </c>
      <c r="CR69" s="384">
        <v>0</v>
      </c>
      <c r="CS69" s="384">
        <v>0</v>
      </c>
      <c r="CT69" s="384">
        <v>0</v>
      </c>
      <c r="CU69" s="384">
        <v>0</v>
      </c>
      <c r="CV69" s="610">
        <v>0</v>
      </c>
      <c r="CW69" s="384">
        <v>0</v>
      </c>
      <c r="CX69" s="384">
        <v>0</v>
      </c>
      <c r="CY69" s="384">
        <v>0</v>
      </c>
      <c r="CZ69" s="384">
        <v>0</v>
      </c>
      <c r="DA69" s="384">
        <v>0</v>
      </c>
      <c r="DB69" s="384">
        <v>0</v>
      </c>
      <c r="DC69" s="384">
        <v>0</v>
      </c>
      <c r="DD69" s="384">
        <v>0</v>
      </c>
      <c r="DE69" s="384">
        <v>0</v>
      </c>
      <c r="DF69" s="614">
        <v>0</v>
      </c>
      <c r="DG69" s="384">
        <v>0</v>
      </c>
      <c r="DH69" s="384">
        <v>0</v>
      </c>
      <c r="DI69" s="384">
        <v>0</v>
      </c>
      <c r="DJ69" s="384">
        <v>0</v>
      </c>
      <c r="DK69" s="384">
        <v>0</v>
      </c>
      <c r="DL69" s="384">
        <v>0</v>
      </c>
      <c r="DM69" s="384">
        <v>0</v>
      </c>
      <c r="DN69" s="384">
        <v>0</v>
      </c>
      <c r="DO69" s="384">
        <v>0</v>
      </c>
      <c r="DP69" s="384">
        <v>0</v>
      </c>
      <c r="DQ69" s="697"/>
    </row>
    <row r="70" spans="1:121" s="384" customFormat="1" ht="23.25" customHeight="1" x14ac:dyDescent="0.2">
      <c r="A70" s="877"/>
      <c r="B70" s="424" t="s">
        <v>388</v>
      </c>
      <c r="C70" s="369" t="e">
        <f ca="1">C69+C24</f>
        <v>#NAME?</v>
      </c>
      <c r="D70" s="500" t="s">
        <v>51</v>
      </c>
      <c r="E70" s="504"/>
      <c r="R70" s="385"/>
      <c r="T70" s="385"/>
      <c r="X70" s="459"/>
      <c r="AK70" s="560"/>
      <c r="AL70" s="560"/>
      <c r="AM70" s="585"/>
      <c r="AN70" s="585"/>
      <c r="AO70" s="585"/>
      <c r="AP70" s="585"/>
      <c r="AQ70" s="585"/>
      <c r="AR70" s="585"/>
      <c r="AS70" s="585"/>
      <c r="AT70" s="585"/>
      <c r="AU70" s="503"/>
      <c r="AV70" s="503"/>
      <c r="AW70" s="585"/>
      <c r="AX70" s="585"/>
      <c r="AY70" s="585"/>
      <c r="AZ70" s="585"/>
      <c r="BA70" s="503"/>
      <c r="BB70" s="585"/>
      <c r="BC70" s="585"/>
      <c r="BD70" s="585"/>
      <c r="BE70" s="585"/>
      <c r="BF70" s="585"/>
      <c r="BG70" s="585"/>
      <c r="BH70" s="585"/>
      <c r="BI70" s="500"/>
      <c r="BJ70" s="585"/>
      <c r="BK70" s="585"/>
      <c r="BL70" s="585"/>
      <c r="BM70" s="585"/>
      <c r="BN70" s="585"/>
      <c r="BO70" s="585"/>
      <c r="BP70" s="585"/>
      <c r="BQ70" s="585"/>
      <c r="BR70" s="585"/>
      <c r="BS70" s="585"/>
      <c r="BT70" s="585"/>
      <c r="BU70" s="585"/>
      <c r="BV70" s="585"/>
      <c r="BW70" s="585"/>
      <c r="BX70" s="585"/>
      <c r="BY70" s="585"/>
      <c r="BZ70" s="585"/>
      <c r="CA70" s="585"/>
      <c r="CB70" s="585"/>
      <c r="CC70" s="585"/>
      <c r="CD70" s="503"/>
      <c r="CE70" s="585"/>
      <c r="CF70" s="585"/>
      <c r="CG70" s="585"/>
      <c r="CH70" s="585"/>
      <c r="CI70" s="585"/>
      <c r="CJ70" s="585"/>
      <c r="CK70" s="585"/>
      <c r="CL70" s="585"/>
      <c r="CM70" s="503"/>
      <c r="CN70" s="585"/>
      <c r="CO70" s="585"/>
      <c r="CV70" s="610"/>
      <c r="DF70" s="614"/>
      <c r="DQ70" s="697"/>
    </row>
    <row r="71" spans="1:121" s="384" customFormat="1" ht="23.25" customHeight="1" x14ac:dyDescent="0.2">
      <c r="A71" s="877"/>
      <c r="B71" s="424" t="s">
        <v>397</v>
      </c>
      <c r="C71" s="426" t="e">
        <f ca="1">1000*(C63-C70)/(24*(E1-C18))</f>
        <v>#NAME?</v>
      </c>
      <c r="D71" s="500" t="s">
        <v>398</v>
      </c>
      <c r="E71" s="504"/>
      <c r="R71" s="385"/>
      <c r="T71" s="385"/>
      <c r="X71" s="459"/>
      <c r="AK71" s="560"/>
      <c r="AL71" s="560"/>
      <c r="AM71" s="585"/>
      <c r="AN71" s="585"/>
      <c r="AO71" s="585"/>
      <c r="AP71" s="585"/>
      <c r="AQ71" s="585"/>
      <c r="AR71" s="585"/>
      <c r="AS71" s="585"/>
      <c r="AT71" s="585"/>
      <c r="AU71" s="503"/>
      <c r="AV71" s="503"/>
      <c r="AW71" s="585"/>
      <c r="AX71" s="585"/>
      <c r="AY71" s="585"/>
      <c r="AZ71" s="585"/>
      <c r="BA71" s="503"/>
      <c r="BB71" s="585"/>
      <c r="BC71" s="585"/>
      <c r="BD71" s="585"/>
      <c r="BE71" s="585"/>
      <c r="BF71" s="585"/>
      <c r="BG71" s="585"/>
      <c r="BH71" s="585"/>
      <c r="BI71" s="500"/>
      <c r="BJ71" s="585"/>
      <c r="BK71" s="585"/>
      <c r="BL71" s="585"/>
      <c r="BM71" s="585"/>
      <c r="BN71" s="585"/>
      <c r="BO71" s="585"/>
      <c r="BP71" s="585"/>
      <c r="BQ71" s="585"/>
      <c r="BR71" s="585"/>
      <c r="BS71" s="585"/>
      <c r="BT71" s="585"/>
      <c r="BU71" s="585"/>
      <c r="BV71" s="585"/>
      <c r="BW71" s="585"/>
      <c r="BX71" s="585"/>
      <c r="BY71" s="585"/>
      <c r="BZ71" s="585"/>
      <c r="CA71" s="585"/>
      <c r="CB71" s="585"/>
      <c r="CC71" s="585"/>
      <c r="CD71" s="503"/>
      <c r="CE71" s="585"/>
      <c r="CF71" s="585"/>
      <c r="CG71" s="585"/>
      <c r="CH71" s="585"/>
      <c r="CI71" s="585"/>
      <c r="CJ71" s="585"/>
      <c r="CK71" s="585"/>
      <c r="CL71" s="585"/>
      <c r="CM71" s="503"/>
      <c r="CN71" s="585"/>
      <c r="CO71" s="585"/>
      <c r="CV71" s="610"/>
      <c r="DF71" s="614"/>
      <c r="DQ71" s="697"/>
    </row>
    <row r="72" spans="1:121" s="384" customFormat="1" ht="23.25" customHeight="1" x14ac:dyDescent="0.2">
      <c r="A72" s="877"/>
      <c r="B72" s="424" t="s">
        <v>394</v>
      </c>
      <c r="C72" s="704" t="e">
        <f ca="1">$C$73/($C$63-$C$70)</f>
        <v>#NAME?</v>
      </c>
      <c r="D72" s="702" t="s">
        <v>395</v>
      </c>
      <c r="E72" s="504"/>
      <c r="R72" s="385"/>
      <c r="T72" s="385"/>
      <c r="X72" s="459"/>
      <c r="AK72" s="560"/>
      <c r="AL72" s="560"/>
      <c r="AM72" s="585"/>
      <c r="AN72" s="585"/>
      <c r="AO72" s="585"/>
      <c r="AP72" s="585"/>
      <c r="AQ72" s="585"/>
      <c r="AR72" s="585"/>
      <c r="AS72" s="585"/>
      <c r="AT72" s="585"/>
      <c r="AU72" s="503"/>
      <c r="AV72" s="503"/>
      <c r="AW72" s="585"/>
      <c r="AX72" s="585"/>
      <c r="AY72" s="585"/>
      <c r="AZ72" s="585"/>
      <c r="BA72" s="503"/>
      <c r="BB72" s="585"/>
      <c r="BC72" s="585"/>
      <c r="BD72" s="585"/>
      <c r="BE72" s="585"/>
      <c r="BF72" s="585"/>
      <c r="BG72" s="585"/>
      <c r="BH72" s="585"/>
      <c r="BI72" s="500"/>
      <c r="BJ72" s="585"/>
      <c r="BK72" s="585"/>
      <c r="BL72" s="585"/>
      <c r="BM72" s="585"/>
      <c r="BN72" s="585"/>
      <c r="BO72" s="585"/>
      <c r="BP72" s="585"/>
      <c r="BQ72" s="585"/>
      <c r="BR72" s="585"/>
      <c r="BS72" s="585"/>
      <c r="BT72" s="585"/>
      <c r="BU72" s="585"/>
      <c r="BV72" s="585"/>
      <c r="BW72" s="585"/>
      <c r="BX72" s="585"/>
      <c r="BY72" s="585"/>
      <c r="BZ72" s="585"/>
      <c r="CA72" s="585"/>
      <c r="CB72" s="585"/>
      <c r="CC72" s="585"/>
      <c r="CD72" s="503"/>
      <c r="CE72" s="585"/>
      <c r="CF72" s="585"/>
      <c r="CG72" s="585"/>
      <c r="CH72" s="585"/>
      <c r="CI72" s="585"/>
      <c r="CJ72" s="585"/>
      <c r="CK72" s="585"/>
      <c r="CL72" s="585"/>
      <c r="CM72" s="503"/>
      <c r="CN72" s="585"/>
      <c r="CO72" s="585"/>
      <c r="CV72" s="610"/>
      <c r="DF72" s="614"/>
      <c r="DQ72" s="697"/>
    </row>
    <row r="73" spans="1:121" s="384" customFormat="1" ht="21.75" customHeight="1" x14ac:dyDescent="0.2">
      <c r="A73" s="878"/>
      <c r="B73" s="424" t="s">
        <v>269</v>
      </c>
      <c r="C73" s="754" t="e">
        <f ca="1">IF($C$18&gt;$J$680,0,INDEX($AN$85:$AN$680,$P$83)-$C$66-$C$59)</f>
        <v>#NAME?</v>
      </c>
      <c r="D73" s="425" t="s">
        <v>261</v>
      </c>
      <c r="E73" s="478" t="s">
        <v>273</v>
      </c>
      <c r="R73" s="385"/>
      <c r="T73" s="385"/>
      <c r="X73" s="459"/>
      <c r="AK73" s="545">
        <v>2174.128307008963</v>
      </c>
      <c r="AL73" s="545">
        <v>2341.6842339664213</v>
      </c>
      <c r="AM73" s="586">
        <v>2407.4701542187468</v>
      </c>
      <c r="AN73" s="586">
        <v>2474.6189276374134</v>
      </c>
      <c r="AO73" s="586">
        <v>2540.6156660881084</v>
      </c>
      <c r="AP73" s="586">
        <v>2607.8524814771858</v>
      </c>
      <c r="AQ73" s="586">
        <v>2670.8836348834716</v>
      </c>
      <c r="AR73" s="586">
        <v>2697.5029873557692</v>
      </c>
      <c r="AS73" s="586">
        <v>2725.2690645315811</v>
      </c>
      <c r="AT73" s="586">
        <v>2749.2572529918566</v>
      </c>
      <c r="AU73" s="426">
        <v>2757.6382924571867</v>
      </c>
      <c r="AV73" s="426">
        <v>2756.3212835185777</v>
      </c>
      <c r="AW73" s="586">
        <v>2739.2527047678464</v>
      </c>
      <c r="AX73" s="586">
        <v>2192.2477255207386</v>
      </c>
      <c r="AY73" s="586">
        <v>2280.7040457025851</v>
      </c>
      <c r="AZ73" s="586">
        <v>2352.7785099725388</v>
      </c>
      <c r="BA73" s="426">
        <v>2427.1415097517643</v>
      </c>
      <c r="BB73" s="586">
        <v>2493.6798440071966</v>
      </c>
      <c r="BC73" s="586">
        <v>2556.7361368866414</v>
      </c>
      <c r="BD73" s="586">
        <v>2624.8491653879687</v>
      </c>
      <c r="BE73" s="586">
        <v>2680.3914489170543</v>
      </c>
      <c r="BF73" s="586">
        <v>2747.3531184241738</v>
      </c>
      <c r="BG73" s="586">
        <v>2785.1218610864357</v>
      </c>
      <c r="BH73" s="586">
        <v>2785.8115136646711</v>
      </c>
      <c r="BI73" s="425">
        <v>1249.8451668764483</v>
      </c>
      <c r="BJ73" s="586">
        <v>1333.8651394047392</v>
      </c>
      <c r="BK73" s="586">
        <v>1429.5081070771271</v>
      </c>
      <c r="BL73" s="586">
        <v>1527.4111345685669</v>
      </c>
      <c r="BM73" s="586">
        <v>1640.293824723246</v>
      </c>
      <c r="BN73" s="586">
        <v>1751.9662036811055</v>
      </c>
      <c r="BO73" s="586">
        <v>1848.1329235281028</v>
      </c>
      <c r="BP73" s="586">
        <v>1940.8845282627922</v>
      </c>
      <c r="BQ73" s="586">
        <v>2042.8765575996122</v>
      </c>
      <c r="BR73" s="586">
        <v>2158.4007328465341</v>
      </c>
      <c r="BS73" s="586">
        <v>2304.0706453369539</v>
      </c>
      <c r="BT73" s="586">
        <v>2448.3620016955447</v>
      </c>
      <c r="BU73" s="586">
        <v>2566.2387992601625</v>
      </c>
      <c r="BV73" s="586">
        <v>2655.9446194265788</v>
      </c>
      <c r="BW73" s="586">
        <v>2736.679405943345</v>
      </c>
      <c r="BX73" s="586">
        <v>2759.2061460423115</v>
      </c>
      <c r="BY73" s="586">
        <v>2779.9055518965074</v>
      </c>
      <c r="BZ73" s="586">
        <v>2780.0326685977229</v>
      </c>
      <c r="CA73" s="586">
        <v>2769.2701799947267</v>
      </c>
      <c r="CB73" s="586">
        <v>1653.6722756653553</v>
      </c>
      <c r="CC73" s="586">
        <v>1683.8609528272445</v>
      </c>
      <c r="CD73" s="426">
        <v>1690.9732773662636</v>
      </c>
      <c r="CE73" s="586">
        <v>1744.563962937988</v>
      </c>
      <c r="CF73" s="586">
        <v>1838.357122990275</v>
      </c>
      <c r="CG73" s="586">
        <v>1838.357122990275</v>
      </c>
      <c r="CH73" s="586">
        <v>1938.8986659000825</v>
      </c>
      <c r="CI73" s="586">
        <v>2118.4965468076798</v>
      </c>
      <c r="CJ73" s="586">
        <v>2301.7214517051621</v>
      </c>
      <c r="CK73" s="586">
        <v>2492.1233022418255</v>
      </c>
      <c r="CL73" s="586">
        <v>2661.1097916135832</v>
      </c>
      <c r="CM73" s="426">
        <v>2780.4751661809901</v>
      </c>
      <c r="CN73" s="586">
        <v>2788.4823380868911</v>
      </c>
      <c r="CO73" s="586">
        <v>2723.2981822708275</v>
      </c>
      <c r="CP73" s="384">
        <v>2733.367453170883</v>
      </c>
      <c r="CQ73" s="384">
        <v>2758.7963613784041</v>
      </c>
      <c r="CR73" s="384">
        <v>2710.9854231763957</v>
      </c>
      <c r="CS73" s="384">
        <v>2618.5008219416932</v>
      </c>
      <c r="CT73" s="384">
        <v>2472.3263958904781</v>
      </c>
      <c r="CU73" s="384">
        <v>2315.3779984174316</v>
      </c>
      <c r="CV73" s="610">
        <v>2294.0942070741503</v>
      </c>
      <c r="CW73" s="384">
        <v>2295.4890307931846</v>
      </c>
      <c r="CX73" s="384">
        <v>2262.4286207914674</v>
      </c>
      <c r="CY73" s="384">
        <v>2214.8818035671347</v>
      </c>
      <c r="CZ73" s="384">
        <v>2168.7720875937812</v>
      </c>
      <c r="DA73" s="384">
        <v>2106.2102612733834</v>
      </c>
      <c r="DB73" s="384">
        <v>2058.8360100705177</v>
      </c>
      <c r="DC73" s="384">
        <v>1994.4894958975713</v>
      </c>
      <c r="DD73" s="384">
        <v>1937.0416484656232</v>
      </c>
      <c r="DE73" s="384">
        <v>1784.6109200413987</v>
      </c>
      <c r="DF73" s="614">
        <v>2343.3608334387645</v>
      </c>
      <c r="DG73" s="384">
        <v>2344.790528948969</v>
      </c>
      <c r="DH73" s="384">
        <v>2317.2423689827092</v>
      </c>
      <c r="DI73" s="384">
        <v>2262.7320306698475</v>
      </c>
      <c r="DJ73" s="384">
        <v>2215.4302891752477</v>
      </c>
      <c r="DK73" s="384">
        <v>2158.917890771866</v>
      </c>
      <c r="DL73" s="384">
        <v>2103.0196827804702</v>
      </c>
      <c r="DM73" s="384">
        <v>2044.4278239894027</v>
      </c>
      <c r="DN73" s="384">
        <v>1978.932855054665</v>
      </c>
      <c r="DO73" s="384">
        <v>1915.9307264050187</v>
      </c>
      <c r="DP73" s="384">
        <v>1823.8047643763164</v>
      </c>
      <c r="DQ73" s="697"/>
    </row>
    <row r="74" spans="1:121" s="384" customFormat="1" ht="51.5" customHeight="1" x14ac:dyDescent="0.2">
      <c r="A74" s="861" t="s">
        <v>320</v>
      </c>
      <c r="B74" s="862"/>
      <c r="C74" s="818" t="e">
        <f ca="1">0.0000000000006648*C73^4-0.000000004987*C73^3+0.000016686*C73^2-0.04722*C73+31.111</f>
        <v>#NAME?</v>
      </c>
      <c r="D74" s="410" t="s">
        <v>321</v>
      </c>
      <c r="E74" s="474" t="s">
        <v>352</v>
      </c>
      <c r="R74" s="385"/>
      <c r="T74" s="385"/>
      <c r="X74" s="459"/>
      <c r="AK74" s="561">
        <v>-29.075908560856984</v>
      </c>
      <c r="AL74" s="561">
        <v>-32.012311937787416</v>
      </c>
      <c r="AM74" s="587">
        <v>-33.112819032113379</v>
      </c>
      <c r="AN74" s="587">
        <v>-34.202280839745072</v>
      </c>
      <c r="AO74" s="587">
        <v>-35.237105608677027</v>
      </c>
      <c r="AP74" s="587">
        <v>-36.251711268269915</v>
      </c>
      <c r="AQ74" s="587">
        <v>-37.163506820341937</v>
      </c>
      <c r="AR74" s="587">
        <v>-37.536390578716791</v>
      </c>
      <c r="AS74" s="587">
        <v>-37.91724933931836</v>
      </c>
      <c r="AT74" s="587">
        <v>-38.239422084291206</v>
      </c>
      <c r="AU74" s="427">
        <v>-38.350445922613943</v>
      </c>
      <c r="AV74" s="427">
        <v>-38.333052868140228</v>
      </c>
      <c r="AW74" s="587">
        <v>-38.105843193456622</v>
      </c>
      <c r="AX74" s="587">
        <v>-29.40206484789503</v>
      </c>
      <c r="AY74" s="587">
        <v>-30.964885426417514</v>
      </c>
      <c r="AZ74" s="587">
        <v>-32.200102296873752</v>
      </c>
      <c r="BA74" s="427">
        <v>-33.435633898370313</v>
      </c>
      <c r="BB74" s="587">
        <v>-34.504938356354316</v>
      </c>
      <c r="BC74" s="587">
        <v>-35.484132942314616</v>
      </c>
      <c r="BD74" s="587">
        <v>-36.501460088929264</v>
      </c>
      <c r="BE74" s="587">
        <v>-37.297547773959778</v>
      </c>
      <c r="BF74" s="587">
        <v>-38.214085973954781</v>
      </c>
      <c r="BG74" s="587">
        <v>-38.708797266845338</v>
      </c>
      <c r="BH74" s="587">
        <v>-38.717674950753079</v>
      </c>
      <c r="BI74" s="410">
        <v>-9.9556447408929536</v>
      </c>
      <c r="BJ74" s="587">
        <v>-11.917180793779398</v>
      </c>
      <c r="BK74" s="587">
        <v>-14.084502797608014</v>
      </c>
      <c r="BL74" s="587">
        <v>-16.237594511319752</v>
      </c>
      <c r="BM74" s="587">
        <v>-18.645553298381582</v>
      </c>
      <c r="BN74" s="587">
        <v>-20.955302610413174</v>
      </c>
      <c r="BO74" s="587">
        <v>-22.889771484807017</v>
      </c>
      <c r="BP74" s="587">
        <v>-24.708820800876982</v>
      </c>
      <c r="BQ74" s="587">
        <v>-26.655816722401784</v>
      </c>
      <c r="BR74" s="587">
        <v>-28.791201196502005</v>
      </c>
      <c r="BS74" s="587">
        <v>-31.369236596366452</v>
      </c>
      <c r="BT74" s="587">
        <v>-33.780508922958063</v>
      </c>
      <c r="BU74" s="587">
        <v>-35.628655099765794</v>
      </c>
      <c r="BV74" s="587">
        <v>-36.95100872217138</v>
      </c>
      <c r="BW74" s="587">
        <v>-38.071302071863258</v>
      </c>
      <c r="BX74" s="587">
        <v>-38.371125687536605</v>
      </c>
      <c r="BY74" s="587">
        <v>-38.641466105770789</v>
      </c>
      <c r="BZ74" s="587">
        <v>-38.643110743411668</v>
      </c>
      <c r="CA74" s="587">
        <v>-38.503190690753158</v>
      </c>
      <c r="CB74" s="587">
        <v>-18.925957113541454</v>
      </c>
      <c r="CC74" s="587">
        <v>-19.554952234361412</v>
      </c>
      <c r="CD74" s="427">
        <v>-19.702393799290274</v>
      </c>
      <c r="CE74" s="587">
        <v>-20.804334962108907</v>
      </c>
      <c r="CF74" s="587">
        <v>-22.695382512254579</v>
      </c>
      <c r="CG74" s="587">
        <v>-22.695382512254579</v>
      </c>
      <c r="CH74" s="587">
        <v>-24.670354093231442</v>
      </c>
      <c r="CI74" s="587">
        <v>-28.062268691543306</v>
      </c>
      <c r="CJ74" s="587">
        <v>-31.328750553807087</v>
      </c>
      <c r="CK74" s="587">
        <v>-34.480335941562984</v>
      </c>
      <c r="CL74" s="587">
        <v>-37.024739004267516</v>
      </c>
      <c r="CM74" s="427">
        <v>-38.648834290499948</v>
      </c>
      <c r="CN74" s="587">
        <v>-38.752002078537117</v>
      </c>
      <c r="CO74" s="587">
        <v>-37.890493533377011</v>
      </c>
      <c r="CP74" s="384">
        <v>-38.026736636882802</v>
      </c>
      <c r="CQ74" s="384">
        <v>-38.365723423812653</v>
      </c>
      <c r="CR74" s="384">
        <v>-37.72237346962109</v>
      </c>
      <c r="CS74" s="384">
        <v>-36.408505661730928</v>
      </c>
      <c r="CT74" s="384">
        <v>-34.165677505533026</v>
      </c>
      <c r="CU74" s="384">
        <v>-31.563582592394983</v>
      </c>
      <c r="CV74" s="610">
        <v>-31.197045576484552</v>
      </c>
      <c r="CW74" s="384">
        <v>-31.221160241935255</v>
      </c>
      <c r="CX74" s="384">
        <v>-30.646109969480793</v>
      </c>
      <c r="CY74" s="384">
        <v>-29.806662388161325</v>
      </c>
      <c r="CZ74" s="384">
        <v>-28.979114428710258</v>
      </c>
      <c r="DA74" s="384">
        <v>-27.835967205962707</v>
      </c>
      <c r="DB74" s="384">
        <v>-26.955325729536799</v>
      </c>
      <c r="DC74" s="384">
        <v>-25.739162219213359</v>
      </c>
      <c r="DD74" s="384">
        <v>-24.634364069820503</v>
      </c>
      <c r="DE74" s="384">
        <v>-21.617543730103083</v>
      </c>
      <c r="DF74" s="614">
        <v>-32.040747270311243</v>
      </c>
      <c r="DG74" s="384">
        <v>-32.064979402097222</v>
      </c>
      <c r="DH74" s="384">
        <v>-31.595542655780196</v>
      </c>
      <c r="DI74" s="384">
        <v>-30.651420155454492</v>
      </c>
      <c r="DJ74" s="384">
        <v>-29.816427508522931</v>
      </c>
      <c r="DK74" s="384">
        <v>-28.800586526714927</v>
      </c>
      <c r="DL74" s="384">
        <v>-27.777057848437781</v>
      </c>
      <c r="DM74" s="384">
        <v>-26.684991212554447</v>
      </c>
      <c r="DN74" s="384">
        <v>-25.441742850347648</v>
      </c>
      <c r="DO74" s="384">
        <v>-24.223928353859382</v>
      </c>
      <c r="DP74" s="384">
        <v>-22.405070168658032</v>
      </c>
      <c r="DQ74" s="697"/>
    </row>
    <row r="75" spans="1:121" s="384" customFormat="1" ht="18.75" customHeight="1" x14ac:dyDescent="0.2">
      <c r="A75" s="876" t="s">
        <v>318</v>
      </c>
      <c r="B75" s="424" t="s">
        <v>268</v>
      </c>
      <c r="C75" s="502" t="e">
        <f ca="1">INDEX($BV$85:$BV$680,$P$83)/($P$83-1)</f>
        <v>#NAME?</v>
      </c>
      <c r="D75" s="425" t="s">
        <v>237</v>
      </c>
      <c r="E75" s="505"/>
      <c r="R75" s="385"/>
      <c r="T75" s="385"/>
      <c r="X75" s="459"/>
      <c r="AK75" s="559">
        <v>0.6734803794156522</v>
      </c>
      <c r="AL75" s="559">
        <v>0.71365525536415142</v>
      </c>
      <c r="AM75" s="584">
        <v>0.73159663360226612</v>
      </c>
      <c r="AN75" s="584">
        <v>0.7501868551378722</v>
      </c>
      <c r="AO75" s="584">
        <v>0.77068322649936549</v>
      </c>
      <c r="AP75" s="584">
        <v>0.7919250378666205</v>
      </c>
      <c r="AQ75" s="584">
        <v>0.81258895629047556</v>
      </c>
      <c r="AR75" s="584">
        <v>0.82186969269114252</v>
      </c>
      <c r="AS75" s="584">
        <v>0.82891389063660592</v>
      </c>
      <c r="AT75" s="584">
        <v>0.83278600051846441</v>
      </c>
      <c r="AU75" s="502">
        <v>0.83482990820579794</v>
      </c>
      <c r="AV75" s="502">
        <v>0.83450921671323852</v>
      </c>
      <c r="AW75" s="584">
        <v>0.83432586932671016</v>
      </c>
      <c r="AX75" s="584">
        <v>0.63757987699450547</v>
      </c>
      <c r="AY75" s="584">
        <v>0.66814873586345602</v>
      </c>
      <c r="AZ75" s="584">
        <v>0.68654855192241193</v>
      </c>
      <c r="BA75" s="502">
        <v>0.69936429794793054</v>
      </c>
      <c r="BB75" s="584">
        <v>0.71215523508191259</v>
      </c>
      <c r="BC75" s="584">
        <v>0.73087577700637296</v>
      </c>
      <c r="BD75" s="584">
        <v>0.7562570764240456</v>
      </c>
      <c r="BE75" s="584">
        <v>0.78489057535584872</v>
      </c>
      <c r="BF75" s="584">
        <v>0.80728612616690831</v>
      </c>
      <c r="BG75" s="584">
        <v>0.81811213130077154</v>
      </c>
      <c r="BH75" s="584">
        <v>0.82017447188076653</v>
      </c>
      <c r="BI75" s="425">
        <v>0.44114543866773631</v>
      </c>
      <c r="BJ75" s="584">
        <v>0.45050081893335253</v>
      </c>
      <c r="BK75" s="584">
        <v>0.46048258714724977</v>
      </c>
      <c r="BL75" s="584">
        <v>0.47186250811455976</v>
      </c>
      <c r="BM75" s="584">
        <v>0.48406204062629843</v>
      </c>
      <c r="BN75" s="584">
        <v>0.49795086428144358</v>
      </c>
      <c r="BO75" s="584">
        <v>0.51291030700421458</v>
      </c>
      <c r="BP75" s="584">
        <v>0.53161976180279524</v>
      </c>
      <c r="BQ75" s="584">
        <v>0.55587888699000687</v>
      </c>
      <c r="BR75" s="584">
        <v>0.58710341680347089</v>
      </c>
      <c r="BS75" s="584">
        <v>0.63092779855682679</v>
      </c>
      <c r="BT75" s="584">
        <v>0.67661486976004348</v>
      </c>
      <c r="BU75" s="584">
        <v>0.71400279550082324</v>
      </c>
      <c r="BV75" s="584">
        <v>0.74811389582429133</v>
      </c>
      <c r="BW75" s="584">
        <v>0.78476595999058874</v>
      </c>
      <c r="BX75" s="584">
        <v>0.79715623147857573</v>
      </c>
      <c r="BY75" s="584">
        <v>0.80748268737820061</v>
      </c>
      <c r="BZ75" s="584">
        <v>0.81497328219887211</v>
      </c>
      <c r="CA75" s="584">
        <v>0.81809928532358245</v>
      </c>
      <c r="CB75" s="584">
        <v>0.49574534651899049</v>
      </c>
      <c r="CC75" s="584">
        <v>0.51173844225542442</v>
      </c>
      <c r="CD75" s="502">
        <v>0.51500149616108382</v>
      </c>
      <c r="CE75" s="584">
        <v>0.52756067391741712</v>
      </c>
      <c r="CF75" s="584">
        <v>0.54329859615641918</v>
      </c>
      <c r="CG75" s="584">
        <v>0.54329859615641918</v>
      </c>
      <c r="CH75" s="584">
        <v>0.56048493105068464</v>
      </c>
      <c r="CI75" s="584">
        <v>0.59965063895811499</v>
      </c>
      <c r="CJ75" s="584">
        <v>0.64493089072326937</v>
      </c>
      <c r="CK75" s="584">
        <v>0.6966165066788832</v>
      </c>
      <c r="CL75" s="584">
        <v>0.7559722116591</v>
      </c>
      <c r="CM75" s="502">
        <v>0.80759036083280666</v>
      </c>
      <c r="CN75" s="584">
        <v>0.82073350156701907</v>
      </c>
      <c r="CO75" s="584">
        <v>0.83430165911786047</v>
      </c>
      <c r="CP75" s="384">
        <v>0.83490266425020843</v>
      </c>
      <c r="CQ75" s="384">
        <v>0.83513121518269462</v>
      </c>
      <c r="CR75" s="384">
        <v>0.83542155680514041</v>
      </c>
      <c r="CS75" s="384">
        <v>0.83581049313623912</v>
      </c>
      <c r="CT75" s="384">
        <v>0.8358608817167843</v>
      </c>
      <c r="CU75" s="384">
        <v>0.83638082954844706</v>
      </c>
      <c r="CV75" s="610">
        <v>0.7847567512278627</v>
      </c>
      <c r="CW75" s="384">
        <v>0.78509234659350813</v>
      </c>
      <c r="CX75" s="384">
        <v>0.77896206558171777</v>
      </c>
      <c r="CY75" s="384">
        <v>0.76510495032420223</v>
      </c>
      <c r="CZ75" s="384">
        <v>0.74805397935897289</v>
      </c>
      <c r="DA75" s="384">
        <v>0.73090526311952242</v>
      </c>
      <c r="DB75" s="384">
        <v>0.71417551629281595</v>
      </c>
      <c r="DC75" s="384">
        <v>0.69876953364071104</v>
      </c>
      <c r="DD75" s="384">
        <v>0.68349820298805175</v>
      </c>
      <c r="DE75" s="384">
        <v>0.64802288395087737</v>
      </c>
      <c r="DF75" s="614">
        <v>0.78553351878293054</v>
      </c>
      <c r="DG75" s="384">
        <v>0.78587271720892538</v>
      </c>
      <c r="DH75" s="384">
        <v>0.77931944291219102</v>
      </c>
      <c r="DI75" s="384">
        <v>0.76576707806744737</v>
      </c>
      <c r="DJ75" s="384">
        <v>0.74857626381955999</v>
      </c>
      <c r="DK75" s="384">
        <v>0.73128325692935681</v>
      </c>
      <c r="DL75" s="384">
        <v>0.71441832298225549</v>
      </c>
      <c r="DM75" s="384">
        <v>0.69883732530143228</v>
      </c>
      <c r="DN75" s="384">
        <v>0.683485149857743</v>
      </c>
      <c r="DO75" s="384">
        <v>0.66885250729018697</v>
      </c>
      <c r="DP75" s="384">
        <v>0.64771514823448584</v>
      </c>
      <c r="DQ75" s="697"/>
    </row>
    <row r="76" spans="1:121" s="384" customFormat="1" ht="18.75" customHeight="1" x14ac:dyDescent="0.2">
      <c r="A76" s="877"/>
      <c r="B76" s="424" t="s">
        <v>271</v>
      </c>
      <c r="C76" s="501" t="e">
        <f ca="1">INDEX($BW$85:$BW$680,$P$83)/($P$83-1)</f>
        <v>#NAME?</v>
      </c>
      <c r="D76" s="425" t="s">
        <v>272</v>
      </c>
      <c r="E76" s="506"/>
      <c r="R76" s="385"/>
      <c r="T76" s="385"/>
      <c r="X76" s="459"/>
      <c r="AK76" s="554">
        <v>415.22918174775026</v>
      </c>
      <c r="AL76" s="554">
        <v>434.33353559169024</v>
      </c>
      <c r="AM76" s="579">
        <v>442.72638173558022</v>
      </c>
      <c r="AN76" s="579">
        <v>451.29089503514592</v>
      </c>
      <c r="AO76" s="579">
        <v>460.73025275258289</v>
      </c>
      <c r="AP76" s="579">
        <v>470.350264704057</v>
      </c>
      <c r="AQ76" s="579">
        <v>479.37142243448665</v>
      </c>
      <c r="AR76" s="579">
        <v>483.17716490737155</v>
      </c>
      <c r="AS76" s="579">
        <v>487.14698091234396</v>
      </c>
      <c r="AT76" s="579">
        <v>489.41146537159904</v>
      </c>
      <c r="AU76" s="501">
        <v>490.60234412314628</v>
      </c>
      <c r="AV76" s="501">
        <v>490.41549381097292</v>
      </c>
      <c r="AW76" s="579">
        <v>490.30538658184986</v>
      </c>
      <c r="AX76" s="579">
        <v>392.1423160875521</v>
      </c>
      <c r="AY76" s="579">
        <v>408.87932263943321</v>
      </c>
      <c r="AZ76" s="579">
        <v>417.87052312004147</v>
      </c>
      <c r="BA76" s="501">
        <v>423.26240350902657</v>
      </c>
      <c r="BB76" s="579">
        <v>428.44089549391401</v>
      </c>
      <c r="BC76" s="579">
        <v>436.95268796666164</v>
      </c>
      <c r="BD76" s="579">
        <v>449.18467068889123</v>
      </c>
      <c r="BE76" s="579">
        <v>463.02995746478376</v>
      </c>
      <c r="BF76" s="579">
        <v>474.43911963047674</v>
      </c>
      <c r="BG76" s="579">
        <v>480.77444069102705</v>
      </c>
      <c r="BH76" s="579">
        <v>481.98342891993144</v>
      </c>
      <c r="BI76" s="425">
        <v>280.88829902458696</v>
      </c>
      <c r="BJ76" s="579">
        <v>285.92746048616306</v>
      </c>
      <c r="BK76" s="579">
        <v>291.23884884175499</v>
      </c>
      <c r="BL76" s="579">
        <v>297.23109810238009</v>
      </c>
      <c r="BM76" s="579">
        <v>303.57333081869831</v>
      </c>
      <c r="BN76" s="579">
        <v>310.73025378280033</v>
      </c>
      <c r="BO76" s="579">
        <v>318.27271831323873</v>
      </c>
      <c r="BP76" s="579">
        <v>327.88721825365457</v>
      </c>
      <c r="BQ76" s="579">
        <v>340.65197510955613</v>
      </c>
      <c r="BR76" s="579">
        <v>357.34927660239276</v>
      </c>
      <c r="BS76" s="579">
        <v>381.31865759523282</v>
      </c>
      <c r="BT76" s="579">
        <v>405.83535020277009</v>
      </c>
      <c r="BU76" s="579">
        <v>424.81462777227949</v>
      </c>
      <c r="BV76" s="579">
        <v>441.3751145562664</v>
      </c>
      <c r="BW76" s="579">
        <v>461.21795271655429</v>
      </c>
      <c r="BX76" s="579">
        <v>468.47677460779187</v>
      </c>
      <c r="BY76" s="579">
        <v>474.52881692770416</v>
      </c>
      <c r="BZ76" s="579">
        <v>478.9275812965858</v>
      </c>
      <c r="CA76" s="579">
        <v>480.76403109765005</v>
      </c>
      <c r="CB76" s="579">
        <v>316.38633406574536</v>
      </c>
      <c r="CC76" s="579">
        <v>324.88939059310422</v>
      </c>
      <c r="CD76" s="501">
        <v>326.6154698042705</v>
      </c>
      <c r="CE76" s="579">
        <v>333.23383374767934</v>
      </c>
      <c r="CF76" s="579">
        <v>341.43286553676</v>
      </c>
      <c r="CG76" s="579">
        <v>341.43286553676</v>
      </c>
      <c r="CH76" s="579">
        <v>350.31558016413868</v>
      </c>
      <c r="CI76" s="579">
        <v>370.21554483986171</v>
      </c>
      <c r="CJ76" s="579">
        <v>392.7262460451002</v>
      </c>
      <c r="CK76" s="579">
        <v>417.83018065684342</v>
      </c>
      <c r="CL76" s="579">
        <v>445.97175935037262</v>
      </c>
      <c r="CM76" s="501">
        <v>474.59026218201876</v>
      </c>
      <c r="CN76" s="579">
        <v>482.30926965004664</v>
      </c>
      <c r="CO76" s="579">
        <v>490.29207881214643</v>
      </c>
      <c r="CP76" s="384">
        <v>490.64617337272813</v>
      </c>
      <c r="CQ76" s="384">
        <v>490.77949159053964</v>
      </c>
      <c r="CR76" s="384">
        <v>490.96833220997337</v>
      </c>
      <c r="CS76" s="384">
        <v>493.0522074559712</v>
      </c>
      <c r="CT76" s="384">
        <v>497.21617873434894</v>
      </c>
      <c r="CU76" s="384">
        <v>501.44046568477296</v>
      </c>
      <c r="CV76" s="610">
        <v>464.29166590735821</v>
      </c>
      <c r="CW76" s="384">
        <v>464.49375320686272</v>
      </c>
      <c r="CX76" s="384">
        <v>460.91975155401087</v>
      </c>
      <c r="CY76" s="384">
        <v>454.20001438197914</v>
      </c>
      <c r="CZ76" s="384">
        <v>446.63000837419042</v>
      </c>
      <c r="DA76" s="384">
        <v>438.83836767802899</v>
      </c>
      <c r="DB76" s="384">
        <v>431.1287676394075</v>
      </c>
      <c r="DC76" s="384">
        <v>424.0345256435877</v>
      </c>
      <c r="DD76" s="384">
        <v>416.88233529081168</v>
      </c>
      <c r="DE76" s="384">
        <v>399.97409099053931</v>
      </c>
      <c r="DF76" s="614">
        <v>464.69346010436857</v>
      </c>
      <c r="DG76" s="384">
        <v>464.89758866529661</v>
      </c>
      <c r="DH76" s="384">
        <v>461.07494007402966</v>
      </c>
      <c r="DI76" s="384">
        <v>454.5459196200012</v>
      </c>
      <c r="DJ76" s="384">
        <v>446.91455073410123</v>
      </c>
      <c r="DK76" s="384">
        <v>439.05533962383288</v>
      </c>
      <c r="DL76" s="384">
        <v>431.28462255643666</v>
      </c>
      <c r="DM76" s="384">
        <v>424.10658080285162</v>
      </c>
      <c r="DN76" s="384">
        <v>416.91762523491542</v>
      </c>
      <c r="DO76" s="384">
        <v>410.01181269027683</v>
      </c>
      <c r="DP76" s="384">
        <v>399.8670267508956</v>
      </c>
      <c r="DQ76" s="697"/>
    </row>
    <row r="77" spans="1:121" s="384" customFormat="1" ht="18.75" customHeight="1" x14ac:dyDescent="0.2">
      <c r="A77" s="878"/>
      <c r="B77" s="424" t="s">
        <v>269</v>
      </c>
      <c r="C77" s="426" t="e">
        <f ca="1">INDEX($AN$85:$AN$680,$P$83)</f>
        <v>#NAME?</v>
      </c>
      <c r="D77" s="425" t="s">
        <v>261</v>
      </c>
      <c r="E77" s="478" t="s">
        <v>270</v>
      </c>
      <c r="R77" s="385"/>
      <c r="T77" s="385"/>
      <c r="X77" s="459"/>
      <c r="AK77" s="545">
        <v>2849.4106611882057</v>
      </c>
      <c r="AL77" s="545">
        <v>3016.966588145664</v>
      </c>
      <c r="AM77" s="586">
        <v>3082.7525083979895</v>
      </c>
      <c r="AN77" s="586">
        <v>3149.9012818166561</v>
      </c>
      <c r="AO77" s="586">
        <v>3215.8980202673511</v>
      </c>
      <c r="AP77" s="586">
        <v>3283.1348356564285</v>
      </c>
      <c r="AQ77" s="586">
        <v>3346.1659890627143</v>
      </c>
      <c r="AR77" s="586">
        <v>3372.7853415350119</v>
      </c>
      <c r="AS77" s="586">
        <v>3400.5514187108238</v>
      </c>
      <c r="AT77" s="586">
        <v>3424.5396071710993</v>
      </c>
      <c r="AU77" s="426">
        <v>3432.9206466364294</v>
      </c>
      <c r="AV77" s="426">
        <v>3431.6036376978204</v>
      </c>
      <c r="AW77" s="586">
        <v>3414.5350589470891</v>
      </c>
      <c r="AX77" s="586">
        <v>2867.3790239519185</v>
      </c>
      <c r="AY77" s="586">
        <v>2955.8353441337649</v>
      </c>
      <c r="AZ77" s="586">
        <v>3027.9098084037187</v>
      </c>
      <c r="BA77" s="426">
        <v>3102.2728081829441</v>
      </c>
      <c r="BB77" s="586">
        <v>3168.8111424383765</v>
      </c>
      <c r="BC77" s="586">
        <v>3231.8674353178212</v>
      </c>
      <c r="BD77" s="586">
        <v>3299.9804638191486</v>
      </c>
      <c r="BE77" s="586">
        <v>3355.5227473482341</v>
      </c>
      <c r="BF77" s="586">
        <v>3422.4844168553536</v>
      </c>
      <c r="BG77" s="586">
        <v>3460.2531595176156</v>
      </c>
      <c r="BH77" s="586">
        <v>3460.942812095851</v>
      </c>
      <c r="BI77" s="425">
        <v>1924.7638775256464</v>
      </c>
      <c r="BJ77" s="586">
        <v>2008.7838500539374</v>
      </c>
      <c r="BK77" s="586">
        <v>2104.4268177263252</v>
      </c>
      <c r="BL77" s="586">
        <v>2202.3298452177651</v>
      </c>
      <c r="BM77" s="586">
        <v>2315.2125353724441</v>
      </c>
      <c r="BN77" s="586">
        <v>2426.8849143303037</v>
      </c>
      <c r="BO77" s="586">
        <v>2523.0516341773009</v>
      </c>
      <c r="BP77" s="586">
        <v>2615.8032389119903</v>
      </c>
      <c r="BQ77" s="586">
        <v>2717.7952682488103</v>
      </c>
      <c r="BR77" s="586">
        <v>2833.3194434957322</v>
      </c>
      <c r="BS77" s="586">
        <v>2978.9893559861521</v>
      </c>
      <c r="BT77" s="586">
        <v>3123.2807123447428</v>
      </c>
      <c r="BU77" s="586">
        <v>3241.1575099093607</v>
      </c>
      <c r="BV77" s="586">
        <v>3330.863330075777</v>
      </c>
      <c r="BW77" s="586">
        <v>3411.5981165925432</v>
      </c>
      <c r="BX77" s="586">
        <v>3434.1248566915096</v>
      </c>
      <c r="BY77" s="586">
        <v>3454.8242625457056</v>
      </c>
      <c r="BZ77" s="586">
        <v>3454.9513792469211</v>
      </c>
      <c r="CA77" s="586">
        <v>3444.1888906439249</v>
      </c>
      <c r="CB77" s="586">
        <v>2328.4733722522719</v>
      </c>
      <c r="CC77" s="586">
        <v>2358.6620494141612</v>
      </c>
      <c r="CD77" s="426">
        <v>2365.7743739531802</v>
      </c>
      <c r="CE77" s="586">
        <v>2419.3650595249046</v>
      </c>
      <c r="CF77" s="586">
        <v>2513.1582195771916</v>
      </c>
      <c r="CG77" s="586">
        <v>2513.1582195771916</v>
      </c>
      <c r="CH77" s="586">
        <v>2613.6997624869991</v>
      </c>
      <c r="CI77" s="586">
        <v>2793.2976433945964</v>
      </c>
      <c r="CJ77" s="586">
        <v>2976.5225482920787</v>
      </c>
      <c r="CK77" s="586">
        <v>3166.9243988287421</v>
      </c>
      <c r="CL77" s="586">
        <v>3335.9108882004998</v>
      </c>
      <c r="CM77" s="426">
        <v>3455.2762627679067</v>
      </c>
      <c r="CN77" s="586">
        <v>3463.2834346738077</v>
      </c>
      <c r="CO77" s="586">
        <v>3398.0992788577441</v>
      </c>
      <c r="CP77" s="384">
        <v>3408.7317707006287</v>
      </c>
      <c r="CQ77" s="384">
        <v>3434.1606789081502</v>
      </c>
      <c r="CR77" s="384">
        <v>3386.3497407061418</v>
      </c>
      <c r="CS77" s="384">
        <v>3293.8651394714393</v>
      </c>
      <c r="CT77" s="384">
        <v>3147.6907134202238</v>
      </c>
      <c r="CU77" s="384">
        <v>2990.7423159471773</v>
      </c>
      <c r="CV77" s="610">
        <v>3287.3566793214964</v>
      </c>
      <c r="CW77" s="384">
        <v>3288.7515030405302</v>
      </c>
      <c r="CX77" s="384">
        <v>3255.6910930388131</v>
      </c>
      <c r="CY77" s="384">
        <v>3208.1442758144808</v>
      </c>
      <c r="CZ77" s="384">
        <v>3162.0345598411272</v>
      </c>
      <c r="DA77" s="384">
        <v>3099.4727335207294</v>
      </c>
      <c r="DB77" s="384">
        <v>3052.0984823178637</v>
      </c>
      <c r="DC77" s="384">
        <v>2987.7519681449171</v>
      </c>
      <c r="DD77" s="384">
        <v>2930.3041207129691</v>
      </c>
      <c r="DE77" s="384">
        <v>2777.8733922887445</v>
      </c>
      <c r="DF77" s="614">
        <v>3336.6720675607567</v>
      </c>
      <c r="DG77" s="384">
        <v>3338.1017630709612</v>
      </c>
      <c r="DH77" s="384">
        <v>3310.5536031047018</v>
      </c>
      <c r="DI77" s="384">
        <v>3256.0432647918401</v>
      </c>
      <c r="DJ77" s="384">
        <v>3208.7415232972403</v>
      </c>
      <c r="DK77" s="384">
        <v>3152.2291248938582</v>
      </c>
      <c r="DL77" s="384">
        <v>3096.3309169024628</v>
      </c>
      <c r="DM77" s="384">
        <v>3037.739058111395</v>
      </c>
      <c r="DN77" s="384">
        <v>2972.2440891766573</v>
      </c>
      <c r="DO77" s="384">
        <v>2909.2419605270111</v>
      </c>
      <c r="DP77" s="384">
        <v>2817.1159984983087</v>
      </c>
      <c r="DQ77" s="697"/>
    </row>
    <row r="78" spans="1:121" s="384" customFormat="1" ht="33.5" customHeight="1" x14ac:dyDescent="0.2">
      <c r="A78" s="872" t="s">
        <v>49</v>
      </c>
      <c r="B78" s="412" t="s">
        <v>279</v>
      </c>
      <c r="C78" s="436">
        <f>2*$C$25-$C$79</f>
        <v>4.4532409698169982E-3</v>
      </c>
      <c r="D78" s="410" t="s">
        <v>250</v>
      </c>
      <c r="E78" s="874" t="s">
        <v>333</v>
      </c>
      <c r="R78" s="385"/>
      <c r="T78" s="385"/>
      <c r="X78" s="459"/>
      <c r="AK78" s="562">
        <v>4.4532409698169982E-3</v>
      </c>
      <c r="AL78" s="562">
        <v>4.4532409698169982E-3</v>
      </c>
      <c r="AM78" s="588">
        <v>4.4532409698169982E-3</v>
      </c>
      <c r="AN78" s="588">
        <v>4.4532409698169982E-3</v>
      </c>
      <c r="AO78" s="588">
        <v>4.4532409698169982E-3</v>
      </c>
      <c r="AP78" s="588">
        <v>4.4532409698169982E-3</v>
      </c>
      <c r="AQ78" s="588">
        <v>4.4532409698169982E-3</v>
      </c>
      <c r="AR78" s="588">
        <v>4.4532409698169982E-3</v>
      </c>
      <c r="AS78" s="588">
        <v>4.4532409698169982E-3</v>
      </c>
      <c r="AT78" s="588">
        <v>4.4532409698169982E-3</v>
      </c>
      <c r="AU78" s="436">
        <v>4.4532409698169982E-3</v>
      </c>
      <c r="AV78" s="436">
        <v>4.4532409698169982E-3</v>
      </c>
      <c r="AW78" s="588">
        <v>4.4532409698169982E-3</v>
      </c>
      <c r="AX78" s="588">
        <v>4.4532409698169982E-3</v>
      </c>
      <c r="AY78" s="588">
        <v>4.4532409698169982E-3</v>
      </c>
      <c r="AZ78" s="588">
        <v>4.4532409698169982E-3</v>
      </c>
      <c r="BA78" s="436">
        <v>4.4532409698169982E-3</v>
      </c>
      <c r="BB78" s="588">
        <v>4.4532409698169982E-3</v>
      </c>
      <c r="BC78" s="588">
        <v>4.4532409698169982E-3</v>
      </c>
      <c r="BD78" s="588">
        <v>4.4532409698169982E-3</v>
      </c>
      <c r="BE78" s="588">
        <v>4.4532409698169982E-3</v>
      </c>
      <c r="BF78" s="588">
        <v>4.4532409698169982E-3</v>
      </c>
      <c r="BG78" s="588">
        <v>4.4532409698169982E-3</v>
      </c>
      <c r="BH78" s="588">
        <v>4.4532409698169982E-3</v>
      </c>
      <c r="BI78" s="410">
        <v>4.4532409698169982E-3</v>
      </c>
      <c r="BJ78" s="588">
        <v>4.4532409698169982E-3</v>
      </c>
      <c r="BK78" s="588">
        <v>4.4532409698169982E-3</v>
      </c>
      <c r="BL78" s="588">
        <v>4.4532409698169982E-3</v>
      </c>
      <c r="BM78" s="588">
        <v>4.4532409698169982E-3</v>
      </c>
      <c r="BN78" s="588">
        <v>4.4532409698169982E-3</v>
      </c>
      <c r="BO78" s="588">
        <v>4.4532409698169982E-3</v>
      </c>
      <c r="BP78" s="588">
        <v>4.4532409698169982E-3</v>
      </c>
      <c r="BQ78" s="588">
        <v>4.4532409698169982E-3</v>
      </c>
      <c r="BR78" s="588">
        <v>4.4532409698169982E-3</v>
      </c>
      <c r="BS78" s="588">
        <v>4.4532409698169982E-3</v>
      </c>
      <c r="BT78" s="588">
        <v>4.4532409698169982E-3</v>
      </c>
      <c r="BU78" s="588">
        <v>4.4532409698169982E-3</v>
      </c>
      <c r="BV78" s="588">
        <v>4.4532409698169982E-3</v>
      </c>
      <c r="BW78" s="588">
        <v>4.4532409698169982E-3</v>
      </c>
      <c r="BX78" s="588">
        <v>4.4532409698169982E-3</v>
      </c>
      <c r="BY78" s="588">
        <v>4.4532409698169982E-3</v>
      </c>
      <c r="BZ78" s="588">
        <v>4.4532409698169982E-3</v>
      </c>
      <c r="CA78" s="588">
        <v>4.4532409698169982E-3</v>
      </c>
      <c r="CB78" s="588">
        <v>4.4532409698169982E-3</v>
      </c>
      <c r="CC78" s="588">
        <v>4.4532409698169982E-3</v>
      </c>
      <c r="CD78" s="436">
        <v>4.4532409698169982E-3</v>
      </c>
      <c r="CE78" s="588">
        <v>4.4532409698169982E-3</v>
      </c>
      <c r="CF78" s="588">
        <v>4.4532409698169982E-3</v>
      </c>
      <c r="CG78" s="588">
        <v>4.4532409698169982E-3</v>
      </c>
      <c r="CH78" s="588">
        <v>4.4532409698169982E-3</v>
      </c>
      <c r="CI78" s="588">
        <v>4.4532409698169982E-3</v>
      </c>
      <c r="CJ78" s="588">
        <v>4.4532409698169982E-3</v>
      </c>
      <c r="CK78" s="588">
        <v>4.4532409698169982E-3</v>
      </c>
      <c r="CL78" s="588">
        <v>4.4532409698169982E-3</v>
      </c>
      <c r="CM78" s="436">
        <v>4.4532409698169982E-3</v>
      </c>
      <c r="CN78" s="588">
        <v>4.4532409698169982E-3</v>
      </c>
      <c r="CO78" s="588">
        <v>4.4532409698169982E-3</v>
      </c>
      <c r="CP78" s="384">
        <v>4.4532409698169982E-3</v>
      </c>
      <c r="CQ78" s="384">
        <v>4.4532409698169982E-3</v>
      </c>
      <c r="CR78" s="384">
        <v>4.4532409698169982E-3</v>
      </c>
      <c r="CS78" s="384">
        <v>4.4532409698169982E-3</v>
      </c>
      <c r="CT78" s="384">
        <v>4.4532409698169982E-3</v>
      </c>
      <c r="CU78" s="384">
        <v>4.4532409698169982E-3</v>
      </c>
      <c r="CV78" s="610">
        <v>4.4532409698169982E-3</v>
      </c>
      <c r="CW78" s="384">
        <v>4.4532409698169982E-3</v>
      </c>
      <c r="CX78" s="384">
        <v>4.4532409698169982E-3</v>
      </c>
      <c r="CY78" s="384">
        <v>4.4532409698169982E-3</v>
      </c>
      <c r="CZ78" s="384">
        <v>4.4532409698169982E-3</v>
      </c>
      <c r="DA78" s="384">
        <v>4.4532409698169982E-3</v>
      </c>
      <c r="DB78" s="384">
        <v>4.4532409698169982E-3</v>
      </c>
      <c r="DC78" s="384">
        <v>4.4532409698169982E-3</v>
      </c>
      <c r="DD78" s="384">
        <v>4.4532409698169982E-3</v>
      </c>
      <c r="DE78" s="384">
        <v>4.4532409698169982E-3</v>
      </c>
      <c r="DF78" s="614">
        <v>4.4532409698169982E-3</v>
      </c>
      <c r="DG78" s="384">
        <v>4.4532409698169982E-3</v>
      </c>
      <c r="DH78" s="384">
        <v>4.4532409698169982E-3</v>
      </c>
      <c r="DI78" s="384">
        <v>4.4532409698169982E-3</v>
      </c>
      <c r="DJ78" s="384">
        <v>4.4532409698169982E-3</v>
      </c>
      <c r="DK78" s="384">
        <v>4.4532409698169982E-3</v>
      </c>
      <c r="DL78" s="384">
        <v>4.4532409698169982E-3</v>
      </c>
      <c r="DM78" s="384">
        <v>4.4532409698169982E-3</v>
      </c>
      <c r="DN78" s="384">
        <v>4.4532409698169982E-3</v>
      </c>
      <c r="DO78" s="384">
        <v>4.4532409698169982E-3</v>
      </c>
      <c r="DP78" s="384">
        <v>4.4532409698169982E-3</v>
      </c>
      <c r="DQ78" s="697"/>
    </row>
    <row r="79" spans="1:121" s="384" customFormat="1" ht="33.5" customHeight="1" thickBot="1" x14ac:dyDescent="0.25">
      <c r="A79" s="873"/>
      <c r="B79" s="475" t="s">
        <v>280</v>
      </c>
      <c r="C79" s="476">
        <f>($C$26+2*$C$26*$C$25-1)/(1+$C$26)</f>
        <v>2.5546759030183001E-2</v>
      </c>
      <c r="D79" s="477" t="s">
        <v>250</v>
      </c>
      <c r="E79" s="875"/>
      <c r="R79" s="385"/>
      <c r="T79" s="385"/>
      <c r="X79" s="459"/>
      <c r="AK79" s="563">
        <v>2.5546759030183001E-2</v>
      </c>
      <c r="AL79" s="563">
        <v>2.5546759030183001E-2</v>
      </c>
      <c r="AM79" s="589">
        <v>2.5546759030183001E-2</v>
      </c>
      <c r="AN79" s="589">
        <v>2.5546759030183001E-2</v>
      </c>
      <c r="AO79" s="589">
        <v>2.5546759030183001E-2</v>
      </c>
      <c r="AP79" s="589">
        <v>2.5546759030183001E-2</v>
      </c>
      <c r="AQ79" s="589">
        <v>2.5546759030183001E-2</v>
      </c>
      <c r="AR79" s="589">
        <v>2.5546759030183001E-2</v>
      </c>
      <c r="AS79" s="589">
        <v>2.5546759030183001E-2</v>
      </c>
      <c r="AT79" s="589">
        <v>2.5546759030183001E-2</v>
      </c>
      <c r="AU79" s="476">
        <v>2.5546759030183001E-2</v>
      </c>
      <c r="AV79" s="476">
        <v>2.5546759030183001E-2</v>
      </c>
      <c r="AW79" s="589">
        <v>2.5546759030183001E-2</v>
      </c>
      <c r="AX79" s="589">
        <v>2.5546759030183001E-2</v>
      </c>
      <c r="AY79" s="589">
        <v>2.5546759030183001E-2</v>
      </c>
      <c r="AZ79" s="589">
        <v>2.5546759030183001E-2</v>
      </c>
      <c r="BA79" s="476">
        <v>2.5546759030183001E-2</v>
      </c>
      <c r="BB79" s="589">
        <v>2.5546759030183001E-2</v>
      </c>
      <c r="BC79" s="589">
        <v>2.5546759030183001E-2</v>
      </c>
      <c r="BD79" s="589">
        <v>2.5546759030183001E-2</v>
      </c>
      <c r="BE79" s="589">
        <v>2.5546759030183001E-2</v>
      </c>
      <c r="BF79" s="589">
        <v>2.5546759030183001E-2</v>
      </c>
      <c r="BG79" s="589">
        <v>2.5546759030183001E-2</v>
      </c>
      <c r="BH79" s="589">
        <v>2.5546759030183001E-2</v>
      </c>
      <c r="BI79" s="477">
        <v>2.5546759030183001E-2</v>
      </c>
      <c r="BJ79" s="589">
        <v>2.5546759030183001E-2</v>
      </c>
      <c r="BK79" s="589">
        <v>2.5546759030183001E-2</v>
      </c>
      <c r="BL79" s="589">
        <v>2.5546759030183001E-2</v>
      </c>
      <c r="BM79" s="589">
        <v>2.5546759030183001E-2</v>
      </c>
      <c r="BN79" s="589">
        <v>2.5546759030183001E-2</v>
      </c>
      <c r="BO79" s="589">
        <v>2.5546759030183001E-2</v>
      </c>
      <c r="BP79" s="589">
        <v>2.5546759030183001E-2</v>
      </c>
      <c r="BQ79" s="589">
        <v>2.5546759030183001E-2</v>
      </c>
      <c r="BR79" s="589">
        <v>2.5546759030183001E-2</v>
      </c>
      <c r="BS79" s="589">
        <v>2.5546759030183001E-2</v>
      </c>
      <c r="BT79" s="589">
        <v>2.5546759030183001E-2</v>
      </c>
      <c r="BU79" s="589">
        <v>2.5546759030183001E-2</v>
      </c>
      <c r="BV79" s="589">
        <v>2.5546759030183001E-2</v>
      </c>
      <c r="BW79" s="589">
        <v>2.5546759030183001E-2</v>
      </c>
      <c r="BX79" s="589">
        <v>2.5546759030183001E-2</v>
      </c>
      <c r="BY79" s="589">
        <v>2.5546759030183001E-2</v>
      </c>
      <c r="BZ79" s="589">
        <v>2.5546759030183001E-2</v>
      </c>
      <c r="CA79" s="589">
        <v>2.5546759030183001E-2</v>
      </c>
      <c r="CB79" s="589">
        <v>2.5546759030183001E-2</v>
      </c>
      <c r="CC79" s="589">
        <v>2.5546759030183001E-2</v>
      </c>
      <c r="CD79" s="476">
        <v>2.5546759030183001E-2</v>
      </c>
      <c r="CE79" s="589">
        <v>2.5546759030183001E-2</v>
      </c>
      <c r="CF79" s="589">
        <v>2.5546759030183001E-2</v>
      </c>
      <c r="CG79" s="589">
        <v>2.5546759030183001E-2</v>
      </c>
      <c r="CH79" s="589">
        <v>2.5546759030183001E-2</v>
      </c>
      <c r="CI79" s="589">
        <v>2.5546759030183001E-2</v>
      </c>
      <c r="CJ79" s="589">
        <v>2.5546759030183001E-2</v>
      </c>
      <c r="CK79" s="589">
        <v>2.5546759030183001E-2</v>
      </c>
      <c r="CL79" s="589">
        <v>2.5546759030183001E-2</v>
      </c>
      <c r="CM79" s="476">
        <v>2.5546759030183001E-2</v>
      </c>
      <c r="CN79" s="589">
        <v>2.5546759030183001E-2</v>
      </c>
      <c r="CO79" s="589">
        <v>2.5546759030183001E-2</v>
      </c>
      <c r="CP79" s="384">
        <v>2.5546759030183001E-2</v>
      </c>
      <c r="CQ79" s="384">
        <v>2.5546759030183001E-2</v>
      </c>
      <c r="CR79" s="384">
        <v>2.5546759030183001E-2</v>
      </c>
      <c r="CS79" s="384">
        <v>2.5546759030183001E-2</v>
      </c>
      <c r="CT79" s="384">
        <v>2.5546759030183001E-2</v>
      </c>
      <c r="CU79" s="384">
        <v>2.5546759030183001E-2</v>
      </c>
      <c r="CV79" s="610">
        <v>2.5546759030183001E-2</v>
      </c>
      <c r="CW79" s="384">
        <v>2.5546759030183001E-2</v>
      </c>
      <c r="CX79" s="384">
        <v>2.5546759030183001E-2</v>
      </c>
      <c r="CY79" s="384">
        <v>2.5546759030183001E-2</v>
      </c>
      <c r="CZ79" s="384">
        <v>2.5546759030183001E-2</v>
      </c>
      <c r="DA79" s="384">
        <v>2.5546759030183001E-2</v>
      </c>
      <c r="DB79" s="384">
        <v>2.5546759030183001E-2</v>
      </c>
      <c r="DC79" s="384">
        <v>2.5546759030183001E-2</v>
      </c>
      <c r="DD79" s="384">
        <v>2.5546759030183001E-2</v>
      </c>
      <c r="DE79" s="384">
        <v>2.5546759030183001E-2</v>
      </c>
      <c r="DF79" s="614">
        <v>2.5546759030183001E-2</v>
      </c>
      <c r="DG79" s="384">
        <v>2.5546759030183001E-2</v>
      </c>
      <c r="DH79" s="384">
        <v>2.5546759030183001E-2</v>
      </c>
      <c r="DI79" s="384">
        <v>2.5546759030183001E-2</v>
      </c>
      <c r="DJ79" s="384">
        <v>2.5546759030183001E-2</v>
      </c>
      <c r="DK79" s="384">
        <v>2.5546759030183001E-2</v>
      </c>
      <c r="DL79" s="384">
        <v>2.5546759030183001E-2</v>
      </c>
      <c r="DM79" s="384">
        <v>2.5546759030183001E-2</v>
      </c>
      <c r="DN79" s="384">
        <v>2.5546759030183001E-2</v>
      </c>
      <c r="DO79" s="384">
        <v>2.5546759030183001E-2</v>
      </c>
      <c r="DP79" s="384">
        <v>2.5546759030183001E-2</v>
      </c>
      <c r="DQ79" s="697"/>
    </row>
    <row r="80" spans="1:121" s="384" customFormat="1" ht="19.5" customHeight="1" thickTop="1" thickBot="1" x14ac:dyDescent="0.25">
      <c r="B80" s="387"/>
      <c r="E80" s="421"/>
      <c r="R80" s="385"/>
      <c r="T80" s="385"/>
      <c r="X80" s="459"/>
      <c r="AK80" s="564"/>
      <c r="BT80" s="386"/>
    </row>
    <row r="81" spans="2:77" ht="45.5" customHeight="1" x14ac:dyDescent="0.25">
      <c r="B81" s="753"/>
      <c r="E81" s="422"/>
      <c r="I81" s="886" t="s">
        <v>223</v>
      </c>
      <c r="J81" s="887"/>
      <c r="K81" s="887"/>
      <c r="L81" s="887"/>
      <c r="M81" s="887"/>
      <c r="N81" s="887"/>
      <c r="O81" s="887"/>
      <c r="P81" s="887"/>
      <c r="Q81" s="887"/>
      <c r="R81" s="887"/>
      <c r="S81" s="887"/>
      <c r="T81" s="884" t="s">
        <v>389</v>
      </c>
      <c r="U81" s="884"/>
      <c r="V81" s="884"/>
      <c r="W81" s="884"/>
      <c r="X81" s="884"/>
      <c r="Y81" s="884"/>
      <c r="Z81" s="885"/>
      <c r="AA81" s="882" t="e">
        <f ca="1">MAX(C47:C48)</f>
        <v>#NAME?</v>
      </c>
      <c r="AB81" s="883"/>
      <c r="AC81" s="378"/>
      <c r="AD81" s="379"/>
      <c r="AE81" s="379"/>
      <c r="AF81" s="379"/>
    </row>
    <row r="82" spans="2:77" ht="61" customHeight="1" x14ac:dyDescent="0.2">
      <c r="B82" s="175"/>
      <c r="C82" s="472"/>
      <c r="E82" s="423"/>
      <c r="I82" s="273"/>
      <c r="J82" s="429" t="s">
        <v>291</v>
      </c>
      <c r="K82" s="429" t="s">
        <v>262</v>
      </c>
      <c r="L82" s="429" t="s">
        <v>290</v>
      </c>
      <c r="M82" s="429" t="s">
        <v>263</v>
      </c>
      <c r="N82" s="429" t="s">
        <v>294</v>
      </c>
      <c r="O82" s="429" t="s">
        <v>293</v>
      </c>
      <c r="P82" s="429" t="s">
        <v>292</v>
      </c>
      <c r="Q82" s="273"/>
      <c r="R82" s="273"/>
      <c r="S82" s="273"/>
      <c r="T82" s="273"/>
      <c r="U82" s="273"/>
      <c r="V82" s="273"/>
      <c r="W82" s="273"/>
      <c r="X82" s="460"/>
      <c r="Y82" s="273"/>
      <c r="Z82" s="273"/>
      <c r="AA82" s="273"/>
      <c r="AB82" s="273"/>
      <c r="AC82" s="856" t="s">
        <v>224</v>
      </c>
      <c r="AD82" s="857"/>
      <c r="AE82" s="857"/>
      <c r="AF82" s="857"/>
      <c r="AG82" s="857"/>
      <c r="AH82" s="857"/>
      <c r="AI82" s="857"/>
      <c r="AJ82" s="857"/>
      <c r="AK82" s="857"/>
      <c r="AL82" s="857"/>
      <c r="AM82" s="857"/>
      <c r="AN82" s="857"/>
      <c r="AO82" s="857"/>
      <c r="AP82" s="857"/>
      <c r="AQ82" s="857"/>
      <c r="AR82" s="857"/>
      <c r="AS82" s="857"/>
      <c r="AT82" s="857"/>
      <c r="AU82" s="857"/>
      <c r="AV82" s="857"/>
      <c r="AW82" s="857"/>
      <c r="AX82" s="857"/>
      <c r="AY82" s="857"/>
      <c r="AZ82" s="857"/>
      <c r="BA82" s="857"/>
      <c r="BB82" s="857"/>
      <c r="BC82" s="857"/>
      <c r="BD82" s="857"/>
      <c r="BE82" s="857"/>
      <c r="BF82" s="857"/>
      <c r="BG82" s="857"/>
      <c r="BH82" s="857"/>
      <c r="BI82" s="857"/>
      <c r="BJ82" s="857"/>
      <c r="BK82" s="857"/>
      <c r="BL82" s="857"/>
      <c r="BM82" s="857"/>
      <c r="BN82" s="857"/>
      <c r="BO82" s="857"/>
      <c r="BP82" s="857"/>
      <c r="BQ82" s="857"/>
      <c r="BR82" s="857"/>
      <c r="BS82" s="857"/>
      <c r="BT82" s="857"/>
      <c r="BU82" s="857"/>
      <c r="BV82" s="857"/>
      <c r="BW82" s="857"/>
      <c r="BX82" s="857"/>
      <c r="BY82" s="857"/>
    </row>
    <row r="83" spans="2:77" ht="116.25" customHeight="1" thickBot="1" x14ac:dyDescent="0.3">
      <c r="E83" s="423"/>
      <c r="I83" s="358" t="s">
        <v>220</v>
      </c>
      <c r="J83" s="430">
        <v>1</v>
      </c>
      <c r="K83" s="430">
        <f>1+INT(($C$12-$C$4)*1440+0.5)</f>
        <v>16</v>
      </c>
      <c r="L83" s="430">
        <f>IF($M$83&gt;596,$P$83,$M$83)</f>
        <v>83</v>
      </c>
      <c r="M83" s="430">
        <f>1+INT(($C$18-$C$4)*1440+0.5)</f>
        <v>83</v>
      </c>
      <c r="N83" s="430" t="e">
        <f ca="1">1+INT(($C$47-$C$4)*1440+0.5)</f>
        <v>#NAME?</v>
      </c>
      <c r="O83" s="430" t="e">
        <f ca="1">1+INT(($C$48-$C$4)*1440+0.5)</f>
        <v>#NAME?</v>
      </c>
      <c r="P83" s="430" t="e">
        <f ca="1">O83+2</f>
        <v>#NAME?</v>
      </c>
      <c r="Q83" s="489" t="s">
        <v>341</v>
      </c>
      <c r="R83" s="367" t="s">
        <v>0</v>
      </c>
      <c r="S83" s="359" t="s">
        <v>183</v>
      </c>
      <c r="T83" s="376" t="s">
        <v>378</v>
      </c>
      <c r="U83" s="348" t="s">
        <v>19</v>
      </c>
      <c r="V83" s="451" t="s">
        <v>302</v>
      </c>
      <c r="W83" s="451" t="s">
        <v>304</v>
      </c>
      <c r="X83" s="461" t="s">
        <v>305</v>
      </c>
      <c r="Y83" s="450" t="s">
        <v>301</v>
      </c>
      <c r="Z83" s="362" t="s">
        <v>154</v>
      </c>
      <c r="AA83" s="362" t="s">
        <v>177</v>
      </c>
      <c r="AB83" s="363" t="s">
        <v>49</v>
      </c>
      <c r="AC83" s="350" t="s">
        <v>0</v>
      </c>
      <c r="AD83" s="304" t="s">
        <v>125</v>
      </c>
      <c r="AE83" s="305" t="s">
        <v>126</v>
      </c>
      <c r="AF83" s="304" t="s">
        <v>5</v>
      </c>
      <c r="AG83" s="305" t="s">
        <v>57</v>
      </c>
      <c r="AH83" s="304" t="s">
        <v>50</v>
      </c>
      <c r="AI83" s="305" t="s">
        <v>127</v>
      </c>
      <c r="AJ83" s="306" t="s">
        <v>128</v>
      </c>
      <c r="AK83" s="565" t="s">
        <v>18</v>
      </c>
      <c r="AL83" s="858" t="s">
        <v>17</v>
      </c>
      <c r="AM83" s="859"/>
      <c r="AN83" s="439" t="s">
        <v>283</v>
      </c>
      <c r="AO83" s="302" t="s">
        <v>98</v>
      </c>
      <c r="AP83" s="304" t="s">
        <v>45</v>
      </c>
      <c r="AQ83" s="307" t="s">
        <v>58</v>
      </c>
      <c r="AR83" s="308" t="s">
        <v>129</v>
      </c>
      <c r="AS83" s="302" t="s">
        <v>130</v>
      </c>
      <c r="AT83" s="308" t="s">
        <v>75</v>
      </c>
      <c r="AU83" s="302" t="s">
        <v>59</v>
      </c>
      <c r="AV83" s="304" t="s">
        <v>131</v>
      </c>
      <c r="AW83" s="302" t="s">
        <v>132</v>
      </c>
      <c r="AX83" s="308" t="s">
        <v>133</v>
      </c>
      <c r="AY83" s="302" t="s">
        <v>134</v>
      </c>
      <c r="AZ83" s="304" t="s">
        <v>135</v>
      </c>
      <c r="BA83" s="302" t="s">
        <v>136</v>
      </c>
      <c r="BB83" s="304" t="s">
        <v>137</v>
      </c>
      <c r="BC83" s="302" t="s">
        <v>105</v>
      </c>
      <c r="BD83" s="306" t="s">
        <v>138</v>
      </c>
      <c r="BE83" s="309" t="s">
        <v>139</v>
      </c>
      <c r="BF83" s="308" t="s">
        <v>140</v>
      </c>
      <c r="BG83" s="302" t="s">
        <v>80</v>
      </c>
      <c r="BH83" s="304" t="s">
        <v>141</v>
      </c>
      <c r="BI83" s="302" t="s">
        <v>142</v>
      </c>
      <c r="BJ83" s="304" t="s">
        <v>143</v>
      </c>
      <c r="BK83" s="302" t="s">
        <v>144</v>
      </c>
      <c r="BL83" s="304" t="s">
        <v>145</v>
      </c>
      <c r="BM83" s="302" t="s">
        <v>146</v>
      </c>
      <c r="BN83" s="310" t="s">
        <v>147</v>
      </c>
      <c r="BO83" s="302" t="s">
        <v>148</v>
      </c>
      <c r="BP83" s="304" t="s">
        <v>149</v>
      </c>
      <c r="BQ83" s="302" t="s">
        <v>150</v>
      </c>
      <c r="BR83" s="311" t="s">
        <v>151</v>
      </c>
      <c r="BS83" s="370" t="s">
        <v>152</v>
      </c>
      <c r="BT83" s="372" t="s">
        <v>281</v>
      </c>
      <c r="BU83" s="372" t="s">
        <v>282</v>
      </c>
      <c r="BV83" s="860" t="s">
        <v>285</v>
      </c>
      <c r="BW83" s="860" t="s">
        <v>286</v>
      </c>
      <c r="BX83" s="510" t="s">
        <v>311</v>
      </c>
      <c r="BY83" s="482" t="s">
        <v>324</v>
      </c>
    </row>
    <row r="84" spans="2:77" ht="65.75" customHeight="1" thickBot="1" x14ac:dyDescent="0.25">
      <c r="E84" s="423"/>
      <c r="I84" s="358" t="s">
        <v>48</v>
      </c>
      <c r="J84" s="431" t="s">
        <v>276</v>
      </c>
      <c r="K84" s="428" t="s">
        <v>277</v>
      </c>
      <c r="L84" s="428" t="s">
        <v>278</v>
      </c>
      <c r="M84" s="303" t="s">
        <v>274</v>
      </c>
      <c r="N84" s="303" t="s">
        <v>275</v>
      </c>
      <c r="O84" s="303" t="s">
        <v>287</v>
      </c>
      <c r="P84" s="358" t="s">
        <v>289</v>
      </c>
      <c r="Q84" s="358" t="s">
        <v>222</v>
      </c>
      <c r="R84" s="367" t="s">
        <v>48</v>
      </c>
      <c r="S84" s="360" t="s">
        <v>48</v>
      </c>
      <c r="T84" s="377" t="s">
        <v>48</v>
      </c>
      <c r="U84" s="349" t="s">
        <v>69</v>
      </c>
      <c r="V84" s="453" t="s">
        <v>56</v>
      </c>
      <c r="W84" s="452" t="s">
        <v>303</v>
      </c>
      <c r="X84" s="462" t="s">
        <v>303</v>
      </c>
      <c r="Y84" s="361" t="s">
        <v>56</v>
      </c>
      <c r="Z84" s="361" t="s">
        <v>8</v>
      </c>
      <c r="AA84" s="364" t="s">
        <v>155</v>
      </c>
      <c r="AB84" s="365" t="s">
        <v>73</v>
      </c>
      <c r="AC84" s="351" t="s">
        <v>48</v>
      </c>
      <c r="AD84" s="312" t="s">
        <v>7</v>
      </c>
      <c r="AE84" s="301"/>
      <c r="AF84" s="312" t="s">
        <v>7</v>
      </c>
      <c r="AG84" s="301" t="s">
        <v>48</v>
      </c>
      <c r="AH84" s="312" t="s">
        <v>7</v>
      </c>
      <c r="AI84" s="301" t="s">
        <v>48</v>
      </c>
      <c r="AJ84" s="312" t="s">
        <v>48</v>
      </c>
      <c r="AK84" s="566" t="s">
        <v>9</v>
      </c>
      <c r="AL84" s="312" t="s">
        <v>9</v>
      </c>
      <c r="AM84" s="312" t="s">
        <v>79</v>
      </c>
      <c r="AN84" s="413" t="s">
        <v>261</v>
      </c>
      <c r="AO84" s="301" t="s">
        <v>9</v>
      </c>
      <c r="AP84" s="312" t="s">
        <v>6</v>
      </c>
      <c r="AQ84" s="301" t="s">
        <v>48</v>
      </c>
      <c r="AR84" s="312" t="s">
        <v>48</v>
      </c>
      <c r="AS84" s="301" t="s">
        <v>69</v>
      </c>
      <c r="AT84" s="312" t="s">
        <v>122</v>
      </c>
      <c r="AU84" s="301" t="s">
        <v>123</v>
      </c>
      <c r="AV84" s="312" t="s">
        <v>48</v>
      </c>
      <c r="AW84" s="301" t="s">
        <v>48</v>
      </c>
      <c r="AX84" s="312" t="s">
        <v>48</v>
      </c>
      <c r="AY84" s="301" t="s">
        <v>48</v>
      </c>
      <c r="AZ84" s="312" t="s">
        <v>48</v>
      </c>
      <c r="BA84" s="301" t="s">
        <v>109</v>
      </c>
      <c r="BB84" s="312" t="s">
        <v>51</v>
      </c>
      <c r="BC84" s="301" t="s">
        <v>107</v>
      </c>
      <c r="BD84" s="312" t="s">
        <v>48</v>
      </c>
      <c r="BE84" s="301" t="s">
        <v>48</v>
      </c>
      <c r="BF84" s="312" t="s">
        <v>48</v>
      </c>
      <c r="BG84" s="301" t="s">
        <v>106</v>
      </c>
      <c r="BH84" s="312" t="s">
        <v>85</v>
      </c>
      <c r="BI84" s="301" t="s">
        <v>86</v>
      </c>
      <c r="BJ84" s="312" t="s">
        <v>87</v>
      </c>
      <c r="BK84" s="301" t="s">
        <v>89</v>
      </c>
      <c r="BL84" s="312" t="s">
        <v>95</v>
      </c>
      <c r="BM84" s="301" t="s">
        <v>86</v>
      </c>
      <c r="BN84" s="312" t="s">
        <v>86</v>
      </c>
      <c r="BO84" s="301" t="s">
        <v>85</v>
      </c>
      <c r="BP84" s="312" t="s">
        <v>60</v>
      </c>
      <c r="BQ84" s="301" t="s">
        <v>101</v>
      </c>
      <c r="BR84" s="312" t="s">
        <v>90</v>
      </c>
      <c r="BS84" s="371" t="s">
        <v>60</v>
      </c>
      <c r="BT84" s="438" t="e">
        <f ca="1">MAX(BT86:BT680)</f>
        <v>#NAME?</v>
      </c>
      <c r="BU84" s="438" t="e">
        <f ca="1">MAX(BU86:BU680)</f>
        <v>#NAME?</v>
      </c>
      <c r="BV84" s="860"/>
      <c r="BW84" s="860"/>
      <c r="BX84" s="511" t="e">
        <f ca="1">MIN(BX85:BX680)</f>
        <v>#NAME?</v>
      </c>
      <c r="BY84" s="483" t="s">
        <v>69</v>
      </c>
    </row>
    <row r="85" spans="2:77" ht="29" customHeight="1" x14ac:dyDescent="0.2">
      <c r="E85" s="423"/>
      <c r="I85" s="432">
        <v>1</v>
      </c>
      <c r="J85" s="434">
        <f>$C$4</f>
        <v>41705.713194444448</v>
      </c>
      <c r="K85" s="435" t="e">
        <f ca="1">IF(M85=0,0,Q85*(1+$C$78)/60)</f>
        <v>#NAME?</v>
      </c>
      <c r="L85" s="435" t="e">
        <f t="shared" ref="L85:L149" ca="1" si="0">IF(N85=0,0,Q85*(1+$C$79)/60)</f>
        <v>#NAME?</v>
      </c>
      <c r="M85" s="433">
        <f>$C$10</f>
        <v>21.972999999999999</v>
      </c>
      <c r="N85" s="433">
        <f>$C$11</f>
        <v>21.827000000000002</v>
      </c>
      <c r="O85" s="140">
        <f>M85+N85</f>
        <v>43.8</v>
      </c>
      <c r="P85" s="352">
        <f>MAX(O85+$C$24,$C$24)</f>
        <v>218.16899999999998</v>
      </c>
      <c r="Q85" s="469" t="e">
        <f ca="1">IF(S85="MEFE",0,IF(S85="INOP",$C$36*AQ85/0.2243, BN85))</f>
        <v>#NAME?</v>
      </c>
      <c r="R85" s="352" t="e">
        <f ca="1">AC85</f>
        <v>#NAME?</v>
      </c>
      <c r="S85" s="663" t="str">
        <f>IF(O85=0, "MEFE",IF(N85=0, "INOP",IF(I85&gt;$M$83-1,$C$19,IF(I85&gt;$K$83-1,$C$13,$C$5))))</f>
        <v>MRC</v>
      </c>
      <c r="T85" s="443">
        <f t="shared" ref="T85:T148" si="1">IF(AND(S85="MEFE",  S84="MEFE"), MAX(T84+$C$43,$C$39), IF(AND(S84="INOP",S85="MEFE"),  MAX(T84+$C$38,$C$39), IF(AND(S85="INOP",S84="INOP"), MAX(T84+$C$38,$C$39),IF(S85="INOP", AO84,IF($J85&lt;$C$12,$C$6,IF($J85&lt;$C$18,$C$14,$C$20))))))</f>
        <v>0.83499999999999996</v>
      </c>
      <c r="U85" s="353">
        <f t="shared" ref="U85:U148" si="2">P85</f>
        <v>218.16899999999998</v>
      </c>
      <c r="V85" s="465">
        <f>$C$7</f>
        <v>350</v>
      </c>
      <c r="W85" s="457">
        <f>$C$27</f>
        <v>1000</v>
      </c>
      <c r="X85" s="457">
        <v>0</v>
      </c>
      <c r="Y85" s="456">
        <f>MAX(V85,0)</f>
        <v>350</v>
      </c>
      <c r="Z85" s="699">
        <f t="shared" ref="Z85:Z148" si="3">IF(I85&gt;$M$83-1,$C$22,IF(I85&gt;$K$83-1,$C$16,$C$8))</f>
        <v>10</v>
      </c>
      <c r="AA85" s="355" t="str">
        <f t="shared" ref="AA85:AA148" si="4">IF(I85&lt;$K$83,$C$9, IF( I85&lt;$L$83, $C$17,$C$23))</f>
        <v>ON</v>
      </c>
      <c r="AB85" s="375">
        <v>1.4999999999999999E-2</v>
      </c>
      <c r="AC85" s="481" t="e">
        <f ca="1">IF(  Y85=0,0,IF(OR(S85="KCAS",S85="INOP",S85="MEFE"),   ( (5*( (   (((1+0.2*(T85/661.4786)^2)^3.5 -1)  )/( (1-6.8755856*10^-6 *100*Y85)^5.2558797) +1)^(2/7) -1) )^0.5),IF(S85="MACH",T85, IF(S85="LRC",BicubicInterpolation( 'LRC Mach'!$C$4:$AL$21, Y85,U85),  IF(S85="MRC",BicubicInterpolation( 'MRC Mach'!$C$3:$T$18, Y85,U85),  IF(S85="M0.84",0.84,  IF(S85="CI52",BicubicInterpolation('CI=52 Mach'!$C$3:$T$18, Y85,U85),  IF(S85="HOLDING",BicubicInterpolation(  'Holding Mach'!$C$4:$M$13, Y85,U85), "XXX" )))))))   )</f>
        <v>#NAME?</v>
      </c>
      <c r="AD85" s="330">
        <f>IF(Y85&lt;360.8924,288.15-1.9812*Y85/10,216.65)</f>
        <v>218.80799999999996</v>
      </c>
      <c r="AE85" s="331">
        <f>AD85/288.15</f>
        <v>0.75935450286309203</v>
      </c>
      <c r="AF85" s="330">
        <f>AD85+Z85</f>
        <v>228.80799999999996</v>
      </c>
      <c r="AG85" s="331">
        <f>AF85/288.15</f>
        <v>0.79405865000867593</v>
      </c>
      <c r="AH85" s="330" t="e">
        <f ca="1">AF85*(1+0.2*AC85^2)</f>
        <v>#NAME?</v>
      </c>
      <c r="AI85" s="331" t="e">
        <f ca="1">AH85/288.15</f>
        <v>#NAME?</v>
      </c>
      <c r="AJ85" s="332" t="e">
        <f ca="1">AI85^0.68</f>
        <v>#NAME?</v>
      </c>
      <c r="AK85" s="567">
        <f>661.4786*SQRT(AG85)</f>
        <v>589.44337261444832</v>
      </c>
      <c r="AL85" s="330" t="e">
        <f ca="1">AC85*AK85</f>
        <v>#NAME?</v>
      </c>
      <c r="AM85" s="330" t="e">
        <f ca="1">AL85*0.5144444</f>
        <v>#NAME?</v>
      </c>
      <c r="AN85" s="330">
        <v>0</v>
      </c>
      <c r="AO85" s="333" t="e">
        <f ca="1">661.4786*(5*((1 + ( (1-0.00068755856*Y85)^5.2558797)*((1 + AC85^2/5)^3.5 - 1))^(2/7) - 1))^0.5</f>
        <v>#NAME?</v>
      </c>
      <c r="AP85" s="330">
        <f>IF(Y85&lt;360.8924,1013.25*(1-0.0000068755856*100*Y85)^5.2558797,0.01*0.2233609*101325*EXP(-0.004806346*(Y85-360.8924)))</f>
        <v>238.42273848320244</v>
      </c>
      <c r="AQ85" s="331">
        <f>AP85/1013.25</f>
        <v>0.23530494792321976</v>
      </c>
      <c r="AR85" s="332" t="e">
        <f ca="1">AQ85*(1+0.2*AC85^2)^3.5</f>
        <v>#NAME?</v>
      </c>
      <c r="AS85" s="333">
        <f>U85/AQ85</f>
        <v>927.17557333808702</v>
      </c>
      <c r="AT85" s="332">
        <f>1.225*AQ85/AG85</f>
        <v>0.36300663836707125</v>
      </c>
      <c r="AU85" s="334">
        <v>427.8</v>
      </c>
      <c r="AV85" s="332" t="e">
        <f ca="1">1000*9.80665*U85/(0.5*AT85*AU85*(AM85)^2)</f>
        <v>#NAME?</v>
      </c>
      <c r="AW85" s="335" t="e">
        <f ca="1">0.0001*BicubicInterpolation('Drag Coef Table'!$B$4:$L$28,AV85,AC85)</f>
        <v>#NAME?</v>
      </c>
      <c r="AX85" s="336">
        <f>(-45.29)*0.0001*LOG10(  (  ( AG85 + 0.38312 ) / AG85^2    )   /   (   (AE85 +0.38312)/(AE85)^2  ) )</f>
        <v>1.1693948899576943E-4</v>
      </c>
      <c r="AY85" s="335" t="e">
        <f ca="1">AW85+AX85</f>
        <v>#NAME?</v>
      </c>
      <c r="AZ85" s="337" t="e">
        <f ca="1">AV85/AY85</f>
        <v>#NAME?</v>
      </c>
      <c r="BA85" s="338" t="e">
        <f ca="1">AY85*0.5*AT85*(AM85^2)*AU85/1000</f>
        <v>#NAME?</v>
      </c>
      <c r="BB85" s="339" t="e">
        <f ca="1">BA85/AQ85/9.80665</f>
        <v>#NAME?</v>
      </c>
      <c r="BC85" s="340">
        <v>75.196700000000007</v>
      </c>
      <c r="BD85" s="341">
        <f>AG85^0.68</f>
        <v>0.85486936714084694</v>
      </c>
      <c r="BE85" s="342" t="e">
        <f ca="1">AC85^0.53</f>
        <v>#NAME?</v>
      </c>
      <c r="BF85" s="341" t="e">
        <f ca="1">BicubicInterpolation('TSFC Eff Table'!$B$4:$E$69,2,BB85)</f>
        <v>#NAME?</v>
      </c>
      <c r="BG85" s="343" t="e">
        <f ca="1">BC85*BD85*BE85/BF85</f>
        <v>#NAME?</v>
      </c>
      <c r="BH85" s="694" t="e">
        <f ca="1">IF( S85="LRCINOP",   (1+(0.03/10)*Z85*(1+0.2*AC85^2) )*BicubicInterpolation( 'LRC INOP FF'!$C$4:$AA$21, Y85, U85 )-200, IF(S85 ="HOLDINGINOP", (1+(0.03/10)*Z85*(1+0.2*AC85^2) )*BicubicInterpolation( 'Holding INOP FF'!$C$4:$J$13,  Y85,  U85)/1.05-200,   BA85*BG85))</f>
        <v>#NAME?</v>
      </c>
      <c r="BI85" s="344" t="e">
        <f ca="1">IF( OR( S85="LRCINOP", S85 ="HOLDINGINOP"),BH85, BH85/2)</f>
        <v>#NAME?</v>
      </c>
      <c r="BJ85" s="339" t="e">
        <f ca="1">BI85/(AR85*AJ85)/1000</f>
        <v>#NAME?</v>
      </c>
      <c r="BK85" s="338" t="e">
        <f ca="1">IF( OR( S85="LRCINOP", S85 ="HOLDINGINOP"),BJ85, 2*BJ85)</f>
        <v>#NAME?</v>
      </c>
      <c r="BL85" s="345" t="e">
        <f ca="1">100*BK85/AS85</f>
        <v>#NAME?</v>
      </c>
      <c r="BM85" s="346">
        <f>200-IF(AA85="OFF",55,0)</f>
        <v>200</v>
      </c>
      <c r="BN85" s="347" t="e">
        <f ca="1">BI85+BM85</f>
        <v>#NAME?</v>
      </c>
      <c r="BO85" s="344" t="e">
        <f ca="1">IF( OR( S85="LRCINOP", S85 ="HOLDINGINOP"), BN85, 2*BN85)</f>
        <v>#NAME?</v>
      </c>
      <c r="BP85" s="337" t="e">
        <f ca="1">1000*AL85/BO85</f>
        <v>#NAME?</v>
      </c>
      <c r="BQ85" s="344" t="e">
        <f ca="1">BN85*(1+$C$25)</f>
        <v>#NAME?</v>
      </c>
      <c r="BR85" s="347" t="e">
        <f ca="1">BO85*(1+$C$25)</f>
        <v>#NAME?</v>
      </c>
      <c r="BS85" s="343" t="e">
        <f ca="1">1000*AL85/BR85</f>
        <v>#NAME?</v>
      </c>
      <c r="BT85" s="374"/>
      <c r="BU85" s="374"/>
      <c r="BV85" s="440">
        <v>0</v>
      </c>
      <c r="BW85" s="440">
        <v>0</v>
      </c>
      <c r="BX85" s="512" t="str">
        <f t="shared" ref="BX85:BX148" si="5">IF(Y85=0,I85,"")</f>
        <v/>
      </c>
      <c r="BY85" s="484">
        <f>100*O85</f>
        <v>4380</v>
      </c>
    </row>
    <row r="86" spans="2:77" ht="17.75" customHeight="1" x14ac:dyDescent="0.2">
      <c r="E86" s="423"/>
      <c r="I86" s="366">
        <v>2</v>
      </c>
      <c r="J86" s="414">
        <f>J85+1/1440</f>
        <v>41705.713888888895</v>
      </c>
      <c r="K86" s="435" t="e">
        <f ca="1">IF(M86=0,0,Q86*(1+$C$78)/60)</f>
        <v>#NAME?</v>
      </c>
      <c r="L86" s="435" t="e">
        <f t="shared" ca="1" si="0"/>
        <v>#NAME?</v>
      </c>
      <c r="M86" s="661" t="e">
        <f t="shared" ref="M86" ca="1" si="6">MAX(M85-K85/1000,0)</f>
        <v>#NAME?</v>
      </c>
      <c r="N86" s="661" t="e">
        <f ca="1">MAX(N85-L85/1000,0)</f>
        <v>#NAME?</v>
      </c>
      <c r="O86" s="140" t="e">
        <f t="shared" ref="O86:O149" ca="1" si="7">M86+N86</f>
        <v>#NAME?</v>
      </c>
      <c r="P86" s="352" t="e">
        <f ca="1">MAX(O86+$C$24,$C$24)</f>
        <v>#NAME?</v>
      </c>
      <c r="Q86" s="665" t="e">
        <f t="shared" ref="Q86:Q149" ca="1" si="8">IF(S86="MEFE",  0,    IF(S86="INOP",    $C$36*AQ86/0.2243,     IF(V86&lt;Y85,             IF(OR(S86="KCAS",S86="HOLDING",S86="HOLDINGINOP",S86="LRCINOP"),   $C$32,    (1+$C$30*ABS(X86)/1000)*BN86  ),      IF(V86&gt;Y85,   BN86*(1+$C$29*W86/1000),   IF(AND($C$34=1, OR(S86="HOLDING", S86="HOLDINGINOP")  ),1.05,1)*BN86    ))))</f>
        <v>#NAME?</v>
      </c>
      <c r="R86" s="352" t="e">
        <f t="shared" ref="R86:R91" ca="1" si="9">AC86</f>
        <v>#NAME?</v>
      </c>
      <c r="S86" s="662" t="e">
        <f t="shared" ref="S86:S149" ca="1" si="10">IF(O86=0, "MEFE",IF(AND(  NOT(S85="LRCINOP"),NOT(S85="HOLDINGINOP"),  N86=0), "INOP",IF(I86&gt;$M$83-1,$C$19,IF(I86&gt;$K$83-1,$C$13,$C$5))))</f>
        <v>#NAME?</v>
      </c>
      <c r="T86" s="443" t="e">
        <f t="shared" ca="1" si="1"/>
        <v>#NAME?</v>
      </c>
      <c r="U86" s="353" t="e">
        <f t="shared" ca="1" si="2"/>
        <v>#NAME?</v>
      </c>
      <c r="V86" s="454" t="e">
        <f t="shared" ref="V86:V149" ca="1" si="11">IF(S85="MEFE",0,IF(AND(S85="INOP", T86=$C$39 ), MIN($C$40,V85 ),IF(J85&lt;$C$12,$C$7,IF(J85&lt;$C$18,$C$15,$C$21))))</f>
        <v>#NAME?</v>
      </c>
      <c r="W86" s="457">
        <f t="shared" ref="W86:W149" si="12">$C$27</f>
        <v>1000</v>
      </c>
      <c r="X86" s="463" t="e">
        <f t="shared" ref="X86:X149" ca="1" si="13">IF(   Y85=0,  0,   IF(S86="INOP", $C$41, IF(S86="MEFE", $C$42,IF(OR(S86="KCAS",S86="HOLDING"), $C$31,$C$28 ) ))             )</f>
        <v>#NAME?</v>
      </c>
      <c r="Y86" s="455" t="e">
        <f ca="1">Y85   +   IF(   V86=Y85,   0,   IF(V86-Y85&lt;0, MAX(V86-Y85,X86/100), IF(    V86-Y85&gt;0,    MIN(V86-Y85, W86/100 ))))</f>
        <v>#NAME?</v>
      </c>
      <c r="Z86" s="699">
        <f t="shared" si="3"/>
        <v>10</v>
      </c>
      <c r="AA86" s="355" t="str">
        <f t="shared" si="4"/>
        <v>ON</v>
      </c>
      <c r="AB86" s="357">
        <f t="shared" ref="AB86:AB87" si="14">AB85</f>
        <v>1.4999999999999999E-2</v>
      </c>
      <c r="AC86" s="356" t="e">
        <f ca="1">IF(  Y85=0,0,IF(OR(S86="KCAS",S86="INOP",S86="MEFE"),   ( (5*( (   (((1+0.2*(T86/661.4786)^2)^3.5 -1)  )/( (1-6.8755856*10^-6 *100*Y86)^5.2558797) +1)^(2/7) -1) )^0.5),IF(S86="MACH",T86, IF(S86="LRC",BicubicInterpolation( 'LRC Mach'!$C$4:$AL$21, Y86,U86),  IF(S86="MRC",BicubicInterpolation( 'MRC Mach'!$C$3:$T$18, Y86,U86),  IF(S86="M0.84",0.84,  IF(S86="CI52",BicubicInterpolation('CI=52 Mach'!$C$3:$T$18, Y86,U86),  IF(S86="HOLDING",BicubicInterpolation(  'Holding Mach'!$C$4:$M$13, Y86,U86),                         IF(S86="LRCINOP", BicubicInterpolation('LRC INOP Mach'!$C$4:$AA$21,Y86,U86), IF(S86="HOLDINGINOP",  BicubicInterpolation('Holding INOP Mach'!$N$4:$U$13,Y86,U86),         "XXX" )))))))   )))</f>
        <v>#NAME?</v>
      </c>
      <c r="AD86" s="313" t="e">
        <f ca="1">IF(Y86&lt;360.8924,288.15-1.9812*Y86/10,216.65)</f>
        <v>#NAME?</v>
      </c>
      <c r="AE86" s="314" t="e">
        <f ca="1">AD86/288.15</f>
        <v>#NAME?</v>
      </c>
      <c r="AF86" s="313" t="e">
        <f ca="1">AD86+Z86</f>
        <v>#NAME?</v>
      </c>
      <c r="AG86" s="314" t="e">
        <f ca="1">AF86/288.15</f>
        <v>#NAME?</v>
      </c>
      <c r="AH86" s="313" t="e">
        <f ca="1">AF86*(1+0.2*AC86^2)</f>
        <v>#NAME?</v>
      </c>
      <c r="AI86" s="314" t="e">
        <f ca="1">AH86/288.15</f>
        <v>#NAME?</v>
      </c>
      <c r="AJ86" s="315" t="e">
        <f ca="1">AI86^0.68</f>
        <v>#NAME?</v>
      </c>
      <c r="AK86" s="568" t="e">
        <f ca="1">661.4786*SQRT(AG86)</f>
        <v>#NAME?</v>
      </c>
      <c r="AL86" s="313" t="e">
        <f ca="1">AC86*AK86</f>
        <v>#NAME?</v>
      </c>
      <c r="AM86" s="313" t="e">
        <f ca="1">AL86*0.5144444</f>
        <v>#NAME?</v>
      </c>
      <c r="AN86" s="313" t="e">
        <f ca="1">AN85+AVERAGE(AL85:AL86)/60</f>
        <v>#NAME?</v>
      </c>
      <c r="AO86" s="316" t="e">
        <f ca="1">661.4786*(5*((1 + ( (1-0.00068755856*Y86)^5.2558797)*((1 + AC86^2/5)^3.5 - 1))^(2/7) - 1))^0.5</f>
        <v>#NAME?</v>
      </c>
      <c r="AP86" s="313" t="e">
        <f ca="1">IF(Y86&lt;360.8924,1013.25*(1-0.0000068755856*100*Y86)^5.2558797,0.01*0.2233609*101325*EXP(-0.004806346*(Y86-360.8924)))</f>
        <v>#NAME?</v>
      </c>
      <c r="AQ86" s="314" t="e">
        <f ca="1">AP86/1013.25</f>
        <v>#NAME?</v>
      </c>
      <c r="AR86" s="315" t="e">
        <f ca="1">AQ86*(1+0.2*AC86^2)^3.5</f>
        <v>#NAME?</v>
      </c>
      <c r="AS86" s="316" t="e">
        <f ca="1">U86/AQ86</f>
        <v>#NAME?</v>
      </c>
      <c r="AT86" s="315" t="e">
        <f ca="1">1.225*AQ86/AG86</f>
        <v>#NAME?</v>
      </c>
      <c r="AU86" s="317">
        <v>427.8</v>
      </c>
      <c r="AV86" s="315" t="e">
        <f ca="1">1000*9.80665*U86/(0.5*AT86*AU86*(AM86)^2)</f>
        <v>#NAME?</v>
      </c>
      <c r="AW86" s="318" t="e">
        <f ca="1">0.0001*BicubicInterpolation('Drag Coef Table'!$B$4:$L$28,AV86,AC86)</f>
        <v>#NAME?</v>
      </c>
      <c r="AX86" s="319" t="e">
        <f ca="1">(-45.29)*0.0001*LOG10(  (  ( AG86 + 0.38312 ) / AG86^2    )   /   (   (AE86 +0.38312)/(AE86)^2  ) )</f>
        <v>#NAME?</v>
      </c>
      <c r="AY86" s="318" t="e">
        <f ca="1">AW86+AX86</f>
        <v>#NAME?</v>
      </c>
      <c r="AZ86" s="320" t="e">
        <f ca="1">AV86/AY86</f>
        <v>#NAME?</v>
      </c>
      <c r="BA86" s="321" t="e">
        <f ca="1">AY86*0.5*AT86*(AM86^2)*AU86/1000</f>
        <v>#NAME?</v>
      </c>
      <c r="BB86" s="322" t="e">
        <f ca="1">BA86/AQ86/9.80665</f>
        <v>#NAME?</v>
      </c>
      <c r="BC86" s="323">
        <v>75.196700000000007</v>
      </c>
      <c r="BD86" s="324" t="e">
        <f ca="1">AG86^0.68</f>
        <v>#NAME?</v>
      </c>
      <c r="BE86" s="325" t="e">
        <f ca="1">AC86^0.53</f>
        <v>#NAME?</v>
      </c>
      <c r="BF86" s="324" t="e">
        <f ca="1">BicubicInterpolation('TSFC Eff Table'!$B$4:$E$69,2,BB86)</f>
        <v>#NAME?</v>
      </c>
      <c r="BG86" s="326" t="e">
        <f ca="1">BC86*BD86*BE86/BF86</f>
        <v>#NAME?</v>
      </c>
      <c r="BH86" s="694" t="e">
        <f ca="1">IF( S86="LRCINOP",   (1+(0.03/10)*Z86*(1+0.2*AC86^2) )*BicubicInterpolation( 'LRC INOP FF'!$C$4:$AA$21, Y86, U86 )-200, IF(S86 ="HOLDINGINOP", (1+(0.03/10)*Z86*(1+0.2*AC86^2) )*BicubicInterpolation( 'Holding INOP FF'!$C$4:$J$13,  Y86,  U86)/1.05-200,   BA86*BG86))</f>
        <v>#NAME?</v>
      </c>
      <c r="BI86" s="344" t="e">
        <f t="shared" ref="BI86:BI149" ca="1" si="15">IF( OR( S86="LRCINOP", S86 ="HOLDINGINOP"),BH86, BH86/2)</f>
        <v>#NAME?</v>
      </c>
      <c r="BJ86" s="322" t="e">
        <f ca="1">BI86/(AR86*AJ86)/1000</f>
        <v>#NAME?</v>
      </c>
      <c r="BK86" s="338" t="e">
        <f t="shared" ref="BK86:BK149" ca="1" si="16">IF( OR( S86="LRCINOP", S86 ="HOLDINGINOP"),BJ86, 2*BJ86)</f>
        <v>#NAME?</v>
      </c>
      <c r="BL86" s="327" t="e">
        <f ca="1">100*BK86/AS86</f>
        <v>#NAME?</v>
      </c>
      <c r="BM86" s="328">
        <f>200-IF(AA86="OFF",55,0)</f>
        <v>200</v>
      </c>
      <c r="BN86" s="329" t="e">
        <f ca="1">BI86+BM86</f>
        <v>#NAME?</v>
      </c>
      <c r="BO86" s="344" t="e">
        <f t="shared" ref="BO86:BO149" ca="1" si="17">IF( OR( S86="LRCINOP", S86 ="HOLDINGINOP"), BN86, 2*BN86)</f>
        <v>#NAME?</v>
      </c>
      <c r="BP86" s="320" t="e">
        <f ca="1">1000*AL86/BO86</f>
        <v>#NAME?</v>
      </c>
      <c r="BQ86" s="344" t="e">
        <f t="shared" ref="BQ86:BQ149" ca="1" si="18">BN86*(1+$C$25)</f>
        <v>#NAME?</v>
      </c>
      <c r="BR86" s="347" t="e">
        <f t="shared" ref="BR86:BR149" ca="1" si="19">BO86*(1+$C$25)</f>
        <v>#NAME?</v>
      </c>
      <c r="BS86" s="326" t="e">
        <f ca="1">1000*AL86/BR86</f>
        <v>#NAME?</v>
      </c>
      <c r="BT86" s="437" t="e">
        <f ca="1">IF(AND(M86=0,M85&gt;0),$I86,"")</f>
        <v>#NAME?</v>
      </c>
      <c r="BU86" s="437" t="e">
        <f ca="1">IF(AND(N86=0,N85&gt;0),$I86,"")</f>
        <v>#NAME?</v>
      </c>
      <c r="BV86" s="507" t="e">
        <f ca="1">BV85+AC85</f>
        <v>#NAME?</v>
      </c>
      <c r="BW86" s="508" t="e">
        <f ca="1">BW85+AL85</f>
        <v>#NAME?</v>
      </c>
      <c r="BX86" s="470" t="e">
        <f t="shared" ca="1" si="5"/>
        <v>#NAME?</v>
      </c>
      <c r="BY86" s="509" t="e">
        <f t="shared" ref="BY86:BY149" ca="1" si="20">100*O86</f>
        <v>#NAME?</v>
      </c>
    </row>
    <row r="87" spans="2:77" ht="17.75" customHeight="1" x14ac:dyDescent="0.2">
      <c r="E87" s="423"/>
      <c r="I87" s="366">
        <v>3</v>
      </c>
      <c r="J87" s="414">
        <f t="shared" ref="J87:J150" si="21">J86+1/1440</f>
        <v>41705.714583333342</v>
      </c>
      <c r="K87" s="435" t="e">
        <f t="shared" ref="K87:K150" ca="1" si="22">IF(M87=0,0,Q87*(1+$C$78)/60)</f>
        <v>#NAME?</v>
      </c>
      <c r="L87" s="435" t="e">
        <f t="shared" ca="1" si="0"/>
        <v>#NAME?</v>
      </c>
      <c r="M87" s="664" t="e">
        <f t="shared" ref="M87:M150" ca="1" si="23">IF(  AND(OR(S86="LRCINOP",S86="HOLDINGINOP"),NOT(S86=S85), $C$35="L"), 0,   IF(  AND(OR(S86="LRCINOP",S86="HOLDINGINOP"),NOT(S86=S85), $C$35="R"),  MAX(M86-K86/1000+N86,0),MAX(M86-K86/1000,0)   ))</f>
        <v>#NAME?</v>
      </c>
      <c r="N87" s="664" t="e">
        <f t="shared" ref="N87:N150" ca="1" si="24">IF(  AND(OR(S86="LRCINOP",S86="HOLDINGINOP"),NOT(S86=S85), $C$35="R"), 0,   IF(  AND(OR(S86="LRCINOP",S86="HOLDINGINOP"),NOT(S86=S85), $C$35="L"),  MAX(N86-L86/1000+M86,0),MAX(N86-L86/1000,0)   ))</f>
        <v>#NAME?</v>
      </c>
      <c r="O87" s="140" t="e">
        <f t="shared" ca="1" si="7"/>
        <v>#NAME?</v>
      </c>
      <c r="P87" s="352" t="e">
        <f t="shared" ref="P87:P150" ca="1" si="25">MAX(O87+$C$24,$C$24)</f>
        <v>#NAME?</v>
      </c>
      <c r="Q87" s="665" t="e">
        <f t="shared" ca="1" si="8"/>
        <v>#NAME?</v>
      </c>
      <c r="R87" s="352" t="e">
        <f t="shared" ca="1" si="9"/>
        <v>#NAME?</v>
      </c>
      <c r="S87" s="662" t="e">
        <f t="shared" ca="1" si="10"/>
        <v>#NAME?</v>
      </c>
      <c r="T87" s="443" t="e">
        <f t="shared" ca="1" si="1"/>
        <v>#NAME?</v>
      </c>
      <c r="U87" s="353" t="e">
        <f t="shared" ca="1" si="2"/>
        <v>#NAME?</v>
      </c>
      <c r="V87" s="454" t="e">
        <f t="shared" ca="1" si="11"/>
        <v>#NAME?</v>
      </c>
      <c r="W87" s="457">
        <f t="shared" si="12"/>
        <v>1000</v>
      </c>
      <c r="X87" s="463" t="e">
        <f t="shared" ca="1" si="13"/>
        <v>#NAME?</v>
      </c>
      <c r="Y87" s="455" t="e">
        <f t="shared" ref="Y87:Y150" ca="1" si="26">Y86   +   IF(   V87=Y86,   0,   IF(V87-Y86&lt;0, MAX(V87-Y86,X87/100), IF(    V87-Y86&gt;0,    MIN(V87-Y86, W87/100 ))))</f>
        <v>#NAME?</v>
      </c>
      <c r="Z87" s="699">
        <f t="shared" si="3"/>
        <v>10</v>
      </c>
      <c r="AA87" s="355" t="str">
        <f t="shared" si="4"/>
        <v>ON</v>
      </c>
      <c r="AB87" s="357">
        <f t="shared" si="14"/>
        <v>1.4999999999999999E-2</v>
      </c>
      <c r="AC87" s="356" t="e">
        <f ca="1">IF(  Y86=0,0,IF(OR(S87="KCAS",S87="INOP",S87="MEFE"),   ( (5*( (   (((1+0.2*(T87/661.4786)^2)^3.5 -1)  )/( (1-6.8755856*10^-6 *100*Y87)^5.2558797) +1)^(2/7) -1) )^0.5),IF(S87="MACH",T87, IF(S87="LRC",BicubicInterpolation( 'LRC Mach'!$C$4:$AL$21, Y87,U87),  IF(S87="MRC",BicubicInterpolation( 'MRC Mach'!$C$3:$T$18, Y87,U87),  IF(S87="M0.84",0.84,  IF(S87="CI52",BicubicInterpolation('CI=52 Mach'!$C$3:$T$18, Y87,U87),  IF(S87="HOLDING",BicubicInterpolation(  'Holding Mach'!$C$4:$M$13, Y87,U87),                         IF(S87="LRCINOP", BicubicInterpolation('LRC INOP Mach'!$C$4:$AA$21,Y87,U87), IF(S87="HOLDINGINOP",  BicubicInterpolation('Holding INOP Mach'!$N$4:$U$13,Y87,U87),         "XXX" )))))))   )))</f>
        <v>#NAME?</v>
      </c>
      <c r="AD87" s="330" t="e">
        <f t="shared" ref="AD87:AD94" ca="1" si="27">IF(Y87&lt;360.8924,288.15-1.9812*Y87/10,216.65)</f>
        <v>#NAME?</v>
      </c>
      <c r="AE87" s="331" t="e">
        <f t="shared" ref="AE87:AE150" ca="1" si="28">AD87/288.15</f>
        <v>#NAME?</v>
      </c>
      <c r="AF87" s="330" t="e">
        <f ca="1">AD87+Z87</f>
        <v>#NAME?</v>
      </c>
      <c r="AG87" s="331" t="e">
        <f t="shared" ref="AG87:AG150" ca="1" si="29">AF87/288.15</f>
        <v>#NAME?</v>
      </c>
      <c r="AH87" s="330" t="e">
        <f t="shared" ref="AH87:AH94" ca="1" si="30">AF87*(1+0.2*AC87^2)</f>
        <v>#NAME?</v>
      </c>
      <c r="AI87" s="331" t="e">
        <f t="shared" ref="AI87:AI150" ca="1" si="31">AH87/288.15</f>
        <v>#NAME?</v>
      </c>
      <c r="AJ87" s="332" t="e">
        <f t="shared" ref="AJ87:AJ150" ca="1" si="32">AI87^0.68</f>
        <v>#NAME?</v>
      </c>
      <c r="AK87" s="567" t="e">
        <f t="shared" ref="AK87:AK94" ca="1" si="33">661.4786*SQRT(AG87)</f>
        <v>#NAME?</v>
      </c>
      <c r="AL87" s="330" t="e">
        <f t="shared" ref="AL87:AL94" ca="1" si="34">AC87*AK87</f>
        <v>#NAME?</v>
      </c>
      <c r="AM87" s="330" t="e">
        <f t="shared" ref="AM87:AM150" ca="1" si="35">AL87*0.5144444</f>
        <v>#NAME?</v>
      </c>
      <c r="AN87" s="313" t="e">
        <f t="shared" ref="AN87:AN150" ca="1" si="36">AN86+AVERAGE(AL86:AL87)/60</f>
        <v>#NAME?</v>
      </c>
      <c r="AO87" s="333" t="e">
        <f t="shared" ref="AO87:AO94" ca="1" si="37">661.4786*(5*((1 + ( (1-0.00068755856*Y87)^5.2558797)*((1 + AC87^2/5)^3.5 - 1))^(2/7) - 1))^0.5</f>
        <v>#NAME?</v>
      </c>
      <c r="AP87" s="330" t="e">
        <f t="shared" ref="AP87:AP94" ca="1" si="38">IF(Y87&lt;360.8924,1013.25*(1-0.0000068755856*100*Y87)^5.2558797,0.01*0.2233609*101325*EXP(-0.004806346*(Y87-360.8924)))</f>
        <v>#NAME?</v>
      </c>
      <c r="AQ87" s="331" t="e">
        <f t="shared" ref="AQ87:AQ150" ca="1" si="39">AP87/1013.25</f>
        <v>#NAME?</v>
      </c>
      <c r="AR87" s="332" t="e">
        <f t="shared" ref="AR87:AR94" ca="1" si="40">AQ87*(1+0.2*AC87^2)^3.5</f>
        <v>#NAME?</v>
      </c>
      <c r="AS87" s="333" t="e">
        <f t="shared" ref="AS87:AS94" ca="1" si="41">U87/AQ87</f>
        <v>#NAME?</v>
      </c>
      <c r="AT87" s="332" t="e">
        <f t="shared" ref="AT87:AT94" ca="1" si="42">1.225*AQ87/AG87</f>
        <v>#NAME?</v>
      </c>
      <c r="AU87" s="334">
        <v>427.8</v>
      </c>
      <c r="AV87" s="332" t="e">
        <f t="shared" ref="AV87:AV94" ca="1" si="43">1000*9.80665*U87/(0.5*AT87*AU87*(AM87)^2)</f>
        <v>#NAME?</v>
      </c>
      <c r="AW87" s="335" t="e">
        <f ca="1">0.0001*BicubicInterpolation('Drag Coef Table'!$B$4:$L$28,AV87,AC87)</f>
        <v>#NAME?</v>
      </c>
      <c r="AX87" s="336" t="e">
        <f t="shared" ref="AX87:AX94" ca="1" si="44">(-45.29)*0.0001*LOG10(  (  ( AG87 + 0.38312 ) / AG87^2    )   /   (   (AE87 +0.38312)/(AE87)^2  ) )</f>
        <v>#NAME?</v>
      </c>
      <c r="AY87" s="335" t="e">
        <f t="shared" ref="AY87:AY94" ca="1" si="45">AW87+AX87</f>
        <v>#NAME?</v>
      </c>
      <c r="AZ87" s="337" t="e">
        <f t="shared" ref="AZ87:AZ94" ca="1" si="46">AV87/AY87</f>
        <v>#NAME?</v>
      </c>
      <c r="BA87" s="338" t="e">
        <f t="shared" ref="BA87:BA94" ca="1" si="47">AY87*0.5*AT87*(AM87^2)*AU87/1000</f>
        <v>#NAME?</v>
      </c>
      <c r="BB87" s="339" t="e">
        <f t="shared" ref="BB87:BB94" ca="1" si="48">BA87/AQ87/9.80665</f>
        <v>#NAME?</v>
      </c>
      <c r="BC87" s="340">
        <v>75.196700000000007</v>
      </c>
      <c r="BD87" s="341" t="e">
        <f t="shared" ref="BD87:BD94" ca="1" si="49">AG87^0.68</f>
        <v>#NAME?</v>
      </c>
      <c r="BE87" s="342" t="e">
        <f t="shared" ref="BE87:BE94" ca="1" si="50">AC87^0.53</f>
        <v>#NAME?</v>
      </c>
      <c r="BF87" s="341" t="e">
        <f ca="1">BicubicInterpolation('TSFC Eff Table'!$B$4:$E$69,2,BB87)</f>
        <v>#NAME?</v>
      </c>
      <c r="BG87" s="343" t="e">
        <f t="shared" ref="BG87:BG94" ca="1" si="51">BC87*BD87*BE87/BF87</f>
        <v>#NAME?</v>
      </c>
      <c r="BH87" s="694" t="e">
        <f ca="1">IF( S87="LRCINOP",   (1+(0.03/10)*Z87*(1+0.2*AC87^2) )*BicubicInterpolation( 'LRC INOP FF'!$C$4:$AA$21, Y87, U87 )-200, IF(S87 ="HOLDINGINOP", (1+(0.03/10)*Z87*(1+0.2*AC87^2) )*BicubicInterpolation( 'Holding INOP FF'!$C$4:$J$13,  Y87,  U87)/1.05-200,   BA87*BG87))</f>
        <v>#NAME?</v>
      </c>
      <c r="BI87" s="344" t="e">
        <f t="shared" ca="1" si="15"/>
        <v>#NAME?</v>
      </c>
      <c r="BJ87" s="339" t="e">
        <f t="shared" ref="BJ87:BJ94" ca="1" si="52">BI87/(AR87*AJ87)/1000</f>
        <v>#NAME?</v>
      </c>
      <c r="BK87" s="338" t="e">
        <f t="shared" ca="1" si="16"/>
        <v>#NAME?</v>
      </c>
      <c r="BL87" s="345" t="e">
        <f t="shared" ref="BL87:BL94" ca="1" si="53">100*BK87/AS87</f>
        <v>#NAME?</v>
      </c>
      <c r="BM87" s="346">
        <f t="shared" ref="BM87:BM94" si="54">200-IF(AA87="OFF",55,0)</f>
        <v>200</v>
      </c>
      <c r="BN87" s="347" t="e">
        <f t="shared" ref="BN87:BN94" ca="1" si="55">BI87+BM87</f>
        <v>#NAME?</v>
      </c>
      <c r="BO87" s="344" t="e">
        <f t="shared" ca="1" si="17"/>
        <v>#NAME?</v>
      </c>
      <c r="BP87" s="337" t="e">
        <f t="shared" ref="BP87:BP94" ca="1" si="56">1000*AL87/BO87</f>
        <v>#NAME?</v>
      </c>
      <c r="BQ87" s="344" t="e">
        <f t="shared" ca="1" si="18"/>
        <v>#NAME?</v>
      </c>
      <c r="BR87" s="347" t="e">
        <f t="shared" ca="1" si="19"/>
        <v>#NAME?</v>
      </c>
      <c r="BS87" s="343" t="e">
        <f t="shared" ref="BS87:BS94" ca="1" si="57">1000*AL87/BR87</f>
        <v>#NAME?</v>
      </c>
      <c r="BT87" s="437" t="e">
        <f t="shared" ref="BT87:BT150" ca="1" si="58">IF(AND(M87=0,M86&gt;0),I87,"")</f>
        <v>#NAME?</v>
      </c>
      <c r="BU87" s="437" t="e">
        <f t="shared" ref="BU87:BU150" ca="1" si="59">IF(AND(N87=0,N86&gt;0),$I87,"")</f>
        <v>#NAME?</v>
      </c>
      <c r="BV87" s="441" t="e">
        <f t="shared" ref="BV87:BV150" ca="1" si="60">BV86+AC86</f>
        <v>#NAME?</v>
      </c>
      <c r="BW87" s="442" t="e">
        <f t="shared" ref="BW87:BW150" ca="1" si="61">BW86+AL86</f>
        <v>#NAME?</v>
      </c>
      <c r="BX87" s="470" t="e">
        <f t="shared" ca="1" si="5"/>
        <v>#NAME?</v>
      </c>
      <c r="BY87" s="484" t="e">
        <f t="shared" ca="1" si="20"/>
        <v>#NAME?</v>
      </c>
    </row>
    <row r="88" spans="2:77" ht="17.75" customHeight="1" x14ac:dyDescent="0.2">
      <c r="E88" s="423"/>
      <c r="I88" s="366">
        <v>4</v>
      </c>
      <c r="J88" s="414">
        <f t="shared" si="21"/>
        <v>41705.715277777788</v>
      </c>
      <c r="K88" s="435" t="e">
        <f t="shared" ca="1" si="22"/>
        <v>#NAME?</v>
      </c>
      <c r="L88" s="435" t="e">
        <f t="shared" ca="1" si="0"/>
        <v>#NAME?</v>
      </c>
      <c r="M88" s="664" t="e">
        <f t="shared" ca="1" si="23"/>
        <v>#NAME?</v>
      </c>
      <c r="N88" s="664" t="e">
        <f t="shared" ca="1" si="24"/>
        <v>#NAME?</v>
      </c>
      <c r="O88" s="140" t="e">
        <f t="shared" ca="1" si="7"/>
        <v>#NAME?</v>
      </c>
      <c r="P88" s="352" t="e">
        <f t="shared" ca="1" si="25"/>
        <v>#NAME?</v>
      </c>
      <c r="Q88" s="665" t="e">
        <f t="shared" ca="1" si="8"/>
        <v>#NAME?</v>
      </c>
      <c r="R88" s="352" t="e">
        <f t="shared" ca="1" si="9"/>
        <v>#NAME?</v>
      </c>
      <c r="S88" s="662" t="e">
        <f t="shared" ca="1" si="10"/>
        <v>#NAME?</v>
      </c>
      <c r="T88" s="443" t="e">
        <f t="shared" ca="1" si="1"/>
        <v>#NAME?</v>
      </c>
      <c r="U88" s="353" t="e">
        <f t="shared" ca="1" si="2"/>
        <v>#NAME?</v>
      </c>
      <c r="V88" s="454" t="e">
        <f t="shared" ca="1" si="11"/>
        <v>#NAME?</v>
      </c>
      <c r="W88" s="457">
        <f t="shared" si="12"/>
        <v>1000</v>
      </c>
      <c r="X88" s="463" t="e">
        <f t="shared" ca="1" si="13"/>
        <v>#NAME?</v>
      </c>
      <c r="Y88" s="455" t="e">
        <f t="shared" ca="1" si="26"/>
        <v>#NAME?</v>
      </c>
      <c r="Z88" s="699">
        <f t="shared" si="3"/>
        <v>10</v>
      </c>
      <c r="AA88" s="355" t="str">
        <f t="shared" si="4"/>
        <v>ON</v>
      </c>
      <c r="AB88" s="357">
        <f t="shared" ref="AB88:AB94" si="62">AB87</f>
        <v>1.4999999999999999E-2</v>
      </c>
      <c r="AC88" s="356" t="e">
        <f ca="1">IF(  Y87=0,0,IF(OR(S88="KCAS",S88="INOP",S88="MEFE"),   ( (5*( (   (((1+0.2*(T88/661.4786)^2)^3.5 -1)  )/( (1-6.8755856*10^-6 *100*Y88)^5.2558797) +1)^(2/7) -1) )^0.5),IF(S88="MACH",T88, IF(S88="LRC",BicubicInterpolation( 'LRC Mach'!$C$4:$AL$21, Y88,U88),  IF(S88="MRC",BicubicInterpolation( 'MRC Mach'!$C$3:$T$18, Y88,U88),  IF(S88="M0.84",0.84,  IF(S88="CI52",BicubicInterpolation('CI=52 Mach'!$C$3:$T$18, Y88,U88),  IF(S88="HOLDING",BicubicInterpolation(  'Holding Mach'!$C$4:$M$13, Y88,U88),                         IF(S88="LRCINOP", BicubicInterpolation('LRC INOP Mach'!$C$4:$AA$21,Y88,U88), IF(S88="HOLDINGINOP",  BicubicInterpolation('Holding INOP Mach'!$N$4:$U$13,Y88,U88),         "XXX" )))))))   )))</f>
        <v>#NAME?</v>
      </c>
      <c r="AD88" s="313" t="e">
        <f t="shared" ca="1" si="27"/>
        <v>#NAME?</v>
      </c>
      <c r="AE88" s="314" t="e">
        <f t="shared" ca="1" si="28"/>
        <v>#NAME?</v>
      </c>
      <c r="AF88" s="313" t="e">
        <f t="shared" ref="AF88:AF94" ca="1" si="63">AD88+Z88</f>
        <v>#NAME?</v>
      </c>
      <c r="AG88" s="314" t="e">
        <f t="shared" ca="1" si="29"/>
        <v>#NAME?</v>
      </c>
      <c r="AH88" s="313" t="e">
        <f t="shared" ca="1" si="30"/>
        <v>#NAME?</v>
      </c>
      <c r="AI88" s="314" t="e">
        <f t="shared" ca="1" si="31"/>
        <v>#NAME?</v>
      </c>
      <c r="AJ88" s="315" t="e">
        <f t="shared" ca="1" si="32"/>
        <v>#NAME?</v>
      </c>
      <c r="AK88" s="568" t="e">
        <f t="shared" ca="1" si="33"/>
        <v>#NAME?</v>
      </c>
      <c r="AL88" s="313" t="e">
        <f t="shared" ca="1" si="34"/>
        <v>#NAME?</v>
      </c>
      <c r="AM88" s="313" t="e">
        <f t="shared" ca="1" si="35"/>
        <v>#NAME?</v>
      </c>
      <c r="AN88" s="313" t="e">
        <f t="shared" ca="1" si="36"/>
        <v>#NAME?</v>
      </c>
      <c r="AO88" s="316" t="e">
        <f t="shared" ca="1" si="37"/>
        <v>#NAME?</v>
      </c>
      <c r="AP88" s="313" t="e">
        <f t="shared" ca="1" si="38"/>
        <v>#NAME?</v>
      </c>
      <c r="AQ88" s="314" t="e">
        <f t="shared" ca="1" si="39"/>
        <v>#NAME?</v>
      </c>
      <c r="AR88" s="315" t="e">
        <f t="shared" ca="1" si="40"/>
        <v>#NAME?</v>
      </c>
      <c r="AS88" s="316" t="e">
        <f t="shared" ca="1" si="41"/>
        <v>#NAME?</v>
      </c>
      <c r="AT88" s="315" t="e">
        <f t="shared" ca="1" si="42"/>
        <v>#NAME?</v>
      </c>
      <c r="AU88" s="317">
        <v>427.8</v>
      </c>
      <c r="AV88" s="315" t="e">
        <f t="shared" ca="1" si="43"/>
        <v>#NAME?</v>
      </c>
      <c r="AW88" s="318" t="e">
        <f ca="1">0.0001*BicubicInterpolation('Drag Coef Table'!$B$4:$L$28,AV88,AC88)</f>
        <v>#NAME?</v>
      </c>
      <c r="AX88" s="319" t="e">
        <f t="shared" ca="1" si="44"/>
        <v>#NAME?</v>
      </c>
      <c r="AY88" s="318" t="e">
        <f t="shared" ca="1" si="45"/>
        <v>#NAME?</v>
      </c>
      <c r="AZ88" s="320" t="e">
        <f t="shared" ca="1" si="46"/>
        <v>#NAME?</v>
      </c>
      <c r="BA88" s="321" t="e">
        <f t="shared" ca="1" si="47"/>
        <v>#NAME?</v>
      </c>
      <c r="BB88" s="322" t="e">
        <f t="shared" ca="1" si="48"/>
        <v>#NAME?</v>
      </c>
      <c r="BC88" s="323">
        <v>75.196700000000007</v>
      </c>
      <c r="BD88" s="324" t="e">
        <f t="shared" ca="1" si="49"/>
        <v>#NAME?</v>
      </c>
      <c r="BE88" s="325" t="e">
        <f t="shared" ca="1" si="50"/>
        <v>#NAME?</v>
      </c>
      <c r="BF88" s="324" t="e">
        <f ca="1">BicubicInterpolation('TSFC Eff Table'!$B$4:$E$69,2,BB88)</f>
        <v>#NAME?</v>
      </c>
      <c r="BG88" s="326" t="e">
        <f t="shared" ca="1" si="51"/>
        <v>#NAME?</v>
      </c>
      <c r="BH88" s="694" t="e">
        <f ca="1">IF( S88="LRCINOP",   (1+(0.03/10)*Z88*(1+0.2*AC88^2) )*BicubicInterpolation( 'LRC INOP FF'!$C$4:$AA$21, Y88, U88 )-200, IF(S88 ="HOLDINGINOP", (1+(0.03/10)*Z88*(1+0.2*AC88^2) )*BicubicInterpolation( 'Holding INOP FF'!$C$4:$J$13,  Y88,  U88)/1.05-200,   BA88*BG88))</f>
        <v>#NAME?</v>
      </c>
      <c r="BI88" s="344" t="e">
        <f t="shared" ca="1" si="15"/>
        <v>#NAME?</v>
      </c>
      <c r="BJ88" s="322" t="e">
        <f t="shared" ca="1" si="52"/>
        <v>#NAME?</v>
      </c>
      <c r="BK88" s="338" t="e">
        <f t="shared" ca="1" si="16"/>
        <v>#NAME?</v>
      </c>
      <c r="BL88" s="327" t="e">
        <f t="shared" ca="1" si="53"/>
        <v>#NAME?</v>
      </c>
      <c r="BM88" s="328">
        <f t="shared" si="54"/>
        <v>200</v>
      </c>
      <c r="BN88" s="329" t="e">
        <f t="shared" ca="1" si="55"/>
        <v>#NAME?</v>
      </c>
      <c r="BO88" s="344" t="e">
        <f t="shared" ca="1" si="17"/>
        <v>#NAME?</v>
      </c>
      <c r="BP88" s="320" t="e">
        <f t="shared" ca="1" si="56"/>
        <v>#NAME?</v>
      </c>
      <c r="BQ88" s="344" t="e">
        <f t="shared" ca="1" si="18"/>
        <v>#NAME?</v>
      </c>
      <c r="BR88" s="347" t="e">
        <f t="shared" ca="1" si="19"/>
        <v>#NAME?</v>
      </c>
      <c r="BS88" s="326" t="e">
        <f t="shared" ca="1" si="57"/>
        <v>#NAME?</v>
      </c>
      <c r="BT88" s="437" t="e">
        <f t="shared" ca="1" si="58"/>
        <v>#NAME?</v>
      </c>
      <c r="BU88" s="437" t="e">
        <f t="shared" ca="1" si="59"/>
        <v>#NAME?</v>
      </c>
      <c r="BV88" s="441" t="e">
        <f t="shared" ca="1" si="60"/>
        <v>#NAME?</v>
      </c>
      <c r="BW88" s="442" t="e">
        <f t="shared" ca="1" si="61"/>
        <v>#NAME?</v>
      </c>
      <c r="BX88" s="470" t="e">
        <f t="shared" ca="1" si="5"/>
        <v>#NAME?</v>
      </c>
      <c r="BY88" s="484" t="e">
        <f t="shared" ca="1" si="20"/>
        <v>#NAME?</v>
      </c>
    </row>
    <row r="89" spans="2:77" ht="17.75" customHeight="1" x14ac:dyDescent="0.2">
      <c r="E89" s="423"/>
      <c r="I89" s="366">
        <v>5</v>
      </c>
      <c r="J89" s="414">
        <f t="shared" si="21"/>
        <v>41705.715972222235</v>
      </c>
      <c r="K89" s="435" t="e">
        <f t="shared" ca="1" si="22"/>
        <v>#NAME?</v>
      </c>
      <c r="L89" s="435" t="e">
        <f t="shared" ca="1" si="0"/>
        <v>#NAME?</v>
      </c>
      <c r="M89" s="664" t="e">
        <f t="shared" ca="1" si="23"/>
        <v>#NAME?</v>
      </c>
      <c r="N89" s="664" t="e">
        <f t="shared" ca="1" si="24"/>
        <v>#NAME?</v>
      </c>
      <c r="O89" s="140" t="e">
        <f t="shared" ca="1" si="7"/>
        <v>#NAME?</v>
      </c>
      <c r="P89" s="352" t="e">
        <f t="shared" ca="1" si="25"/>
        <v>#NAME?</v>
      </c>
      <c r="Q89" s="665" t="e">
        <f t="shared" ca="1" si="8"/>
        <v>#NAME?</v>
      </c>
      <c r="R89" s="352" t="e">
        <f t="shared" ca="1" si="9"/>
        <v>#NAME?</v>
      </c>
      <c r="S89" s="662" t="e">
        <f t="shared" ca="1" si="10"/>
        <v>#NAME?</v>
      </c>
      <c r="T89" s="443" t="e">
        <f t="shared" ca="1" si="1"/>
        <v>#NAME?</v>
      </c>
      <c r="U89" s="353" t="e">
        <f t="shared" ca="1" si="2"/>
        <v>#NAME?</v>
      </c>
      <c r="V89" s="454" t="e">
        <f t="shared" ca="1" si="11"/>
        <v>#NAME?</v>
      </c>
      <c r="W89" s="457">
        <f t="shared" si="12"/>
        <v>1000</v>
      </c>
      <c r="X89" s="463" t="e">
        <f t="shared" ca="1" si="13"/>
        <v>#NAME?</v>
      </c>
      <c r="Y89" s="455" t="e">
        <f t="shared" ca="1" si="26"/>
        <v>#NAME?</v>
      </c>
      <c r="Z89" s="699">
        <f t="shared" si="3"/>
        <v>10</v>
      </c>
      <c r="AA89" s="355" t="str">
        <f t="shared" si="4"/>
        <v>ON</v>
      </c>
      <c r="AB89" s="357">
        <f t="shared" si="62"/>
        <v>1.4999999999999999E-2</v>
      </c>
      <c r="AC89" s="356" t="e">
        <f ca="1">IF(  Y88=0,0,IF(OR(S89="KCAS",S89="INOP",S89="MEFE"),   ( (5*( (   (((1+0.2*(T89/661.4786)^2)^3.5 -1)  )/( (1-6.8755856*10^-6 *100*Y89)^5.2558797) +1)^(2/7) -1) )^0.5),IF(S89="MACH",T89, IF(S89="LRC",BicubicInterpolation( 'LRC Mach'!$C$4:$AL$21, Y89,U89),  IF(S89="MRC",BicubicInterpolation( 'MRC Mach'!$C$3:$T$18, Y89,U89),  IF(S89="M0.84",0.84,  IF(S89="CI52",BicubicInterpolation('CI=52 Mach'!$C$3:$T$18, Y89,U89),  IF(S89="HOLDING",BicubicInterpolation(  'Holding Mach'!$C$4:$M$13, Y89,U89),                         IF(S89="LRCINOP", BicubicInterpolation('LRC INOP Mach'!$C$4:$AA$21,Y89,U89), IF(S89="HOLDINGINOP",  BicubicInterpolation('Holding INOP Mach'!$N$4:$U$13,Y89,U89),         "XXX" )))))))   )))</f>
        <v>#NAME?</v>
      </c>
      <c r="AD89" s="330" t="e">
        <f t="shared" ca="1" si="27"/>
        <v>#NAME?</v>
      </c>
      <c r="AE89" s="331" t="e">
        <f t="shared" ca="1" si="28"/>
        <v>#NAME?</v>
      </c>
      <c r="AF89" s="330" t="e">
        <f t="shared" ca="1" si="63"/>
        <v>#NAME?</v>
      </c>
      <c r="AG89" s="331" t="e">
        <f t="shared" ca="1" si="29"/>
        <v>#NAME?</v>
      </c>
      <c r="AH89" s="330" t="e">
        <f t="shared" ca="1" si="30"/>
        <v>#NAME?</v>
      </c>
      <c r="AI89" s="331" t="e">
        <f t="shared" ca="1" si="31"/>
        <v>#NAME?</v>
      </c>
      <c r="AJ89" s="332" t="e">
        <f t="shared" ca="1" si="32"/>
        <v>#NAME?</v>
      </c>
      <c r="AK89" s="567" t="e">
        <f t="shared" ca="1" si="33"/>
        <v>#NAME?</v>
      </c>
      <c r="AL89" s="330" t="e">
        <f t="shared" ca="1" si="34"/>
        <v>#NAME?</v>
      </c>
      <c r="AM89" s="330" t="e">
        <f t="shared" ca="1" si="35"/>
        <v>#NAME?</v>
      </c>
      <c r="AN89" s="313" t="e">
        <f t="shared" ca="1" si="36"/>
        <v>#NAME?</v>
      </c>
      <c r="AO89" s="333" t="e">
        <f t="shared" ca="1" si="37"/>
        <v>#NAME?</v>
      </c>
      <c r="AP89" s="330" t="e">
        <f t="shared" ca="1" si="38"/>
        <v>#NAME?</v>
      </c>
      <c r="AQ89" s="331" t="e">
        <f t="shared" ca="1" si="39"/>
        <v>#NAME?</v>
      </c>
      <c r="AR89" s="332" t="e">
        <f t="shared" ca="1" si="40"/>
        <v>#NAME?</v>
      </c>
      <c r="AS89" s="333" t="e">
        <f t="shared" ca="1" si="41"/>
        <v>#NAME?</v>
      </c>
      <c r="AT89" s="332" t="e">
        <f t="shared" ca="1" si="42"/>
        <v>#NAME?</v>
      </c>
      <c r="AU89" s="334">
        <v>427.8</v>
      </c>
      <c r="AV89" s="332" t="e">
        <f t="shared" ca="1" si="43"/>
        <v>#NAME?</v>
      </c>
      <c r="AW89" s="335" t="e">
        <f ca="1">0.0001*BicubicInterpolation('Drag Coef Table'!$B$4:$L$28,AV89,AC89)</f>
        <v>#NAME?</v>
      </c>
      <c r="AX89" s="336" t="e">
        <f t="shared" ca="1" si="44"/>
        <v>#NAME?</v>
      </c>
      <c r="AY89" s="335" t="e">
        <f t="shared" ca="1" si="45"/>
        <v>#NAME?</v>
      </c>
      <c r="AZ89" s="337" t="e">
        <f t="shared" ca="1" si="46"/>
        <v>#NAME?</v>
      </c>
      <c r="BA89" s="338" t="e">
        <f t="shared" ca="1" si="47"/>
        <v>#NAME?</v>
      </c>
      <c r="BB89" s="339" t="e">
        <f t="shared" ca="1" si="48"/>
        <v>#NAME?</v>
      </c>
      <c r="BC89" s="340">
        <v>75.196700000000007</v>
      </c>
      <c r="BD89" s="341" t="e">
        <f t="shared" ca="1" si="49"/>
        <v>#NAME?</v>
      </c>
      <c r="BE89" s="342" t="e">
        <f t="shared" ca="1" si="50"/>
        <v>#NAME?</v>
      </c>
      <c r="BF89" s="341" t="e">
        <f ca="1">BicubicInterpolation('TSFC Eff Table'!$B$4:$E$69,2,BB89)</f>
        <v>#NAME?</v>
      </c>
      <c r="BG89" s="343" t="e">
        <f t="shared" ca="1" si="51"/>
        <v>#NAME?</v>
      </c>
      <c r="BH89" s="694" t="e">
        <f ca="1">IF( S89="LRCINOP",   (1+(0.03/10)*Z89*(1+0.2*AC89^2) )*BicubicInterpolation( 'LRC INOP FF'!$C$4:$AA$21, Y89, U89 )-200, IF(S89 ="HOLDINGINOP", (1+(0.03/10)*Z89*(1+0.2*AC89^2) )*BicubicInterpolation( 'Holding INOP FF'!$C$4:$J$13,  Y89,  U89)/1.05-200,   BA89*BG89))</f>
        <v>#NAME?</v>
      </c>
      <c r="BI89" s="344" t="e">
        <f t="shared" ca="1" si="15"/>
        <v>#NAME?</v>
      </c>
      <c r="BJ89" s="339" t="e">
        <f t="shared" ca="1" si="52"/>
        <v>#NAME?</v>
      </c>
      <c r="BK89" s="338" t="e">
        <f t="shared" ca="1" si="16"/>
        <v>#NAME?</v>
      </c>
      <c r="BL89" s="345" t="e">
        <f t="shared" ca="1" si="53"/>
        <v>#NAME?</v>
      </c>
      <c r="BM89" s="346">
        <f t="shared" si="54"/>
        <v>200</v>
      </c>
      <c r="BN89" s="347" t="e">
        <f t="shared" ca="1" si="55"/>
        <v>#NAME?</v>
      </c>
      <c r="BO89" s="344" t="e">
        <f t="shared" ca="1" si="17"/>
        <v>#NAME?</v>
      </c>
      <c r="BP89" s="337" t="e">
        <f t="shared" ca="1" si="56"/>
        <v>#NAME?</v>
      </c>
      <c r="BQ89" s="344" t="e">
        <f t="shared" ca="1" si="18"/>
        <v>#NAME?</v>
      </c>
      <c r="BR89" s="347" t="e">
        <f t="shared" ca="1" si="19"/>
        <v>#NAME?</v>
      </c>
      <c r="BS89" s="343" t="e">
        <f t="shared" ca="1" si="57"/>
        <v>#NAME?</v>
      </c>
      <c r="BT89" s="437" t="e">
        <f t="shared" ca="1" si="58"/>
        <v>#NAME?</v>
      </c>
      <c r="BU89" s="437" t="e">
        <f t="shared" ca="1" si="59"/>
        <v>#NAME?</v>
      </c>
      <c r="BV89" s="441" t="e">
        <f t="shared" ca="1" si="60"/>
        <v>#NAME?</v>
      </c>
      <c r="BW89" s="442" t="e">
        <f t="shared" ca="1" si="61"/>
        <v>#NAME?</v>
      </c>
      <c r="BX89" s="470" t="e">
        <f t="shared" ca="1" si="5"/>
        <v>#NAME?</v>
      </c>
      <c r="BY89" s="484" t="e">
        <f t="shared" ca="1" si="20"/>
        <v>#NAME?</v>
      </c>
    </row>
    <row r="90" spans="2:77" ht="17.75" customHeight="1" x14ac:dyDescent="0.2">
      <c r="E90" s="423"/>
      <c r="I90" s="366">
        <v>6</v>
      </c>
      <c r="J90" s="414">
        <f t="shared" si="21"/>
        <v>41705.716666666682</v>
      </c>
      <c r="K90" s="435" t="e">
        <f t="shared" ca="1" si="22"/>
        <v>#NAME?</v>
      </c>
      <c r="L90" s="435" t="e">
        <f t="shared" ca="1" si="0"/>
        <v>#NAME?</v>
      </c>
      <c r="M90" s="664" t="e">
        <f t="shared" ca="1" si="23"/>
        <v>#NAME?</v>
      </c>
      <c r="N90" s="664" t="e">
        <f t="shared" ca="1" si="24"/>
        <v>#NAME?</v>
      </c>
      <c r="O90" s="140" t="e">
        <f t="shared" ca="1" si="7"/>
        <v>#NAME?</v>
      </c>
      <c r="P90" s="352" t="e">
        <f t="shared" ca="1" si="25"/>
        <v>#NAME?</v>
      </c>
      <c r="Q90" s="665" t="e">
        <f t="shared" ca="1" si="8"/>
        <v>#NAME?</v>
      </c>
      <c r="R90" s="352" t="e">
        <f t="shared" ca="1" si="9"/>
        <v>#NAME?</v>
      </c>
      <c r="S90" s="662" t="e">
        <f t="shared" ca="1" si="10"/>
        <v>#NAME?</v>
      </c>
      <c r="T90" s="443" t="e">
        <f t="shared" ca="1" si="1"/>
        <v>#NAME?</v>
      </c>
      <c r="U90" s="353" t="e">
        <f t="shared" ca="1" si="2"/>
        <v>#NAME?</v>
      </c>
      <c r="V90" s="454" t="e">
        <f t="shared" ca="1" si="11"/>
        <v>#NAME?</v>
      </c>
      <c r="W90" s="457">
        <f t="shared" si="12"/>
        <v>1000</v>
      </c>
      <c r="X90" s="463" t="e">
        <f t="shared" ca="1" si="13"/>
        <v>#NAME?</v>
      </c>
      <c r="Y90" s="455" t="e">
        <f t="shared" ca="1" si="26"/>
        <v>#NAME?</v>
      </c>
      <c r="Z90" s="699">
        <f t="shared" si="3"/>
        <v>10</v>
      </c>
      <c r="AA90" s="355" t="str">
        <f t="shared" si="4"/>
        <v>ON</v>
      </c>
      <c r="AB90" s="357">
        <f t="shared" si="62"/>
        <v>1.4999999999999999E-2</v>
      </c>
      <c r="AC90" s="356" t="e">
        <f ca="1">IF(  Y89=0,0,IF(OR(S90="KCAS",S90="INOP",S90="MEFE"),   ( (5*( (   (((1+0.2*(T90/661.4786)^2)^3.5 -1)  )/( (1-6.8755856*10^-6 *100*Y90)^5.2558797) +1)^(2/7) -1) )^0.5),IF(S90="MACH",T90, IF(S90="LRC",BicubicInterpolation( 'LRC Mach'!$C$4:$AL$21, Y90,U90),  IF(S90="MRC",BicubicInterpolation( 'MRC Mach'!$C$3:$T$18, Y90,U90),  IF(S90="M0.84",0.84,  IF(S90="CI52",BicubicInterpolation('CI=52 Mach'!$C$3:$T$18, Y90,U90),  IF(S90="HOLDING",BicubicInterpolation(  'Holding Mach'!$C$4:$M$13, Y90,U90),                         IF(S90="LRCINOP", BicubicInterpolation('LRC INOP Mach'!$C$4:$AA$21,Y90,U90), IF(S90="HOLDINGINOP",  BicubicInterpolation('Holding INOP Mach'!$N$4:$U$13,Y90,U90),         "XXX" )))))))   )))</f>
        <v>#NAME?</v>
      </c>
      <c r="AD90" s="313" t="e">
        <f t="shared" ca="1" si="27"/>
        <v>#NAME?</v>
      </c>
      <c r="AE90" s="314" t="e">
        <f t="shared" ca="1" si="28"/>
        <v>#NAME?</v>
      </c>
      <c r="AF90" s="313" t="e">
        <f t="shared" ca="1" si="63"/>
        <v>#NAME?</v>
      </c>
      <c r="AG90" s="314" t="e">
        <f t="shared" ca="1" si="29"/>
        <v>#NAME?</v>
      </c>
      <c r="AH90" s="313" t="e">
        <f t="shared" ca="1" si="30"/>
        <v>#NAME?</v>
      </c>
      <c r="AI90" s="314" t="e">
        <f t="shared" ca="1" si="31"/>
        <v>#NAME?</v>
      </c>
      <c r="AJ90" s="315" t="e">
        <f t="shared" ca="1" si="32"/>
        <v>#NAME?</v>
      </c>
      <c r="AK90" s="568" t="e">
        <f t="shared" ca="1" si="33"/>
        <v>#NAME?</v>
      </c>
      <c r="AL90" s="313" t="e">
        <f t="shared" ca="1" si="34"/>
        <v>#NAME?</v>
      </c>
      <c r="AM90" s="313" t="e">
        <f t="shared" ca="1" si="35"/>
        <v>#NAME?</v>
      </c>
      <c r="AN90" s="313" t="e">
        <f t="shared" ca="1" si="36"/>
        <v>#NAME?</v>
      </c>
      <c r="AO90" s="316" t="e">
        <f t="shared" ca="1" si="37"/>
        <v>#NAME?</v>
      </c>
      <c r="AP90" s="313" t="e">
        <f t="shared" ca="1" si="38"/>
        <v>#NAME?</v>
      </c>
      <c r="AQ90" s="314" t="e">
        <f t="shared" ca="1" si="39"/>
        <v>#NAME?</v>
      </c>
      <c r="AR90" s="315" t="e">
        <f t="shared" ca="1" si="40"/>
        <v>#NAME?</v>
      </c>
      <c r="AS90" s="316" t="e">
        <f t="shared" ca="1" si="41"/>
        <v>#NAME?</v>
      </c>
      <c r="AT90" s="315" t="e">
        <f t="shared" ca="1" si="42"/>
        <v>#NAME?</v>
      </c>
      <c r="AU90" s="317">
        <v>427.8</v>
      </c>
      <c r="AV90" s="315" t="e">
        <f t="shared" ca="1" si="43"/>
        <v>#NAME?</v>
      </c>
      <c r="AW90" s="318" t="e">
        <f ca="1">0.0001*BicubicInterpolation('Drag Coef Table'!$B$4:$L$28,AV90,AC90)</f>
        <v>#NAME?</v>
      </c>
      <c r="AX90" s="319" t="e">
        <f t="shared" ca="1" si="44"/>
        <v>#NAME?</v>
      </c>
      <c r="AY90" s="318" t="e">
        <f t="shared" ca="1" si="45"/>
        <v>#NAME?</v>
      </c>
      <c r="AZ90" s="320" t="e">
        <f t="shared" ca="1" si="46"/>
        <v>#NAME?</v>
      </c>
      <c r="BA90" s="321" t="e">
        <f t="shared" ca="1" si="47"/>
        <v>#NAME?</v>
      </c>
      <c r="BB90" s="322" t="e">
        <f t="shared" ca="1" si="48"/>
        <v>#NAME?</v>
      </c>
      <c r="BC90" s="323">
        <v>75.196700000000007</v>
      </c>
      <c r="BD90" s="324" t="e">
        <f t="shared" ca="1" si="49"/>
        <v>#NAME?</v>
      </c>
      <c r="BE90" s="325" t="e">
        <f t="shared" ca="1" si="50"/>
        <v>#NAME?</v>
      </c>
      <c r="BF90" s="324" t="e">
        <f ca="1">BicubicInterpolation('TSFC Eff Table'!$B$4:$E$69,2,BB90)</f>
        <v>#NAME?</v>
      </c>
      <c r="BG90" s="326" t="e">
        <f t="shared" ca="1" si="51"/>
        <v>#NAME?</v>
      </c>
      <c r="BH90" s="694" t="e">
        <f ca="1">IF( S90="LRCINOP",   (1+(0.03/10)*Z90*(1+0.2*AC90^2) )*BicubicInterpolation( 'LRC INOP FF'!$C$4:$AA$21, Y90, U90 )-200, IF(S90 ="HOLDINGINOP", (1+(0.03/10)*Z90*(1+0.2*AC90^2) )*BicubicInterpolation( 'Holding INOP FF'!$C$4:$J$13,  Y90,  U90)/1.05-200,   BA90*BG90))</f>
        <v>#NAME?</v>
      </c>
      <c r="BI90" s="344" t="e">
        <f t="shared" ca="1" si="15"/>
        <v>#NAME?</v>
      </c>
      <c r="BJ90" s="322" t="e">
        <f t="shared" ca="1" si="52"/>
        <v>#NAME?</v>
      </c>
      <c r="BK90" s="338" t="e">
        <f t="shared" ca="1" si="16"/>
        <v>#NAME?</v>
      </c>
      <c r="BL90" s="327" t="e">
        <f t="shared" ca="1" si="53"/>
        <v>#NAME?</v>
      </c>
      <c r="BM90" s="328">
        <f t="shared" si="54"/>
        <v>200</v>
      </c>
      <c r="BN90" s="329" t="e">
        <f t="shared" ca="1" si="55"/>
        <v>#NAME?</v>
      </c>
      <c r="BO90" s="344" t="e">
        <f t="shared" ca="1" si="17"/>
        <v>#NAME?</v>
      </c>
      <c r="BP90" s="320" t="e">
        <f t="shared" ca="1" si="56"/>
        <v>#NAME?</v>
      </c>
      <c r="BQ90" s="344" t="e">
        <f t="shared" ca="1" si="18"/>
        <v>#NAME?</v>
      </c>
      <c r="BR90" s="347" t="e">
        <f t="shared" ca="1" si="19"/>
        <v>#NAME?</v>
      </c>
      <c r="BS90" s="326" t="e">
        <f t="shared" ca="1" si="57"/>
        <v>#NAME?</v>
      </c>
      <c r="BT90" s="437" t="e">
        <f t="shared" ca="1" si="58"/>
        <v>#NAME?</v>
      </c>
      <c r="BU90" s="437" t="e">
        <f t="shared" ca="1" si="59"/>
        <v>#NAME?</v>
      </c>
      <c r="BV90" s="441" t="e">
        <f t="shared" ca="1" si="60"/>
        <v>#NAME?</v>
      </c>
      <c r="BW90" s="442" t="e">
        <f t="shared" ca="1" si="61"/>
        <v>#NAME?</v>
      </c>
      <c r="BX90" s="470" t="e">
        <f t="shared" ca="1" si="5"/>
        <v>#NAME?</v>
      </c>
      <c r="BY90" s="484" t="e">
        <f t="shared" ca="1" si="20"/>
        <v>#NAME?</v>
      </c>
    </row>
    <row r="91" spans="2:77" ht="17.75" customHeight="1" x14ac:dyDescent="0.2">
      <c r="E91" s="423"/>
      <c r="I91" s="366">
        <v>7</v>
      </c>
      <c r="J91" s="414">
        <f t="shared" si="21"/>
        <v>41705.717361111128</v>
      </c>
      <c r="K91" s="435" t="e">
        <f t="shared" ca="1" si="22"/>
        <v>#NAME?</v>
      </c>
      <c r="L91" s="435" t="e">
        <f t="shared" ca="1" si="0"/>
        <v>#NAME?</v>
      </c>
      <c r="M91" s="664" t="e">
        <f t="shared" ca="1" si="23"/>
        <v>#NAME?</v>
      </c>
      <c r="N91" s="664" t="e">
        <f t="shared" ca="1" si="24"/>
        <v>#NAME?</v>
      </c>
      <c r="O91" s="140" t="e">
        <f t="shared" ca="1" si="7"/>
        <v>#NAME?</v>
      </c>
      <c r="P91" s="352" t="e">
        <f t="shared" ca="1" si="25"/>
        <v>#NAME?</v>
      </c>
      <c r="Q91" s="665" t="e">
        <f t="shared" ca="1" si="8"/>
        <v>#NAME?</v>
      </c>
      <c r="R91" s="352" t="e">
        <f t="shared" ca="1" si="9"/>
        <v>#NAME?</v>
      </c>
      <c r="S91" s="662" t="e">
        <f t="shared" ca="1" si="10"/>
        <v>#NAME?</v>
      </c>
      <c r="T91" s="443" t="e">
        <f t="shared" ca="1" si="1"/>
        <v>#NAME?</v>
      </c>
      <c r="U91" s="353" t="e">
        <f t="shared" ca="1" si="2"/>
        <v>#NAME?</v>
      </c>
      <c r="V91" s="454" t="e">
        <f t="shared" ca="1" si="11"/>
        <v>#NAME?</v>
      </c>
      <c r="W91" s="457">
        <f t="shared" si="12"/>
        <v>1000</v>
      </c>
      <c r="X91" s="463" t="e">
        <f t="shared" ca="1" si="13"/>
        <v>#NAME?</v>
      </c>
      <c r="Y91" s="455" t="e">
        <f t="shared" ca="1" si="26"/>
        <v>#NAME?</v>
      </c>
      <c r="Z91" s="699">
        <f t="shared" si="3"/>
        <v>10</v>
      </c>
      <c r="AA91" s="355" t="str">
        <f t="shared" si="4"/>
        <v>ON</v>
      </c>
      <c r="AB91" s="357">
        <f t="shared" si="62"/>
        <v>1.4999999999999999E-2</v>
      </c>
      <c r="AC91" s="356" t="e">
        <f ca="1">IF(  Y90=0,0,IF(OR(S91="KCAS",S91="INOP",S91="MEFE"),   ( (5*( (   (((1+0.2*(T91/661.4786)^2)^3.5 -1)  )/( (1-6.8755856*10^-6 *100*Y91)^5.2558797) +1)^(2/7) -1) )^0.5),IF(S91="MACH",T91, IF(S91="LRC",BicubicInterpolation( 'LRC Mach'!$C$4:$AL$21, Y91,U91),  IF(S91="MRC",BicubicInterpolation( 'MRC Mach'!$C$3:$T$18, Y91,U91),  IF(S91="M0.84",0.84,  IF(S91="CI52",BicubicInterpolation('CI=52 Mach'!$C$3:$T$18, Y91,U91),  IF(S91="HOLDING",BicubicInterpolation(  'Holding Mach'!$C$4:$M$13, Y91,U91),                         IF(S91="LRCINOP", BicubicInterpolation('LRC INOP Mach'!$C$4:$AA$21,Y91,U91), IF(S91="HOLDINGINOP",  BicubicInterpolation('Holding INOP Mach'!$N$4:$U$13,Y91,U91),         "XXX" )))))))   )))</f>
        <v>#NAME?</v>
      </c>
      <c r="AD91" s="330" t="e">
        <f t="shared" ca="1" si="27"/>
        <v>#NAME?</v>
      </c>
      <c r="AE91" s="331" t="e">
        <f t="shared" ca="1" si="28"/>
        <v>#NAME?</v>
      </c>
      <c r="AF91" s="330" t="e">
        <f t="shared" ca="1" si="63"/>
        <v>#NAME?</v>
      </c>
      <c r="AG91" s="331" t="e">
        <f t="shared" ca="1" si="29"/>
        <v>#NAME?</v>
      </c>
      <c r="AH91" s="330" t="e">
        <f t="shared" ca="1" si="30"/>
        <v>#NAME?</v>
      </c>
      <c r="AI91" s="331" t="e">
        <f t="shared" ca="1" si="31"/>
        <v>#NAME?</v>
      </c>
      <c r="AJ91" s="332" t="e">
        <f t="shared" ca="1" si="32"/>
        <v>#NAME?</v>
      </c>
      <c r="AK91" s="567" t="e">
        <f t="shared" ca="1" si="33"/>
        <v>#NAME?</v>
      </c>
      <c r="AL91" s="330" t="e">
        <f t="shared" ca="1" si="34"/>
        <v>#NAME?</v>
      </c>
      <c r="AM91" s="330" t="e">
        <f t="shared" ca="1" si="35"/>
        <v>#NAME?</v>
      </c>
      <c r="AN91" s="313" t="e">
        <f t="shared" ca="1" si="36"/>
        <v>#NAME?</v>
      </c>
      <c r="AO91" s="333" t="e">
        <f t="shared" ca="1" si="37"/>
        <v>#NAME?</v>
      </c>
      <c r="AP91" s="330" t="e">
        <f t="shared" ca="1" si="38"/>
        <v>#NAME?</v>
      </c>
      <c r="AQ91" s="331" t="e">
        <f t="shared" ca="1" si="39"/>
        <v>#NAME?</v>
      </c>
      <c r="AR91" s="332" t="e">
        <f t="shared" ca="1" si="40"/>
        <v>#NAME?</v>
      </c>
      <c r="AS91" s="333" t="e">
        <f t="shared" ca="1" si="41"/>
        <v>#NAME?</v>
      </c>
      <c r="AT91" s="332" t="e">
        <f t="shared" ca="1" si="42"/>
        <v>#NAME?</v>
      </c>
      <c r="AU91" s="334">
        <v>427.8</v>
      </c>
      <c r="AV91" s="332" t="e">
        <f t="shared" ca="1" si="43"/>
        <v>#NAME?</v>
      </c>
      <c r="AW91" s="335" t="e">
        <f ca="1">0.0001*BicubicInterpolation('Drag Coef Table'!$B$4:$L$28,AV91,AC91)</f>
        <v>#NAME?</v>
      </c>
      <c r="AX91" s="336" t="e">
        <f t="shared" ca="1" si="44"/>
        <v>#NAME?</v>
      </c>
      <c r="AY91" s="335" t="e">
        <f t="shared" ca="1" si="45"/>
        <v>#NAME?</v>
      </c>
      <c r="AZ91" s="337" t="e">
        <f t="shared" ca="1" si="46"/>
        <v>#NAME?</v>
      </c>
      <c r="BA91" s="338" t="e">
        <f t="shared" ca="1" si="47"/>
        <v>#NAME?</v>
      </c>
      <c r="BB91" s="339" t="e">
        <f t="shared" ca="1" si="48"/>
        <v>#NAME?</v>
      </c>
      <c r="BC91" s="340">
        <v>75.196700000000007</v>
      </c>
      <c r="BD91" s="341" t="e">
        <f t="shared" ca="1" si="49"/>
        <v>#NAME?</v>
      </c>
      <c r="BE91" s="342" t="e">
        <f t="shared" ca="1" si="50"/>
        <v>#NAME?</v>
      </c>
      <c r="BF91" s="341" t="e">
        <f ca="1">BicubicInterpolation('TSFC Eff Table'!$B$4:$E$69,2,BB91)</f>
        <v>#NAME?</v>
      </c>
      <c r="BG91" s="343" t="e">
        <f t="shared" ca="1" si="51"/>
        <v>#NAME?</v>
      </c>
      <c r="BH91" s="694" t="e">
        <f ca="1">IF( S91="LRCINOP",   (1+(0.03/10)*Z91*(1+0.2*AC91^2) )*BicubicInterpolation( 'LRC INOP FF'!$C$4:$AA$21, Y91, U91 )-200, IF(S91 ="HOLDINGINOP", (1+(0.03/10)*Z91*(1+0.2*AC91^2) )*BicubicInterpolation( 'Holding INOP FF'!$C$4:$J$13,  Y91,  U91)/1.05-200,   BA91*BG91))</f>
        <v>#NAME?</v>
      </c>
      <c r="BI91" s="344" t="e">
        <f t="shared" ca="1" si="15"/>
        <v>#NAME?</v>
      </c>
      <c r="BJ91" s="339" t="e">
        <f t="shared" ca="1" si="52"/>
        <v>#NAME?</v>
      </c>
      <c r="BK91" s="338" t="e">
        <f t="shared" ca="1" si="16"/>
        <v>#NAME?</v>
      </c>
      <c r="BL91" s="345" t="e">
        <f t="shared" ca="1" si="53"/>
        <v>#NAME?</v>
      </c>
      <c r="BM91" s="346">
        <f t="shared" si="54"/>
        <v>200</v>
      </c>
      <c r="BN91" s="347" t="e">
        <f t="shared" ca="1" si="55"/>
        <v>#NAME?</v>
      </c>
      <c r="BO91" s="344" t="e">
        <f t="shared" ca="1" si="17"/>
        <v>#NAME?</v>
      </c>
      <c r="BP91" s="337" t="e">
        <f t="shared" ca="1" si="56"/>
        <v>#NAME?</v>
      </c>
      <c r="BQ91" s="344" t="e">
        <f t="shared" ca="1" si="18"/>
        <v>#NAME?</v>
      </c>
      <c r="BR91" s="347" t="e">
        <f t="shared" ca="1" si="19"/>
        <v>#NAME?</v>
      </c>
      <c r="BS91" s="343" t="e">
        <f t="shared" ca="1" si="57"/>
        <v>#NAME?</v>
      </c>
      <c r="BT91" s="437" t="e">
        <f t="shared" ca="1" si="58"/>
        <v>#NAME?</v>
      </c>
      <c r="BU91" s="437" t="e">
        <f t="shared" ca="1" si="59"/>
        <v>#NAME?</v>
      </c>
      <c r="BV91" s="441" t="e">
        <f t="shared" ca="1" si="60"/>
        <v>#NAME?</v>
      </c>
      <c r="BW91" s="442" t="e">
        <f t="shared" ca="1" si="61"/>
        <v>#NAME?</v>
      </c>
      <c r="BX91" s="470" t="e">
        <f t="shared" ca="1" si="5"/>
        <v>#NAME?</v>
      </c>
      <c r="BY91" s="484" t="e">
        <f t="shared" ca="1" si="20"/>
        <v>#NAME?</v>
      </c>
    </row>
    <row r="92" spans="2:77" ht="17.75" customHeight="1" x14ac:dyDescent="0.2">
      <c r="E92" s="423"/>
      <c r="I92" s="366">
        <v>8</v>
      </c>
      <c r="J92" s="414">
        <f t="shared" si="21"/>
        <v>41705.718055555575</v>
      </c>
      <c r="K92" s="435" t="e">
        <f t="shared" ca="1" si="22"/>
        <v>#NAME?</v>
      </c>
      <c r="L92" s="435" t="e">
        <f t="shared" ca="1" si="0"/>
        <v>#NAME?</v>
      </c>
      <c r="M92" s="664" t="e">
        <f t="shared" ca="1" si="23"/>
        <v>#NAME?</v>
      </c>
      <c r="N92" s="664" t="e">
        <f t="shared" ca="1" si="24"/>
        <v>#NAME?</v>
      </c>
      <c r="O92" s="140" t="e">
        <f t="shared" ca="1" si="7"/>
        <v>#NAME?</v>
      </c>
      <c r="P92" s="352" t="e">
        <f t="shared" ca="1" si="25"/>
        <v>#NAME?</v>
      </c>
      <c r="Q92" s="665" t="e">
        <f t="shared" ca="1" si="8"/>
        <v>#NAME?</v>
      </c>
      <c r="R92" s="352" t="e">
        <f t="shared" ref="R92:R94" ca="1" si="64">AC92</f>
        <v>#NAME?</v>
      </c>
      <c r="S92" s="662" t="e">
        <f t="shared" ca="1" si="10"/>
        <v>#NAME?</v>
      </c>
      <c r="T92" s="443" t="e">
        <f t="shared" ca="1" si="1"/>
        <v>#NAME?</v>
      </c>
      <c r="U92" s="353" t="e">
        <f t="shared" ca="1" si="2"/>
        <v>#NAME?</v>
      </c>
      <c r="V92" s="454" t="e">
        <f t="shared" ca="1" si="11"/>
        <v>#NAME?</v>
      </c>
      <c r="W92" s="457">
        <f t="shared" si="12"/>
        <v>1000</v>
      </c>
      <c r="X92" s="463" t="e">
        <f t="shared" ca="1" si="13"/>
        <v>#NAME?</v>
      </c>
      <c r="Y92" s="455" t="e">
        <f t="shared" ca="1" si="26"/>
        <v>#NAME?</v>
      </c>
      <c r="Z92" s="699">
        <f t="shared" si="3"/>
        <v>10</v>
      </c>
      <c r="AA92" s="355" t="str">
        <f t="shared" si="4"/>
        <v>ON</v>
      </c>
      <c r="AB92" s="357">
        <f t="shared" si="62"/>
        <v>1.4999999999999999E-2</v>
      </c>
      <c r="AC92" s="356" t="e">
        <f ca="1">IF(  Y91=0,0,IF(OR(S92="KCAS",S92="INOP",S92="MEFE"),   ( (5*( (   (((1+0.2*(T92/661.4786)^2)^3.5 -1)  )/( (1-6.8755856*10^-6 *100*Y92)^5.2558797) +1)^(2/7) -1) )^0.5),IF(S92="MACH",T92, IF(S92="LRC",BicubicInterpolation( 'LRC Mach'!$C$4:$AL$21, Y92,U92),  IF(S92="MRC",BicubicInterpolation( 'MRC Mach'!$C$3:$T$18, Y92,U92),  IF(S92="M0.84",0.84,  IF(S92="CI52",BicubicInterpolation('CI=52 Mach'!$C$3:$T$18, Y92,U92),  IF(S92="HOLDING",BicubicInterpolation(  'Holding Mach'!$C$4:$M$13, Y92,U92),                         IF(S92="LRCINOP", BicubicInterpolation('LRC INOP Mach'!$C$4:$AA$21,Y92,U92), IF(S92="HOLDINGINOP",  BicubicInterpolation('Holding INOP Mach'!$N$4:$U$13,Y92,U92),         "XXX" )))))))   )))</f>
        <v>#NAME?</v>
      </c>
      <c r="AD92" s="313" t="e">
        <f t="shared" ca="1" si="27"/>
        <v>#NAME?</v>
      </c>
      <c r="AE92" s="314" t="e">
        <f t="shared" ca="1" si="28"/>
        <v>#NAME?</v>
      </c>
      <c r="AF92" s="313" t="e">
        <f t="shared" ca="1" si="63"/>
        <v>#NAME?</v>
      </c>
      <c r="AG92" s="314" t="e">
        <f t="shared" ca="1" si="29"/>
        <v>#NAME?</v>
      </c>
      <c r="AH92" s="313" t="e">
        <f t="shared" ca="1" si="30"/>
        <v>#NAME?</v>
      </c>
      <c r="AI92" s="314" t="e">
        <f t="shared" ca="1" si="31"/>
        <v>#NAME?</v>
      </c>
      <c r="AJ92" s="315" t="e">
        <f t="shared" ca="1" si="32"/>
        <v>#NAME?</v>
      </c>
      <c r="AK92" s="568" t="e">
        <f t="shared" ca="1" si="33"/>
        <v>#NAME?</v>
      </c>
      <c r="AL92" s="313" t="e">
        <f t="shared" ca="1" si="34"/>
        <v>#NAME?</v>
      </c>
      <c r="AM92" s="313" t="e">
        <f t="shared" ca="1" si="35"/>
        <v>#NAME?</v>
      </c>
      <c r="AN92" s="313" t="e">
        <f t="shared" ca="1" si="36"/>
        <v>#NAME?</v>
      </c>
      <c r="AO92" s="316" t="e">
        <f t="shared" ca="1" si="37"/>
        <v>#NAME?</v>
      </c>
      <c r="AP92" s="313" t="e">
        <f t="shared" ca="1" si="38"/>
        <v>#NAME?</v>
      </c>
      <c r="AQ92" s="314" t="e">
        <f t="shared" ca="1" si="39"/>
        <v>#NAME?</v>
      </c>
      <c r="AR92" s="315" t="e">
        <f t="shared" ca="1" si="40"/>
        <v>#NAME?</v>
      </c>
      <c r="AS92" s="316" t="e">
        <f t="shared" ca="1" si="41"/>
        <v>#NAME?</v>
      </c>
      <c r="AT92" s="315" t="e">
        <f t="shared" ca="1" si="42"/>
        <v>#NAME?</v>
      </c>
      <c r="AU92" s="317">
        <v>427.8</v>
      </c>
      <c r="AV92" s="315" t="e">
        <f t="shared" ca="1" si="43"/>
        <v>#NAME?</v>
      </c>
      <c r="AW92" s="318" t="e">
        <f ca="1">0.0001*BicubicInterpolation('Drag Coef Table'!$B$4:$L$28,AV92,AC92)</f>
        <v>#NAME?</v>
      </c>
      <c r="AX92" s="319" t="e">
        <f t="shared" ca="1" si="44"/>
        <v>#NAME?</v>
      </c>
      <c r="AY92" s="318" t="e">
        <f t="shared" ca="1" si="45"/>
        <v>#NAME?</v>
      </c>
      <c r="AZ92" s="320" t="e">
        <f t="shared" ca="1" si="46"/>
        <v>#NAME?</v>
      </c>
      <c r="BA92" s="321" t="e">
        <f t="shared" ca="1" si="47"/>
        <v>#NAME?</v>
      </c>
      <c r="BB92" s="322" t="e">
        <f t="shared" ca="1" si="48"/>
        <v>#NAME?</v>
      </c>
      <c r="BC92" s="323">
        <v>75.196700000000007</v>
      </c>
      <c r="BD92" s="324" t="e">
        <f t="shared" ca="1" si="49"/>
        <v>#NAME?</v>
      </c>
      <c r="BE92" s="325" t="e">
        <f t="shared" ca="1" si="50"/>
        <v>#NAME?</v>
      </c>
      <c r="BF92" s="324" t="e">
        <f ca="1">BicubicInterpolation('TSFC Eff Table'!$B$4:$E$69,2,BB92)</f>
        <v>#NAME?</v>
      </c>
      <c r="BG92" s="326" t="e">
        <f t="shared" ca="1" si="51"/>
        <v>#NAME?</v>
      </c>
      <c r="BH92" s="694" t="e">
        <f ca="1">IF( S92="LRCINOP",   (1+(0.03/10)*Z92*(1+0.2*AC92^2) )*BicubicInterpolation( 'LRC INOP FF'!$C$4:$AA$21, Y92, U92 )-200, IF(S92 ="HOLDINGINOP", (1+(0.03/10)*Z92*(1+0.2*AC92^2) )*BicubicInterpolation( 'Holding INOP FF'!$C$4:$J$13,  Y92,  U92)/1.05-200,   BA92*BG92))</f>
        <v>#NAME?</v>
      </c>
      <c r="BI92" s="344" t="e">
        <f t="shared" ca="1" si="15"/>
        <v>#NAME?</v>
      </c>
      <c r="BJ92" s="322" t="e">
        <f t="shared" ca="1" si="52"/>
        <v>#NAME?</v>
      </c>
      <c r="BK92" s="338" t="e">
        <f t="shared" ca="1" si="16"/>
        <v>#NAME?</v>
      </c>
      <c r="BL92" s="327" t="e">
        <f t="shared" ca="1" si="53"/>
        <v>#NAME?</v>
      </c>
      <c r="BM92" s="328">
        <f t="shared" si="54"/>
        <v>200</v>
      </c>
      <c r="BN92" s="329" t="e">
        <f t="shared" ca="1" si="55"/>
        <v>#NAME?</v>
      </c>
      <c r="BO92" s="344" t="e">
        <f t="shared" ca="1" si="17"/>
        <v>#NAME?</v>
      </c>
      <c r="BP92" s="320" t="e">
        <f t="shared" ca="1" si="56"/>
        <v>#NAME?</v>
      </c>
      <c r="BQ92" s="344" t="e">
        <f t="shared" ca="1" si="18"/>
        <v>#NAME?</v>
      </c>
      <c r="BR92" s="347" t="e">
        <f t="shared" ca="1" si="19"/>
        <v>#NAME?</v>
      </c>
      <c r="BS92" s="326" t="e">
        <f t="shared" ca="1" si="57"/>
        <v>#NAME?</v>
      </c>
      <c r="BT92" s="437" t="e">
        <f t="shared" ca="1" si="58"/>
        <v>#NAME?</v>
      </c>
      <c r="BU92" s="437" t="e">
        <f t="shared" ca="1" si="59"/>
        <v>#NAME?</v>
      </c>
      <c r="BV92" s="441" t="e">
        <f t="shared" ca="1" si="60"/>
        <v>#NAME?</v>
      </c>
      <c r="BW92" s="442" t="e">
        <f t="shared" ca="1" si="61"/>
        <v>#NAME?</v>
      </c>
      <c r="BX92" s="470" t="e">
        <f t="shared" ca="1" si="5"/>
        <v>#NAME?</v>
      </c>
      <c r="BY92" s="484" t="e">
        <f t="shared" ca="1" si="20"/>
        <v>#NAME?</v>
      </c>
    </row>
    <row r="93" spans="2:77" ht="17.75" customHeight="1" x14ac:dyDescent="0.2">
      <c r="E93" s="423"/>
      <c r="I93" s="366">
        <v>9</v>
      </c>
      <c r="J93" s="414">
        <f t="shared" si="21"/>
        <v>41705.718750000022</v>
      </c>
      <c r="K93" s="435" t="e">
        <f t="shared" ca="1" si="22"/>
        <v>#NAME?</v>
      </c>
      <c r="L93" s="435" t="e">
        <f t="shared" ca="1" si="0"/>
        <v>#NAME?</v>
      </c>
      <c r="M93" s="664" t="e">
        <f t="shared" ca="1" si="23"/>
        <v>#NAME?</v>
      </c>
      <c r="N93" s="664" t="e">
        <f t="shared" ca="1" si="24"/>
        <v>#NAME?</v>
      </c>
      <c r="O93" s="140" t="e">
        <f t="shared" ca="1" si="7"/>
        <v>#NAME?</v>
      </c>
      <c r="P93" s="352" t="e">
        <f t="shared" ca="1" si="25"/>
        <v>#NAME?</v>
      </c>
      <c r="Q93" s="665" t="e">
        <f t="shared" ca="1" si="8"/>
        <v>#NAME?</v>
      </c>
      <c r="R93" s="352" t="e">
        <f t="shared" ca="1" si="64"/>
        <v>#NAME?</v>
      </c>
      <c r="S93" s="662" t="e">
        <f t="shared" ca="1" si="10"/>
        <v>#NAME?</v>
      </c>
      <c r="T93" s="443" t="e">
        <f t="shared" ca="1" si="1"/>
        <v>#NAME?</v>
      </c>
      <c r="U93" s="369" t="e">
        <f t="shared" ca="1" si="2"/>
        <v>#NAME?</v>
      </c>
      <c r="V93" s="454" t="e">
        <f t="shared" ca="1" si="11"/>
        <v>#NAME?</v>
      </c>
      <c r="W93" s="457">
        <f t="shared" si="12"/>
        <v>1000</v>
      </c>
      <c r="X93" s="463" t="e">
        <f t="shared" ca="1" si="13"/>
        <v>#NAME?</v>
      </c>
      <c r="Y93" s="455" t="e">
        <f t="shared" ca="1" si="26"/>
        <v>#NAME?</v>
      </c>
      <c r="Z93" s="699">
        <f t="shared" si="3"/>
        <v>10</v>
      </c>
      <c r="AA93" s="355" t="str">
        <f t="shared" si="4"/>
        <v>ON</v>
      </c>
      <c r="AB93" s="357">
        <f t="shared" si="62"/>
        <v>1.4999999999999999E-2</v>
      </c>
      <c r="AC93" s="356" t="e">
        <f ca="1">IF(  Y92=0,0,IF(OR(S93="KCAS",S93="INOP",S93="MEFE"),   ( (5*( (   (((1+0.2*(T93/661.4786)^2)^3.5 -1)  )/( (1-6.8755856*10^-6 *100*Y93)^5.2558797) +1)^(2/7) -1) )^0.5),IF(S93="MACH",T93, IF(S93="LRC",BicubicInterpolation( 'LRC Mach'!$C$4:$AL$21, Y93,U93),  IF(S93="MRC",BicubicInterpolation( 'MRC Mach'!$C$3:$T$18, Y93,U93),  IF(S93="M0.84",0.84,  IF(S93="CI52",BicubicInterpolation('CI=52 Mach'!$C$3:$T$18, Y93,U93),  IF(S93="HOLDING",BicubicInterpolation(  'Holding Mach'!$C$4:$M$13, Y93,U93),                         IF(S93="LRCINOP", BicubicInterpolation('LRC INOP Mach'!$C$4:$AA$21,Y93,U93), IF(S93="HOLDINGINOP",  BicubicInterpolation('Holding INOP Mach'!$N$4:$U$13,Y93,U93),         "XXX" )))))))   )))</f>
        <v>#NAME?</v>
      </c>
      <c r="AD93" s="313" t="e">
        <f t="shared" ca="1" si="27"/>
        <v>#NAME?</v>
      </c>
      <c r="AE93" s="314" t="e">
        <f t="shared" ca="1" si="28"/>
        <v>#NAME?</v>
      </c>
      <c r="AF93" s="313" t="e">
        <f t="shared" ca="1" si="63"/>
        <v>#NAME?</v>
      </c>
      <c r="AG93" s="314" t="e">
        <f t="shared" ca="1" si="29"/>
        <v>#NAME?</v>
      </c>
      <c r="AH93" s="313" t="e">
        <f t="shared" ca="1" si="30"/>
        <v>#NAME?</v>
      </c>
      <c r="AI93" s="314" t="e">
        <f t="shared" ca="1" si="31"/>
        <v>#NAME?</v>
      </c>
      <c r="AJ93" s="315" t="e">
        <f t="shared" ca="1" si="32"/>
        <v>#NAME?</v>
      </c>
      <c r="AK93" s="568" t="e">
        <f t="shared" ca="1" si="33"/>
        <v>#NAME?</v>
      </c>
      <c r="AL93" s="313" t="e">
        <f t="shared" ca="1" si="34"/>
        <v>#NAME?</v>
      </c>
      <c r="AM93" s="313" t="e">
        <f t="shared" ca="1" si="35"/>
        <v>#NAME?</v>
      </c>
      <c r="AN93" s="313" t="e">
        <f t="shared" ca="1" si="36"/>
        <v>#NAME?</v>
      </c>
      <c r="AO93" s="316" t="e">
        <f t="shared" ca="1" si="37"/>
        <v>#NAME?</v>
      </c>
      <c r="AP93" s="313" t="e">
        <f t="shared" ca="1" si="38"/>
        <v>#NAME?</v>
      </c>
      <c r="AQ93" s="314" t="e">
        <f t="shared" ca="1" si="39"/>
        <v>#NAME?</v>
      </c>
      <c r="AR93" s="315" t="e">
        <f t="shared" ca="1" si="40"/>
        <v>#NAME?</v>
      </c>
      <c r="AS93" s="316" t="e">
        <f t="shared" ca="1" si="41"/>
        <v>#NAME?</v>
      </c>
      <c r="AT93" s="315" t="e">
        <f t="shared" ca="1" si="42"/>
        <v>#NAME?</v>
      </c>
      <c r="AU93" s="317">
        <v>427.8</v>
      </c>
      <c r="AV93" s="315" t="e">
        <f t="shared" ca="1" si="43"/>
        <v>#NAME?</v>
      </c>
      <c r="AW93" s="318" t="e">
        <f ca="1">0.0001*BicubicInterpolation('Drag Coef Table'!$B$4:$L$28,AV93,AC93)</f>
        <v>#NAME?</v>
      </c>
      <c r="AX93" s="319" t="e">
        <f t="shared" ca="1" si="44"/>
        <v>#NAME?</v>
      </c>
      <c r="AY93" s="318" t="e">
        <f t="shared" ca="1" si="45"/>
        <v>#NAME?</v>
      </c>
      <c r="AZ93" s="320" t="e">
        <f t="shared" ca="1" si="46"/>
        <v>#NAME?</v>
      </c>
      <c r="BA93" s="321" t="e">
        <f t="shared" ca="1" si="47"/>
        <v>#NAME?</v>
      </c>
      <c r="BB93" s="322" t="e">
        <f t="shared" ca="1" si="48"/>
        <v>#NAME?</v>
      </c>
      <c r="BC93" s="323">
        <v>75.196700000000007</v>
      </c>
      <c r="BD93" s="324" t="e">
        <f t="shared" ca="1" si="49"/>
        <v>#NAME?</v>
      </c>
      <c r="BE93" s="325" t="e">
        <f t="shared" ca="1" si="50"/>
        <v>#NAME?</v>
      </c>
      <c r="BF93" s="324" t="e">
        <f ca="1">BicubicInterpolation('TSFC Eff Table'!$B$4:$E$69,2,BB93)</f>
        <v>#NAME?</v>
      </c>
      <c r="BG93" s="326" t="e">
        <f t="shared" ca="1" si="51"/>
        <v>#NAME?</v>
      </c>
      <c r="BH93" s="694" t="e">
        <f ca="1">IF( S93="LRCINOP",   (1+(0.03/10)*Z93*(1+0.2*AC93^2) )*BicubicInterpolation( 'LRC INOP FF'!$C$4:$AA$21, Y93, U93 )-200, IF(S93 ="HOLDINGINOP", (1+(0.03/10)*Z93*(1+0.2*AC93^2) )*BicubicInterpolation( 'Holding INOP FF'!$C$4:$J$13,  Y93,  U93)/1.05-200,   BA93*BG93))</f>
        <v>#NAME?</v>
      </c>
      <c r="BI93" s="344" t="e">
        <f t="shared" ca="1" si="15"/>
        <v>#NAME?</v>
      </c>
      <c r="BJ93" s="322" t="e">
        <f t="shared" ca="1" si="52"/>
        <v>#NAME?</v>
      </c>
      <c r="BK93" s="338" t="e">
        <f t="shared" ca="1" si="16"/>
        <v>#NAME?</v>
      </c>
      <c r="BL93" s="327" t="e">
        <f t="shared" ca="1" si="53"/>
        <v>#NAME?</v>
      </c>
      <c r="BM93" s="328">
        <f t="shared" si="54"/>
        <v>200</v>
      </c>
      <c r="BN93" s="329" t="e">
        <f t="shared" ca="1" si="55"/>
        <v>#NAME?</v>
      </c>
      <c r="BO93" s="344" t="e">
        <f t="shared" ca="1" si="17"/>
        <v>#NAME?</v>
      </c>
      <c r="BP93" s="320" t="e">
        <f t="shared" ca="1" si="56"/>
        <v>#NAME?</v>
      </c>
      <c r="BQ93" s="344" t="e">
        <f t="shared" ca="1" si="18"/>
        <v>#NAME?</v>
      </c>
      <c r="BR93" s="347" t="e">
        <f t="shared" ca="1" si="19"/>
        <v>#NAME?</v>
      </c>
      <c r="BS93" s="326" t="e">
        <f t="shared" ca="1" si="57"/>
        <v>#NAME?</v>
      </c>
      <c r="BT93" s="437" t="e">
        <f t="shared" ca="1" si="58"/>
        <v>#NAME?</v>
      </c>
      <c r="BU93" s="437" t="e">
        <f t="shared" ca="1" si="59"/>
        <v>#NAME?</v>
      </c>
      <c r="BV93" s="441" t="e">
        <f t="shared" ca="1" si="60"/>
        <v>#NAME?</v>
      </c>
      <c r="BW93" s="442" t="e">
        <f t="shared" ca="1" si="61"/>
        <v>#NAME?</v>
      </c>
      <c r="BX93" s="470" t="e">
        <f t="shared" ca="1" si="5"/>
        <v>#NAME?</v>
      </c>
      <c r="BY93" s="484" t="e">
        <f t="shared" ca="1" si="20"/>
        <v>#NAME?</v>
      </c>
    </row>
    <row r="94" spans="2:77" ht="17.75" customHeight="1" x14ac:dyDescent="0.2">
      <c r="E94" s="423"/>
      <c r="I94" s="366">
        <v>10</v>
      </c>
      <c r="J94" s="414">
        <f t="shared" si="21"/>
        <v>41705.719444444469</v>
      </c>
      <c r="K94" s="435" t="e">
        <f t="shared" ca="1" si="22"/>
        <v>#NAME?</v>
      </c>
      <c r="L94" s="435" t="e">
        <f t="shared" ca="1" si="0"/>
        <v>#NAME?</v>
      </c>
      <c r="M94" s="664" t="e">
        <f t="shared" ca="1" si="23"/>
        <v>#NAME?</v>
      </c>
      <c r="N94" s="664" t="e">
        <f t="shared" ca="1" si="24"/>
        <v>#NAME?</v>
      </c>
      <c r="O94" s="140" t="e">
        <f t="shared" ca="1" si="7"/>
        <v>#NAME?</v>
      </c>
      <c r="P94" s="352" t="e">
        <f t="shared" ca="1" si="25"/>
        <v>#NAME?</v>
      </c>
      <c r="Q94" s="665" t="e">
        <f t="shared" ca="1" si="8"/>
        <v>#NAME?</v>
      </c>
      <c r="R94" s="352" t="e">
        <f t="shared" ca="1" si="64"/>
        <v>#NAME?</v>
      </c>
      <c r="S94" s="662" t="e">
        <f t="shared" ca="1" si="10"/>
        <v>#NAME?</v>
      </c>
      <c r="T94" s="443" t="e">
        <f t="shared" ca="1" si="1"/>
        <v>#NAME?</v>
      </c>
      <c r="U94" s="369" t="e">
        <f t="shared" ca="1" si="2"/>
        <v>#NAME?</v>
      </c>
      <c r="V94" s="454" t="e">
        <f t="shared" ca="1" si="11"/>
        <v>#NAME?</v>
      </c>
      <c r="W94" s="457">
        <f t="shared" si="12"/>
        <v>1000</v>
      </c>
      <c r="X94" s="463" t="e">
        <f t="shared" ca="1" si="13"/>
        <v>#NAME?</v>
      </c>
      <c r="Y94" s="455" t="e">
        <f t="shared" ca="1" si="26"/>
        <v>#NAME?</v>
      </c>
      <c r="Z94" s="699">
        <f t="shared" si="3"/>
        <v>10</v>
      </c>
      <c r="AA94" s="355" t="str">
        <f t="shared" si="4"/>
        <v>ON</v>
      </c>
      <c r="AB94" s="357">
        <f t="shared" si="62"/>
        <v>1.4999999999999999E-2</v>
      </c>
      <c r="AC94" s="356" t="e">
        <f ca="1">IF(  Y93=0,0,IF(OR(S94="KCAS",S94="INOP",S94="MEFE"),   ( (5*( (   (((1+0.2*(T94/661.4786)^2)^3.5 -1)  )/( (1-6.8755856*10^-6 *100*Y94)^5.2558797) +1)^(2/7) -1) )^0.5),IF(S94="MACH",T94, IF(S94="LRC",BicubicInterpolation( 'LRC Mach'!$C$4:$AL$21, Y94,U94),  IF(S94="MRC",BicubicInterpolation( 'MRC Mach'!$C$3:$T$18, Y94,U94),  IF(S94="M0.84",0.84,  IF(S94="CI52",BicubicInterpolation('CI=52 Mach'!$C$3:$T$18, Y94,U94),  IF(S94="HOLDING",BicubicInterpolation(  'Holding Mach'!$C$4:$M$13, Y94,U94),                         IF(S94="LRCINOP", BicubicInterpolation('LRC INOP Mach'!$C$4:$AA$21,Y94,U94), IF(S94="HOLDINGINOP",  BicubicInterpolation('Holding INOP Mach'!$N$4:$U$13,Y94,U94),         "XXX" )))))))   )))</f>
        <v>#NAME?</v>
      </c>
      <c r="AD94" s="313" t="e">
        <f t="shared" ca="1" si="27"/>
        <v>#NAME?</v>
      </c>
      <c r="AE94" s="314" t="e">
        <f t="shared" ca="1" si="28"/>
        <v>#NAME?</v>
      </c>
      <c r="AF94" s="313" t="e">
        <f t="shared" ca="1" si="63"/>
        <v>#NAME?</v>
      </c>
      <c r="AG94" s="314" t="e">
        <f t="shared" ca="1" si="29"/>
        <v>#NAME?</v>
      </c>
      <c r="AH94" s="313" t="e">
        <f t="shared" ca="1" si="30"/>
        <v>#NAME?</v>
      </c>
      <c r="AI94" s="314" t="e">
        <f t="shared" ca="1" si="31"/>
        <v>#NAME?</v>
      </c>
      <c r="AJ94" s="315" t="e">
        <f t="shared" ca="1" si="32"/>
        <v>#NAME?</v>
      </c>
      <c r="AK94" s="568" t="e">
        <f t="shared" ca="1" si="33"/>
        <v>#NAME?</v>
      </c>
      <c r="AL94" s="313" t="e">
        <f t="shared" ca="1" si="34"/>
        <v>#NAME?</v>
      </c>
      <c r="AM94" s="313" t="e">
        <f t="shared" ca="1" si="35"/>
        <v>#NAME?</v>
      </c>
      <c r="AN94" s="313" t="e">
        <f t="shared" ca="1" si="36"/>
        <v>#NAME?</v>
      </c>
      <c r="AO94" s="316" t="e">
        <f t="shared" ca="1" si="37"/>
        <v>#NAME?</v>
      </c>
      <c r="AP94" s="313" t="e">
        <f t="shared" ca="1" si="38"/>
        <v>#NAME?</v>
      </c>
      <c r="AQ94" s="314" t="e">
        <f t="shared" ca="1" si="39"/>
        <v>#NAME?</v>
      </c>
      <c r="AR94" s="315" t="e">
        <f t="shared" ca="1" si="40"/>
        <v>#NAME?</v>
      </c>
      <c r="AS94" s="316" t="e">
        <f t="shared" ca="1" si="41"/>
        <v>#NAME?</v>
      </c>
      <c r="AT94" s="315" t="e">
        <f t="shared" ca="1" si="42"/>
        <v>#NAME?</v>
      </c>
      <c r="AU94" s="317">
        <v>427.8</v>
      </c>
      <c r="AV94" s="315" t="e">
        <f t="shared" ca="1" si="43"/>
        <v>#NAME?</v>
      </c>
      <c r="AW94" s="318" t="e">
        <f ca="1">0.0001*BicubicInterpolation('Drag Coef Table'!$B$4:$L$28,AV94,AC94)</f>
        <v>#NAME?</v>
      </c>
      <c r="AX94" s="319" t="e">
        <f t="shared" ca="1" si="44"/>
        <v>#NAME?</v>
      </c>
      <c r="AY94" s="318" t="e">
        <f t="shared" ca="1" si="45"/>
        <v>#NAME?</v>
      </c>
      <c r="AZ94" s="320" t="e">
        <f t="shared" ca="1" si="46"/>
        <v>#NAME?</v>
      </c>
      <c r="BA94" s="321" t="e">
        <f t="shared" ca="1" si="47"/>
        <v>#NAME?</v>
      </c>
      <c r="BB94" s="322" t="e">
        <f t="shared" ca="1" si="48"/>
        <v>#NAME?</v>
      </c>
      <c r="BC94" s="323">
        <v>75.196700000000007</v>
      </c>
      <c r="BD94" s="324" t="e">
        <f t="shared" ca="1" si="49"/>
        <v>#NAME?</v>
      </c>
      <c r="BE94" s="325" t="e">
        <f t="shared" ca="1" si="50"/>
        <v>#NAME?</v>
      </c>
      <c r="BF94" s="324" t="e">
        <f ca="1">BicubicInterpolation('TSFC Eff Table'!$B$4:$E$69,2,BB94)</f>
        <v>#NAME?</v>
      </c>
      <c r="BG94" s="326" t="e">
        <f t="shared" ca="1" si="51"/>
        <v>#NAME?</v>
      </c>
      <c r="BH94" s="694" t="e">
        <f ca="1">IF( S94="LRCINOP",   (1+(0.03/10)*Z94*(1+0.2*AC94^2) )*BicubicInterpolation( 'LRC INOP FF'!$C$4:$AA$21, Y94, U94 )-200, IF(S94 ="HOLDINGINOP", (1+(0.03/10)*Z94*(1+0.2*AC94^2) )*BicubicInterpolation( 'Holding INOP FF'!$C$4:$J$13,  Y94,  U94)/1.05-200,   BA94*BG94))</f>
        <v>#NAME?</v>
      </c>
      <c r="BI94" s="344" t="e">
        <f t="shared" ca="1" si="15"/>
        <v>#NAME?</v>
      </c>
      <c r="BJ94" s="322" t="e">
        <f t="shared" ca="1" si="52"/>
        <v>#NAME?</v>
      </c>
      <c r="BK94" s="338" t="e">
        <f t="shared" ca="1" si="16"/>
        <v>#NAME?</v>
      </c>
      <c r="BL94" s="327" t="e">
        <f t="shared" ca="1" si="53"/>
        <v>#NAME?</v>
      </c>
      <c r="BM94" s="328">
        <f t="shared" si="54"/>
        <v>200</v>
      </c>
      <c r="BN94" s="329" t="e">
        <f t="shared" ca="1" si="55"/>
        <v>#NAME?</v>
      </c>
      <c r="BO94" s="344" t="e">
        <f t="shared" ca="1" si="17"/>
        <v>#NAME?</v>
      </c>
      <c r="BP94" s="320" t="e">
        <f t="shared" ca="1" si="56"/>
        <v>#NAME?</v>
      </c>
      <c r="BQ94" s="344" t="e">
        <f t="shared" ca="1" si="18"/>
        <v>#NAME?</v>
      </c>
      <c r="BR94" s="347" t="e">
        <f t="shared" ca="1" si="19"/>
        <v>#NAME?</v>
      </c>
      <c r="BS94" s="326" t="e">
        <f t="shared" ca="1" si="57"/>
        <v>#NAME?</v>
      </c>
      <c r="BT94" s="437" t="e">
        <f t="shared" ca="1" si="58"/>
        <v>#NAME?</v>
      </c>
      <c r="BU94" s="437" t="e">
        <f t="shared" ca="1" si="59"/>
        <v>#NAME?</v>
      </c>
      <c r="BV94" s="441" t="e">
        <f t="shared" ca="1" si="60"/>
        <v>#NAME?</v>
      </c>
      <c r="BW94" s="442" t="e">
        <f t="shared" ca="1" si="61"/>
        <v>#NAME?</v>
      </c>
      <c r="BX94" s="470" t="e">
        <f t="shared" ca="1" si="5"/>
        <v>#NAME?</v>
      </c>
      <c r="BY94" s="484" t="e">
        <f t="shared" ca="1" si="20"/>
        <v>#NAME?</v>
      </c>
    </row>
    <row r="95" spans="2:77" ht="17.75" customHeight="1" x14ac:dyDescent="0.2">
      <c r="E95" s="423"/>
      <c r="I95" s="366">
        <v>11</v>
      </c>
      <c r="J95" s="414">
        <f t="shared" si="21"/>
        <v>41705.720138888915</v>
      </c>
      <c r="K95" s="435" t="e">
        <f t="shared" ca="1" si="22"/>
        <v>#NAME?</v>
      </c>
      <c r="L95" s="435" t="e">
        <f t="shared" ca="1" si="0"/>
        <v>#NAME?</v>
      </c>
      <c r="M95" s="664" t="e">
        <f t="shared" ca="1" si="23"/>
        <v>#NAME?</v>
      </c>
      <c r="N95" s="664" t="e">
        <f t="shared" ca="1" si="24"/>
        <v>#NAME?</v>
      </c>
      <c r="O95" s="140" t="e">
        <f t="shared" ca="1" si="7"/>
        <v>#NAME?</v>
      </c>
      <c r="P95" s="352" t="e">
        <f t="shared" ca="1" si="25"/>
        <v>#NAME?</v>
      </c>
      <c r="Q95" s="665" t="e">
        <f t="shared" ca="1" si="8"/>
        <v>#NAME?</v>
      </c>
      <c r="R95" s="352" t="e">
        <f t="shared" ref="R95:R158" ca="1" si="65">AC95</f>
        <v>#NAME?</v>
      </c>
      <c r="S95" s="662" t="e">
        <f t="shared" ca="1" si="10"/>
        <v>#NAME?</v>
      </c>
      <c r="T95" s="443" t="e">
        <f t="shared" ca="1" si="1"/>
        <v>#NAME?</v>
      </c>
      <c r="U95" s="369" t="e">
        <f t="shared" ca="1" si="2"/>
        <v>#NAME?</v>
      </c>
      <c r="V95" s="454" t="e">
        <f t="shared" ca="1" si="11"/>
        <v>#NAME?</v>
      </c>
      <c r="W95" s="457">
        <f t="shared" si="12"/>
        <v>1000</v>
      </c>
      <c r="X95" s="463" t="e">
        <f t="shared" ca="1" si="13"/>
        <v>#NAME?</v>
      </c>
      <c r="Y95" s="455" t="e">
        <f t="shared" ca="1" si="26"/>
        <v>#NAME?</v>
      </c>
      <c r="Z95" s="699">
        <f t="shared" si="3"/>
        <v>10</v>
      </c>
      <c r="AA95" s="355" t="str">
        <f t="shared" si="4"/>
        <v>ON</v>
      </c>
      <c r="AB95" s="357">
        <f t="shared" ref="AB95:AB158" si="66">AB94</f>
        <v>1.4999999999999999E-2</v>
      </c>
      <c r="AC95" s="356" t="e">
        <f ca="1">IF(  Y94=0,0,IF(OR(S95="KCAS",S95="INOP",S95="MEFE"),   ( (5*( (   (((1+0.2*(T95/661.4786)^2)^3.5 -1)  )/( (1-6.8755856*10^-6 *100*Y95)^5.2558797) +1)^(2/7) -1) )^0.5),IF(S95="MACH",T95, IF(S95="LRC",BicubicInterpolation( 'LRC Mach'!$C$4:$AL$21, Y95,U95),  IF(S95="MRC",BicubicInterpolation( 'MRC Mach'!$C$3:$T$18, Y95,U95),  IF(S95="M0.84",0.84,  IF(S95="CI52",BicubicInterpolation('CI=52 Mach'!$C$3:$T$18, Y95,U95),  IF(S95="HOLDING",BicubicInterpolation(  'Holding Mach'!$C$4:$M$13, Y95,U95),                         IF(S95="LRCINOP", BicubicInterpolation('LRC INOP Mach'!$C$4:$AA$21,Y95,U95), IF(S95="HOLDINGINOP",  BicubicInterpolation('Holding INOP Mach'!$N$4:$U$13,Y95,U95),         "XXX" )))))))   )))</f>
        <v>#NAME?</v>
      </c>
      <c r="AD95" s="313" t="e">
        <f t="shared" ref="AD95:AD158" ca="1" si="67">IF(Y95&lt;360.8924,288.15-1.9812*Y95/10,216.65)</f>
        <v>#NAME?</v>
      </c>
      <c r="AE95" s="314" t="e">
        <f t="shared" ca="1" si="28"/>
        <v>#NAME?</v>
      </c>
      <c r="AF95" s="313" t="e">
        <f t="shared" ref="AF95:AF158" ca="1" si="68">AD95+Z95</f>
        <v>#NAME?</v>
      </c>
      <c r="AG95" s="314" t="e">
        <f t="shared" ca="1" si="29"/>
        <v>#NAME?</v>
      </c>
      <c r="AH95" s="313" t="e">
        <f t="shared" ref="AH95:AH158" ca="1" si="69">AF95*(1+0.2*AC95^2)</f>
        <v>#NAME?</v>
      </c>
      <c r="AI95" s="314" t="e">
        <f t="shared" ca="1" si="31"/>
        <v>#NAME?</v>
      </c>
      <c r="AJ95" s="315" t="e">
        <f t="shared" ca="1" si="32"/>
        <v>#NAME?</v>
      </c>
      <c r="AK95" s="568" t="e">
        <f t="shared" ref="AK95:AK158" ca="1" si="70">661.4786*SQRT(AG95)</f>
        <v>#NAME?</v>
      </c>
      <c r="AL95" s="313" t="e">
        <f t="shared" ref="AL95:AL158" ca="1" si="71">AC95*AK95</f>
        <v>#NAME?</v>
      </c>
      <c r="AM95" s="313" t="e">
        <f t="shared" ca="1" si="35"/>
        <v>#NAME?</v>
      </c>
      <c r="AN95" s="313" t="e">
        <f t="shared" ca="1" si="36"/>
        <v>#NAME?</v>
      </c>
      <c r="AO95" s="316" t="e">
        <f t="shared" ref="AO95:AO158" ca="1" si="72">661.4786*(5*((1 + ( (1-0.00068755856*Y95)^5.2558797)*((1 + AC95^2/5)^3.5 - 1))^(2/7) - 1))^0.5</f>
        <v>#NAME?</v>
      </c>
      <c r="AP95" s="313" t="e">
        <f t="shared" ref="AP95:AP158" ca="1" si="73">IF(Y95&lt;360.8924,1013.25*(1-0.0000068755856*100*Y95)^5.2558797,0.01*0.2233609*101325*EXP(-0.004806346*(Y95-360.8924)))</f>
        <v>#NAME?</v>
      </c>
      <c r="AQ95" s="314" t="e">
        <f t="shared" ca="1" si="39"/>
        <v>#NAME?</v>
      </c>
      <c r="AR95" s="315" t="e">
        <f t="shared" ref="AR95:AR158" ca="1" si="74">AQ95*(1+0.2*AC95^2)^3.5</f>
        <v>#NAME?</v>
      </c>
      <c r="AS95" s="316" t="e">
        <f t="shared" ref="AS95:AS158" ca="1" si="75">U95/AQ95</f>
        <v>#NAME?</v>
      </c>
      <c r="AT95" s="315" t="e">
        <f t="shared" ref="AT95:AT158" ca="1" si="76">1.225*AQ95/AG95</f>
        <v>#NAME?</v>
      </c>
      <c r="AU95" s="317">
        <v>427.8</v>
      </c>
      <c r="AV95" s="315" t="e">
        <f t="shared" ref="AV95:AV158" ca="1" si="77">1000*9.80665*U95/(0.5*AT95*AU95*(AM95)^2)</f>
        <v>#NAME?</v>
      </c>
      <c r="AW95" s="318" t="e">
        <f ca="1">0.0001*BicubicInterpolation('Drag Coef Table'!$B$4:$L$28,AV95,AC95)</f>
        <v>#NAME?</v>
      </c>
      <c r="AX95" s="319" t="e">
        <f t="shared" ref="AX95:AX158" ca="1" si="78">(-45.29)*0.0001*LOG10(  (  ( AG95 + 0.38312 ) / AG95^2    )   /   (   (AE95 +0.38312)/(AE95)^2  ) )</f>
        <v>#NAME?</v>
      </c>
      <c r="AY95" s="318" t="e">
        <f t="shared" ref="AY95:AY158" ca="1" si="79">AW95+AX95</f>
        <v>#NAME?</v>
      </c>
      <c r="AZ95" s="320" t="e">
        <f t="shared" ref="AZ95:AZ158" ca="1" si="80">AV95/AY95</f>
        <v>#NAME?</v>
      </c>
      <c r="BA95" s="321" t="e">
        <f t="shared" ref="BA95:BA158" ca="1" si="81">AY95*0.5*AT95*(AM95^2)*AU95/1000</f>
        <v>#NAME?</v>
      </c>
      <c r="BB95" s="322" t="e">
        <f t="shared" ref="BB95:BB158" ca="1" si="82">BA95/AQ95/9.80665</f>
        <v>#NAME?</v>
      </c>
      <c r="BC95" s="323">
        <v>75.196700000000007</v>
      </c>
      <c r="BD95" s="324" t="e">
        <f t="shared" ref="BD95:BD158" ca="1" si="83">AG95^0.68</f>
        <v>#NAME?</v>
      </c>
      <c r="BE95" s="325" t="e">
        <f t="shared" ref="BE95:BE158" ca="1" si="84">AC95^0.53</f>
        <v>#NAME?</v>
      </c>
      <c r="BF95" s="324" t="e">
        <f ca="1">BicubicInterpolation('TSFC Eff Table'!$B$4:$E$69,2,BB95)</f>
        <v>#NAME?</v>
      </c>
      <c r="BG95" s="326" t="e">
        <f t="shared" ref="BG95:BG158" ca="1" si="85">BC95*BD95*BE95/BF95</f>
        <v>#NAME?</v>
      </c>
      <c r="BH95" s="694" t="e">
        <f ca="1">IF( S95="LRCINOP",   (1+(0.03/10)*Z95*(1+0.2*AC95^2) )*BicubicInterpolation( 'LRC INOP FF'!$C$4:$AA$21, Y95, U95 )-200, IF(S95 ="HOLDINGINOP", (1+(0.03/10)*Z95*(1+0.2*AC95^2) )*BicubicInterpolation( 'Holding INOP FF'!$C$4:$J$13,  Y95,  U95)/1.05-200,   BA95*BG95))</f>
        <v>#NAME?</v>
      </c>
      <c r="BI95" s="344" t="e">
        <f t="shared" ca="1" si="15"/>
        <v>#NAME?</v>
      </c>
      <c r="BJ95" s="322" t="e">
        <f t="shared" ref="BJ95:BJ158" ca="1" si="86">BI95/(AR95*AJ95)/1000</f>
        <v>#NAME?</v>
      </c>
      <c r="BK95" s="338" t="e">
        <f t="shared" ca="1" si="16"/>
        <v>#NAME?</v>
      </c>
      <c r="BL95" s="327" t="e">
        <f t="shared" ref="BL95:BL158" ca="1" si="87">100*BK95/AS95</f>
        <v>#NAME?</v>
      </c>
      <c r="BM95" s="328">
        <f t="shared" ref="BM95:BM158" si="88">200-IF(AA95="OFF",55,0)</f>
        <v>200</v>
      </c>
      <c r="BN95" s="329" t="e">
        <f t="shared" ref="BN95:BN158" ca="1" si="89">BI95+BM95</f>
        <v>#NAME?</v>
      </c>
      <c r="BO95" s="344" t="e">
        <f t="shared" ca="1" si="17"/>
        <v>#NAME?</v>
      </c>
      <c r="BP95" s="320" t="e">
        <f t="shared" ref="BP95:BP158" ca="1" si="90">1000*AL95/BO95</f>
        <v>#NAME?</v>
      </c>
      <c r="BQ95" s="344" t="e">
        <f t="shared" ca="1" si="18"/>
        <v>#NAME?</v>
      </c>
      <c r="BR95" s="347" t="e">
        <f t="shared" ca="1" si="19"/>
        <v>#NAME?</v>
      </c>
      <c r="BS95" s="326" t="e">
        <f t="shared" ref="BS95:BS158" ca="1" si="91">1000*AL95/BR95</f>
        <v>#NAME?</v>
      </c>
      <c r="BT95" s="437" t="e">
        <f t="shared" ca="1" si="58"/>
        <v>#NAME?</v>
      </c>
      <c r="BU95" s="437" t="e">
        <f t="shared" ca="1" si="59"/>
        <v>#NAME?</v>
      </c>
      <c r="BV95" s="441" t="e">
        <f t="shared" ca="1" si="60"/>
        <v>#NAME?</v>
      </c>
      <c r="BW95" s="442" t="e">
        <f t="shared" ca="1" si="61"/>
        <v>#NAME?</v>
      </c>
      <c r="BX95" s="470" t="e">
        <f t="shared" ca="1" si="5"/>
        <v>#NAME?</v>
      </c>
      <c r="BY95" s="484" t="e">
        <f t="shared" ca="1" si="20"/>
        <v>#NAME?</v>
      </c>
    </row>
    <row r="96" spans="2:77" ht="17.75" customHeight="1" x14ac:dyDescent="0.2">
      <c r="E96" s="423"/>
      <c r="I96" s="366">
        <v>12</v>
      </c>
      <c r="J96" s="414">
        <f t="shared" si="21"/>
        <v>41705.720833333362</v>
      </c>
      <c r="K96" s="435" t="e">
        <f t="shared" ca="1" si="22"/>
        <v>#NAME?</v>
      </c>
      <c r="L96" s="435" t="e">
        <f t="shared" ca="1" si="0"/>
        <v>#NAME?</v>
      </c>
      <c r="M96" s="664" t="e">
        <f t="shared" ca="1" si="23"/>
        <v>#NAME?</v>
      </c>
      <c r="N96" s="664" t="e">
        <f t="shared" ca="1" si="24"/>
        <v>#NAME?</v>
      </c>
      <c r="O96" s="140" t="e">
        <f t="shared" ca="1" si="7"/>
        <v>#NAME?</v>
      </c>
      <c r="P96" s="352" t="e">
        <f t="shared" ca="1" si="25"/>
        <v>#NAME?</v>
      </c>
      <c r="Q96" s="665" t="e">
        <f t="shared" ca="1" si="8"/>
        <v>#NAME?</v>
      </c>
      <c r="R96" s="352" t="e">
        <f t="shared" ca="1" si="65"/>
        <v>#NAME?</v>
      </c>
      <c r="S96" s="662" t="e">
        <f t="shared" ca="1" si="10"/>
        <v>#NAME?</v>
      </c>
      <c r="T96" s="443" t="e">
        <f t="shared" ca="1" si="1"/>
        <v>#NAME?</v>
      </c>
      <c r="U96" s="369" t="e">
        <f t="shared" ca="1" si="2"/>
        <v>#NAME?</v>
      </c>
      <c r="V96" s="454" t="e">
        <f t="shared" ca="1" si="11"/>
        <v>#NAME?</v>
      </c>
      <c r="W96" s="457">
        <f t="shared" si="12"/>
        <v>1000</v>
      </c>
      <c r="X96" s="463" t="e">
        <f t="shared" ca="1" si="13"/>
        <v>#NAME?</v>
      </c>
      <c r="Y96" s="455" t="e">
        <f t="shared" ca="1" si="26"/>
        <v>#NAME?</v>
      </c>
      <c r="Z96" s="699">
        <f t="shared" si="3"/>
        <v>10</v>
      </c>
      <c r="AA96" s="355" t="str">
        <f t="shared" si="4"/>
        <v>ON</v>
      </c>
      <c r="AB96" s="357">
        <f t="shared" si="66"/>
        <v>1.4999999999999999E-2</v>
      </c>
      <c r="AC96" s="356" t="e">
        <f ca="1">IF(  Y95=0,0,IF(OR(S96="KCAS",S96="INOP",S96="MEFE"),   ( (5*( (   (((1+0.2*(T96/661.4786)^2)^3.5 -1)  )/( (1-6.8755856*10^-6 *100*Y96)^5.2558797) +1)^(2/7) -1) )^0.5),IF(S96="MACH",T96, IF(S96="LRC",BicubicInterpolation( 'LRC Mach'!$C$4:$AL$21, Y96,U96),  IF(S96="MRC",BicubicInterpolation( 'MRC Mach'!$C$3:$T$18, Y96,U96),  IF(S96="M0.84",0.84,  IF(S96="CI52",BicubicInterpolation('CI=52 Mach'!$C$3:$T$18, Y96,U96),  IF(S96="HOLDING",BicubicInterpolation(  'Holding Mach'!$C$4:$M$13, Y96,U96),                         IF(S96="LRCINOP", BicubicInterpolation('LRC INOP Mach'!$C$4:$AA$21,Y96,U96), IF(S96="HOLDINGINOP",  BicubicInterpolation('Holding INOP Mach'!$N$4:$U$13,Y96,U96),         "XXX" )))))))   )))</f>
        <v>#NAME?</v>
      </c>
      <c r="AD96" s="313" t="e">
        <f t="shared" ca="1" si="67"/>
        <v>#NAME?</v>
      </c>
      <c r="AE96" s="314" t="e">
        <f t="shared" ca="1" si="28"/>
        <v>#NAME?</v>
      </c>
      <c r="AF96" s="313" t="e">
        <f t="shared" ca="1" si="68"/>
        <v>#NAME?</v>
      </c>
      <c r="AG96" s="314" t="e">
        <f t="shared" ca="1" si="29"/>
        <v>#NAME?</v>
      </c>
      <c r="AH96" s="313" t="e">
        <f t="shared" ca="1" si="69"/>
        <v>#NAME?</v>
      </c>
      <c r="AI96" s="314" t="e">
        <f t="shared" ca="1" si="31"/>
        <v>#NAME?</v>
      </c>
      <c r="AJ96" s="315" t="e">
        <f t="shared" ca="1" si="32"/>
        <v>#NAME?</v>
      </c>
      <c r="AK96" s="568" t="e">
        <f t="shared" ca="1" si="70"/>
        <v>#NAME?</v>
      </c>
      <c r="AL96" s="313" t="e">
        <f t="shared" ca="1" si="71"/>
        <v>#NAME?</v>
      </c>
      <c r="AM96" s="313" t="e">
        <f t="shared" ca="1" si="35"/>
        <v>#NAME?</v>
      </c>
      <c r="AN96" s="313" t="e">
        <f t="shared" ca="1" si="36"/>
        <v>#NAME?</v>
      </c>
      <c r="AO96" s="316" t="e">
        <f t="shared" ca="1" si="72"/>
        <v>#NAME?</v>
      </c>
      <c r="AP96" s="313" t="e">
        <f t="shared" ca="1" si="73"/>
        <v>#NAME?</v>
      </c>
      <c r="AQ96" s="314" t="e">
        <f t="shared" ca="1" si="39"/>
        <v>#NAME?</v>
      </c>
      <c r="AR96" s="315" t="e">
        <f t="shared" ca="1" si="74"/>
        <v>#NAME?</v>
      </c>
      <c r="AS96" s="316" t="e">
        <f t="shared" ca="1" si="75"/>
        <v>#NAME?</v>
      </c>
      <c r="AT96" s="315" t="e">
        <f t="shared" ca="1" si="76"/>
        <v>#NAME?</v>
      </c>
      <c r="AU96" s="317">
        <v>427.8</v>
      </c>
      <c r="AV96" s="315" t="e">
        <f t="shared" ca="1" si="77"/>
        <v>#NAME?</v>
      </c>
      <c r="AW96" s="318" t="e">
        <f ca="1">0.0001*BicubicInterpolation('Drag Coef Table'!$B$4:$L$28,AV96,AC96)</f>
        <v>#NAME?</v>
      </c>
      <c r="AX96" s="319" t="e">
        <f t="shared" ca="1" si="78"/>
        <v>#NAME?</v>
      </c>
      <c r="AY96" s="318" t="e">
        <f t="shared" ca="1" si="79"/>
        <v>#NAME?</v>
      </c>
      <c r="AZ96" s="320" t="e">
        <f t="shared" ca="1" si="80"/>
        <v>#NAME?</v>
      </c>
      <c r="BA96" s="321" t="e">
        <f t="shared" ca="1" si="81"/>
        <v>#NAME?</v>
      </c>
      <c r="BB96" s="322" t="e">
        <f t="shared" ca="1" si="82"/>
        <v>#NAME?</v>
      </c>
      <c r="BC96" s="323">
        <v>75.196700000000007</v>
      </c>
      <c r="BD96" s="324" t="e">
        <f t="shared" ca="1" si="83"/>
        <v>#NAME?</v>
      </c>
      <c r="BE96" s="325" t="e">
        <f t="shared" ca="1" si="84"/>
        <v>#NAME?</v>
      </c>
      <c r="BF96" s="324" t="e">
        <f ca="1">BicubicInterpolation('TSFC Eff Table'!$B$4:$E$69,2,BB96)</f>
        <v>#NAME?</v>
      </c>
      <c r="BG96" s="326" t="e">
        <f t="shared" ca="1" si="85"/>
        <v>#NAME?</v>
      </c>
      <c r="BH96" s="694" t="e">
        <f ca="1">IF( S96="LRCINOP",   (1+(0.03/10)*Z96*(1+0.2*AC96^2) )*BicubicInterpolation( 'LRC INOP FF'!$C$4:$AA$21, Y96, U96 )-200, IF(S96 ="HOLDINGINOP", (1+(0.03/10)*Z96*(1+0.2*AC96^2) )*BicubicInterpolation( 'Holding INOP FF'!$C$4:$J$13,  Y96,  U96)/1.05-200,   BA96*BG96))</f>
        <v>#NAME?</v>
      </c>
      <c r="BI96" s="344" t="e">
        <f t="shared" ca="1" si="15"/>
        <v>#NAME?</v>
      </c>
      <c r="BJ96" s="322" t="e">
        <f t="shared" ca="1" si="86"/>
        <v>#NAME?</v>
      </c>
      <c r="BK96" s="338" t="e">
        <f t="shared" ca="1" si="16"/>
        <v>#NAME?</v>
      </c>
      <c r="BL96" s="327" t="e">
        <f t="shared" ca="1" si="87"/>
        <v>#NAME?</v>
      </c>
      <c r="BM96" s="328">
        <f t="shared" si="88"/>
        <v>200</v>
      </c>
      <c r="BN96" s="329" t="e">
        <f t="shared" ca="1" si="89"/>
        <v>#NAME?</v>
      </c>
      <c r="BO96" s="344" t="e">
        <f t="shared" ca="1" si="17"/>
        <v>#NAME?</v>
      </c>
      <c r="BP96" s="320" t="e">
        <f t="shared" ca="1" si="90"/>
        <v>#NAME?</v>
      </c>
      <c r="BQ96" s="344" t="e">
        <f t="shared" ca="1" si="18"/>
        <v>#NAME?</v>
      </c>
      <c r="BR96" s="347" t="e">
        <f t="shared" ca="1" si="19"/>
        <v>#NAME?</v>
      </c>
      <c r="BS96" s="326" t="e">
        <f t="shared" ca="1" si="91"/>
        <v>#NAME?</v>
      </c>
      <c r="BT96" s="437" t="e">
        <f t="shared" ca="1" si="58"/>
        <v>#NAME?</v>
      </c>
      <c r="BU96" s="437" t="e">
        <f t="shared" ca="1" si="59"/>
        <v>#NAME?</v>
      </c>
      <c r="BV96" s="441" t="e">
        <f t="shared" ca="1" si="60"/>
        <v>#NAME?</v>
      </c>
      <c r="BW96" s="442" t="e">
        <f t="shared" ca="1" si="61"/>
        <v>#NAME?</v>
      </c>
      <c r="BX96" s="470" t="e">
        <f t="shared" ca="1" si="5"/>
        <v>#NAME?</v>
      </c>
      <c r="BY96" s="484" t="e">
        <f t="shared" ca="1" si="20"/>
        <v>#NAME?</v>
      </c>
    </row>
    <row r="97" spans="5:77" ht="17.75" customHeight="1" x14ac:dyDescent="0.2">
      <c r="E97" s="423"/>
      <c r="I97" s="366">
        <v>13</v>
      </c>
      <c r="J97" s="414">
        <f t="shared" si="21"/>
        <v>41705.721527777809</v>
      </c>
      <c r="K97" s="435" t="e">
        <f t="shared" ca="1" si="22"/>
        <v>#NAME?</v>
      </c>
      <c r="L97" s="435" t="e">
        <f t="shared" ca="1" si="0"/>
        <v>#NAME?</v>
      </c>
      <c r="M97" s="664" t="e">
        <f t="shared" ca="1" si="23"/>
        <v>#NAME?</v>
      </c>
      <c r="N97" s="664" t="e">
        <f t="shared" ca="1" si="24"/>
        <v>#NAME?</v>
      </c>
      <c r="O97" s="140" t="e">
        <f t="shared" ca="1" si="7"/>
        <v>#NAME?</v>
      </c>
      <c r="P97" s="352" t="e">
        <f t="shared" ca="1" si="25"/>
        <v>#NAME?</v>
      </c>
      <c r="Q97" s="665" t="e">
        <f t="shared" ca="1" si="8"/>
        <v>#NAME?</v>
      </c>
      <c r="R97" s="352" t="e">
        <f t="shared" ca="1" si="65"/>
        <v>#NAME?</v>
      </c>
      <c r="S97" s="662" t="e">
        <f t="shared" ca="1" si="10"/>
        <v>#NAME?</v>
      </c>
      <c r="T97" s="443" t="e">
        <f t="shared" ca="1" si="1"/>
        <v>#NAME?</v>
      </c>
      <c r="U97" s="369" t="e">
        <f t="shared" ca="1" si="2"/>
        <v>#NAME?</v>
      </c>
      <c r="V97" s="454" t="e">
        <f t="shared" ca="1" si="11"/>
        <v>#NAME?</v>
      </c>
      <c r="W97" s="457">
        <f t="shared" si="12"/>
        <v>1000</v>
      </c>
      <c r="X97" s="463" t="e">
        <f t="shared" ca="1" si="13"/>
        <v>#NAME?</v>
      </c>
      <c r="Y97" s="455" t="e">
        <f t="shared" ca="1" si="26"/>
        <v>#NAME?</v>
      </c>
      <c r="Z97" s="699">
        <f t="shared" si="3"/>
        <v>10</v>
      </c>
      <c r="AA97" s="355" t="str">
        <f t="shared" si="4"/>
        <v>ON</v>
      </c>
      <c r="AB97" s="357">
        <f t="shared" si="66"/>
        <v>1.4999999999999999E-2</v>
      </c>
      <c r="AC97" s="356" t="e">
        <f ca="1">IF(  Y96=0,0,IF(OR(S97="KCAS",S97="INOP",S97="MEFE"),   ( (5*( (   (((1+0.2*(T97/661.4786)^2)^3.5 -1)  )/( (1-6.8755856*10^-6 *100*Y97)^5.2558797) +1)^(2/7) -1) )^0.5),IF(S97="MACH",T97, IF(S97="LRC",BicubicInterpolation( 'LRC Mach'!$C$4:$AL$21, Y97,U97),  IF(S97="MRC",BicubicInterpolation( 'MRC Mach'!$C$3:$T$18, Y97,U97),  IF(S97="M0.84",0.84,  IF(S97="CI52",BicubicInterpolation('CI=52 Mach'!$C$3:$T$18, Y97,U97),  IF(S97="HOLDING",BicubicInterpolation(  'Holding Mach'!$C$4:$M$13, Y97,U97),                         IF(S97="LRCINOP", BicubicInterpolation('LRC INOP Mach'!$C$4:$AA$21,Y97,U97), IF(S97="HOLDINGINOP",  BicubicInterpolation('Holding INOP Mach'!$N$4:$U$13,Y97,U97),         "XXX" )))))))   )))</f>
        <v>#NAME?</v>
      </c>
      <c r="AD97" s="313" t="e">
        <f t="shared" ca="1" si="67"/>
        <v>#NAME?</v>
      </c>
      <c r="AE97" s="314" t="e">
        <f t="shared" ca="1" si="28"/>
        <v>#NAME?</v>
      </c>
      <c r="AF97" s="313" t="e">
        <f t="shared" ca="1" si="68"/>
        <v>#NAME?</v>
      </c>
      <c r="AG97" s="314" t="e">
        <f t="shared" ca="1" si="29"/>
        <v>#NAME?</v>
      </c>
      <c r="AH97" s="313" t="e">
        <f t="shared" ca="1" si="69"/>
        <v>#NAME?</v>
      </c>
      <c r="AI97" s="314" t="e">
        <f t="shared" ca="1" si="31"/>
        <v>#NAME?</v>
      </c>
      <c r="AJ97" s="315" t="e">
        <f t="shared" ca="1" si="32"/>
        <v>#NAME?</v>
      </c>
      <c r="AK97" s="568" t="e">
        <f t="shared" ca="1" si="70"/>
        <v>#NAME?</v>
      </c>
      <c r="AL97" s="313" t="e">
        <f t="shared" ca="1" si="71"/>
        <v>#NAME?</v>
      </c>
      <c r="AM97" s="313" t="e">
        <f t="shared" ca="1" si="35"/>
        <v>#NAME?</v>
      </c>
      <c r="AN97" s="313" t="e">
        <f t="shared" ca="1" si="36"/>
        <v>#NAME?</v>
      </c>
      <c r="AO97" s="316" t="e">
        <f t="shared" ca="1" si="72"/>
        <v>#NAME?</v>
      </c>
      <c r="AP97" s="313" t="e">
        <f t="shared" ca="1" si="73"/>
        <v>#NAME?</v>
      </c>
      <c r="AQ97" s="314" t="e">
        <f t="shared" ca="1" si="39"/>
        <v>#NAME?</v>
      </c>
      <c r="AR97" s="315" t="e">
        <f t="shared" ca="1" si="74"/>
        <v>#NAME?</v>
      </c>
      <c r="AS97" s="316" t="e">
        <f t="shared" ca="1" si="75"/>
        <v>#NAME?</v>
      </c>
      <c r="AT97" s="315" t="e">
        <f t="shared" ca="1" si="76"/>
        <v>#NAME?</v>
      </c>
      <c r="AU97" s="317">
        <v>427.8</v>
      </c>
      <c r="AV97" s="315" t="e">
        <f t="shared" ca="1" si="77"/>
        <v>#NAME?</v>
      </c>
      <c r="AW97" s="318" t="e">
        <f ca="1">0.0001*BicubicInterpolation('Drag Coef Table'!$B$4:$L$28,AV97,AC97)</f>
        <v>#NAME?</v>
      </c>
      <c r="AX97" s="319" t="e">
        <f t="shared" ca="1" si="78"/>
        <v>#NAME?</v>
      </c>
      <c r="AY97" s="318" t="e">
        <f t="shared" ca="1" si="79"/>
        <v>#NAME?</v>
      </c>
      <c r="AZ97" s="320" t="e">
        <f t="shared" ca="1" si="80"/>
        <v>#NAME?</v>
      </c>
      <c r="BA97" s="321" t="e">
        <f t="shared" ca="1" si="81"/>
        <v>#NAME?</v>
      </c>
      <c r="BB97" s="322" t="e">
        <f t="shared" ca="1" si="82"/>
        <v>#NAME?</v>
      </c>
      <c r="BC97" s="323">
        <v>75.196700000000007</v>
      </c>
      <c r="BD97" s="324" t="e">
        <f t="shared" ca="1" si="83"/>
        <v>#NAME?</v>
      </c>
      <c r="BE97" s="325" t="e">
        <f t="shared" ca="1" si="84"/>
        <v>#NAME?</v>
      </c>
      <c r="BF97" s="324" t="e">
        <f ca="1">BicubicInterpolation('TSFC Eff Table'!$B$4:$E$69,2,BB97)</f>
        <v>#NAME?</v>
      </c>
      <c r="BG97" s="326" t="e">
        <f t="shared" ca="1" si="85"/>
        <v>#NAME?</v>
      </c>
      <c r="BH97" s="694" t="e">
        <f ca="1">IF( S97="LRCINOP",   (1+(0.03/10)*Z97*(1+0.2*AC97^2) )*BicubicInterpolation( 'LRC INOP FF'!$C$4:$AA$21, Y97, U97 )-200, IF(S97 ="HOLDINGINOP", (1+(0.03/10)*Z97*(1+0.2*AC97^2) )*BicubicInterpolation( 'Holding INOP FF'!$C$4:$J$13,  Y97,  U97)/1.05-200,   BA97*BG97))</f>
        <v>#NAME?</v>
      </c>
      <c r="BI97" s="344" t="e">
        <f t="shared" ca="1" si="15"/>
        <v>#NAME?</v>
      </c>
      <c r="BJ97" s="322" t="e">
        <f t="shared" ca="1" si="86"/>
        <v>#NAME?</v>
      </c>
      <c r="BK97" s="338" t="e">
        <f t="shared" ca="1" si="16"/>
        <v>#NAME?</v>
      </c>
      <c r="BL97" s="327" t="e">
        <f t="shared" ca="1" si="87"/>
        <v>#NAME?</v>
      </c>
      <c r="BM97" s="328">
        <f t="shared" si="88"/>
        <v>200</v>
      </c>
      <c r="BN97" s="329" t="e">
        <f t="shared" ca="1" si="89"/>
        <v>#NAME?</v>
      </c>
      <c r="BO97" s="344" t="e">
        <f t="shared" ca="1" si="17"/>
        <v>#NAME?</v>
      </c>
      <c r="BP97" s="320" t="e">
        <f t="shared" ca="1" si="90"/>
        <v>#NAME?</v>
      </c>
      <c r="BQ97" s="344" t="e">
        <f t="shared" ca="1" si="18"/>
        <v>#NAME?</v>
      </c>
      <c r="BR97" s="347" t="e">
        <f t="shared" ca="1" si="19"/>
        <v>#NAME?</v>
      </c>
      <c r="BS97" s="326" t="e">
        <f t="shared" ca="1" si="91"/>
        <v>#NAME?</v>
      </c>
      <c r="BT97" s="437" t="e">
        <f t="shared" ca="1" si="58"/>
        <v>#NAME?</v>
      </c>
      <c r="BU97" s="437" t="e">
        <f t="shared" ca="1" si="59"/>
        <v>#NAME?</v>
      </c>
      <c r="BV97" s="441" t="e">
        <f t="shared" ca="1" si="60"/>
        <v>#NAME?</v>
      </c>
      <c r="BW97" s="442" t="e">
        <f t="shared" ca="1" si="61"/>
        <v>#NAME?</v>
      </c>
      <c r="BX97" s="470" t="e">
        <f t="shared" ca="1" si="5"/>
        <v>#NAME?</v>
      </c>
      <c r="BY97" s="484" t="e">
        <f t="shared" ca="1" si="20"/>
        <v>#NAME?</v>
      </c>
    </row>
    <row r="98" spans="5:77" ht="17.75" customHeight="1" x14ac:dyDescent="0.2">
      <c r="E98" s="423"/>
      <c r="I98" s="366">
        <v>14</v>
      </c>
      <c r="J98" s="414">
        <f t="shared" si="21"/>
        <v>41705.722222222255</v>
      </c>
      <c r="K98" s="435" t="e">
        <f t="shared" ca="1" si="22"/>
        <v>#NAME?</v>
      </c>
      <c r="L98" s="435" t="e">
        <f t="shared" ca="1" si="0"/>
        <v>#NAME?</v>
      </c>
      <c r="M98" s="664" t="e">
        <f t="shared" ca="1" si="23"/>
        <v>#NAME?</v>
      </c>
      <c r="N98" s="664" t="e">
        <f t="shared" ca="1" si="24"/>
        <v>#NAME?</v>
      </c>
      <c r="O98" s="140" t="e">
        <f t="shared" ca="1" si="7"/>
        <v>#NAME?</v>
      </c>
      <c r="P98" s="352" t="e">
        <f t="shared" ca="1" si="25"/>
        <v>#NAME?</v>
      </c>
      <c r="Q98" s="665" t="e">
        <f t="shared" ca="1" si="8"/>
        <v>#NAME?</v>
      </c>
      <c r="R98" s="352" t="e">
        <f t="shared" ca="1" si="65"/>
        <v>#NAME?</v>
      </c>
      <c r="S98" s="662" t="e">
        <f t="shared" ca="1" si="10"/>
        <v>#NAME?</v>
      </c>
      <c r="T98" s="443" t="e">
        <f t="shared" ca="1" si="1"/>
        <v>#NAME?</v>
      </c>
      <c r="U98" s="369" t="e">
        <f t="shared" ca="1" si="2"/>
        <v>#NAME?</v>
      </c>
      <c r="V98" s="454" t="e">
        <f t="shared" ca="1" si="11"/>
        <v>#NAME?</v>
      </c>
      <c r="W98" s="457">
        <f t="shared" si="12"/>
        <v>1000</v>
      </c>
      <c r="X98" s="463" t="e">
        <f t="shared" ca="1" si="13"/>
        <v>#NAME?</v>
      </c>
      <c r="Y98" s="455" t="e">
        <f t="shared" ca="1" si="26"/>
        <v>#NAME?</v>
      </c>
      <c r="Z98" s="699">
        <f t="shared" si="3"/>
        <v>10</v>
      </c>
      <c r="AA98" s="355" t="str">
        <f t="shared" si="4"/>
        <v>ON</v>
      </c>
      <c r="AB98" s="357">
        <f t="shared" si="66"/>
        <v>1.4999999999999999E-2</v>
      </c>
      <c r="AC98" s="356" t="e">
        <f ca="1">IF(  Y97=0,0,IF(OR(S98="KCAS",S98="INOP",S98="MEFE"),   ( (5*( (   (((1+0.2*(T98/661.4786)^2)^3.5 -1)  )/( (1-6.8755856*10^-6 *100*Y98)^5.2558797) +1)^(2/7) -1) )^0.5),IF(S98="MACH",T98, IF(S98="LRC",BicubicInterpolation( 'LRC Mach'!$C$4:$AL$21, Y98,U98),  IF(S98="MRC",BicubicInterpolation( 'MRC Mach'!$C$3:$T$18, Y98,U98),  IF(S98="M0.84",0.84,  IF(S98="CI52",BicubicInterpolation('CI=52 Mach'!$C$3:$T$18, Y98,U98),  IF(S98="HOLDING",BicubicInterpolation(  'Holding Mach'!$C$4:$M$13, Y98,U98),                         IF(S98="LRCINOP", BicubicInterpolation('LRC INOP Mach'!$C$4:$AA$21,Y98,U98), IF(S98="HOLDINGINOP",  BicubicInterpolation('Holding INOP Mach'!$N$4:$U$13,Y98,U98),         "XXX" )))))))   )))</f>
        <v>#NAME?</v>
      </c>
      <c r="AD98" s="313" t="e">
        <f t="shared" ca="1" si="67"/>
        <v>#NAME?</v>
      </c>
      <c r="AE98" s="314" t="e">
        <f t="shared" ca="1" si="28"/>
        <v>#NAME?</v>
      </c>
      <c r="AF98" s="313" t="e">
        <f t="shared" ca="1" si="68"/>
        <v>#NAME?</v>
      </c>
      <c r="AG98" s="314" t="e">
        <f t="shared" ca="1" si="29"/>
        <v>#NAME?</v>
      </c>
      <c r="AH98" s="313" t="e">
        <f t="shared" ca="1" si="69"/>
        <v>#NAME?</v>
      </c>
      <c r="AI98" s="314" t="e">
        <f t="shared" ca="1" si="31"/>
        <v>#NAME?</v>
      </c>
      <c r="AJ98" s="315" t="e">
        <f t="shared" ca="1" si="32"/>
        <v>#NAME?</v>
      </c>
      <c r="AK98" s="568" t="e">
        <f t="shared" ca="1" si="70"/>
        <v>#NAME?</v>
      </c>
      <c r="AL98" s="313" t="e">
        <f t="shared" ca="1" si="71"/>
        <v>#NAME?</v>
      </c>
      <c r="AM98" s="313" t="e">
        <f t="shared" ca="1" si="35"/>
        <v>#NAME?</v>
      </c>
      <c r="AN98" s="313" t="e">
        <f t="shared" ca="1" si="36"/>
        <v>#NAME?</v>
      </c>
      <c r="AO98" s="316" t="e">
        <f t="shared" ca="1" si="72"/>
        <v>#NAME?</v>
      </c>
      <c r="AP98" s="313" t="e">
        <f t="shared" ca="1" si="73"/>
        <v>#NAME?</v>
      </c>
      <c r="AQ98" s="314" t="e">
        <f t="shared" ca="1" si="39"/>
        <v>#NAME?</v>
      </c>
      <c r="AR98" s="315" t="e">
        <f t="shared" ca="1" si="74"/>
        <v>#NAME?</v>
      </c>
      <c r="AS98" s="316" t="e">
        <f t="shared" ca="1" si="75"/>
        <v>#NAME?</v>
      </c>
      <c r="AT98" s="315" t="e">
        <f t="shared" ca="1" si="76"/>
        <v>#NAME?</v>
      </c>
      <c r="AU98" s="317">
        <v>427.8</v>
      </c>
      <c r="AV98" s="315" t="e">
        <f t="shared" ca="1" si="77"/>
        <v>#NAME?</v>
      </c>
      <c r="AW98" s="318" t="e">
        <f ca="1">0.0001*BicubicInterpolation('Drag Coef Table'!$B$4:$L$28,AV98,AC98)</f>
        <v>#NAME?</v>
      </c>
      <c r="AX98" s="319" t="e">
        <f t="shared" ca="1" si="78"/>
        <v>#NAME?</v>
      </c>
      <c r="AY98" s="318" t="e">
        <f t="shared" ca="1" si="79"/>
        <v>#NAME?</v>
      </c>
      <c r="AZ98" s="320" t="e">
        <f t="shared" ca="1" si="80"/>
        <v>#NAME?</v>
      </c>
      <c r="BA98" s="321" t="e">
        <f t="shared" ca="1" si="81"/>
        <v>#NAME?</v>
      </c>
      <c r="BB98" s="322" t="e">
        <f t="shared" ca="1" si="82"/>
        <v>#NAME?</v>
      </c>
      <c r="BC98" s="323">
        <v>75.196700000000007</v>
      </c>
      <c r="BD98" s="324" t="e">
        <f t="shared" ca="1" si="83"/>
        <v>#NAME?</v>
      </c>
      <c r="BE98" s="325" t="e">
        <f t="shared" ca="1" si="84"/>
        <v>#NAME?</v>
      </c>
      <c r="BF98" s="324" t="e">
        <f ca="1">BicubicInterpolation('TSFC Eff Table'!$B$4:$E$69,2,BB98)</f>
        <v>#NAME?</v>
      </c>
      <c r="BG98" s="326" t="e">
        <f t="shared" ca="1" si="85"/>
        <v>#NAME?</v>
      </c>
      <c r="BH98" s="694" t="e">
        <f ca="1">IF( S98="LRCINOP",   (1+(0.03/10)*Z98*(1+0.2*AC98^2) )*BicubicInterpolation( 'LRC INOP FF'!$C$4:$AA$21, Y98, U98 )-200, IF(S98 ="HOLDINGINOP", (1+(0.03/10)*Z98*(1+0.2*AC98^2) )*BicubicInterpolation( 'Holding INOP FF'!$C$4:$J$13,  Y98,  U98)/1.05-200,   BA98*BG98))</f>
        <v>#NAME?</v>
      </c>
      <c r="BI98" s="344" t="e">
        <f t="shared" ca="1" si="15"/>
        <v>#NAME?</v>
      </c>
      <c r="BJ98" s="322" t="e">
        <f t="shared" ca="1" si="86"/>
        <v>#NAME?</v>
      </c>
      <c r="BK98" s="338" t="e">
        <f t="shared" ca="1" si="16"/>
        <v>#NAME?</v>
      </c>
      <c r="BL98" s="327" t="e">
        <f t="shared" ca="1" si="87"/>
        <v>#NAME?</v>
      </c>
      <c r="BM98" s="328">
        <f t="shared" si="88"/>
        <v>200</v>
      </c>
      <c r="BN98" s="329" t="e">
        <f t="shared" ca="1" si="89"/>
        <v>#NAME?</v>
      </c>
      <c r="BO98" s="344" t="e">
        <f t="shared" ca="1" si="17"/>
        <v>#NAME?</v>
      </c>
      <c r="BP98" s="320" t="e">
        <f t="shared" ca="1" si="90"/>
        <v>#NAME?</v>
      </c>
      <c r="BQ98" s="344" t="e">
        <f t="shared" ca="1" si="18"/>
        <v>#NAME?</v>
      </c>
      <c r="BR98" s="347" t="e">
        <f t="shared" ca="1" si="19"/>
        <v>#NAME?</v>
      </c>
      <c r="BS98" s="326" t="e">
        <f t="shared" ca="1" si="91"/>
        <v>#NAME?</v>
      </c>
      <c r="BT98" s="437" t="e">
        <f t="shared" ca="1" si="58"/>
        <v>#NAME?</v>
      </c>
      <c r="BU98" s="437" t="e">
        <f t="shared" ca="1" si="59"/>
        <v>#NAME?</v>
      </c>
      <c r="BV98" s="441" t="e">
        <f t="shared" ca="1" si="60"/>
        <v>#NAME?</v>
      </c>
      <c r="BW98" s="442" t="e">
        <f t="shared" ca="1" si="61"/>
        <v>#NAME?</v>
      </c>
      <c r="BX98" s="470" t="e">
        <f t="shared" ca="1" si="5"/>
        <v>#NAME?</v>
      </c>
      <c r="BY98" s="484" t="e">
        <f t="shared" ca="1" si="20"/>
        <v>#NAME?</v>
      </c>
    </row>
    <row r="99" spans="5:77" ht="17.75" customHeight="1" x14ac:dyDescent="0.2">
      <c r="E99" s="423"/>
      <c r="I99" s="366">
        <v>15</v>
      </c>
      <c r="J99" s="414">
        <f t="shared" si="21"/>
        <v>41705.722916666702</v>
      </c>
      <c r="K99" s="435" t="e">
        <f t="shared" ca="1" si="22"/>
        <v>#NAME?</v>
      </c>
      <c r="L99" s="435" t="e">
        <f t="shared" ca="1" si="0"/>
        <v>#NAME?</v>
      </c>
      <c r="M99" s="664" t="e">
        <f t="shared" ca="1" si="23"/>
        <v>#NAME?</v>
      </c>
      <c r="N99" s="664" t="e">
        <f t="shared" ca="1" si="24"/>
        <v>#NAME?</v>
      </c>
      <c r="O99" s="140" t="e">
        <f t="shared" ca="1" si="7"/>
        <v>#NAME?</v>
      </c>
      <c r="P99" s="352" t="e">
        <f t="shared" ca="1" si="25"/>
        <v>#NAME?</v>
      </c>
      <c r="Q99" s="665" t="e">
        <f t="shared" ca="1" si="8"/>
        <v>#NAME?</v>
      </c>
      <c r="R99" s="352" t="e">
        <f t="shared" ca="1" si="65"/>
        <v>#NAME?</v>
      </c>
      <c r="S99" s="662" t="e">
        <f t="shared" ca="1" si="10"/>
        <v>#NAME?</v>
      </c>
      <c r="T99" s="443" t="e">
        <f t="shared" ca="1" si="1"/>
        <v>#NAME?</v>
      </c>
      <c r="U99" s="369" t="e">
        <f t="shared" ca="1" si="2"/>
        <v>#NAME?</v>
      </c>
      <c r="V99" s="454" t="e">
        <f t="shared" ca="1" si="11"/>
        <v>#NAME?</v>
      </c>
      <c r="W99" s="457">
        <f t="shared" si="12"/>
        <v>1000</v>
      </c>
      <c r="X99" s="463" t="e">
        <f t="shared" ca="1" si="13"/>
        <v>#NAME?</v>
      </c>
      <c r="Y99" s="455" t="e">
        <f t="shared" ca="1" si="26"/>
        <v>#NAME?</v>
      </c>
      <c r="Z99" s="699">
        <f t="shared" si="3"/>
        <v>10</v>
      </c>
      <c r="AA99" s="355" t="str">
        <f t="shared" si="4"/>
        <v>ON</v>
      </c>
      <c r="AB99" s="357">
        <f t="shared" si="66"/>
        <v>1.4999999999999999E-2</v>
      </c>
      <c r="AC99" s="356" t="e">
        <f ca="1">IF(  Y98=0,0,IF(OR(S99="KCAS",S99="INOP",S99="MEFE"),   ( (5*( (   (((1+0.2*(T99/661.4786)^2)^3.5 -1)  )/( (1-6.8755856*10^-6 *100*Y99)^5.2558797) +1)^(2/7) -1) )^0.5),IF(S99="MACH",T99, IF(S99="LRC",BicubicInterpolation( 'LRC Mach'!$C$4:$AL$21, Y99,U99),  IF(S99="MRC",BicubicInterpolation( 'MRC Mach'!$C$3:$T$18, Y99,U99),  IF(S99="M0.84",0.84,  IF(S99="CI52",BicubicInterpolation('CI=52 Mach'!$C$3:$T$18, Y99,U99),  IF(S99="HOLDING",BicubicInterpolation(  'Holding Mach'!$C$4:$M$13, Y99,U99),                         IF(S99="LRCINOP", BicubicInterpolation('LRC INOP Mach'!$C$4:$AA$21,Y99,U99), IF(S99="HOLDINGINOP",  BicubicInterpolation('Holding INOP Mach'!$N$4:$U$13,Y99,U99),         "XXX" )))))))   )))</f>
        <v>#NAME?</v>
      </c>
      <c r="AD99" s="313" t="e">
        <f t="shared" ca="1" si="67"/>
        <v>#NAME?</v>
      </c>
      <c r="AE99" s="314" t="e">
        <f t="shared" ca="1" si="28"/>
        <v>#NAME?</v>
      </c>
      <c r="AF99" s="313" t="e">
        <f t="shared" ca="1" si="68"/>
        <v>#NAME?</v>
      </c>
      <c r="AG99" s="314" t="e">
        <f t="shared" ca="1" si="29"/>
        <v>#NAME?</v>
      </c>
      <c r="AH99" s="313" t="e">
        <f t="shared" ca="1" si="69"/>
        <v>#NAME?</v>
      </c>
      <c r="AI99" s="314" t="e">
        <f t="shared" ca="1" si="31"/>
        <v>#NAME?</v>
      </c>
      <c r="AJ99" s="315" t="e">
        <f t="shared" ca="1" si="32"/>
        <v>#NAME?</v>
      </c>
      <c r="AK99" s="568" t="e">
        <f t="shared" ca="1" si="70"/>
        <v>#NAME?</v>
      </c>
      <c r="AL99" s="313" t="e">
        <f t="shared" ca="1" si="71"/>
        <v>#NAME?</v>
      </c>
      <c r="AM99" s="313" t="e">
        <f t="shared" ca="1" si="35"/>
        <v>#NAME?</v>
      </c>
      <c r="AN99" s="313" t="e">
        <f t="shared" ca="1" si="36"/>
        <v>#NAME?</v>
      </c>
      <c r="AO99" s="316" t="e">
        <f t="shared" ca="1" si="72"/>
        <v>#NAME?</v>
      </c>
      <c r="AP99" s="313" t="e">
        <f t="shared" ca="1" si="73"/>
        <v>#NAME?</v>
      </c>
      <c r="AQ99" s="314" t="e">
        <f t="shared" ca="1" si="39"/>
        <v>#NAME?</v>
      </c>
      <c r="AR99" s="315" t="e">
        <f t="shared" ca="1" si="74"/>
        <v>#NAME?</v>
      </c>
      <c r="AS99" s="316" t="e">
        <f t="shared" ca="1" si="75"/>
        <v>#NAME?</v>
      </c>
      <c r="AT99" s="315" t="e">
        <f t="shared" ca="1" si="76"/>
        <v>#NAME?</v>
      </c>
      <c r="AU99" s="317">
        <v>427.8</v>
      </c>
      <c r="AV99" s="315" t="e">
        <f t="shared" ca="1" si="77"/>
        <v>#NAME?</v>
      </c>
      <c r="AW99" s="318" t="e">
        <f ca="1">0.0001*BicubicInterpolation('Drag Coef Table'!$B$4:$L$28,AV99,AC99)</f>
        <v>#NAME?</v>
      </c>
      <c r="AX99" s="319" t="e">
        <f t="shared" ca="1" si="78"/>
        <v>#NAME?</v>
      </c>
      <c r="AY99" s="318" t="e">
        <f t="shared" ca="1" si="79"/>
        <v>#NAME?</v>
      </c>
      <c r="AZ99" s="320" t="e">
        <f t="shared" ca="1" si="80"/>
        <v>#NAME?</v>
      </c>
      <c r="BA99" s="321" t="e">
        <f t="shared" ca="1" si="81"/>
        <v>#NAME?</v>
      </c>
      <c r="BB99" s="322" t="e">
        <f t="shared" ca="1" si="82"/>
        <v>#NAME?</v>
      </c>
      <c r="BC99" s="323">
        <v>75.196700000000007</v>
      </c>
      <c r="BD99" s="324" t="e">
        <f t="shared" ca="1" si="83"/>
        <v>#NAME?</v>
      </c>
      <c r="BE99" s="325" t="e">
        <f t="shared" ca="1" si="84"/>
        <v>#NAME?</v>
      </c>
      <c r="BF99" s="324" t="e">
        <f ca="1">BicubicInterpolation('TSFC Eff Table'!$B$4:$E$69,2,BB99)</f>
        <v>#NAME?</v>
      </c>
      <c r="BG99" s="326" t="e">
        <f t="shared" ca="1" si="85"/>
        <v>#NAME?</v>
      </c>
      <c r="BH99" s="694" t="e">
        <f ca="1">IF( S99="LRCINOP",   (1+(0.03/10)*Z99*(1+0.2*AC99^2) )*BicubicInterpolation( 'LRC INOP FF'!$C$4:$AA$21, Y99, U99 )-200, IF(S99 ="HOLDINGINOP", (1+(0.03/10)*Z99*(1+0.2*AC99^2) )*BicubicInterpolation( 'Holding INOP FF'!$C$4:$J$13,  Y99,  U99)/1.05-200,   BA99*BG99))</f>
        <v>#NAME?</v>
      </c>
      <c r="BI99" s="344" t="e">
        <f t="shared" ca="1" si="15"/>
        <v>#NAME?</v>
      </c>
      <c r="BJ99" s="322" t="e">
        <f t="shared" ca="1" si="86"/>
        <v>#NAME?</v>
      </c>
      <c r="BK99" s="338" t="e">
        <f t="shared" ca="1" si="16"/>
        <v>#NAME?</v>
      </c>
      <c r="BL99" s="327" t="e">
        <f t="shared" ca="1" si="87"/>
        <v>#NAME?</v>
      </c>
      <c r="BM99" s="328">
        <f t="shared" si="88"/>
        <v>200</v>
      </c>
      <c r="BN99" s="329" t="e">
        <f t="shared" ca="1" si="89"/>
        <v>#NAME?</v>
      </c>
      <c r="BO99" s="344" t="e">
        <f t="shared" ca="1" si="17"/>
        <v>#NAME?</v>
      </c>
      <c r="BP99" s="320" t="e">
        <f t="shared" ca="1" si="90"/>
        <v>#NAME?</v>
      </c>
      <c r="BQ99" s="344" t="e">
        <f t="shared" ca="1" si="18"/>
        <v>#NAME?</v>
      </c>
      <c r="BR99" s="347" t="e">
        <f t="shared" ca="1" si="19"/>
        <v>#NAME?</v>
      </c>
      <c r="BS99" s="326" t="e">
        <f t="shared" ca="1" si="91"/>
        <v>#NAME?</v>
      </c>
      <c r="BT99" s="437" t="e">
        <f t="shared" ca="1" si="58"/>
        <v>#NAME?</v>
      </c>
      <c r="BU99" s="437" t="e">
        <f t="shared" ca="1" si="59"/>
        <v>#NAME?</v>
      </c>
      <c r="BV99" s="441" t="e">
        <f t="shared" ca="1" si="60"/>
        <v>#NAME?</v>
      </c>
      <c r="BW99" s="442" t="e">
        <f t="shared" ca="1" si="61"/>
        <v>#NAME?</v>
      </c>
      <c r="BX99" s="470" t="e">
        <f t="shared" ca="1" si="5"/>
        <v>#NAME?</v>
      </c>
      <c r="BY99" s="484" t="e">
        <f t="shared" ca="1" si="20"/>
        <v>#NAME?</v>
      </c>
    </row>
    <row r="100" spans="5:77" ht="17.75" customHeight="1" x14ac:dyDescent="0.2">
      <c r="E100" s="423"/>
      <c r="I100" s="366">
        <v>16</v>
      </c>
      <c r="J100" s="414">
        <f t="shared" si="21"/>
        <v>41705.723611111149</v>
      </c>
      <c r="K100" s="435" t="e">
        <f t="shared" ca="1" si="22"/>
        <v>#NAME?</v>
      </c>
      <c r="L100" s="435" t="e">
        <f t="shared" ca="1" si="0"/>
        <v>#NAME?</v>
      </c>
      <c r="M100" s="664" t="e">
        <f t="shared" ca="1" si="23"/>
        <v>#NAME?</v>
      </c>
      <c r="N100" s="664" t="e">
        <f t="shared" ca="1" si="24"/>
        <v>#NAME?</v>
      </c>
      <c r="O100" s="140" t="e">
        <f t="shared" ca="1" si="7"/>
        <v>#NAME?</v>
      </c>
      <c r="P100" s="352" t="e">
        <f t="shared" ca="1" si="25"/>
        <v>#NAME?</v>
      </c>
      <c r="Q100" s="665" t="e">
        <f t="shared" ca="1" si="8"/>
        <v>#NAME?</v>
      </c>
      <c r="R100" s="352" t="e">
        <f t="shared" ca="1" si="65"/>
        <v>#NAME?</v>
      </c>
      <c r="S100" s="662" t="e">
        <f t="shared" ca="1" si="10"/>
        <v>#NAME?</v>
      </c>
      <c r="T100" s="443" t="e">
        <f t="shared" ca="1" si="1"/>
        <v>#NAME?</v>
      </c>
      <c r="U100" s="369" t="e">
        <f t="shared" ca="1" si="2"/>
        <v>#NAME?</v>
      </c>
      <c r="V100" s="454" t="e">
        <f t="shared" ca="1" si="11"/>
        <v>#NAME?</v>
      </c>
      <c r="W100" s="457">
        <f t="shared" si="12"/>
        <v>1000</v>
      </c>
      <c r="X100" s="463" t="e">
        <f t="shared" ca="1" si="13"/>
        <v>#NAME?</v>
      </c>
      <c r="Y100" s="455" t="e">
        <f t="shared" ca="1" si="26"/>
        <v>#NAME?</v>
      </c>
      <c r="Z100" s="699">
        <f t="shared" si="3"/>
        <v>10</v>
      </c>
      <c r="AA100" s="355" t="str">
        <f t="shared" si="4"/>
        <v>ON</v>
      </c>
      <c r="AB100" s="357">
        <f t="shared" si="66"/>
        <v>1.4999999999999999E-2</v>
      </c>
      <c r="AC100" s="356" t="e">
        <f ca="1">IF(  Y99=0,0,IF(OR(S100="KCAS",S100="INOP",S100="MEFE"),   ( (5*( (   (((1+0.2*(T100/661.4786)^2)^3.5 -1)  )/( (1-6.8755856*10^-6 *100*Y100)^5.2558797) +1)^(2/7) -1) )^0.5),IF(S100="MACH",T100, IF(S100="LRC",BicubicInterpolation( 'LRC Mach'!$C$4:$AL$21, Y100,U100),  IF(S100="MRC",BicubicInterpolation( 'MRC Mach'!$C$3:$T$18, Y100,U100),  IF(S100="M0.84",0.84,  IF(S100="CI52",BicubicInterpolation('CI=52 Mach'!$C$3:$T$18, Y100,U100),  IF(S100="HOLDING",BicubicInterpolation(  'Holding Mach'!$C$4:$M$13, Y100,U100),                         IF(S100="LRCINOP", BicubicInterpolation('LRC INOP Mach'!$C$4:$AA$21,Y100,U100), IF(S100="HOLDINGINOP",  BicubicInterpolation('Holding INOP Mach'!$N$4:$U$13,Y100,U100),         "XXX" )))))))   )))</f>
        <v>#NAME?</v>
      </c>
      <c r="AD100" s="313" t="e">
        <f t="shared" ca="1" si="67"/>
        <v>#NAME?</v>
      </c>
      <c r="AE100" s="314" t="e">
        <f t="shared" ca="1" si="28"/>
        <v>#NAME?</v>
      </c>
      <c r="AF100" s="313" t="e">
        <f t="shared" ca="1" si="68"/>
        <v>#NAME?</v>
      </c>
      <c r="AG100" s="314" t="e">
        <f t="shared" ca="1" si="29"/>
        <v>#NAME?</v>
      </c>
      <c r="AH100" s="313" t="e">
        <f t="shared" ca="1" si="69"/>
        <v>#NAME?</v>
      </c>
      <c r="AI100" s="314" t="e">
        <f t="shared" ca="1" si="31"/>
        <v>#NAME?</v>
      </c>
      <c r="AJ100" s="315" t="e">
        <f t="shared" ca="1" si="32"/>
        <v>#NAME?</v>
      </c>
      <c r="AK100" s="568" t="e">
        <f t="shared" ca="1" si="70"/>
        <v>#NAME?</v>
      </c>
      <c r="AL100" s="313" t="e">
        <f t="shared" ca="1" si="71"/>
        <v>#NAME?</v>
      </c>
      <c r="AM100" s="313" t="e">
        <f t="shared" ca="1" si="35"/>
        <v>#NAME?</v>
      </c>
      <c r="AN100" s="313" t="e">
        <f t="shared" ca="1" si="36"/>
        <v>#NAME?</v>
      </c>
      <c r="AO100" s="316" t="e">
        <f t="shared" ca="1" si="72"/>
        <v>#NAME?</v>
      </c>
      <c r="AP100" s="313" t="e">
        <f t="shared" ca="1" si="73"/>
        <v>#NAME?</v>
      </c>
      <c r="AQ100" s="314" t="e">
        <f t="shared" ca="1" si="39"/>
        <v>#NAME?</v>
      </c>
      <c r="AR100" s="315" t="e">
        <f t="shared" ca="1" si="74"/>
        <v>#NAME?</v>
      </c>
      <c r="AS100" s="316" t="e">
        <f t="shared" ca="1" si="75"/>
        <v>#NAME?</v>
      </c>
      <c r="AT100" s="315" t="e">
        <f t="shared" ca="1" si="76"/>
        <v>#NAME?</v>
      </c>
      <c r="AU100" s="317">
        <v>427.8</v>
      </c>
      <c r="AV100" s="315" t="e">
        <f t="shared" ca="1" si="77"/>
        <v>#NAME?</v>
      </c>
      <c r="AW100" s="318" t="e">
        <f ca="1">0.0001*BicubicInterpolation('Drag Coef Table'!$B$4:$L$28,AV100,AC100)</f>
        <v>#NAME?</v>
      </c>
      <c r="AX100" s="319" t="e">
        <f t="shared" ca="1" si="78"/>
        <v>#NAME?</v>
      </c>
      <c r="AY100" s="318" t="e">
        <f t="shared" ca="1" si="79"/>
        <v>#NAME?</v>
      </c>
      <c r="AZ100" s="320" t="e">
        <f t="shared" ca="1" si="80"/>
        <v>#NAME?</v>
      </c>
      <c r="BA100" s="321" t="e">
        <f t="shared" ca="1" si="81"/>
        <v>#NAME?</v>
      </c>
      <c r="BB100" s="322" t="e">
        <f t="shared" ca="1" si="82"/>
        <v>#NAME?</v>
      </c>
      <c r="BC100" s="323">
        <v>75.196700000000007</v>
      </c>
      <c r="BD100" s="324" t="e">
        <f t="shared" ca="1" si="83"/>
        <v>#NAME?</v>
      </c>
      <c r="BE100" s="325" t="e">
        <f t="shared" ca="1" si="84"/>
        <v>#NAME?</v>
      </c>
      <c r="BF100" s="324" t="e">
        <f ca="1">BicubicInterpolation('TSFC Eff Table'!$B$4:$E$69,2,BB100)</f>
        <v>#NAME?</v>
      </c>
      <c r="BG100" s="326" t="e">
        <f t="shared" ca="1" si="85"/>
        <v>#NAME?</v>
      </c>
      <c r="BH100" s="694" t="e">
        <f ca="1">IF( S100="LRCINOP",   (1+(0.03/10)*Z100*(1+0.2*AC100^2) )*BicubicInterpolation( 'LRC INOP FF'!$C$4:$AA$21, Y100, U100 )-200, IF(S100 ="HOLDINGINOP", (1+(0.03/10)*Z100*(1+0.2*AC100^2) )*BicubicInterpolation( 'Holding INOP FF'!$C$4:$J$13,  Y100,  U100)/1.05-200,   BA100*BG100))</f>
        <v>#NAME?</v>
      </c>
      <c r="BI100" s="344" t="e">
        <f t="shared" ca="1" si="15"/>
        <v>#NAME?</v>
      </c>
      <c r="BJ100" s="322" t="e">
        <f t="shared" ca="1" si="86"/>
        <v>#NAME?</v>
      </c>
      <c r="BK100" s="338" t="e">
        <f t="shared" ca="1" si="16"/>
        <v>#NAME?</v>
      </c>
      <c r="BL100" s="327" t="e">
        <f t="shared" ca="1" si="87"/>
        <v>#NAME?</v>
      </c>
      <c r="BM100" s="328">
        <f t="shared" si="88"/>
        <v>200</v>
      </c>
      <c r="BN100" s="329" t="e">
        <f t="shared" ca="1" si="89"/>
        <v>#NAME?</v>
      </c>
      <c r="BO100" s="344" t="e">
        <f t="shared" ca="1" si="17"/>
        <v>#NAME?</v>
      </c>
      <c r="BP100" s="320" t="e">
        <f t="shared" ca="1" si="90"/>
        <v>#NAME?</v>
      </c>
      <c r="BQ100" s="344" t="e">
        <f t="shared" ca="1" si="18"/>
        <v>#NAME?</v>
      </c>
      <c r="BR100" s="347" t="e">
        <f t="shared" ca="1" si="19"/>
        <v>#NAME?</v>
      </c>
      <c r="BS100" s="326" t="e">
        <f t="shared" ca="1" si="91"/>
        <v>#NAME?</v>
      </c>
      <c r="BT100" s="437" t="e">
        <f t="shared" ca="1" si="58"/>
        <v>#NAME?</v>
      </c>
      <c r="BU100" s="437" t="e">
        <f t="shared" ca="1" si="59"/>
        <v>#NAME?</v>
      </c>
      <c r="BV100" s="441" t="e">
        <f t="shared" ca="1" si="60"/>
        <v>#NAME?</v>
      </c>
      <c r="BW100" s="442" t="e">
        <f t="shared" ca="1" si="61"/>
        <v>#NAME?</v>
      </c>
      <c r="BX100" s="470" t="e">
        <f t="shared" ca="1" si="5"/>
        <v>#NAME?</v>
      </c>
      <c r="BY100" s="484" t="e">
        <f t="shared" ca="1" si="20"/>
        <v>#NAME?</v>
      </c>
    </row>
    <row r="101" spans="5:77" ht="17.75" customHeight="1" x14ac:dyDescent="0.2">
      <c r="E101" s="423"/>
      <c r="I101" s="366">
        <v>17</v>
      </c>
      <c r="J101" s="414">
        <f t="shared" si="21"/>
        <v>41705.724305555595</v>
      </c>
      <c r="K101" s="435" t="e">
        <f t="shared" ca="1" si="22"/>
        <v>#NAME?</v>
      </c>
      <c r="L101" s="435" t="e">
        <f t="shared" ca="1" si="0"/>
        <v>#NAME?</v>
      </c>
      <c r="M101" s="664" t="e">
        <f t="shared" ca="1" si="23"/>
        <v>#NAME?</v>
      </c>
      <c r="N101" s="664" t="e">
        <f t="shared" ca="1" si="24"/>
        <v>#NAME?</v>
      </c>
      <c r="O101" s="140" t="e">
        <f t="shared" ca="1" si="7"/>
        <v>#NAME?</v>
      </c>
      <c r="P101" s="352" t="e">
        <f t="shared" ca="1" si="25"/>
        <v>#NAME?</v>
      </c>
      <c r="Q101" s="665" t="e">
        <f t="shared" ca="1" si="8"/>
        <v>#NAME?</v>
      </c>
      <c r="R101" s="352" t="e">
        <f t="shared" ca="1" si="65"/>
        <v>#NAME?</v>
      </c>
      <c r="S101" s="662" t="e">
        <f t="shared" ca="1" si="10"/>
        <v>#NAME?</v>
      </c>
      <c r="T101" s="443" t="e">
        <f t="shared" ca="1" si="1"/>
        <v>#NAME?</v>
      </c>
      <c r="U101" s="369" t="e">
        <f t="shared" ca="1" si="2"/>
        <v>#NAME?</v>
      </c>
      <c r="V101" s="454" t="e">
        <f t="shared" ca="1" si="11"/>
        <v>#NAME?</v>
      </c>
      <c r="W101" s="457">
        <f t="shared" si="12"/>
        <v>1000</v>
      </c>
      <c r="X101" s="463" t="e">
        <f t="shared" ca="1" si="13"/>
        <v>#NAME?</v>
      </c>
      <c r="Y101" s="455" t="e">
        <f t="shared" ca="1" si="26"/>
        <v>#NAME?</v>
      </c>
      <c r="Z101" s="699">
        <f t="shared" si="3"/>
        <v>10</v>
      </c>
      <c r="AA101" s="355" t="str">
        <f t="shared" si="4"/>
        <v>ON</v>
      </c>
      <c r="AB101" s="357">
        <f t="shared" si="66"/>
        <v>1.4999999999999999E-2</v>
      </c>
      <c r="AC101" s="356" t="e">
        <f ca="1">IF(  Y100=0,0,IF(OR(S101="KCAS",S101="INOP",S101="MEFE"),   ( (5*( (   (((1+0.2*(T101/661.4786)^2)^3.5 -1)  )/( (1-6.8755856*10^-6 *100*Y101)^5.2558797) +1)^(2/7) -1) )^0.5),IF(S101="MACH",T101, IF(S101="LRC",BicubicInterpolation( 'LRC Mach'!$C$4:$AL$21, Y101,U101),  IF(S101="MRC",BicubicInterpolation( 'MRC Mach'!$C$3:$T$18, Y101,U101),  IF(S101="M0.84",0.84,  IF(S101="CI52",BicubicInterpolation('CI=52 Mach'!$C$3:$T$18, Y101,U101),  IF(S101="HOLDING",BicubicInterpolation(  'Holding Mach'!$C$4:$M$13, Y101,U101),                         IF(S101="LRCINOP", BicubicInterpolation('LRC INOP Mach'!$C$4:$AA$21,Y101,U101), IF(S101="HOLDINGINOP",  BicubicInterpolation('Holding INOP Mach'!$N$4:$U$13,Y101,U101),         "XXX" )))))))   )))</f>
        <v>#NAME?</v>
      </c>
      <c r="AD101" s="313" t="e">
        <f t="shared" ca="1" si="67"/>
        <v>#NAME?</v>
      </c>
      <c r="AE101" s="314" t="e">
        <f t="shared" ca="1" si="28"/>
        <v>#NAME?</v>
      </c>
      <c r="AF101" s="313" t="e">
        <f t="shared" ca="1" si="68"/>
        <v>#NAME?</v>
      </c>
      <c r="AG101" s="314" t="e">
        <f t="shared" ca="1" si="29"/>
        <v>#NAME?</v>
      </c>
      <c r="AH101" s="313" t="e">
        <f t="shared" ca="1" si="69"/>
        <v>#NAME?</v>
      </c>
      <c r="AI101" s="314" t="e">
        <f t="shared" ca="1" si="31"/>
        <v>#NAME?</v>
      </c>
      <c r="AJ101" s="315" t="e">
        <f t="shared" ca="1" si="32"/>
        <v>#NAME?</v>
      </c>
      <c r="AK101" s="568" t="e">
        <f t="shared" ca="1" si="70"/>
        <v>#NAME?</v>
      </c>
      <c r="AL101" s="313" t="e">
        <f t="shared" ca="1" si="71"/>
        <v>#NAME?</v>
      </c>
      <c r="AM101" s="313" t="e">
        <f t="shared" ca="1" si="35"/>
        <v>#NAME?</v>
      </c>
      <c r="AN101" s="313" t="e">
        <f t="shared" ca="1" si="36"/>
        <v>#NAME?</v>
      </c>
      <c r="AO101" s="316" t="e">
        <f t="shared" ca="1" si="72"/>
        <v>#NAME?</v>
      </c>
      <c r="AP101" s="313" t="e">
        <f t="shared" ca="1" si="73"/>
        <v>#NAME?</v>
      </c>
      <c r="AQ101" s="314" t="e">
        <f t="shared" ca="1" si="39"/>
        <v>#NAME?</v>
      </c>
      <c r="AR101" s="315" t="e">
        <f t="shared" ca="1" si="74"/>
        <v>#NAME?</v>
      </c>
      <c r="AS101" s="316" t="e">
        <f t="shared" ca="1" si="75"/>
        <v>#NAME?</v>
      </c>
      <c r="AT101" s="315" t="e">
        <f t="shared" ca="1" si="76"/>
        <v>#NAME?</v>
      </c>
      <c r="AU101" s="317">
        <v>427.8</v>
      </c>
      <c r="AV101" s="315" t="e">
        <f t="shared" ca="1" si="77"/>
        <v>#NAME?</v>
      </c>
      <c r="AW101" s="318" t="e">
        <f ca="1">0.0001*BicubicInterpolation('Drag Coef Table'!$B$4:$L$28,AV101,AC101)</f>
        <v>#NAME?</v>
      </c>
      <c r="AX101" s="319" t="e">
        <f t="shared" ca="1" si="78"/>
        <v>#NAME?</v>
      </c>
      <c r="AY101" s="318" t="e">
        <f t="shared" ca="1" si="79"/>
        <v>#NAME?</v>
      </c>
      <c r="AZ101" s="320" t="e">
        <f t="shared" ca="1" si="80"/>
        <v>#NAME?</v>
      </c>
      <c r="BA101" s="321" t="e">
        <f t="shared" ca="1" si="81"/>
        <v>#NAME?</v>
      </c>
      <c r="BB101" s="322" t="e">
        <f t="shared" ca="1" si="82"/>
        <v>#NAME?</v>
      </c>
      <c r="BC101" s="323">
        <v>75.196700000000007</v>
      </c>
      <c r="BD101" s="324" t="e">
        <f t="shared" ca="1" si="83"/>
        <v>#NAME?</v>
      </c>
      <c r="BE101" s="325" t="e">
        <f t="shared" ca="1" si="84"/>
        <v>#NAME?</v>
      </c>
      <c r="BF101" s="324" t="e">
        <f ca="1">BicubicInterpolation('TSFC Eff Table'!$B$4:$E$69,2,BB101)</f>
        <v>#NAME?</v>
      </c>
      <c r="BG101" s="326" t="e">
        <f t="shared" ca="1" si="85"/>
        <v>#NAME?</v>
      </c>
      <c r="BH101" s="694" t="e">
        <f ca="1">IF( S101="LRCINOP",   (1+(0.03/10)*Z101*(1+0.2*AC101^2) )*BicubicInterpolation( 'LRC INOP FF'!$C$4:$AA$21, Y101, U101 )-200, IF(S101 ="HOLDINGINOP", (1+(0.03/10)*Z101*(1+0.2*AC101^2) )*BicubicInterpolation( 'Holding INOP FF'!$C$4:$J$13,  Y101,  U101)/1.05-200,   BA101*BG101))</f>
        <v>#NAME?</v>
      </c>
      <c r="BI101" s="344" t="e">
        <f t="shared" ca="1" si="15"/>
        <v>#NAME?</v>
      </c>
      <c r="BJ101" s="322" t="e">
        <f t="shared" ca="1" si="86"/>
        <v>#NAME?</v>
      </c>
      <c r="BK101" s="338" t="e">
        <f t="shared" ca="1" si="16"/>
        <v>#NAME?</v>
      </c>
      <c r="BL101" s="327" t="e">
        <f t="shared" ca="1" si="87"/>
        <v>#NAME?</v>
      </c>
      <c r="BM101" s="328">
        <f t="shared" si="88"/>
        <v>200</v>
      </c>
      <c r="BN101" s="329" t="e">
        <f t="shared" ca="1" si="89"/>
        <v>#NAME?</v>
      </c>
      <c r="BO101" s="344" t="e">
        <f t="shared" ca="1" si="17"/>
        <v>#NAME?</v>
      </c>
      <c r="BP101" s="320" t="e">
        <f t="shared" ca="1" si="90"/>
        <v>#NAME?</v>
      </c>
      <c r="BQ101" s="344" t="e">
        <f t="shared" ca="1" si="18"/>
        <v>#NAME?</v>
      </c>
      <c r="BR101" s="347" t="e">
        <f t="shared" ca="1" si="19"/>
        <v>#NAME?</v>
      </c>
      <c r="BS101" s="326" t="e">
        <f t="shared" ca="1" si="91"/>
        <v>#NAME?</v>
      </c>
      <c r="BT101" s="437" t="e">
        <f t="shared" ca="1" si="58"/>
        <v>#NAME?</v>
      </c>
      <c r="BU101" s="437" t="e">
        <f t="shared" ca="1" si="59"/>
        <v>#NAME?</v>
      </c>
      <c r="BV101" s="441" t="e">
        <f t="shared" ca="1" si="60"/>
        <v>#NAME?</v>
      </c>
      <c r="BW101" s="442" t="e">
        <f t="shared" ca="1" si="61"/>
        <v>#NAME?</v>
      </c>
      <c r="BX101" s="470" t="e">
        <f t="shared" ca="1" si="5"/>
        <v>#NAME?</v>
      </c>
      <c r="BY101" s="484" t="e">
        <f t="shared" ca="1" si="20"/>
        <v>#NAME?</v>
      </c>
    </row>
    <row r="102" spans="5:77" ht="17.75" customHeight="1" x14ac:dyDescent="0.2">
      <c r="E102" s="423"/>
      <c r="I102" s="366">
        <v>18</v>
      </c>
      <c r="J102" s="414">
        <f t="shared" si="21"/>
        <v>41705.725000000042</v>
      </c>
      <c r="K102" s="435" t="e">
        <f t="shared" ca="1" si="22"/>
        <v>#NAME?</v>
      </c>
      <c r="L102" s="435" t="e">
        <f t="shared" ca="1" si="0"/>
        <v>#NAME?</v>
      </c>
      <c r="M102" s="664" t="e">
        <f t="shared" ca="1" si="23"/>
        <v>#NAME?</v>
      </c>
      <c r="N102" s="664" t="e">
        <f t="shared" ca="1" si="24"/>
        <v>#NAME?</v>
      </c>
      <c r="O102" s="140" t="e">
        <f t="shared" ca="1" si="7"/>
        <v>#NAME?</v>
      </c>
      <c r="P102" s="352" t="e">
        <f t="shared" ca="1" si="25"/>
        <v>#NAME?</v>
      </c>
      <c r="Q102" s="665" t="e">
        <f t="shared" ca="1" si="8"/>
        <v>#NAME?</v>
      </c>
      <c r="R102" s="352" t="e">
        <f t="shared" ca="1" si="65"/>
        <v>#NAME?</v>
      </c>
      <c r="S102" s="662" t="e">
        <f t="shared" ca="1" si="10"/>
        <v>#NAME?</v>
      </c>
      <c r="T102" s="443" t="e">
        <f t="shared" ca="1" si="1"/>
        <v>#NAME?</v>
      </c>
      <c r="U102" s="369" t="e">
        <f t="shared" ca="1" si="2"/>
        <v>#NAME?</v>
      </c>
      <c r="V102" s="454" t="e">
        <f t="shared" ca="1" si="11"/>
        <v>#NAME?</v>
      </c>
      <c r="W102" s="457">
        <f t="shared" si="12"/>
        <v>1000</v>
      </c>
      <c r="X102" s="463" t="e">
        <f t="shared" ca="1" si="13"/>
        <v>#NAME?</v>
      </c>
      <c r="Y102" s="455" t="e">
        <f t="shared" ca="1" si="26"/>
        <v>#NAME?</v>
      </c>
      <c r="Z102" s="699">
        <f t="shared" si="3"/>
        <v>10</v>
      </c>
      <c r="AA102" s="355" t="str">
        <f t="shared" si="4"/>
        <v>ON</v>
      </c>
      <c r="AB102" s="357">
        <f t="shared" si="66"/>
        <v>1.4999999999999999E-2</v>
      </c>
      <c r="AC102" s="356" t="e">
        <f ca="1">IF(  Y101=0,0,IF(OR(S102="KCAS",S102="INOP",S102="MEFE"),   ( (5*( (   (((1+0.2*(T102/661.4786)^2)^3.5 -1)  )/( (1-6.8755856*10^-6 *100*Y102)^5.2558797) +1)^(2/7) -1) )^0.5),IF(S102="MACH",T102, IF(S102="LRC",BicubicInterpolation( 'LRC Mach'!$C$4:$AL$21, Y102,U102),  IF(S102="MRC",BicubicInterpolation( 'MRC Mach'!$C$3:$T$18, Y102,U102),  IF(S102="M0.84",0.84,  IF(S102="CI52",BicubicInterpolation('CI=52 Mach'!$C$3:$T$18, Y102,U102),  IF(S102="HOLDING",BicubicInterpolation(  'Holding Mach'!$C$4:$M$13, Y102,U102),                         IF(S102="LRCINOP", BicubicInterpolation('LRC INOP Mach'!$C$4:$AA$21,Y102,U102), IF(S102="HOLDINGINOP",  BicubicInterpolation('Holding INOP Mach'!$N$4:$U$13,Y102,U102),         "XXX" )))))))   )))</f>
        <v>#NAME?</v>
      </c>
      <c r="AD102" s="313" t="e">
        <f t="shared" ca="1" si="67"/>
        <v>#NAME?</v>
      </c>
      <c r="AE102" s="314" t="e">
        <f t="shared" ca="1" si="28"/>
        <v>#NAME?</v>
      </c>
      <c r="AF102" s="313" t="e">
        <f t="shared" ca="1" si="68"/>
        <v>#NAME?</v>
      </c>
      <c r="AG102" s="314" t="e">
        <f t="shared" ca="1" si="29"/>
        <v>#NAME?</v>
      </c>
      <c r="AH102" s="313" t="e">
        <f t="shared" ca="1" si="69"/>
        <v>#NAME?</v>
      </c>
      <c r="AI102" s="314" t="e">
        <f t="shared" ca="1" si="31"/>
        <v>#NAME?</v>
      </c>
      <c r="AJ102" s="315" t="e">
        <f t="shared" ca="1" si="32"/>
        <v>#NAME?</v>
      </c>
      <c r="AK102" s="568" t="e">
        <f t="shared" ca="1" si="70"/>
        <v>#NAME?</v>
      </c>
      <c r="AL102" s="313" t="e">
        <f t="shared" ca="1" si="71"/>
        <v>#NAME?</v>
      </c>
      <c r="AM102" s="313" t="e">
        <f t="shared" ca="1" si="35"/>
        <v>#NAME?</v>
      </c>
      <c r="AN102" s="313" t="e">
        <f t="shared" ca="1" si="36"/>
        <v>#NAME?</v>
      </c>
      <c r="AO102" s="316" t="e">
        <f t="shared" ca="1" si="72"/>
        <v>#NAME?</v>
      </c>
      <c r="AP102" s="313" t="e">
        <f t="shared" ca="1" si="73"/>
        <v>#NAME?</v>
      </c>
      <c r="AQ102" s="314" t="e">
        <f t="shared" ca="1" si="39"/>
        <v>#NAME?</v>
      </c>
      <c r="AR102" s="315" t="e">
        <f t="shared" ca="1" si="74"/>
        <v>#NAME?</v>
      </c>
      <c r="AS102" s="316" t="e">
        <f t="shared" ca="1" si="75"/>
        <v>#NAME?</v>
      </c>
      <c r="AT102" s="315" t="e">
        <f t="shared" ca="1" si="76"/>
        <v>#NAME?</v>
      </c>
      <c r="AU102" s="317">
        <v>427.8</v>
      </c>
      <c r="AV102" s="315" t="e">
        <f t="shared" ca="1" si="77"/>
        <v>#NAME?</v>
      </c>
      <c r="AW102" s="318" t="e">
        <f ca="1">0.0001*BicubicInterpolation('Drag Coef Table'!$B$4:$L$28,AV102,AC102)</f>
        <v>#NAME?</v>
      </c>
      <c r="AX102" s="319" t="e">
        <f t="shared" ca="1" si="78"/>
        <v>#NAME?</v>
      </c>
      <c r="AY102" s="318" t="e">
        <f t="shared" ca="1" si="79"/>
        <v>#NAME?</v>
      </c>
      <c r="AZ102" s="320" t="e">
        <f t="shared" ca="1" si="80"/>
        <v>#NAME?</v>
      </c>
      <c r="BA102" s="321" t="e">
        <f t="shared" ca="1" si="81"/>
        <v>#NAME?</v>
      </c>
      <c r="BB102" s="322" t="e">
        <f t="shared" ca="1" si="82"/>
        <v>#NAME?</v>
      </c>
      <c r="BC102" s="323">
        <v>75.196700000000007</v>
      </c>
      <c r="BD102" s="324" t="e">
        <f t="shared" ca="1" si="83"/>
        <v>#NAME?</v>
      </c>
      <c r="BE102" s="325" t="e">
        <f t="shared" ca="1" si="84"/>
        <v>#NAME?</v>
      </c>
      <c r="BF102" s="324" t="e">
        <f ca="1">BicubicInterpolation('TSFC Eff Table'!$B$4:$E$69,2,BB102)</f>
        <v>#NAME?</v>
      </c>
      <c r="BG102" s="326" t="e">
        <f t="shared" ca="1" si="85"/>
        <v>#NAME?</v>
      </c>
      <c r="BH102" s="694" t="e">
        <f ca="1">IF( S102="LRCINOP",   (1+(0.03/10)*Z102*(1+0.2*AC102^2) )*BicubicInterpolation( 'LRC INOP FF'!$C$4:$AA$21, Y102, U102 )-200, IF(S102 ="HOLDINGINOP", (1+(0.03/10)*Z102*(1+0.2*AC102^2) )*BicubicInterpolation( 'Holding INOP FF'!$C$4:$J$13,  Y102,  U102)/1.05-200,   BA102*BG102))</f>
        <v>#NAME?</v>
      </c>
      <c r="BI102" s="344" t="e">
        <f t="shared" ca="1" si="15"/>
        <v>#NAME?</v>
      </c>
      <c r="BJ102" s="322" t="e">
        <f t="shared" ca="1" si="86"/>
        <v>#NAME?</v>
      </c>
      <c r="BK102" s="338" t="e">
        <f t="shared" ca="1" si="16"/>
        <v>#NAME?</v>
      </c>
      <c r="BL102" s="327" t="e">
        <f t="shared" ca="1" si="87"/>
        <v>#NAME?</v>
      </c>
      <c r="BM102" s="328">
        <f t="shared" si="88"/>
        <v>200</v>
      </c>
      <c r="BN102" s="329" t="e">
        <f t="shared" ca="1" si="89"/>
        <v>#NAME?</v>
      </c>
      <c r="BO102" s="344" t="e">
        <f t="shared" ca="1" si="17"/>
        <v>#NAME?</v>
      </c>
      <c r="BP102" s="320" t="e">
        <f t="shared" ca="1" si="90"/>
        <v>#NAME?</v>
      </c>
      <c r="BQ102" s="344" t="e">
        <f t="shared" ca="1" si="18"/>
        <v>#NAME?</v>
      </c>
      <c r="BR102" s="347" t="e">
        <f t="shared" ca="1" si="19"/>
        <v>#NAME?</v>
      </c>
      <c r="BS102" s="326" t="e">
        <f t="shared" ca="1" si="91"/>
        <v>#NAME?</v>
      </c>
      <c r="BT102" s="437" t="e">
        <f t="shared" ca="1" si="58"/>
        <v>#NAME?</v>
      </c>
      <c r="BU102" s="437" t="e">
        <f t="shared" ca="1" si="59"/>
        <v>#NAME?</v>
      </c>
      <c r="BV102" s="441" t="e">
        <f t="shared" ca="1" si="60"/>
        <v>#NAME?</v>
      </c>
      <c r="BW102" s="442" t="e">
        <f t="shared" ca="1" si="61"/>
        <v>#NAME?</v>
      </c>
      <c r="BX102" s="470" t="e">
        <f t="shared" ca="1" si="5"/>
        <v>#NAME?</v>
      </c>
      <c r="BY102" s="484" t="e">
        <f t="shared" ca="1" si="20"/>
        <v>#NAME?</v>
      </c>
    </row>
    <row r="103" spans="5:77" ht="17.75" customHeight="1" x14ac:dyDescent="0.2">
      <c r="E103" s="423"/>
      <c r="I103" s="366">
        <v>19</v>
      </c>
      <c r="J103" s="414">
        <f t="shared" si="21"/>
        <v>41705.725694444489</v>
      </c>
      <c r="K103" s="435" t="e">
        <f t="shared" ca="1" si="22"/>
        <v>#NAME?</v>
      </c>
      <c r="L103" s="435" t="e">
        <f t="shared" ca="1" si="0"/>
        <v>#NAME?</v>
      </c>
      <c r="M103" s="664" t="e">
        <f t="shared" ca="1" si="23"/>
        <v>#NAME?</v>
      </c>
      <c r="N103" s="664" t="e">
        <f t="shared" ca="1" si="24"/>
        <v>#NAME?</v>
      </c>
      <c r="O103" s="140" t="e">
        <f t="shared" ca="1" si="7"/>
        <v>#NAME?</v>
      </c>
      <c r="P103" s="352" t="e">
        <f t="shared" ca="1" si="25"/>
        <v>#NAME?</v>
      </c>
      <c r="Q103" s="665" t="e">
        <f t="shared" ca="1" si="8"/>
        <v>#NAME?</v>
      </c>
      <c r="R103" s="352" t="e">
        <f t="shared" ca="1" si="65"/>
        <v>#NAME?</v>
      </c>
      <c r="S103" s="662" t="e">
        <f t="shared" ca="1" si="10"/>
        <v>#NAME?</v>
      </c>
      <c r="T103" s="443" t="e">
        <f t="shared" ca="1" si="1"/>
        <v>#NAME?</v>
      </c>
      <c r="U103" s="369" t="e">
        <f t="shared" ca="1" si="2"/>
        <v>#NAME?</v>
      </c>
      <c r="V103" s="454" t="e">
        <f t="shared" ca="1" si="11"/>
        <v>#NAME?</v>
      </c>
      <c r="W103" s="457">
        <f t="shared" si="12"/>
        <v>1000</v>
      </c>
      <c r="X103" s="463" t="e">
        <f t="shared" ca="1" si="13"/>
        <v>#NAME?</v>
      </c>
      <c r="Y103" s="455" t="e">
        <f t="shared" ca="1" si="26"/>
        <v>#NAME?</v>
      </c>
      <c r="Z103" s="699">
        <f t="shared" si="3"/>
        <v>10</v>
      </c>
      <c r="AA103" s="355" t="str">
        <f t="shared" si="4"/>
        <v>ON</v>
      </c>
      <c r="AB103" s="357">
        <f t="shared" si="66"/>
        <v>1.4999999999999999E-2</v>
      </c>
      <c r="AC103" s="356" t="e">
        <f ca="1">IF(  Y102=0,0,IF(OR(S103="KCAS",S103="INOP",S103="MEFE"),   ( (5*( (   (((1+0.2*(T103/661.4786)^2)^3.5 -1)  )/( (1-6.8755856*10^-6 *100*Y103)^5.2558797) +1)^(2/7) -1) )^0.5),IF(S103="MACH",T103, IF(S103="LRC",BicubicInterpolation( 'LRC Mach'!$C$4:$AL$21, Y103,U103),  IF(S103="MRC",BicubicInterpolation( 'MRC Mach'!$C$3:$T$18, Y103,U103),  IF(S103="M0.84",0.84,  IF(S103="CI52",BicubicInterpolation('CI=52 Mach'!$C$3:$T$18, Y103,U103),  IF(S103="HOLDING",BicubicInterpolation(  'Holding Mach'!$C$4:$M$13, Y103,U103),                         IF(S103="LRCINOP", BicubicInterpolation('LRC INOP Mach'!$C$4:$AA$21,Y103,U103), IF(S103="HOLDINGINOP",  BicubicInterpolation('Holding INOP Mach'!$N$4:$U$13,Y103,U103),         "XXX" )))))))   )))</f>
        <v>#NAME?</v>
      </c>
      <c r="AD103" s="313" t="e">
        <f t="shared" ca="1" si="67"/>
        <v>#NAME?</v>
      </c>
      <c r="AE103" s="314" t="e">
        <f t="shared" ca="1" si="28"/>
        <v>#NAME?</v>
      </c>
      <c r="AF103" s="313" t="e">
        <f t="shared" ca="1" si="68"/>
        <v>#NAME?</v>
      </c>
      <c r="AG103" s="314" t="e">
        <f t="shared" ca="1" si="29"/>
        <v>#NAME?</v>
      </c>
      <c r="AH103" s="313" t="e">
        <f t="shared" ca="1" si="69"/>
        <v>#NAME?</v>
      </c>
      <c r="AI103" s="314" t="e">
        <f t="shared" ca="1" si="31"/>
        <v>#NAME?</v>
      </c>
      <c r="AJ103" s="315" t="e">
        <f t="shared" ca="1" si="32"/>
        <v>#NAME?</v>
      </c>
      <c r="AK103" s="568" t="e">
        <f t="shared" ca="1" si="70"/>
        <v>#NAME?</v>
      </c>
      <c r="AL103" s="313" t="e">
        <f t="shared" ca="1" si="71"/>
        <v>#NAME?</v>
      </c>
      <c r="AM103" s="313" t="e">
        <f t="shared" ca="1" si="35"/>
        <v>#NAME?</v>
      </c>
      <c r="AN103" s="313" t="e">
        <f t="shared" ca="1" si="36"/>
        <v>#NAME?</v>
      </c>
      <c r="AO103" s="316" t="e">
        <f t="shared" ca="1" si="72"/>
        <v>#NAME?</v>
      </c>
      <c r="AP103" s="313" t="e">
        <f t="shared" ca="1" si="73"/>
        <v>#NAME?</v>
      </c>
      <c r="AQ103" s="314" t="e">
        <f t="shared" ca="1" si="39"/>
        <v>#NAME?</v>
      </c>
      <c r="AR103" s="315" t="e">
        <f t="shared" ca="1" si="74"/>
        <v>#NAME?</v>
      </c>
      <c r="AS103" s="316" t="e">
        <f t="shared" ca="1" si="75"/>
        <v>#NAME?</v>
      </c>
      <c r="AT103" s="315" t="e">
        <f t="shared" ca="1" si="76"/>
        <v>#NAME?</v>
      </c>
      <c r="AU103" s="317">
        <v>427.8</v>
      </c>
      <c r="AV103" s="315" t="e">
        <f t="shared" ca="1" si="77"/>
        <v>#NAME?</v>
      </c>
      <c r="AW103" s="318" t="e">
        <f ca="1">0.0001*BicubicInterpolation('Drag Coef Table'!$B$4:$L$28,AV103,AC103)</f>
        <v>#NAME?</v>
      </c>
      <c r="AX103" s="319" t="e">
        <f t="shared" ca="1" si="78"/>
        <v>#NAME?</v>
      </c>
      <c r="AY103" s="318" t="e">
        <f t="shared" ca="1" si="79"/>
        <v>#NAME?</v>
      </c>
      <c r="AZ103" s="320" t="e">
        <f t="shared" ca="1" si="80"/>
        <v>#NAME?</v>
      </c>
      <c r="BA103" s="321" t="e">
        <f t="shared" ca="1" si="81"/>
        <v>#NAME?</v>
      </c>
      <c r="BB103" s="322" t="e">
        <f t="shared" ca="1" si="82"/>
        <v>#NAME?</v>
      </c>
      <c r="BC103" s="323">
        <v>75.196700000000007</v>
      </c>
      <c r="BD103" s="324" t="e">
        <f t="shared" ca="1" si="83"/>
        <v>#NAME?</v>
      </c>
      <c r="BE103" s="325" t="e">
        <f t="shared" ca="1" si="84"/>
        <v>#NAME?</v>
      </c>
      <c r="BF103" s="324" t="e">
        <f ca="1">BicubicInterpolation('TSFC Eff Table'!$B$4:$E$69,2,BB103)</f>
        <v>#NAME?</v>
      </c>
      <c r="BG103" s="326" t="e">
        <f t="shared" ca="1" si="85"/>
        <v>#NAME?</v>
      </c>
      <c r="BH103" s="694" t="e">
        <f ca="1">IF( S103="LRCINOP",   (1+(0.03/10)*Z103*(1+0.2*AC103^2) )*BicubicInterpolation( 'LRC INOP FF'!$C$4:$AA$21, Y103, U103 )-200, IF(S103 ="HOLDINGINOP", (1+(0.03/10)*Z103*(1+0.2*AC103^2) )*BicubicInterpolation( 'Holding INOP FF'!$C$4:$J$13,  Y103,  U103)/1.05-200,   BA103*BG103))</f>
        <v>#NAME?</v>
      </c>
      <c r="BI103" s="344" t="e">
        <f t="shared" ca="1" si="15"/>
        <v>#NAME?</v>
      </c>
      <c r="BJ103" s="322" t="e">
        <f t="shared" ca="1" si="86"/>
        <v>#NAME?</v>
      </c>
      <c r="BK103" s="338" t="e">
        <f t="shared" ca="1" si="16"/>
        <v>#NAME?</v>
      </c>
      <c r="BL103" s="327" t="e">
        <f t="shared" ca="1" si="87"/>
        <v>#NAME?</v>
      </c>
      <c r="BM103" s="328">
        <f t="shared" si="88"/>
        <v>200</v>
      </c>
      <c r="BN103" s="329" t="e">
        <f t="shared" ca="1" si="89"/>
        <v>#NAME?</v>
      </c>
      <c r="BO103" s="344" t="e">
        <f t="shared" ca="1" si="17"/>
        <v>#NAME?</v>
      </c>
      <c r="BP103" s="320" t="e">
        <f t="shared" ca="1" si="90"/>
        <v>#NAME?</v>
      </c>
      <c r="BQ103" s="344" t="e">
        <f t="shared" ca="1" si="18"/>
        <v>#NAME?</v>
      </c>
      <c r="BR103" s="347" t="e">
        <f t="shared" ca="1" si="19"/>
        <v>#NAME?</v>
      </c>
      <c r="BS103" s="326" t="e">
        <f t="shared" ca="1" si="91"/>
        <v>#NAME?</v>
      </c>
      <c r="BT103" s="437" t="e">
        <f t="shared" ca="1" si="58"/>
        <v>#NAME?</v>
      </c>
      <c r="BU103" s="437" t="e">
        <f t="shared" ca="1" si="59"/>
        <v>#NAME?</v>
      </c>
      <c r="BV103" s="441" t="e">
        <f t="shared" ca="1" si="60"/>
        <v>#NAME?</v>
      </c>
      <c r="BW103" s="442" t="e">
        <f t="shared" ca="1" si="61"/>
        <v>#NAME?</v>
      </c>
      <c r="BX103" s="470" t="e">
        <f t="shared" ca="1" si="5"/>
        <v>#NAME?</v>
      </c>
      <c r="BY103" s="484" t="e">
        <f t="shared" ca="1" si="20"/>
        <v>#NAME?</v>
      </c>
    </row>
    <row r="104" spans="5:77" ht="17.75" customHeight="1" x14ac:dyDescent="0.2">
      <c r="E104" s="423"/>
      <c r="I104" s="366">
        <v>20</v>
      </c>
      <c r="J104" s="414">
        <f t="shared" si="21"/>
        <v>41705.726388888936</v>
      </c>
      <c r="K104" s="435" t="e">
        <f t="shared" ca="1" si="22"/>
        <v>#NAME?</v>
      </c>
      <c r="L104" s="435" t="e">
        <f t="shared" ca="1" si="0"/>
        <v>#NAME?</v>
      </c>
      <c r="M104" s="664" t="e">
        <f t="shared" ca="1" si="23"/>
        <v>#NAME?</v>
      </c>
      <c r="N104" s="664" t="e">
        <f t="shared" ca="1" si="24"/>
        <v>#NAME?</v>
      </c>
      <c r="O104" s="140" t="e">
        <f t="shared" ca="1" si="7"/>
        <v>#NAME?</v>
      </c>
      <c r="P104" s="352" t="e">
        <f t="shared" ca="1" si="25"/>
        <v>#NAME?</v>
      </c>
      <c r="Q104" s="665" t="e">
        <f t="shared" ca="1" si="8"/>
        <v>#NAME?</v>
      </c>
      <c r="R104" s="352" t="e">
        <f t="shared" ca="1" si="65"/>
        <v>#NAME?</v>
      </c>
      <c r="S104" s="662" t="e">
        <f t="shared" ca="1" si="10"/>
        <v>#NAME?</v>
      </c>
      <c r="T104" s="443" t="e">
        <f t="shared" ca="1" si="1"/>
        <v>#NAME?</v>
      </c>
      <c r="U104" s="369" t="e">
        <f t="shared" ca="1" si="2"/>
        <v>#NAME?</v>
      </c>
      <c r="V104" s="454" t="e">
        <f t="shared" ca="1" si="11"/>
        <v>#NAME?</v>
      </c>
      <c r="W104" s="457">
        <f t="shared" si="12"/>
        <v>1000</v>
      </c>
      <c r="X104" s="463" t="e">
        <f t="shared" ca="1" si="13"/>
        <v>#NAME?</v>
      </c>
      <c r="Y104" s="455" t="e">
        <f t="shared" ca="1" si="26"/>
        <v>#NAME?</v>
      </c>
      <c r="Z104" s="699">
        <f t="shared" si="3"/>
        <v>10</v>
      </c>
      <c r="AA104" s="355" t="str">
        <f t="shared" si="4"/>
        <v>ON</v>
      </c>
      <c r="AB104" s="357">
        <f t="shared" si="66"/>
        <v>1.4999999999999999E-2</v>
      </c>
      <c r="AC104" s="356" t="e">
        <f ca="1">IF(  Y103=0,0,IF(OR(S104="KCAS",S104="INOP",S104="MEFE"),   ( (5*( (   (((1+0.2*(T104/661.4786)^2)^3.5 -1)  )/( (1-6.8755856*10^-6 *100*Y104)^5.2558797) +1)^(2/7) -1) )^0.5),IF(S104="MACH",T104, IF(S104="LRC",BicubicInterpolation( 'LRC Mach'!$C$4:$AL$21, Y104,U104),  IF(S104="MRC",BicubicInterpolation( 'MRC Mach'!$C$3:$T$18, Y104,U104),  IF(S104="M0.84",0.84,  IF(S104="CI52",BicubicInterpolation('CI=52 Mach'!$C$3:$T$18, Y104,U104),  IF(S104="HOLDING",BicubicInterpolation(  'Holding Mach'!$C$4:$M$13, Y104,U104),                         IF(S104="LRCINOP", BicubicInterpolation('LRC INOP Mach'!$C$4:$AA$21,Y104,U104), IF(S104="HOLDINGINOP",  BicubicInterpolation('Holding INOP Mach'!$N$4:$U$13,Y104,U104),         "XXX" )))))))   )))</f>
        <v>#NAME?</v>
      </c>
      <c r="AD104" s="313" t="e">
        <f t="shared" ca="1" si="67"/>
        <v>#NAME?</v>
      </c>
      <c r="AE104" s="314" t="e">
        <f t="shared" ca="1" si="28"/>
        <v>#NAME?</v>
      </c>
      <c r="AF104" s="313" t="e">
        <f t="shared" ca="1" si="68"/>
        <v>#NAME?</v>
      </c>
      <c r="AG104" s="314" t="e">
        <f t="shared" ca="1" si="29"/>
        <v>#NAME?</v>
      </c>
      <c r="AH104" s="313" t="e">
        <f t="shared" ca="1" si="69"/>
        <v>#NAME?</v>
      </c>
      <c r="AI104" s="314" t="e">
        <f t="shared" ca="1" si="31"/>
        <v>#NAME?</v>
      </c>
      <c r="AJ104" s="315" t="e">
        <f t="shared" ca="1" si="32"/>
        <v>#NAME?</v>
      </c>
      <c r="AK104" s="568" t="e">
        <f t="shared" ca="1" si="70"/>
        <v>#NAME?</v>
      </c>
      <c r="AL104" s="313" t="e">
        <f t="shared" ca="1" si="71"/>
        <v>#NAME?</v>
      </c>
      <c r="AM104" s="313" t="e">
        <f t="shared" ca="1" si="35"/>
        <v>#NAME?</v>
      </c>
      <c r="AN104" s="313" t="e">
        <f t="shared" ca="1" si="36"/>
        <v>#NAME?</v>
      </c>
      <c r="AO104" s="316" t="e">
        <f t="shared" ca="1" si="72"/>
        <v>#NAME?</v>
      </c>
      <c r="AP104" s="313" t="e">
        <f t="shared" ca="1" si="73"/>
        <v>#NAME?</v>
      </c>
      <c r="AQ104" s="314" t="e">
        <f t="shared" ca="1" si="39"/>
        <v>#NAME?</v>
      </c>
      <c r="AR104" s="315" t="e">
        <f t="shared" ca="1" si="74"/>
        <v>#NAME?</v>
      </c>
      <c r="AS104" s="316" t="e">
        <f t="shared" ca="1" si="75"/>
        <v>#NAME?</v>
      </c>
      <c r="AT104" s="315" t="e">
        <f t="shared" ca="1" si="76"/>
        <v>#NAME?</v>
      </c>
      <c r="AU104" s="317">
        <v>427.8</v>
      </c>
      <c r="AV104" s="315" t="e">
        <f t="shared" ca="1" si="77"/>
        <v>#NAME?</v>
      </c>
      <c r="AW104" s="318" t="e">
        <f ca="1">0.0001*BicubicInterpolation('Drag Coef Table'!$B$4:$L$28,AV104,AC104)</f>
        <v>#NAME?</v>
      </c>
      <c r="AX104" s="319" t="e">
        <f t="shared" ca="1" si="78"/>
        <v>#NAME?</v>
      </c>
      <c r="AY104" s="318" t="e">
        <f t="shared" ca="1" si="79"/>
        <v>#NAME?</v>
      </c>
      <c r="AZ104" s="320" t="e">
        <f t="shared" ca="1" si="80"/>
        <v>#NAME?</v>
      </c>
      <c r="BA104" s="321" t="e">
        <f t="shared" ca="1" si="81"/>
        <v>#NAME?</v>
      </c>
      <c r="BB104" s="322" t="e">
        <f t="shared" ca="1" si="82"/>
        <v>#NAME?</v>
      </c>
      <c r="BC104" s="323">
        <v>75.196700000000007</v>
      </c>
      <c r="BD104" s="324" t="e">
        <f t="shared" ca="1" si="83"/>
        <v>#NAME?</v>
      </c>
      <c r="BE104" s="325" t="e">
        <f t="shared" ca="1" si="84"/>
        <v>#NAME?</v>
      </c>
      <c r="BF104" s="324" t="e">
        <f ca="1">BicubicInterpolation('TSFC Eff Table'!$B$4:$E$69,2,BB104)</f>
        <v>#NAME?</v>
      </c>
      <c r="BG104" s="326" t="e">
        <f t="shared" ca="1" si="85"/>
        <v>#NAME?</v>
      </c>
      <c r="BH104" s="694" t="e">
        <f ca="1">IF( S104="LRCINOP",   (1+(0.03/10)*Z104*(1+0.2*AC104^2) )*BicubicInterpolation( 'LRC INOP FF'!$C$4:$AA$21, Y104, U104 )-200, IF(S104 ="HOLDINGINOP", (1+(0.03/10)*Z104*(1+0.2*AC104^2) )*BicubicInterpolation( 'Holding INOP FF'!$C$4:$J$13,  Y104,  U104)/1.05-200,   BA104*BG104))</f>
        <v>#NAME?</v>
      </c>
      <c r="BI104" s="344" t="e">
        <f t="shared" ca="1" si="15"/>
        <v>#NAME?</v>
      </c>
      <c r="BJ104" s="322" t="e">
        <f t="shared" ca="1" si="86"/>
        <v>#NAME?</v>
      </c>
      <c r="BK104" s="338" t="e">
        <f t="shared" ca="1" si="16"/>
        <v>#NAME?</v>
      </c>
      <c r="BL104" s="327" t="e">
        <f t="shared" ca="1" si="87"/>
        <v>#NAME?</v>
      </c>
      <c r="BM104" s="328">
        <f t="shared" si="88"/>
        <v>200</v>
      </c>
      <c r="BN104" s="329" t="e">
        <f t="shared" ca="1" si="89"/>
        <v>#NAME?</v>
      </c>
      <c r="BO104" s="344" t="e">
        <f t="shared" ca="1" si="17"/>
        <v>#NAME?</v>
      </c>
      <c r="BP104" s="320" t="e">
        <f t="shared" ca="1" si="90"/>
        <v>#NAME?</v>
      </c>
      <c r="BQ104" s="344" t="e">
        <f t="shared" ca="1" si="18"/>
        <v>#NAME?</v>
      </c>
      <c r="BR104" s="347" t="e">
        <f t="shared" ca="1" si="19"/>
        <v>#NAME?</v>
      </c>
      <c r="BS104" s="326" t="e">
        <f t="shared" ca="1" si="91"/>
        <v>#NAME?</v>
      </c>
      <c r="BT104" s="437" t="e">
        <f t="shared" ca="1" si="58"/>
        <v>#NAME?</v>
      </c>
      <c r="BU104" s="437" t="e">
        <f t="shared" ca="1" si="59"/>
        <v>#NAME?</v>
      </c>
      <c r="BV104" s="441" t="e">
        <f t="shared" ca="1" si="60"/>
        <v>#NAME?</v>
      </c>
      <c r="BW104" s="442" t="e">
        <f t="shared" ca="1" si="61"/>
        <v>#NAME?</v>
      </c>
      <c r="BX104" s="470" t="e">
        <f t="shared" ca="1" si="5"/>
        <v>#NAME?</v>
      </c>
      <c r="BY104" s="484" t="e">
        <f t="shared" ca="1" si="20"/>
        <v>#NAME?</v>
      </c>
    </row>
    <row r="105" spans="5:77" ht="17.75" customHeight="1" x14ac:dyDescent="0.2">
      <c r="E105" s="423"/>
      <c r="I105" s="366">
        <v>21</v>
      </c>
      <c r="J105" s="414">
        <f t="shared" si="21"/>
        <v>41705.727083333382</v>
      </c>
      <c r="K105" s="435" t="e">
        <f t="shared" ca="1" si="22"/>
        <v>#NAME?</v>
      </c>
      <c r="L105" s="435" t="e">
        <f t="shared" ca="1" si="0"/>
        <v>#NAME?</v>
      </c>
      <c r="M105" s="664" t="e">
        <f t="shared" ca="1" si="23"/>
        <v>#NAME?</v>
      </c>
      <c r="N105" s="664" t="e">
        <f t="shared" ca="1" si="24"/>
        <v>#NAME?</v>
      </c>
      <c r="O105" s="140" t="e">
        <f t="shared" ca="1" si="7"/>
        <v>#NAME?</v>
      </c>
      <c r="P105" s="352" t="e">
        <f t="shared" ca="1" si="25"/>
        <v>#NAME?</v>
      </c>
      <c r="Q105" s="665" t="e">
        <f t="shared" ca="1" si="8"/>
        <v>#NAME?</v>
      </c>
      <c r="R105" s="352" t="e">
        <f t="shared" ca="1" si="65"/>
        <v>#NAME?</v>
      </c>
      <c r="S105" s="662" t="e">
        <f t="shared" ca="1" si="10"/>
        <v>#NAME?</v>
      </c>
      <c r="T105" s="443" t="e">
        <f t="shared" ca="1" si="1"/>
        <v>#NAME?</v>
      </c>
      <c r="U105" s="369" t="e">
        <f t="shared" ca="1" si="2"/>
        <v>#NAME?</v>
      </c>
      <c r="V105" s="454" t="e">
        <f t="shared" ca="1" si="11"/>
        <v>#NAME?</v>
      </c>
      <c r="W105" s="457">
        <f t="shared" si="12"/>
        <v>1000</v>
      </c>
      <c r="X105" s="463" t="e">
        <f t="shared" ca="1" si="13"/>
        <v>#NAME?</v>
      </c>
      <c r="Y105" s="455" t="e">
        <f t="shared" ca="1" si="26"/>
        <v>#NAME?</v>
      </c>
      <c r="Z105" s="699">
        <f t="shared" si="3"/>
        <v>10</v>
      </c>
      <c r="AA105" s="355" t="str">
        <f t="shared" si="4"/>
        <v>ON</v>
      </c>
      <c r="AB105" s="357">
        <f t="shared" si="66"/>
        <v>1.4999999999999999E-2</v>
      </c>
      <c r="AC105" s="356" t="e">
        <f ca="1">IF(  Y104=0,0,IF(OR(S105="KCAS",S105="INOP",S105="MEFE"),   ( (5*( (   (((1+0.2*(T105/661.4786)^2)^3.5 -1)  )/( (1-6.8755856*10^-6 *100*Y105)^5.2558797) +1)^(2/7) -1) )^0.5),IF(S105="MACH",T105, IF(S105="LRC",BicubicInterpolation( 'LRC Mach'!$C$4:$AL$21, Y105,U105),  IF(S105="MRC",BicubicInterpolation( 'MRC Mach'!$C$3:$T$18, Y105,U105),  IF(S105="M0.84",0.84,  IF(S105="CI52",BicubicInterpolation('CI=52 Mach'!$C$3:$T$18, Y105,U105),  IF(S105="HOLDING",BicubicInterpolation(  'Holding Mach'!$C$4:$M$13, Y105,U105),                         IF(S105="LRCINOP", BicubicInterpolation('LRC INOP Mach'!$C$4:$AA$21,Y105,U105), IF(S105="HOLDINGINOP",  BicubicInterpolation('Holding INOP Mach'!$N$4:$U$13,Y105,U105),         "XXX" )))))))   )))</f>
        <v>#NAME?</v>
      </c>
      <c r="AD105" s="313" t="e">
        <f t="shared" ca="1" si="67"/>
        <v>#NAME?</v>
      </c>
      <c r="AE105" s="314" t="e">
        <f t="shared" ca="1" si="28"/>
        <v>#NAME?</v>
      </c>
      <c r="AF105" s="313" t="e">
        <f t="shared" ca="1" si="68"/>
        <v>#NAME?</v>
      </c>
      <c r="AG105" s="314" t="e">
        <f t="shared" ca="1" si="29"/>
        <v>#NAME?</v>
      </c>
      <c r="AH105" s="313" t="e">
        <f t="shared" ca="1" si="69"/>
        <v>#NAME?</v>
      </c>
      <c r="AI105" s="314" t="e">
        <f t="shared" ca="1" si="31"/>
        <v>#NAME?</v>
      </c>
      <c r="AJ105" s="315" t="e">
        <f t="shared" ca="1" si="32"/>
        <v>#NAME?</v>
      </c>
      <c r="AK105" s="568" t="e">
        <f t="shared" ca="1" si="70"/>
        <v>#NAME?</v>
      </c>
      <c r="AL105" s="313" t="e">
        <f t="shared" ca="1" si="71"/>
        <v>#NAME?</v>
      </c>
      <c r="AM105" s="313" t="e">
        <f t="shared" ca="1" si="35"/>
        <v>#NAME?</v>
      </c>
      <c r="AN105" s="313" t="e">
        <f t="shared" ca="1" si="36"/>
        <v>#NAME?</v>
      </c>
      <c r="AO105" s="316" t="e">
        <f t="shared" ca="1" si="72"/>
        <v>#NAME?</v>
      </c>
      <c r="AP105" s="313" t="e">
        <f t="shared" ca="1" si="73"/>
        <v>#NAME?</v>
      </c>
      <c r="AQ105" s="314" t="e">
        <f t="shared" ca="1" si="39"/>
        <v>#NAME?</v>
      </c>
      <c r="AR105" s="315" t="e">
        <f t="shared" ca="1" si="74"/>
        <v>#NAME?</v>
      </c>
      <c r="AS105" s="316" t="e">
        <f t="shared" ca="1" si="75"/>
        <v>#NAME?</v>
      </c>
      <c r="AT105" s="315" t="e">
        <f t="shared" ca="1" si="76"/>
        <v>#NAME?</v>
      </c>
      <c r="AU105" s="317">
        <v>427.8</v>
      </c>
      <c r="AV105" s="315" t="e">
        <f t="shared" ca="1" si="77"/>
        <v>#NAME?</v>
      </c>
      <c r="AW105" s="318" t="e">
        <f ca="1">0.0001*BicubicInterpolation('Drag Coef Table'!$B$4:$L$28,AV105,AC105)</f>
        <v>#NAME?</v>
      </c>
      <c r="AX105" s="319" t="e">
        <f t="shared" ca="1" si="78"/>
        <v>#NAME?</v>
      </c>
      <c r="AY105" s="318" t="e">
        <f t="shared" ca="1" si="79"/>
        <v>#NAME?</v>
      </c>
      <c r="AZ105" s="320" t="e">
        <f t="shared" ca="1" si="80"/>
        <v>#NAME?</v>
      </c>
      <c r="BA105" s="321" t="e">
        <f t="shared" ca="1" si="81"/>
        <v>#NAME?</v>
      </c>
      <c r="BB105" s="322" t="e">
        <f t="shared" ca="1" si="82"/>
        <v>#NAME?</v>
      </c>
      <c r="BC105" s="323">
        <v>75.196700000000007</v>
      </c>
      <c r="BD105" s="324" t="e">
        <f t="shared" ca="1" si="83"/>
        <v>#NAME?</v>
      </c>
      <c r="BE105" s="325" t="e">
        <f t="shared" ca="1" si="84"/>
        <v>#NAME?</v>
      </c>
      <c r="BF105" s="324" t="e">
        <f ca="1">BicubicInterpolation('TSFC Eff Table'!$B$4:$E$69,2,BB105)</f>
        <v>#NAME?</v>
      </c>
      <c r="BG105" s="326" t="e">
        <f t="shared" ca="1" si="85"/>
        <v>#NAME?</v>
      </c>
      <c r="BH105" s="694" t="e">
        <f ca="1">IF( S105="LRCINOP",   (1+(0.03/10)*Z105*(1+0.2*AC105^2) )*BicubicInterpolation( 'LRC INOP FF'!$C$4:$AA$21, Y105, U105 )-200, IF(S105 ="HOLDINGINOP", (1+(0.03/10)*Z105*(1+0.2*AC105^2) )*BicubicInterpolation( 'Holding INOP FF'!$C$4:$J$13,  Y105,  U105)/1.05-200,   BA105*BG105))</f>
        <v>#NAME?</v>
      </c>
      <c r="BI105" s="344" t="e">
        <f t="shared" ca="1" si="15"/>
        <v>#NAME?</v>
      </c>
      <c r="BJ105" s="322" t="e">
        <f t="shared" ca="1" si="86"/>
        <v>#NAME?</v>
      </c>
      <c r="BK105" s="338" t="e">
        <f t="shared" ca="1" si="16"/>
        <v>#NAME?</v>
      </c>
      <c r="BL105" s="327" t="e">
        <f t="shared" ca="1" si="87"/>
        <v>#NAME?</v>
      </c>
      <c r="BM105" s="328">
        <f t="shared" si="88"/>
        <v>200</v>
      </c>
      <c r="BN105" s="329" t="e">
        <f t="shared" ca="1" si="89"/>
        <v>#NAME?</v>
      </c>
      <c r="BO105" s="344" t="e">
        <f t="shared" ca="1" si="17"/>
        <v>#NAME?</v>
      </c>
      <c r="BP105" s="320" t="e">
        <f t="shared" ca="1" si="90"/>
        <v>#NAME?</v>
      </c>
      <c r="BQ105" s="344" t="e">
        <f t="shared" ca="1" si="18"/>
        <v>#NAME?</v>
      </c>
      <c r="BR105" s="347" t="e">
        <f t="shared" ca="1" si="19"/>
        <v>#NAME?</v>
      </c>
      <c r="BS105" s="326" t="e">
        <f t="shared" ca="1" si="91"/>
        <v>#NAME?</v>
      </c>
      <c r="BT105" s="437" t="e">
        <f t="shared" ca="1" si="58"/>
        <v>#NAME?</v>
      </c>
      <c r="BU105" s="437" t="e">
        <f t="shared" ca="1" si="59"/>
        <v>#NAME?</v>
      </c>
      <c r="BV105" s="441" t="e">
        <f t="shared" ca="1" si="60"/>
        <v>#NAME?</v>
      </c>
      <c r="BW105" s="442" t="e">
        <f t="shared" ca="1" si="61"/>
        <v>#NAME?</v>
      </c>
      <c r="BX105" s="470" t="e">
        <f t="shared" ca="1" si="5"/>
        <v>#NAME?</v>
      </c>
      <c r="BY105" s="484" t="e">
        <f t="shared" ca="1" si="20"/>
        <v>#NAME?</v>
      </c>
    </row>
    <row r="106" spans="5:77" ht="17.75" customHeight="1" x14ac:dyDescent="0.2">
      <c r="E106" s="423"/>
      <c r="I106" s="366">
        <v>22</v>
      </c>
      <c r="J106" s="414">
        <f t="shared" si="21"/>
        <v>41705.727777777829</v>
      </c>
      <c r="K106" s="435" t="e">
        <f t="shared" ca="1" si="22"/>
        <v>#NAME?</v>
      </c>
      <c r="L106" s="435" t="e">
        <f t="shared" ca="1" si="0"/>
        <v>#NAME?</v>
      </c>
      <c r="M106" s="664" t="e">
        <f t="shared" ca="1" si="23"/>
        <v>#NAME?</v>
      </c>
      <c r="N106" s="664" t="e">
        <f t="shared" ca="1" si="24"/>
        <v>#NAME?</v>
      </c>
      <c r="O106" s="140" t="e">
        <f t="shared" ca="1" si="7"/>
        <v>#NAME?</v>
      </c>
      <c r="P106" s="352" t="e">
        <f t="shared" ca="1" si="25"/>
        <v>#NAME?</v>
      </c>
      <c r="Q106" s="665" t="e">
        <f t="shared" ca="1" si="8"/>
        <v>#NAME?</v>
      </c>
      <c r="R106" s="352" t="e">
        <f t="shared" ca="1" si="65"/>
        <v>#NAME?</v>
      </c>
      <c r="S106" s="662" t="e">
        <f t="shared" ca="1" si="10"/>
        <v>#NAME?</v>
      </c>
      <c r="T106" s="443" t="e">
        <f t="shared" ca="1" si="1"/>
        <v>#NAME?</v>
      </c>
      <c r="U106" s="369" t="e">
        <f t="shared" ca="1" si="2"/>
        <v>#NAME?</v>
      </c>
      <c r="V106" s="454" t="e">
        <f t="shared" ca="1" si="11"/>
        <v>#NAME?</v>
      </c>
      <c r="W106" s="457">
        <f t="shared" si="12"/>
        <v>1000</v>
      </c>
      <c r="X106" s="463" t="e">
        <f t="shared" ca="1" si="13"/>
        <v>#NAME?</v>
      </c>
      <c r="Y106" s="455" t="e">
        <f t="shared" ca="1" si="26"/>
        <v>#NAME?</v>
      </c>
      <c r="Z106" s="699">
        <f t="shared" si="3"/>
        <v>10</v>
      </c>
      <c r="AA106" s="355" t="str">
        <f t="shared" si="4"/>
        <v>ON</v>
      </c>
      <c r="AB106" s="357">
        <f t="shared" si="66"/>
        <v>1.4999999999999999E-2</v>
      </c>
      <c r="AC106" s="356" t="e">
        <f ca="1">IF(  Y105=0,0,IF(OR(S106="KCAS",S106="INOP",S106="MEFE"),   ( (5*( (   (((1+0.2*(T106/661.4786)^2)^3.5 -1)  )/( (1-6.8755856*10^-6 *100*Y106)^5.2558797) +1)^(2/7) -1) )^0.5),IF(S106="MACH",T106, IF(S106="LRC",BicubicInterpolation( 'LRC Mach'!$C$4:$AL$21, Y106,U106),  IF(S106="MRC",BicubicInterpolation( 'MRC Mach'!$C$3:$T$18, Y106,U106),  IF(S106="M0.84",0.84,  IF(S106="CI52",BicubicInterpolation('CI=52 Mach'!$C$3:$T$18, Y106,U106),  IF(S106="HOLDING",BicubicInterpolation(  'Holding Mach'!$C$4:$M$13, Y106,U106),                         IF(S106="LRCINOP", BicubicInterpolation('LRC INOP Mach'!$C$4:$AA$21,Y106,U106), IF(S106="HOLDINGINOP",  BicubicInterpolation('Holding INOP Mach'!$N$4:$U$13,Y106,U106),         "XXX" )))))))   )))</f>
        <v>#NAME?</v>
      </c>
      <c r="AD106" s="313" t="e">
        <f t="shared" ca="1" si="67"/>
        <v>#NAME?</v>
      </c>
      <c r="AE106" s="314" t="e">
        <f t="shared" ca="1" si="28"/>
        <v>#NAME?</v>
      </c>
      <c r="AF106" s="313" t="e">
        <f t="shared" ca="1" si="68"/>
        <v>#NAME?</v>
      </c>
      <c r="AG106" s="314" t="e">
        <f t="shared" ca="1" si="29"/>
        <v>#NAME?</v>
      </c>
      <c r="AH106" s="313" t="e">
        <f t="shared" ca="1" si="69"/>
        <v>#NAME?</v>
      </c>
      <c r="AI106" s="314" t="e">
        <f t="shared" ca="1" si="31"/>
        <v>#NAME?</v>
      </c>
      <c r="AJ106" s="315" t="e">
        <f t="shared" ca="1" si="32"/>
        <v>#NAME?</v>
      </c>
      <c r="AK106" s="568" t="e">
        <f t="shared" ca="1" si="70"/>
        <v>#NAME?</v>
      </c>
      <c r="AL106" s="313" t="e">
        <f t="shared" ca="1" si="71"/>
        <v>#NAME?</v>
      </c>
      <c r="AM106" s="313" t="e">
        <f t="shared" ca="1" si="35"/>
        <v>#NAME?</v>
      </c>
      <c r="AN106" s="313" t="e">
        <f t="shared" ca="1" si="36"/>
        <v>#NAME?</v>
      </c>
      <c r="AO106" s="316" t="e">
        <f t="shared" ca="1" si="72"/>
        <v>#NAME?</v>
      </c>
      <c r="AP106" s="313" t="e">
        <f t="shared" ca="1" si="73"/>
        <v>#NAME?</v>
      </c>
      <c r="AQ106" s="314" t="e">
        <f t="shared" ca="1" si="39"/>
        <v>#NAME?</v>
      </c>
      <c r="AR106" s="315" t="e">
        <f t="shared" ca="1" si="74"/>
        <v>#NAME?</v>
      </c>
      <c r="AS106" s="316" t="e">
        <f t="shared" ca="1" si="75"/>
        <v>#NAME?</v>
      </c>
      <c r="AT106" s="315" t="e">
        <f t="shared" ca="1" si="76"/>
        <v>#NAME?</v>
      </c>
      <c r="AU106" s="317">
        <v>427.8</v>
      </c>
      <c r="AV106" s="315" t="e">
        <f t="shared" ca="1" si="77"/>
        <v>#NAME?</v>
      </c>
      <c r="AW106" s="318" t="e">
        <f ca="1">0.0001*BicubicInterpolation('Drag Coef Table'!$B$4:$L$28,AV106,AC106)</f>
        <v>#NAME?</v>
      </c>
      <c r="AX106" s="319" t="e">
        <f t="shared" ca="1" si="78"/>
        <v>#NAME?</v>
      </c>
      <c r="AY106" s="318" t="e">
        <f t="shared" ca="1" si="79"/>
        <v>#NAME?</v>
      </c>
      <c r="AZ106" s="320" t="e">
        <f t="shared" ca="1" si="80"/>
        <v>#NAME?</v>
      </c>
      <c r="BA106" s="321" t="e">
        <f t="shared" ca="1" si="81"/>
        <v>#NAME?</v>
      </c>
      <c r="BB106" s="322" t="e">
        <f t="shared" ca="1" si="82"/>
        <v>#NAME?</v>
      </c>
      <c r="BC106" s="323">
        <v>75.196700000000007</v>
      </c>
      <c r="BD106" s="324" t="e">
        <f t="shared" ca="1" si="83"/>
        <v>#NAME?</v>
      </c>
      <c r="BE106" s="325" t="e">
        <f t="shared" ca="1" si="84"/>
        <v>#NAME?</v>
      </c>
      <c r="BF106" s="324" t="e">
        <f ca="1">BicubicInterpolation('TSFC Eff Table'!$B$4:$E$69,2,BB106)</f>
        <v>#NAME?</v>
      </c>
      <c r="BG106" s="326" t="e">
        <f t="shared" ca="1" si="85"/>
        <v>#NAME?</v>
      </c>
      <c r="BH106" s="694" t="e">
        <f ca="1">IF( S106="LRCINOP",   (1+(0.03/10)*Z106*(1+0.2*AC106^2) )*BicubicInterpolation( 'LRC INOP FF'!$C$4:$AA$21, Y106, U106 )-200, IF(S106 ="HOLDINGINOP", (1+(0.03/10)*Z106*(1+0.2*AC106^2) )*BicubicInterpolation( 'Holding INOP FF'!$C$4:$J$13,  Y106,  U106)/1.05-200,   BA106*BG106))</f>
        <v>#NAME?</v>
      </c>
      <c r="BI106" s="344" t="e">
        <f t="shared" ca="1" si="15"/>
        <v>#NAME?</v>
      </c>
      <c r="BJ106" s="322" t="e">
        <f t="shared" ca="1" si="86"/>
        <v>#NAME?</v>
      </c>
      <c r="BK106" s="338" t="e">
        <f t="shared" ca="1" si="16"/>
        <v>#NAME?</v>
      </c>
      <c r="BL106" s="327" t="e">
        <f t="shared" ca="1" si="87"/>
        <v>#NAME?</v>
      </c>
      <c r="BM106" s="328">
        <f t="shared" si="88"/>
        <v>200</v>
      </c>
      <c r="BN106" s="329" t="e">
        <f t="shared" ca="1" si="89"/>
        <v>#NAME?</v>
      </c>
      <c r="BO106" s="344" t="e">
        <f t="shared" ca="1" si="17"/>
        <v>#NAME?</v>
      </c>
      <c r="BP106" s="320" t="e">
        <f t="shared" ca="1" si="90"/>
        <v>#NAME?</v>
      </c>
      <c r="BQ106" s="344" t="e">
        <f t="shared" ca="1" si="18"/>
        <v>#NAME?</v>
      </c>
      <c r="BR106" s="347" t="e">
        <f t="shared" ca="1" si="19"/>
        <v>#NAME?</v>
      </c>
      <c r="BS106" s="326" t="e">
        <f t="shared" ca="1" si="91"/>
        <v>#NAME?</v>
      </c>
      <c r="BT106" s="437" t="e">
        <f t="shared" ca="1" si="58"/>
        <v>#NAME?</v>
      </c>
      <c r="BU106" s="437" t="e">
        <f t="shared" ca="1" si="59"/>
        <v>#NAME?</v>
      </c>
      <c r="BV106" s="441" t="e">
        <f t="shared" ca="1" si="60"/>
        <v>#NAME?</v>
      </c>
      <c r="BW106" s="442" t="e">
        <f t="shared" ca="1" si="61"/>
        <v>#NAME?</v>
      </c>
      <c r="BX106" s="470" t="e">
        <f t="shared" ca="1" si="5"/>
        <v>#NAME?</v>
      </c>
      <c r="BY106" s="484" t="e">
        <f t="shared" ca="1" si="20"/>
        <v>#NAME?</v>
      </c>
    </row>
    <row r="107" spans="5:77" ht="17.75" customHeight="1" x14ac:dyDescent="0.2">
      <c r="E107" s="471"/>
      <c r="I107" s="366">
        <v>23</v>
      </c>
      <c r="J107" s="414">
        <f t="shared" si="21"/>
        <v>41705.728472222276</v>
      </c>
      <c r="K107" s="435" t="e">
        <f t="shared" ca="1" si="22"/>
        <v>#NAME?</v>
      </c>
      <c r="L107" s="435" t="e">
        <f t="shared" ca="1" si="0"/>
        <v>#NAME?</v>
      </c>
      <c r="M107" s="664" t="e">
        <f t="shared" ca="1" si="23"/>
        <v>#NAME?</v>
      </c>
      <c r="N107" s="664" t="e">
        <f t="shared" ca="1" si="24"/>
        <v>#NAME?</v>
      </c>
      <c r="O107" s="140" t="e">
        <f t="shared" ca="1" si="7"/>
        <v>#NAME?</v>
      </c>
      <c r="P107" s="352" t="e">
        <f t="shared" ca="1" si="25"/>
        <v>#NAME?</v>
      </c>
      <c r="Q107" s="665" t="e">
        <f t="shared" ca="1" si="8"/>
        <v>#NAME?</v>
      </c>
      <c r="R107" s="352" t="e">
        <f t="shared" ca="1" si="65"/>
        <v>#NAME?</v>
      </c>
      <c r="S107" s="662" t="e">
        <f t="shared" ca="1" si="10"/>
        <v>#NAME?</v>
      </c>
      <c r="T107" s="443" t="e">
        <f t="shared" ca="1" si="1"/>
        <v>#NAME?</v>
      </c>
      <c r="U107" s="369" t="e">
        <f t="shared" ca="1" si="2"/>
        <v>#NAME?</v>
      </c>
      <c r="V107" s="454" t="e">
        <f t="shared" ca="1" si="11"/>
        <v>#NAME?</v>
      </c>
      <c r="W107" s="457">
        <f t="shared" si="12"/>
        <v>1000</v>
      </c>
      <c r="X107" s="463" t="e">
        <f t="shared" ca="1" si="13"/>
        <v>#NAME?</v>
      </c>
      <c r="Y107" s="455" t="e">
        <f t="shared" ca="1" si="26"/>
        <v>#NAME?</v>
      </c>
      <c r="Z107" s="699">
        <f t="shared" si="3"/>
        <v>10</v>
      </c>
      <c r="AA107" s="355" t="str">
        <f t="shared" si="4"/>
        <v>ON</v>
      </c>
      <c r="AB107" s="357">
        <f t="shared" si="66"/>
        <v>1.4999999999999999E-2</v>
      </c>
      <c r="AC107" s="356" t="e">
        <f ca="1">IF(  Y106=0,0,IF(OR(S107="KCAS",S107="INOP",S107="MEFE"),   ( (5*( (   (((1+0.2*(T107/661.4786)^2)^3.5 -1)  )/( (1-6.8755856*10^-6 *100*Y107)^5.2558797) +1)^(2/7) -1) )^0.5),IF(S107="MACH",T107, IF(S107="LRC",BicubicInterpolation( 'LRC Mach'!$C$4:$AL$21, Y107,U107),  IF(S107="MRC",BicubicInterpolation( 'MRC Mach'!$C$3:$T$18, Y107,U107),  IF(S107="M0.84",0.84,  IF(S107="CI52",BicubicInterpolation('CI=52 Mach'!$C$3:$T$18, Y107,U107),  IF(S107="HOLDING",BicubicInterpolation(  'Holding Mach'!$C$4:$M$13, Y107,U107),                         IF(S107="LRCINOP", BicubicInterpolation('LRC INOP Mach'!$C$4:$AA$21,Y107,U107), IF(S107="HOLDINGINOP",  BicubicInterpolation('Holding INOP Mach'!$N$4:$U$13,Y107,U107),         "XXX" )))))))   )))</f>
        <v>#NAME?</v>
      </c>
      <c r="AD107" s="313" t="e">
        <f t="shared" ca="1" si="67"/>
        <v>#NAME?</v>
      </c>
      <c r="AE107" s="314" t="e">
        <f t="shared" ca="1" si="28"/>
        <v>#NAME?</v>
      </c>
      <c r="AF107" s="313" t="e">
        <f t="shared" ca="1" si="68"/>
        <v>#NAME?</v>
      </c>
      <c r="AG107" s="314" t="e">
        <f t="shared" ca="1" si="29"/>
        <v>#NAME?</v>
      </c>
      <c r="AH107" s="313" t="e">
        <f t="shared" ca="1" si="69"/>
        <v>#NAME?</v>
      </c>
      <c r="AI107" s="314" t="e">
        <f t="shared" ca="1" si="31"/>
        <v>#NAME?</v>
      </c>
      <c r="AJ107" s="315" t="e">
        <f t="shared" ca="1" si="32"/>
        <v>#NAME?</v>
      </c>
      <c r="AK107" s="568" t="e">
        <f t="shared" ca="1" si="70"/>
        <v>#NAME?</v>
      </c>
      <c r="AL107" s="313" t="e">
        <f t="shared" ca="1" si="71"/>
        <v>#NAME?</v>
      </c>
      <c r="AM107" s="313" t="e">
        <f t="shared" ca="1" si="35"/>
        <v>#NAME?</v>
      </c>
      <c r="AN107" s="313" t="e">
        <f t="shared" ca="1" si="36"/>
        <v>#NAME?</v>
      </c>
      <c r="AO107" s="316" t="e">
        <f t="shared" ca="1" si="72"/>
        <v>#NAME?</v>
      </c>
      <c r="AP107" s="313" t="e">
        <f t="shared" ca="1" si="73"/>
        <v>#NAME?</v>
      </c>
      <c r="AQ107" s="314" t="e">
        <f t="shared" ca="1" si="39"/>
        <v>#NAME?</v>
      </c>
      <c r="AR107" s="315" t="e">
        <f t="shared" ca="1" si="74"/>
        <v>#NAME?</v>
      </c>
      <c r="AS107" s="316" t="e">
        <f t="shared" ca="1" si="75"/>
        <v>#NAME?</v>
      </c>
      <c r="AT107" s="315" t="e">
        <f t="shared" ca="1" si="76"/>
        <v>#NAME?</v>
      </c>
      <c r="AU107" s="317">
        <v>427.8</v>
      </c>
      <c r="AV107" s="315" t="e">
        <f t="shared" ca="1" si="77"/>
        <v>#NAME?</v>
      </c>
      <c r="AW107" s="318" t="e">
        <f ca="1">0.0001*BicubicInterpolation('Drag Coef Table'!$B$4:$L$28,AV107,AC107)</f>
        <v>#NAME?</v>
      </c>
      <c r="AX107" s="319" t="e">
        <f t="shared" ca="1" si="78"/>
        <v>#NAME?</v>
      </c>
      <c r="AY107" s="318" t="e">
        <f t="shared" ca="1" si="79"/>
        <v>#NAME?</v>
      </c>
      <c r="AZ107" s="320" t="e">
        <f t="shared" ca="1" si="80"/>
        <v>#NAME?</v>
      </c>
      <c r="BA107" s="321" t="e">
        <f t="shared" ca="1" si="81"/>
        <v>#NAME?</v>
      </c>
      <c r="BB107" s="322" t="e">
        <f t="shared" ca="1" si="82"/>
        <v>#NAME?</v>
      </c>
      <c r="BC107" s="323">
        <v>75.196700000000007</v>
      </c>
      <c r="BD107" s="324" t="e">
        <f t="shared" ca="1" si="83"/>
        <v>#NAME?</v>
      </c>
      <c r="BE107" s="325" t="e">
        <f t="shared" ca="1" si="84"/>
        <v>#NAME?</v>
      </c>
      <c r="BF107" s="324" t="e">
        <f ca="1">BicubicInterpolation('TSFC Eff Table'!$B$4:$E$69,2,BB107)</f>
        <v>#NAME?</v>
      </c>
      <c r="BG107" s="326" t="e">
        <f t="shared" ca="1" si="85"/>
        <v>#NAME?</v>
      </c>
      <c r="BH107" s="694" t="e">
        <f ca="1">IF( S107="LRCINOP",   (1+(0.03/10)*Z107*(1+0.2*AC107^2) )*BicubicInterpolation( 'LRC INOP FF'!$C$4:$AA$21, Y107, U107 )-200, IF(S107 ="HOLDINGINOP", (1+(0.03/10)*Z107*(1+0.2*AC107^2) )*BicubicInterpolation( 'Holding INOP FF'!$C$4:$J$13,  Y107,  U107)/1.05-200,   BA107*BG107))</f>
        <v>#NAME?</v>
      </c>
      <c r="BI107" s="344" t="e">
        <f t="shared" ca="1" si="15"/>
        <v>#NAME?</v>
      </c>
      <c r="BJ107" s="322" t="e">
        <f t="shared" ca="1" si="86"/>
        <v>#NAME?</v>
      </c>
      <c r="BK107" s="338" t="e">
        <f t="shared" ca="1" si="16"/>
        <v>#NAME?</v>
      </c>
      <c r="BL107" s="327" t="e">
        <f t="shared" ca="1" si="87"/>
        <v>#NAME?</v>
      </c>
      <c r="BM107" s="328">
        <f t="shared" si="88"/>
        <v>200</v>
      </c>
      <c r="BN107" s="329" t="e">
        <f t="shared" ca="1" si="89"/>
        <v>#NAME?</v>
      </c>
      <c r="BO107" s="344" t="e">
        <f t="shared" ca="1" si="17"/>
        <v>#NAME?</v>
      </c>
      <c r="BP107" s="320" t="e">
        <f t="shared" ca="1" si="90"/>
        <v>#NAME?</v>
      </c>
      <c r="BQ107" s="344" t="e">
        <f t="shared" ca="1" si="18"/>
        <v>#NAME?</v>
      </c>
      <c r="BR107" s="347" t="e">
        <f t="shared" ca="1" si="19"/>
        <v>#NAME?</v>
      </c>
      <c r="BS107" s="326" t="e">
        <f t="shared" ca="1" si="91"/>
        <v>#NAME?</v>
      </c>
      <c r="BT107" s="437" t="e">
        <f t="shared" ca="1" si="58"/>
        <v>#NAME?</v>
      </c>
      <c r="BU107" s="437" t="e">
        <f t="shared" ca="1" si="59"/>
        <v>#NAME?</v>
      </c>
      <c r="BV107" s="441" t="e">
        <f t="shared" ca="1" si="60"/>
        <v>#NAME?</v>
      </c>
      <c r="BW107" s="442" t="e">
        <f t="shared" ca="1" si="61"/>
        <v>#NAME?</v>
      </c>
      <c r="BX107" s="470" t="e">
        <f t="shared" ca="1" si="5"/>
        <v>#NAME?</v>
      </c>
      <c r="BY107" s="484" t="e">
        <f t="shared" ca="1" si="20"/>
        <v>#NAME?</v>
      </c>
    </row>
    <row r="108" spans="5:77" ht="17.75" customHeight="1" x14ac:dyDescent="0.2">
      <c r="E108" s="423"/>
      <c r="I108" s="366">
        <v>24</v>
      </c>
      <c r="J108" s="414">
        <f t="shared" si="21"/>
        <v>41705.729166666722</v>
      </c>
      <c r="K108" s="435" t="e">
        <f t="shared" ca="1" si="22"/>
        <v>#NAME?</v>
      </c>
      <c r="L108" s="435" t="e">
        <f t="shared" ca="1" si="0"/>
        <v>#NAME?</v>
      </c>
      <c r="M108" s="664" t="e">
        <f t="shared" ca="1" si="23"/>
        <v>#NAME?</v>
      </c>
      <c r="N108" s="664" t="e">
        <f t="shared" ca="1" si="24"/>
        <v>#NAME?</v>
      </c>
      <c r="O108" s="140" t="e">
        <f t="shared" ca="1" si="7"/>
        <v>#NAME?</v>
      </c>
      <c r="P108" s="352" t="e">
        <f t="shared" ca="1" si="25"/>
        <v>#NAME?</v>
      </c>
      <c r="Q108" s="665" t="e">
        <f t="shared" ca="1" si="8"/>
        <v>#NAME?</v>
      </c>
      <c r="R108" s="352" t="e">
        <f t="shared" ca="1" si="65"/>
        <v>#NAME?</v>
      </c>
      <c r="S108" s="662" t="e">
        <f t="shared" ca="1" si="10"/>
        <v>#NAME?</v>
      </c>
      <c r="T108" s="443" t="e">
        <f t="shared" ca="1" si="1"/>
        <v>#NAME?</v>
      </c>
      <c r="U108" s="369" t="e">
        <f t="shared" ca="1" si="2"/>
        <v>#NAME?</v>
      </c>
      <c r="V108" s="454" t="e">
        <f t="shared" ca="1" si="11"/>
        <v>#NAME?</v>
      </c>
      <c r="W108" s="457">
        <f t="shared" si="12"/>
        <v>1000</v>
      </c>
      <c r="X108" s="463" t="e">
        <f t="shared" ca="1" si="13"/>
        <v>#NAME?</v>
      </c>
      <c r="Y108" s="455" t="e">
        <f t="shared" ca="1" si="26"/>
        <v>#NAME?</v>
      </c>
      <c r="Z108" s="699">
        <f t="shared" si="3"/>
        <v>10</v>
      </c>
      <c r="AA108" s="355" t="str">
        <f t="shared" si="4"/>
        <v>ON</v>
      </c>
      <c r="AB108" s="357">
        <f t="shared" si="66"/>
        <v>1.4999999999999999E-2</v>
      </c>
      <c r="AC108" s="356" t="e">
        <f ca="1">IF(  Y107=0,0,IF(OR(S108="KCAS",S108="INOP",S108="MEFE"),   ( (5*( (   (((1+0.2*(T108/661.4786)^2)^3.5 -1)  )/( (1-6.8755856*10^-6 *100*Y108)^5.2558797) +1)^(2/7) -1) )^0.5),IF(S108="MACH",T108, IF(S108="LRC",BicubicInterpolation( 'LRC Mach'!$C$4:$AL$21, Y108,U108),  IF(S108="MRC",BicubicInterpolation( 'MRC Mach'!$C$3:$T$18, Y108,U108),  IF(S108="M0.84",0.84,  IF(S108="CI52",BicubicInterpolation('CI=52 Mach'!$C$3:$T$18, Y108,U108),  IF(S108="HOLDING",BicubicInterpolation(  'Holding Mach'!$C$4:$M$13, Y108,U108),                         IF(S108="LRCINOP", BicubicInterpolation('LRC INOP Mach'!$C$4:$AA$21,Y108,U108), IF(S108="HOLDINGINOP",  BicubicInterpolation('Holding INOP Mach'!$N$4:$U$13,Y108,U108),         "XXX" )))))))   )))</f>
        <v>#NAME?</v>
      </c>
      <c r="AD108" s="313" t="e">
        <f t="shared" ca="1" si="67"/>
        <v>#NAME?</v>
      </c>
      <c r="AE108" s="314" t="e">
        <f t="shared" ca="1" si="28"/>
        <v>#NAME?</v>
      </c>
      <c r="AF108" s="313" t="e">
        <f t="shared" ca="1" si="68"/>
        <v>#NAME?</v>
      </c>
      <c r="AG108" s="314" t="e">
        <f t="shared" ca="1" si="29"/>
        <v>#NAME?</v>
      </c>
      <c r="AH108" s="313" t="e">
        <f t="shared" ca="1" si="69"/>
        <v>#NAME?</v>
      </c>
      <c r="AI108" s="314" t="e">
        <f t="shared" ca="1" si="31"/>
        <v>#NAME?</v>
      </c>
      <c r="AJ108" s="315" t="e">
        <f t="shared" ca="1" si="32"/>
        <v>#NAME?</v>
      </c>
      <c r="AK108" s="568" t="e">
        <f t="shared" ca="1" si="70"/>
        <v>#NAME?</v>
      </c>
      <c r="AL108" s="313" t="e">
        <f t="shared" ca="1" si="71"/>
        <v>#NAME?</v>
      </c>
      <c r="AM108" s="313" t="e">
        <f t="shared" ca="1" si="35"/>
        <v>#NAME?</v>
      </c>
      <c r="AN108" s="313" t="e">
        <f t="shared" ca="1" si="36"/>
        <v>#NAME?</v>
      </c>
      <c r="AO108" s="316" t="e">
        <f t="shared" ca="1" si="72"/>
        <v>#NAME?</v>
      </c>
      <c r="AP108" s="313" t="e">
        <f t="shared" ca="1" si="73"/>
        <v>#NAME?</v>
      </c>
      <c r="AQ108" s="314" t="e">
        <f t="shared" ca="1" si="39"/>
        <v>#NAME?</v>
      </c>
      <c r="AR108" s="315" t="e">
        <f t="shared" ca="1" si="74"/>
        <v>#NAME?</v>
      </c>
      <c r="AS108" s="316" t="e">
        <f t="shared" ca="1" si="75"/>
        <v>#NAME?</v>
      </c>
      <c r="AT108" s="315" t="e">
        <f t="shared" ca="1" si="76"/>
        <v>#NAME?</v>
      </c>
      <c r="AU108" s="317">
        <v>427.8</v>
      </c>
      <c r="AV108" s="315" t="e">
        <f t="shared" ca="1" si="77"/>
        <v>#NAME?</v>
      </c>
      <c r="AW108" s="318" t="e">
        <f ca="1">0.0001*BicubicInterpolation('Drag Coef Table'!$B$4:$L$28,AV108,AC108)</f>
        <v>#NAME?</v>
      </c>
      <c r="AX108" s="319" t="e">
        <f t="shared" ca="1" si="78"/>
        <v>#NAME?</v>
      </c>
      <c r="AY108" s="318" t="e">
        <f t="shared" ca="1" si="79"/>
        <v>#NAME?</v>
      </c>
      <c r="AZ108" s="320" t="e">
        <f t="shared" ca="1" si="80"/>
        <v>#NAME?</v>
      </c>
      <c r="BA108" s="321" t="e">
        <f t="shared" ca="1" si="81"/>
        <v>#NAME?</v>
      </c>
      <c r="BB108" s="322" t="e">
        <f t="shared" ca="1" si="82"/>
        <v>#NAME?</v>
      </c>
      <c r="BC108" s="323">
        <v>75.196700000000007</v>
      </c>
      <c r="BD108" s="324" t="e">
        <f t="shared" ca="1" si="83"/>
        <v>#NAME?</v>
      </c>
      <c r="BE108" s="325" t="e">
        <f t="shared" ca="1" si="84"/>
        <v>#NAME?</v>
      </c>
      <c r="BF108" s="324" t="e">
        <f ca="1">BicubicInterpolation('TSFC Eff Table'!$B$4:$E$69,2,BB108)</f>
        <v>#NAME?</v>
      </c>
      <c r="BG108" s="326" t="e">
        <f t="shared" ca="1" si="85"/>
        <v>#NAME?</v>
      </c>
      <c r="BH108" s="694" t="e">
        <f ca="1">IF( S108="LRCINOP",   (1+(0.03/10)*Z108*(1+0.2*AC108^2) )*BicubicInterpolation( 'LRC INOP FF'!$C$4:$AA$21, Y108, U108 )-200, IF(S108 ="HOLDINGINOP", (1+(0.03/10)*Z108*(1+0.2*AC108^2) )*BicubicInterpolation( 'Holding INOP FF'!$C$4:$J$13,  Y108,  U108)/1.05-200,   BA108*BG108))</f>
        <v>#NAME?</v>
      </c>
      <c r="BI108" s="344" t="e">
        <f t="shared" ca="1" si="15"/>
        <v>#NAME?</v>
      </c>
      <c r="BJ108" s="322" t="e">
        <f t="shared" ca="1" si="86"/>
        <v>#NAME?</v>
      </c>
      <c r="BK108" s="338" t="e">
        <f t="shared" ca="1" si="16"/>
        <v>#NAME?</v>
      </c>
      <c r="BL108" s="327" t="e">
        <f t="shared" ca="1" si="87"/>
        <v>#NAME?</v>
      </c>
      <c r="BM108" s="328">
        <f t="shared" si="88"/>
        <v>200</v>
      </c>
      <c r="BN108" s="329" t="e">
        <f t="shared" ca="1" si="89"/>
        <v>#NAME?</v>
      </c>
      <c r="BO108" s="344" t="e">
        <f t="shared" ca="1" si="17"/>
        <v>#NAME?</v>
      </c>
      <c r="BP108" s="320" t="e">
        <f t="shared" ca="1" si="90"/>
        <v>#NAME?</v>
      </c>
      <c r="BQ108" s="344" t="e">
        <f t="shared" ca="1" si="18"/>
        <v>#NAME?</v>
      </c>
      <c r="BR108" s="347" t="e">
        <f t="shared" ca="1" si="19"/>
        <v>#NAME?</v>
      </c>
      <c r="BS108" s="326" t="e">
        <f t="shared" ca="1" si="91"/>
        <v>#NAME?</v>
      </c>
      <c r="BT108" s="437" t="e">
        <f t="shared" ca="1" si="58"/>
        <v>#NAME?</v>
      </c>
      <c r="BU108" s="437" t="e">
        <f t="shared" ca="1" si="59"/>
        <v>#NAME?</v>
      </c>
      <c r="BV108" s="441" t="e">
        <f t="shared" ca="1" si="60"/>
        <v>#NAME?</v>
      </c>
      <c r="BW108" s="442" t="e">
        <f t="shared" ca="1" si="61"/>
        <v>#NAME?</v>
      </c>
      <c r="BX108" s="470" t="e">
        <f t="shared" ca="1" si="5"/>
        <v>#NAME?</v>
      </c>
      <c r="BY108" s="484" t="e">
        <f t="shared" ca="1" si="20"/>
        <v>#NAME?</v>
      </c>
    </row>
    <row r="109" spans="5:77" ht="17.75" customHeight="1" x14ac:dyDescent="0.2">
      <c r="E109" s="423"/>
      <c r="I109" s="366">
        <v>25</v>
      </c>
      <c r="J109" s="414">
        <f t="shared" si="21"/>
        <v>41705.729861111169</v>
      </c>
      <c r="K109" s="435" t="e">
        <f t="shared" ca="1" si="22"/>
        <v>#NAME?</v>
      </c>
      <c r="L109" s="435" t="e">
        <f t="shared" ca="1" si="0"/>
        <v>#NAME?</v>
      </c>
      <c r="M109" s="664" t="e">
        <f t="shared" ca="1" si="23"/>
        <v>#NAME?</v>
      </c>
      <c r="N109" s="664" t="e">
        <f t="shared" ca="1" si="24"/>
        <v>#NAME?</v>
      </c>
      <c r="O109" s="140" t="e">
        <f t="shared" ca="1" si="7"/>
        <v>#NAME?</v>
      </c>
      <c r="P109" s="352" t="e">
        <f t="shared" ca="1" si="25"/>
        <v>#NAME?</v>
      </c>
      <c r="Q109" s="665" t="e">
        <f t="shared" ca="1" si="8"/>
        <v>#NAME?</v>
      </c>
      <c r="R109" s="352" t="e">
        <f t="shared" ca="1" si="65"/>
        <v>#NAME?</v>
      </c>
      <c r="S109" s="662" t="e">
        <f t="shared" ca="1" si="10"/>
        <v>#NAME?</v>
      </c>
      <c r="T109" s="443" t="e">
        <f t="shared" ca="1" si="1"/>
        <v>#NAME?</v>
      </c>
      <c r="U109" s="369" t="e">
        <f t="shared" ca="1" si="2"/>
        <v>#NAME?</v>
      </c>
      <c r="V109" s="454" t="e">
        <f t="shared" ca="1" si="11"/>
        <v>#NAME?</v>
      </c>
      <c r="W109" s="457">
        <f t="shared" si="12"/>
        <v>1000</v>
      </c>
      <c r="X109" s="463" t="e">
        <f t="shared" ca="1" si="13"/>
        <v>#NAME?</v>
      </c>
      <c r="Y109" s="455" t="e">
        <f t="shared" ca="1" si="26"/>
        <v>#NAME?</v>
      </c>
      <c r="Z109" s="699">
        <f t="shared" si="3"/>
        <v>10</v>
      </c>
      <c r="AA109" s="355" t="str">
        <f t="shared" si="4"/>
        <v>ON</v>
      </c>
      <c r="AB109" s="357">
        <f t="shared" si="66"/>
        <v>1.4999999999999999E-2</v>
      </c>
      <c r="AC109" s="356" t="e">
        <f ca="1">IF(  Y108=0,0,IF(OR(S109="KCAS",S109="INOP",S109="MEFE"),   ( (5*( (   (((1+0.2*(T109/661.4786)^2)^3.5 -1)  )/( (1-6.8755856*10^-6 *100*Y109)^5.2558797) +1)^(2/7) -1) )^0.5),IF(S109="MACH",T109, IF(S109="LRC",BicubicInterpolation( 'LRC Mach'!$C$4:$AL$21, Y109,U109),  IF(S109="MRC",BicubicInterpolation( 'MRC Mach'!$C$3:$T$18, Y109,U109),  IF(S109="M0.84",0.84,  IF(S109="CI52",BicubicInterpolation('CI=52 Mach'!$C$3:$T$18, Y109,U109),  IF(S109="HOLDING",BicubicInterpolation(  'Holding Mach'!$C$4:$M$13, Y109,U109),                         IF(S109="LRCINOP", BicubicInterpolation('LRC INOP Mach'!$C$4:$AA$21,Y109,U109), IF(S109="HOLDINGINOP",  BicubicInterpolation('Holding INOP Mach'!$N$4:$U$13,Y109,U109),         "XXX" )))))))   )))</f>
        <v>#NAME?</v>
      </c>
      <c r="AD109" s="313" t="e">
        <f t="shared" ca="1" si="67"/>
        <v>#NAME?</v>
      </c>
      <c r="AE109" s="314" t="e">
        <f t="shared" ca="1" si="28"/>
        <v>#NAME?</v>
      </c>
      <c r="AF109" s="313" t="e">
        <f t="shared" ca="1" si="68"/>
        <v>#NAME?</v>
      </c>
      <c r="AG109" s="314" t="e">
        <f t="shared" ca="1" si="29"/>
        <v>#NAME?</v>
      </c>
      <c r="AH109" s="313" t="e">
        <f t="shared" ca="1" si="69"/>
        <v>#NAME?</v>
      </c>
      <c r="AI109" s="314" t="e">
        <f t="shared" ca="1" si="31"/>
        <v>#NAME?</v>
      </c>
      <c r="AJ109" s="315" t="e">
        <f t="shared" ca="1" si="32"/>
        <v>#NAME?</v>
      </c>
      <c r="AK109" s="568" t="e">
        <f t="shared" ca="1" si="70"/>
        <v>#NAME?</v>
      </c>
      <c r="AL109" s="313" t="e">
        <f t="shared" ca="1" si="71"/>
        <v>#NAME?</v>
      </c>
      <c r="AM109" s="313" t="e">
        <f t="shared" ca="1" si="35"/>
        <v>#NAME?</v>
      </c>
      <c r="AN109" s="313" t="e">
        <f t="shared" ca="1" si="36"/>
        <v>#NAME?</v>
      </c>
      <c r="AO109" s="316" t="e">
        <f t="shared" ca="1" si="72"/>
        <v>#NAME?</v>
      </c>
      <c r="AP109" s="313" t="e">
        <f t="shared" ca="1" si="73"/>
        <v>#NAME?</v>
      </c>
      <c r="AQ109" s="314" t="e">
        <f t="shared" ca="1" si="39"/>
        <v>#NAME?</v>
      </c>
      <c r="AR109" s="315" t="e">
        <f t="shared" ca="1" si="74"/>
        <v>#NAME?</v>
      </c>
      <c r="AS109" s="316" t="e">
        <f t="shared" ca="1" si="75"/>
        <v>#NAME?</v>
      </c>
      <c r="AT109" s="315" t="e">
        <f t="shared" ca="1" si="76"/>
        <v>#NAME?</v>
      </c>
      <c r="AU109" s="317">
        <v>427.8</v>
      </c>
      <c r="AV109" s="315" t="e">
        <f t="shared" ca="1" si="77"/>
        <v>#NAME?</v>
      </c>
      <c r="AW109" s="318" t="e">
        <f ca="1">0.0001*BicubicInterpolation('Drag Coef Table'!$B$4:$L$28,AV109,AC109)</f>
        <v>#NAME?</v>
      </c>
      <c r="AX109" s="319" t="e">
        <f t="shared" ca="1" si="78"/>
        <v>#NAME?</v>
      </c>
      <c r="AY109" s="318" t="e">
        <f t="shared" ca="1" si="79"/>
        <v>#NAME?</v>
      </c>
      <c r="AZ109" s="320" t="e">
        <f t="shared" ca="1" si="80"/>
        <v>#NAME?</v>
      </c>
      <c r="BA109" s="321" t="e">
        <f t="shared" ca="1" si="81"/>
        <v>#NAME?</v>
      </c>
      <c r="BB109" s="322" t="e">
        <f t="shared" ca="1" si="82"/>
        <v>#NAME?</v>
      </c>
      <c r="BC109" s="323">
        <v>75.196700000000007</v>
      </c>
      <c r="BD109" s="324" t="e">
        <f t="shared" ca="1" si="83"/>
        <v>#NAME?</v>
      </c>
      <c r="BE109" s="325" t="e">
        <f t="shared" ca="1" si="84"/>
        <v>#NAME?</v>
      </c>
      <c r="BF109" s="324" t="e">
        <f ca="1">BicubicInterpolation('TSFC Eff Table'!$B$4:$E$69,2,BB109)</f>
        <v>#NAME?</v>
      </c>
      <c r="BG109" s="326" t="e">
        <f t="shared" ca="1" si="85"/>
        <v>#NAME?</v>
      </c>
      <c r="BH109" s="694" t="e">
        <f ca="1">IF( S109="LRCINOP",   (1+(0.03/10)*Z109*(1+0.2*AC109^2) )*BicubicInterpolation( 'LRC INOP FF'!$C$4:$AA$21, Y109, U109 )-200, IF(S109 ="HOLDINGINOP", (1+(0.03/10)*Z109*(1+0.2*AC109^2) )*BicubicInterpolation( 'Holding INOP FF'!$C$4:$J$13,  Y109,  U109)/1.05-200,   BA109*BG109))</f>
        <v>#NAME?</v>
      </c>
      <c r="BI109" s="344" t="e">
        <f t="shared" ca="1" si="15"/>
        <v>#NAME?</v>
      </c>
      <c r="BJ109" s="322" t="e">
        <f t="shared" ca="1" si="86"/>
        <v>#NAME?</v>
      </c>
      <c r="BK109" s="338" t="e">
        <f t="shared" ca="1" si="16"/>
        <v>#NAME?</v>
      </c>
      <c r="BL109" s="327" t="e">
        <f t="shared" ca="1" si="87"/>
        <v>#NAME?</v>
      </c>
      <c r="BM109" s="328">
        <f t="shared" si="88"/>
        <v>200</v>
      </c>
      <c r="BN109" s="329" t="e">
        <f t="shared" ca="1" si="89"/>
        <v>#NAME?</v>
      </c>
      <c r="BO109" s="344" t="e">
        <f t="shared" ca="1" si="17"/>
        <v>#NAME?</v>
      </c>
      <c r="BP109" s="320" t="e">
        <f t="shared" ca="1" si="90"/>
        <v>#NAME?</v>
      </c>
      <c r="BQ109" s="344" t="e">
        <f t="shared" ca="1" si="18"/>
        <v>#NAME?</v>
      </c>
      <c r="BR109" s="347" t="e">
        <f t="shared" ca="1" si="19"/>
        <v>#NAME?</v>
      </c>
      <c r="BS109" s="326" t="e">
        <f t="shared" ca="1" si="91"/>
        <v>#NAME?</v>
      </c>
      <c r="BT109" s="437" t="e">
        <f t="shared" ca="1" si="58"/>
        <v>#NAME?</v>
      </c>
      <c r="BU109" s="437" t="e">
        <f t="shared" ca="1" si="59"/>
        <v>#NAME?</v>
      </c>
      <c r="BV109" s="441" t="e">
        <f t="shared" ca="1" si="60"/>
        <v>#NAME?</v>
      </c>
      <c r="BW109" s="442" t="e">
        <f t="shared" ca="1" si="61"/>
        <v>#NAME?</v>
      </c>
      <c r="BX109" s="470" t="e">
        <f t="shared" ca="1" si="5"/>
        <v>#NAME?</v>
      </c>
      <c r="BY109" s="484" t="e">
        <f t="shared" ca="1" si="20"/>
        <v>#NAME?</v>
      </c>
    </row>
    <row r="110" spans="5:77" ht="17.75" customHeight="1" x14ac:dyDescent="0.2">
      <c r="E110" s="423"/>
      <c r="I110" s="366">
        <v>26</v>
      </c>
      <c r="J110" s="414">
        <f t="shared" si="21"/>
        <v>41705.730555555616</v>
      </c>
      <c r="K110" s="435" t="e">
        <f t="shared" ca="1" si="22"/>
        <v>#NAME?</v>
      </c>
      <c r="L110" s="435" t="e">
        <f t="shared" ca="1" si="0"/>
        <v>#NAME?</v>
      </c>
      <c r="M110" s="664" t="e">
        <f t="shared" ca="1" si="23"/>
        <v>#NAME?</v>
      </c>
      <c r="N110" s="664" t="e">
        <f t="shared" ca="1" si="24"/>
        <v>#NAME?</v>
      </c>
      <c r="O110" s="140" t="e">
        <f t="shared" ca="1" si="7"/>
        <v>#NAME?</v>
      </c>
      <c r="P110" s="352" t="e">
        <f t="shared" ca="1" si="25"/>
        <v>#NAME?</v>
      </c>
      <c r="Q110" s="665" t="e">
        <f t="shared" ca="1" si="8"/>
        <v>#NAME?</v>
      </c>
      <c r="R110" s="352" t="e">
        <f t="shared" ca="1" si="65"/>
        <v>#NAME?</v>
      </c>
      <c r="S110" s="662" t="e">
        <f t="shared" ca="1" si="10"/>
        <v>#NAME?</v>
      </c>
      <c r="T110" s="443" t="e">
        <f t="shared" ca="1" si="1"/>
        <v>#NAME?</v>
      </c>
      <c r="U110" s="369" t="e">
        <f t="shared" ca="1" si="2"/>
        <v>#NAME?</v>
      </c>
      <c r="V110" s="454" t="e">
        <f t="shared" ca="1" si="11"/>
        <v>#NAME?</v>
      </c>
      <c r="W110" s="457">
        <f t="shared" si="12"/>
        <v>1000</v>
      </c>
      <c r="X110" s="463" t="e">
        <f t="shared" ca="1" si="13"/>
        <v>#NAME?</v>
      </c>
      <c r="Y110" s="455" t="e">
        <f t="shared" ca="1" si="26"/>
        <v>#NAME?</v>
      </c>
      <c r="Z110" s="699">
        <f t="shared" si="3"/>
        <v>10</v>
      </c>
      <c r="AA110" s="355" t="str">
        <f t="shared" si="4"/>
        <v>ON</v>
      </c>
      <c r="AB110" s="357">
        <f t="shared" si="66"/>
        <v>1.4999999999999999E-2</v>
      </c>
      <c r="AC110" s="356" t="e">
        <f ca="1">IF(  Y109=0,0,IF(OR(S110="KCAS",S110="INOP",S110="MEFE"),   ( (5*( (   (((1+0.2*(T110/661.4786)^2)^3.5 -1)  )/( (1-6.8755856*10^-6 *100*Y110)^5.2558797) +1)^(2/7) -1) )^0.5),IF(S110="MACH",T110, IF(S110="LRC",BicubicInterpolation( 'LRC Mach'!$C$4:$AL$21, Y110,U110),  IF(S110="MRC",BicubicInterpolation( 'MRC Mach'!$C$3:$T$18, Y110,U110),  IF(S110="M0.84",0.84,  IF(S110="CI52",BicubicInterpolation('CI=52 Mach'!$C$3:$T$18, Y110,U110),  IF(S110="HOLDING",BicubicInterpolation(  'Holding Mach'!$C$4:$M$13, Y110,U110),                         IF(S110="LRCINOP", BicubicInterpolation('LRC INOP Mach'!$C$4:$AA$21,Y110,U110), IF(S110="HOLDINGINOP",  BicubicInterpolation('Holding INOP Mach'!$N$4:$U$13,Y110,U110),         "XXX" )))))))   )))</f>
        <v>#NAME?</v>
      </c>
      <c r="AD110" s="313" t="e">
        <f t="shared" ca="1" si="67"/>
        <v>#NAME?</v>
      </c>
      <c r="AE110" s="314" t="e">
        <f t="shared" ca="1" si="28"/>
        <v>#NAME?</v>
      </c>
      <c r="AF110" s="313" t="e">
        <f t="shared" ca="1" si="68"/>
        <v>#NAME?</v>
      </c>
      <c r="AG110" s="314" t="e">
        <f t="shared" ca="1" si="29"/>
        <v>#NAME?</v>
      </c>
      <c r="AH110" s="313" t="e">
        <f t="shared" ca="1" si="69"/>
        <v>#NAME?</v>
      </c>
      <c r="AI110" s="314" t="e">
        <f t="shared" ca="1" si="31"/>
        <v>#NAME?</v>
      </c>
      <c r="AJ110" s="315" t="e">
        <f t="shared" ca="1" si="32"/>
        <v>#NAME?</v>
      </c>
      <c r="AK110" s="568" t="e">
        <f t="shared" ca="1" si="70"/>
        <v>#NAME?</v>
      </c>
      <c r="AL110" s="313" t="e">
        <f t="shared" ca="1" si="71"/>
        <v>#NAME?</v>
      </c>
      <c r="AM110" s="313" t="e">
        <f t="shared" ca="1" si="35"/>
        <v>#NAME?</v>
      </c>
      <c r="AN110" s="313" t="e">
        <f t="shared" ca="1" si="36"/>
        <v>#NAME?</v>
      </c>
      <c r="AO110" s="316" t="e">
        <f t="shared" ca="1" si="72"/>
        <v>#NAME?</v>
      </c>
      <c r="AP110" s="313" t="e">
        <f t="shared" ca="1" si="73"/>
        <v>#NAME?</v>
      </c>
      <c r="AQ110" s="314" t="e">
        <f t="shared" ca="1" si="39"/>
        <v>#NAME?</v>
      </c>
      <c r="AR110" s="315" t="e">
        <f t="shared" ca="1" si="74"/>
        <v>#NAME?</v>
      </c>
      <c r="AS110" s="316" t="e">
        <f t="shared" ca="1" si="75"/>
        <v>#NAME?</v>
      </c>
      <c r="AT110" s="315" t="e">
        <f t="shared" ca="1" si="76"/>
        <v>#NAME?</v>
      </c>
      <c r="AU110" s="317">
        <v>427.8</v>
      </c>
      <c r="AV110" s="315" t="e">
        <f t="shared" ca="1" si="77"/>
        <v>#NAME?</v>
      </c>
      <c r="AW110" s="318" t="e">
        <f ca="1">0.0001*BicubicInterpolation('Drag Coef Table'!$B$4:$L$28,AV110,AC110)</f>
        <v>#NAME?</v>
      </c>
      <c r="AX110" s="319" t="e">
        <f t="shared" ca="1" si="78"/>
        <v>#NAME?</v>
      </c>
      <c r="AY110" s="318" t="e">
        <f t="shared" ca="1" si="79"/>
        <v>#NAME?</v>
      </c>
      <c r="AZ110" s="320" t="e">
        <f t="shared" ca="1" si="80"/>
        <v>#NAME?</v>
      </c>
      <c r="BA110" s="321" t="e">
        <f t="shared" ca="1" si="81"/>
        <v>#NAME?</v>
      </c>
      <c r="BB110" s="322" t="e">
        <f t="shared" ca="1" si="82"/>
        <v>#NAME?</v>
      </c>
      <c r="BC110" s="323">
        <v>75.196700000000007</v>
      </c>
      <c r="BD110" s="324" t="e">
        <f t="shared" ca="1" si="83"/>
        <v>#NAME?</v>
      </c>
      <c r="BE110" s="325" t="e">
        <f t="shared" ca="1" si="84"/>
        <v>#NAME?</v>
      </c>
      <c r="BF110" s="324" t="e">
        <f ca="1">BicubicInterpolation('TSFC Eff Table'!$B$4:$E$69,2,BB110)</f>
        <v>#NAME?</v>
      </c>
      <c r="BG110" s="326" t="e">
        <f t="shared" ca="1" si="85"/>
        <v>#NAME?</v>
      </c>
      <c r="BH110" s="694" t="e">
        <f ca="1">IF( S110="LRCINOP",   (1+(0.03/10)*Z110*(1+0.2*AC110^2) )*BicubicInterpolation( 'LRC INOP FF'!$C$4:$AA$21, Y110, U110 )-200, IF(S110 ="HOLDINGINOP", (1+(0.03/10)*Z110*(1+0.2*AC110^2) )*BicubicInterpolation( 'Holding INOP FF'!$C$4:$J$13,  Y110,  U110)/1.05-200,   BA110*BG110))</f>
        <v>#NAME?</v>
      </c>
      <c r="BI110" s="344" t="e">
        <f t="shared" ca="1" si="15"/>
        <v>#NAME?</v>
      </c>
      <c r="BJ110" s="322" t="e">
        <f t="shared" ca="1" si="86"/>
        <v>#NAME?</v>
      </c>
      <c r="BK110" s="338" t="e">
        <f t="shared" ca="1" si="16"/>
        <v>#NAME?</v>
      </c>
      <c r="BL110" s="327" t="e">
        <f t="shared" ca="1" si="87"/>
        <v>#NAME?</v>
      </c>
      <c r="BM110" s="328">
        <f t="shared" si="88"/>
        <v>200</v>
      </c>
      <c r="BN110" s="329" t="e">
        <f t="shared" ca="1" si="89"/>
        <v>#NAME?</v>
      </c>
      <c r="BO110" s="344" t="e">
        <f t="shared" ca="1" si="17"/>
        <v>#NAME?</v>
      </c>
      <c r="BP110" s="320" t="e">
        <f t="shared" ca="1" si="90"/>
        <v>#NAME?</v>
      </c>
      <c r="BQ110" s="344" t="e">
        <f t="shared" ca="1" si="18"/>
        <v>#NAME?</v>
      </c>
      <c r="BR110" s="347" t="e">
        <f t="shared" ca="1" si="19"/>
        <v>#NAME?</v>
      </c>
      <c r="BS110" s="326" t="e">
        <f t="shared" ca="1" si="91"/>
        <v>#NAME?</v>
      </c>
      <c r="BT110" s="437" t="e">
        <f t="shared" ca="1" si="58"/>
        <v>#NAME?</v>
      </c>
      <c r="BU110" s="437" t="e">
        <f t="shared" ca="1" si="59"/>
        <v>#NAME?</v>
      </c>
      <c r="BV110" s="441" t="e">
        <f t="shared" ca="1" si="60"/>
        <v>#NAME?</v>
      </c>
      <c r="BW110" s="442" t="e">
        <f t="shared" ca="1" si="61"/>
        <v>#NAME?</v>
      </c>
      <c r="BX110" s="470" t="e">
        <f t="shared" ca="1" si="5"/>
        <v>#NAME?</v>
      </c>
      <c r="BY110" s="484" t="e">
        <f t="shared" ca="1" si="20"/>
        <v>#NAME?</v>
      </c>
    </row>
    <row r="111" spans="5:77" ht="17.75" customHeight="1" x14ac:dyDescent="0.2">
      <c r="E111" s="423"/>
      <c r="I111" s="366">
        <v>27</v>
      </c>
      <c r="J111" s="414">
        <f t="shared" si="21"/>
        <v>41705.731250000063</v>
      </c>
      <c r="K111" s="435" t="e">
        <f t="shared" ca="1" si="22"/>
        <v>#NAME?</v>
      </c>
      <c r="L111" s="435" t="e">
        <f t="shared" ca="1" si="0"/>
        <v>#NAME?</v>
      </c>
      <c r="M111" s="664" t="e">
        <f t="shared" ca="1" si="23"/>
        <v>#NAME?</v>
      </c>
      <c r="N111" s="664" t="e">
        <f t="shared" ca="1" si="24"/>
        <v>#NAME?</v>
      </c>
      <c r="O111" s="140" t="e">
        <f t="shared" ca="1" si="7"/>
        <v>#NAME?</v>
      </c>
      <c r="P111" s="352" t="e">
        <f t="shared" ca="1" si="25"/>
        <v>#NAME?</v>
      </c>
      <c r="Q111" s="665" t="e">
        <f t="shared" ca="1" si="8"/>
        <v>#NAME?</v>
      </c>
      <c r="R111" s="352" t="e">
        <f t="shared" ca="1" si="65"/>
        <v>#NAME?</v>
      </c>
      <c r="S111" s="662" t="e">
        <f t="shared" ca="1" si="10"/>
        <v>#NAME?</v>
      </c>
      <c r="T111" s="443" t="e">
        <f t="shared" ca="1" si="1"/>
        <v>#NAME?</v>
      </c>
      <c r="U111" s="369" t="e">
        <f t="shared" ca="1" si="2"/>
        <v>#NAME?</v>
      </c>
      <c r="V111" s="454" t="e">
        <f t="shared" ca="1" si="11"/>
        <v>#NAME?</v>
      </c>
      <c r="W111" s="457">
        <f t="shared" si="12"/>
        <v>1000</v>
      </c>
      <c r="X111" s="463" t="e">
        <f t="shared" ca="1" si="13"/>
        <v>#NAME?</v>
      </c>
      <c r="Y111" s="455" t="e">
        <f t="shared" ca="1" si="26"/>
        <v>#NAME?</v>
      </c>
      <c r="Z111" s="699">
        <f t="shared" si="3"/>
        <v>10</v>
      </c>
      <c r="AA111" s="355" t="str">
        <f t="shared" si="4"/>
        <v>ON</v>
      </c>
      <c r="AB111" s="357">
        <f t="shared" si="66"/>
        <v>1.4999999999999999E-2</v>
      </c>
      <c r="AC111" s="356" t="e">
        <f ca="1">IF(  Y110=0,0,IF(OR(S111="KCAS",S111="INOP",S111="MEFE"),   ( (5*( (   (((1+0.2*(T111/661.4786)^2)^3.5 -1)  )/( (1-6.8755856*10^-6 *100*Y111)^5.2558797) +1)^(2/7) -1) )^0.5),IF(S111="MACH",T111, IF(S111="LRC",BicubicInterpolation( 'LRC Mach'!$C$4:$AL$21, Y111,U111),  IF(S111="MRC",BicubicInterpolation( 'MRC Mach'!$C$3:$T$18, Y111,U111),  IF(S111="M0.84",0.84,  IF(S111="CI52",BicubicInterpolation('CI=52 Mach'!$C$3:$T$18, Y111,U111),  IF(S111="HOLDING",BicubicInterpolation(  'Holding Mach'!$C$4:$M$13, Y111,U111),                         IF(S111="LRCINOP", BicubicInterpolation('LRC INOP Mach'!$C$4:$AA$21,Y111,U111), IF(S111="HOLDINGINOP",  BicubicInterpolation('Holding INOP Mach'!$N$4:$U$13,Y111,U111),         "XXX" )))))))   )))</f>
        <v>#NAME?</v>
      </c>
      <c r="AD111" s="313" t="e">
        <f t="shared" ca="1" si="67"/>
        <v>#NAME?</v>
      </c>
      <c r="AE111" s="314" t="e">
        <f t="shared" ca="1" si="28"/>
        <v>#NAME?</v>
      </c>
      <c r="AF111" s="313" t="e">
        <f t="shared" ca="1" si="68"/>
        <v>#NAME?</v>
      </c>
      <c r="AG111" s="314" t="e">
        <f t="shared" ca="1" si="29"/>
        <v>#NAME?</v>
      </c>
      <c r="AH111" s="313" t="e">
        <f t="shared" ca="1" si="69"/>
        <v>#NAME?</v>
      </c>
      <c r="AI111" s="314" t="e">
        <f t="shared" ca="1" si="31"/>
        <v>#NAME?</v>
      </c>
      <c r="AJ111" s="315" t="e">
        <f t="shared" ca="1" si="32"/>
        <v>#NAME?</v>
      </c>
      <c r="AK111" s="568" t="e">
        <f t="shared" ca="1" si="70"/>
        <v>#NAME?</v>
      </c>
      <c r="AL111" s="313" t="e">
        <f t="shared" ca="1" si="71"/>
        <v>#NAME?</v>
      </c>
      <c r="AM111" s="313" t="e">
        <f t="shared" ca="1" si="35"/>
        <v>#NAME?</v>
      </c>
      <c r="AN111" s="313" t="e">
        <f t="shared" ca="1" si="36"/>
        <v>#NAME?</v>
      </c>
      <c r="AO111" s="316" t="e">
        <f t="shared" ca="1" si="72"/>
        <v>#NAME?</v>
      </c>
      <c r="AP111" s="313" t="e">
        <f t="shared" ca="1" si="73"/>
        <v>#NAME?</v>
      </c>
      <c r="AQ111" s="314" t="e">
        <f t="shared" ca="1" si="39"/>
        <v>#NAME?</v>
      </c>
      <c r="AR111" s="315" t="e">
        <f t="shared" ca="1" si="74"/>
        <v>#NAME?</v>
      </c>
      <c r="AS111" s="316" t="e">
        <f t="shared" ca="1" si="75"/>
        <v>#NAME?</v>
      </c>
      <c r="AT111" s="315" t="e">
        <f t="shared" ca="1" si="76"/>
        <v>#NAME?</v>
      </c>
      <c r="AU111" s="317">
        <v>427.8</v>
      </c>
      <c r="AV111" s="315" t="e">
        <f t="shared" ca="1" si="77"/>
        <v>#NAME?</v>
      </c>
      <c r="AW111" s="318" t="e">
        <f ca="1">0.0001*BicubicInterpolation('Drag Coef Table'!$B$4:$L$28,AV111,AC111)</f>
        <v>#NAME?</v>
      </c>
      <c r="AX111" s="319" t="e">
        <f t="shared" ca="1" si="78"/>
        <v>#NAME?</v>
      </c>
      <c r="AY111" s="318" t="e">
        <f t="shared" ca="1" si="79"/>
        <v>#NAME?</v>
      </c>
      <c r="AZ111" s="320" t="e">
        <f t="shared" ca="1" si="80"/>
        <v>#NAME?</v>
      </c>
      <c r="BA111" s="321" t="e">
        <f t="shared" ca="1" si="81"/>
        <v>#NAME?</v>
      </c>
      <c r="BB111" s="322" t="e">
        <f t="shared" ca="1" si="82"/>
        <v>#NAME?</v>
      </c>
      <c r="BC111" s="323">
        <v>75.196700000000007</v>
      </c>
      <c r="BD111" s="324" t="e">
        <f t="shared" ca="1" si="83"/>
        <v>#NAME?</v>
      </c>
      <c r="BE111" s="325" t="e">
        <f t="shared" ca="1" si="84"/>
        <v>#NAME?</v>
      </c>
      <c r="BF111" s="324" t="e">
        <f ca="1">BicubicInterpolation('TSFC Eff Table'!$B$4:$E$69,2,BB111)</f>
        <v>#NAME?</v>
      </c>
      <c r="BG111" s="326" t="e">
        <f t="shared" ca="1" si="85"/>
        <v>#NAME?</v>
      </c>
      <c r="BH111" s="694" t="e">
        <f ca="1">IF( S111="LRCINOP",   (1+(0.03/10)*Z111*(1+0.2*AC111^2) )*BicubicInterpolation( 'LRC INOP FF'!$C$4:$AA$21, Y111, U111 )-200, IF(S111 ="HOLDINGINOP", (1+(0.03/10)*Z111*(1+0.2*AC111^2) )*BicubicInterpolation( 'Holding INOP FF'!$C$4:$J$13,  Y111,  U111)/1.05-200,   BA111*BG111))</f>
        <v>#NAME?</v>
      </c>
      <c r="BI111" s="344" t="e">
        <f t="shared" ca="1" si="15"/>
        <v>#NAME?</v>
      </c>
      <c r="BJ111" s="322" t="e">
        <f t="shared" ca="1" si="86"/>
        <v>#NAME?</v>
      </c>
      <c r="BK111" s="338" t="e">
        <f t="shared" ca="1" si="16"/>
        <v>#NAME?</v>
      </c>
      <c r="BL111" s="327" t="e">
        <f t="shared" ca="1" si="87"/>
        <v>#NAME?</v>
      </c>
      <c r="BM111" s="328">
        <f t="shared" si="88"/>
        <v>200</v>
      </c>
      <c r="BN111" s="329" t="e">
        <f t="shared" ca="1" si="89"/>
        <v>#NAME?</v>
      </c>
      <c r="BO111" s="344" t="e">
        <f t="shared" ca="1" si="17"/>
        <v>#NAME?</v>
      </c>
      <c r="BP111" s="320" t="e">
        <f t="shared" ca="1" si="90"/>
        <v>#NAME?</v>
      </c>
      <c r="BQ111" s="344" t="e">
        <f t="shared" ca="1" si="18"/>
        <v>#NAME?</v>
      </c>
      <c r="BR111" s="347" t="e">
        <f t="shared" ca="1" si="19"/>
        <v>#NAME?</v>
      </c>
      <c r="BS111" s="326" t="e">
        <f t="shared" ca="1" si="91"/>
        <v>#NAME?</v>
      </c>
      <c r="BT111" s="437" t="e">
        <f t="shared" ca="1" si="58"/>
        <v>#NAME?</v>
      </c>
      <c r="BU111" s="437" t="e">
        <f t="shared" ca="1" si="59"/>
        <v>#NAME?</v>
      </c>
      <c r="BV111" s="441" t="e">
        <f t="shared" ca="1" si="60"/>
        <v>#NAME?</v>
      </c>
      <c r="BW111" s="442" t="e">
        <f t="shared" ca="1" si="61"/>
        <v>#NAME?</v>
      </c>
      <c r="BX111" s="470" t="e">
        <f t="shared" ca="1" si="5"/>
        <v>#NAME?</v>
      </c>
      <c r="BY111" s="484" t="e">
        <f t="shared" ca="1" si="20"/>
        <v>#NAME?</v>
      </c>
    </row>
    <row r="112" spans="5:77" ht="17.75" customHeight="1" x14ac:dyDescent="0.2">
      <c r="E112" s="423"/>
      <c r="I112" s="366">
        <v>28</v>
      </c>
      <c r="J112" s="414">
        <f t="shared" si="21"/>
        <v>41705.731944444509</v>
      </c>
      <c r="K112" s="435" t="e">
        <f t="shared" ca="1" si="22"/>
        <v>#NAME?</v>
      </c>
      <c r="L112" s="435" t="e">
        <f t="shared" ca="1" si="0"/>
        <v>#NAME?</v>
      </c>
      <c r="M112" s="664" t="e">
        <f t="shared" ca="1" si="23"/>
        <v>#NAME?</v>
      </c>
      <c r="N112" s="664" t="e">
        <f t="shared" ca="1" si="24"/>
        <v>#NAME?</v>
      </c>
      <c r="O112" s="140" t="e">
        <f t="shared" ca="1" si="7"/>
        <v>#NAME?</v>
      </c>
      <c r="P112" s="352" t="e">
        <f t="shared" ca="1" si="25"/>
        <v>#NAME?</v>
      </c>
      <c r="Q112" s="665" t="e">
        <f t="shared" ca="1" si="8"/>
        <v>#NAME?</v>
      </c>
      <c r="R112" s="352" t="e">
        <f t="shared" ca="1" si="65"/>
        <v>#NAME?</v>
      </c>
      <c r="S112" s="662" t="e">
        <f t="shared" ca="1" si="10"/>
        <v>#NAME?</v>
      </c>
      <c r="T112" s="443" t="e">
        <f t="shared" ca="1" si="1"/>
        <v>#NAME?</v>
      </c>
      <c r="U112" s="369" t="e">
        <f t="shared" ca="1" si="2"/>
        <v>#NAME?</v>
      </c>
      <c r="V112" s="454" t="e">
        <f t="shared" ca="1" si="11"/>
        <v>#NAME?</v>
      </c>
      <c r="W112" s="457">
        <f t="shared" si="12"/>
        <v>1000</v>
      </c>
      <c r="X112" s="463" t="e">
        <f t="shared" ca="1" si="13"/>
        <v>#NAME?</v>
      </c>
      <c r="Y112" s="455" t="e">
        <f t="shared" ca="1" si="26"/>
        <v>#NAME?</v>
      </c>
      <c r="Z112" s="699">
        <f t="shared" si="3"/>
        <v>10</v>
      </c>
      <c r="AA112" s="355" t="str">
        <f t="shared" si="4"/>
        <v>ON</v>
      </c>
      <c r="AB112" s="357">
        <f t="shared" si="66"/>
        <v>1.4999999999999999E-2</v>
      </c>
      <c r="AC112" s="356" t="e">
        <f ca="1">IF(  Y111=0,0,IF(OR(S112="KCAS",S112="INOP",S112="MEFE"),   ( (5*( (   (((1+0.2*(T112/661.4786)^2)^3.5 -1)  )/( (1-6.8755856*10^-6 *100*Y112)^5.2558797) +1)^(2/7) -1) )^0.5),IF(S112="MACH",T112, IF(S112="LRC",BicubicInterpolation( 'LRC Mach'!$C$4:$AL$21, Y112,U112),  IF(S112="MRC",BicubicInterpolation( 'MRC Mach'!$C$3:$T$18, Y112,U112),  IF(S112="M0.84",0.84,  IF(S112="CI52",BicubicInterpolation('CI=52 Mach'!$C$3:$T$18, Y112,U112),  IF(S112="HOLDING",BicubicInterpolation(  'Holding Mach'!$C$4:$M$13, Y112,U112),                         IF(S112="LRCINOP", BicubicInterpolation('LRC INOP Mach'!$C$4:$AA$21,Y112,U112), IF(S112="HOLDINGINOP",  BicubicInterpolation('Holding INOP Mach'!$N$4:$U$13,Y112,U112),         "XXX" )))))))   )))</f>
        <v>#NAME?</v>
      </c>
      <c r="AD112" s="313" t="e">
        <f t="shared" ca="1" si="67"/>
        <v>#NAME?</v>
      </c>
      <c r="AE112" s="314" t="e">
        <f t="shared" ca="1" si="28"/>
        <v>#NAME?</v>
      </c>
      <c r="AF112" s="313" t="e">
        <f t="shared" ca="1" si="68"/>
        <v>#NAME?</v>
      </c>
      <c r="AG112" s="314" t="e">
        <f t="shared" ca="1" si="29"/>
        <v>#NAME?</v>
      </c>
      <c r="AH112" s="313" t="e">
        <f t="shared" ca="1" si="69"/>
        <v>#NAME?</v>
      </c>
      <c r="AI112" s="314" t="e">
        <f t="shared" ca="1" si="31"/>
        <v>#NAME?</v>
      </c>
      <c r="AJ112" s="315" t="e">
        <f t="shared" ca="1" si="32"/>
        <v>#NAME?</v>
      </c>
      <c r="AK112" s="568" t="e">
        <f t="shared" ca="1" si="70"/>
        <v>#NAME?</v>
      </c>
      <c r="AL112" s="313" t="e">
        <f t="shared" ca="1" si="71"/>
        <v>#NAME?</v>
      </c>
      <c r="AM112" s="313" t="e">
        <f t="shared" ca="1" si="35"/>
        <v>#NAME?</v>
      </c>
      <c r="AN112" s="313" t="e">
        <f t="shared" ca="1" si="36"/>
        <v>#NAME?</v>
      </c>
      <c r="AO112" s="316" t="e">
        <f t="shared" ca="1" si="72"/>
        <v>#NAME?</v>
      </c>
      <c r="AP112" s="313" t="e">
        <f t="shared" ca="1" si="73"/>
        <v>#NAME?</v>
      </c>
      <c r="AQ112" s="314" t="e">
        <f t="shared" ca="1" si="39"/>
        <v>#NAME?</v>
      </c>
      <c r="AR112" s="315" t="e">
        <f t="shared" ca="1" si="74"/>
        <v>#NAME?</v>
      </c>
      <c r="AS112" s="316" t="e">
        <f t="shared" ca="1" si="75"/>
        <v>#NAME?</v>
      </c>
      <c r="AT112" s="315" t="e">
        <f t="shared" ca="1" si="76"/>
        <v>#NAME?</v>
      </c>
      <c r="AU112" s="317">
        <v>427.8</v>
      </c>
      <c r="AV112" s="315" t="e">
        <f t="shared" ca="1" si="77"/>
        <v>#NAME?</v>
      </c>
      <c r="AW112" s="318" t="e">
        <f ca="1">0.0001*BicubicInterpolation('Drag Coef Table'!$B$4:$L$28,AV112,AC112)</f>
        <v>#NAME?</v>
      </c>
      <c r="AX112" s="319" t="e">
        <f t="shared" ca="1" si="78"/>
        <v>#NAME?</v>
      </c>
      <c r="AY112" s="318" t="e">
        <f t="shared" ca="1" si="79"/>
        <v>#NAME?</v>
      </c>
      <c r="AZ112" s="320" t="e">
        <f t="shared" ca="1" si="80"/>
        <v>#NAME?</v>
      </c>
      <c r="BA112" s="321" t="e">
        <f t="shared" ca="1" si="81"/>
        <v>#NAME?</v>
      </c>
      <c r="BB112" s="322" t="e">
        <f t="shared" ca="1" si="82"/>
        <v>#NAME?</v>
      </c>
      <c r="BC112" s="323">
        <v>75.196700000000007</v>
      </c>
      <c r="BD112" s="324" t="e">
        <f t="shared" ca="1" si="83"/>
        <v>#NAME?</v>
      </c>
      <c r="BE112" s="325" t="e">
        <f t="shared" ca="1" si="84"/>
        <v>#NAME?</v>
      </c>
      <c r="BF112" s="324" t="e">
        <f ca="1">BicubicInterpolation('TSFC Eff Table'!$B$4:$E$69,2,BB112)</f>
        <v>#NAME?</v>
      </c>
      <c r="BG112" s="326" t="e">
        <f t="shared" ca="1" si="85"/>
        <v>#NAME?</v>
      </c>
      <c r="BH112" s="694" t="e">
        <f ca="1">IF( S112="LRCINOP",   (1+(0.03/10)*Z112*(1+0.2*AC112^2) )*BicubicInterpolation( 'LRC INOP FF'!$C$4:$AA$21, Y112, U112 )-200, IF(S112 ="HOLDINGINOP", (1+(0.03/10)*Z112*(1+0.2*AC112^2) )*BicubicInterpolation( 'Holding INOP FF'!$C$4:$J$13,  Y112,  U112)/1.05-200,   BA112*BG112))</f>
        <v>#NAME?</v>
      </c>
      <c r="BI112" s="344" t="e">
        <f t="shared" ca="1" si="15"/>
        <v>#NAME?</v>
      </c>
      <c r="BJ112" s="322" t="e">
        <f t="shared" ca="1" si="86"/>
        <v>#NAME?</v>
      </c>
      <c r="BK112" s="338" t="e">
        <f t="shared" ca="1" si="16"/>
        <v>#NAME?</v>
      </c>
      <c r="BL112" s="327" t="e">
        <f t="shared" ca="1" si="87"/>
        <v>#NAME?</v>
      </c>
      <c r="BM112" s="328">
        <f t="shared" si="88"/>
        <v>200</v>
      </c>
      <c r="BN112" s="329" t="e">
        <f t="shared" ca="1" si="89"/>
        <v>#NAME?</v>
      </c>
      <c r="BO112" s="344" t="e">
        <f t="shared" ca="1" si="17"/>
        <v>#NAME?</v>
      </c>
      <c r="BP112" s="320" t="e">
        <f t="shared" ca="1" si="90"/>
        <v>#NAME?</v>
      </c>
      <c r="BQ112" s="344" t="e">
        <f t="shared" ca="1" si="18"/>
        <v>#NAME?</v>
      </c>
      <c r="BR112" s="347" t="e">
        <f t="shared" ca="1" si="19"/>
        <v>#NAME?</v>
      </c>
      <c r="BS112" s="326" t="e">
        <f t="shared" ca="1" si="91"/>
        <v>#NAME?</v>
      </c>
      <c r="BT112" s="437" t="e">
        <f t="shared" ca="1" si="58"/>
        <v>#NAME?</v>
      </c>
      <c r="BU112" s="437" t="e">
        <f t="shared" ca="1" si="59"/>
        <v>#NAME?</v>
      </c>
      <c r="BV112" s="441" t="e">
        <f t="shared" ca="1" si="60"/>
        <v>#NAME?</v>
      </c>
      <c r="BW112" s="442" t="e">
        <f t="shared" ca="1" si="61"/>
        <v>#NAME?</v>
      </c>
      <c r="BX112" s="470" t="e">
        <f t="shared" ca="1" si="5"/>
        <v>#NAME?</v>
      </c>
      <c r="BY112" s="484" t="e">
        <f t="shared" ca="1" si="20"/>
        <v>#NAME?</v>
      </c>
    </row>
    <row r="113" spans="5:77" ht="17.75" customHeight="1" x14ac:dyDescent="0.2">
      <c r="E113" s="423"/>
      <c r="I113" s="366">
        <v>29</v>
      </c>
      <c r="J113" s="414">
        <f t="shared" si="21"/>
        <v>41705.732638888956</v>
      </c>
      <c r="K113" s="435" t="e">
        <f t="shared" ca="1" si="22"/>
        <v>#NAME?</v>
      </c>
      <c r="L113" s="435" t="e">
        <f t="shared" ca="1" si="0"/>
        <v>#NAME?</v>
      </c>
      <c r="M113" s="664" t="e">
        <f t="shared" ca="1" si="23"/>
        <v>#NAME?</v>
      </c>
      <c r="N113" s="664" t="e">
        <f t="shared" ca="1" si="24"/>
        <v>#NAME?</v>
      </c>
      <c r="O113" s="140" t="e">
        <f t="shared" ca="1" si="7"/>
        <v>#NAME?</v>
      </c>
      <c r="P113" s="352" t="e">
        <f t="shared" ca="1" si="25"/>
        <v>#NAME?</v>
      </c>
      <c r="Q113" s="665" t="e">
        <f t="shared" ca="1" si="8"/>
        <v>#NAME?</v>
      </c>
      <c r="R113" s="352" t="e">
        <f t="shared" ca="1" si="65"/>
        <v>#NAME?</v>
      </c>
      <c r="S113" s="662" t="e">
        <f t="shared" ca="1" si="10"/>
        <v>#NAME?</v>
      </c>
      <c r="T113" s="443" t="e">
        <f t="shared" ca="1" si="1"/>
        <v>#NAME?</v>
      </c>
      <c r="U113" s="369" t="e">
        <f t="shared" ca="1" si="2"/>
        <v>#NAME?</v>
      </c>
      <c r="V113" s="454" t="e">
        <f t="shared" ca="1" si="11"/>
        <v>#NAME?</v>
      </c>
      <c r="W113" s="457">
        <f t="shared" si="12"/>
        <v>1000</v>
      </c>
      <c r="X113" s="463" t="e">
        <f t="shared" ca="1" si="13"/>
        <v>#NAME?</v>
      </c>
      <c r="Y113" s="455" t="e">
        <f t="shared" ca="1" si="26"/>
        <v>#NAME?</v>
      </c>
      <c r="Z113" s="699">
        <f t="shared" si="3"/>
        <v>10</v>
      </c>
      <c r="AA113" s="355" t="str">
        <f t="shared" si="4"/>
        <v>ON</v>
      </c>
      <c r="AB113" s="357">
        <f t="shared" si="66"/>
        <v>1.4999999999999999E-2</v>
      </c>
      <c r="AC113" s="356" t="e">
        <f ca="1">IF(  Y112=0,0,IF(OR(S113="KCAS",S113="INOP",S113="MEFE"),   ( (5*( (   (((1+0.2*(T113/661.4786)^2)^3.5 -1)  )/( (1-6.8755856*10^-6 *100*Y113)^5.2558797) +1)^(2/7) -1) )^0.5),IF(S113="MACH",T113, IF(S113="LRC",BicubicInterpolation( 'LRC Mach'!$C$4:$AL$21, Y113,U113),  IF(S113="MRC",BicubicInterpolation( 'MRC Mach'!$C$3:$T$18, Y113,U113),  IF(S113="M0.84",0.84,  IF(S113="CI52",BicubicInterpolation('CI=52 Mach'!$C$3:$T$18, Y113,U113),  IF(S113="HOLDING",BicubicInterpolation(  'Holding Mach'!$C$4:$M$13, Y113,U113),                         IF(S113="LRCINOP", BicubicInterpolation('LRC INOP Mach'!$C$4:$AA$21,Y113,U113), IF(S113="HOLDINGINOP",  BicubicInterpolation('Holding INOP Mach'!$N$4:$U$13,Y113,U113),         "XXX" )))))))   )))</f>
        <v>#NAME?</v>
      </c>
      <c r="AD113" s="313" t="e">
        <f t="shared" ca="1" si="67"/>
        <v>#NAME?</v>
      </c>
      <c r="AE113" s="314" t="e">
        <f t="shared" ca="1" si="28"/>
        <v>#NAME?</v>
      </c>
      <c r="AF113" s="313" t="e">
        <f t="shared" ca="1" si="68"/>
        <v>#NAME?</v>
      </c>
      <c r="AG113" s="314" t="e">
        <f t="shared" ca="1" si="29"/>
        <v>#NAME?</v>
      </c>
      <c r="AH113" s="313" t="e">
        <f t="shared" ca="1" si="69"/>
        <v>#NAME?</v>
      </c>
      <c r="AI113" s="314" t="e">
        <f t="shared" ca="1" si="31"/>
        <v>#NAME?</v>
      </c>
      <c r="AJ113" s="315" t="e">
        <f t="shared" ca="1" si="32"/>
        <v>#NAME?</v>
      </c>
      <c r="AK113" s="568" t="e">
        <f t="shared" ca="1" si="70"/>
        <v>#NAME?</v>
      </c>
      <c r="AL113" s="313" t="e">
        <f t="shared" ca="1" si="71"/>
        <v>#NAME?</v>
      </c>
      <c r="AM113" s="313" t="e">
        <f t="shared" ca="1" si="35"/>
        <v>#NAME?</v>
      </c>
      <c r="AN113" s="313" t="e">
        <f t="shared" ca="1" si="36"/>
        <v>#NAME?</v>
      </c>
      <c r="AO113" s="316" t="e">
        <f t="shared" ca="1" si="72"/>
        <v>#NAME?</v>
      </c>
      <c r="AP113" s="313" t="e">
        <f t="shared" ca="1" si="73"/>
        <v>#NAME?</v>
      </c>
      <c r="AQ113" s="314" t="e">
        <f t="shared" ca="1" si="39"/>
        <v>#NAME?</v>
      </c>
      <c r="AR113" s="315" t="e">
        <f t="shared" ca="1" si="74"/>
        <v>#NAME?</v>
      </c>
      <c r="AS113" s="316" t="e">
        <f t="shared" ca="1" si="75"/>
        <v>#NAME?</v>
      </c>
      <c r="AT113" s="315" t="e">
        <f t="shared" ca="1" si="76"/>
        <v>#NAME?</v>
      </c>
      <c r="AU113" s="317">
        <v>427.8</v>
      </c>
      <c r="AV113" s="315" t="e">
        <f t="shared" ca="1" si="77"/>
        <v>#NAME?</v>
      </c>
      <c r="AW113" s="318" t="e">
        <f ca="1">0.0001*BicubicInterpolation('Drag Coef Table'!$B$4:$L$28,AV113,AC113)</f>
        <v>#NAME?</v>
      </c>
      <c r="AX113" s="319" t="e">
        <f t="shared" ca="1" si="78"/>
        <v>#NAME?</v>
      </c>
      <c r="AY113" s="318" t="e">
        <f t="shared" ca="1" si="79"/>
        <v>#NAME?</v>
      </c>
      <c r="AZ113" s="320" t="e">
        <f t="shared" ca="1" si="80"/>
        <v>#NAME?</v>
      </c>
      <c r="BA113" s="321" t="e">
        <f t="shared" ca="1" si="81"/>
        <v>#NAME?</v>
      </c>
      <c r="BB113" s="322" t="e">
        <f t="shared" ca="1" si="82"/>
        <v>#NAME?</v>
      </c>
      <c r="BC113" s="323">
        <v>75.196700000000007</v>
      </c>
      <c r="BD113" s="324" t="e">
        <f t="shared" ca="1" si="83"/>
        <v>#NAME?</v>
      </c>
      <c r="BE113" s="325" t="e">
        <f t="shared" ca="1" si="84"/>
        <v>#NAME?</v>
      </c>
      <c r="BF113" s="324" t="e">
        <f ca="1">BicubicInterpolation('TSFC Eff Table'!$B$4:$E$69,2,BB113)</f>
        <v>#NAME?</v>
      </c>
      <c r="BG113" s="326" t="e">
        <f t="shared" ca="1" si="85"/>
        <v>#NAME?</v>
      </c>
      <c r="BH113" s="694" t="e">
        <f ca="1">IF( S113="LRCINOP",   (1+(0.03/10)*Z113*(1+0.2*AC113^2) )*BicubicInterpolation( 'LRC INOP FF'!$C$4:$AA$21, Y113, U113 )-200, IF(S113 ="HOLDINGINOP", (1+(0.03/10)*Z113*(1+0.2*AC113^2) )*BicubicInterpolation( 'Holding INOP FF'!$C$4:$J$13,  Y113,  U113)/1.05-200,   BA113*BG113))</f>
        <v>#NAME?</v>
      </c>
      <c r="BI113" s="344" t="e">
        <f t="shared" ca="1" si="15"/>
        <v>#NAME?</v>
      </c>
      <c r="BJ113" s="322" t="e">
        <f t="shared" ca="1" si="86"/>
        <v>#NAME?</v>
      </c>
      <c r="BK113" s="338" t="e">
        <f t="shared" ca="1" si="16"/>
        <v>#NAME?</v>
      </c>
      <c r="BL113" s="327" t="e">
        <f t="shared" ca="1" si="87"/>
        <v>#NAME?</v>
      </c>
      <c r="BM113" s="328">
        <f t="shared" si="88"/>
        <v>200</v>
      </c>
      <c r="BN113" s="329" t="e">
        <f t="shared" ca="1" si="89"/>
        <v>#NAME?</v>
      </c>
      <c r="BO113" s="344" t="e">
        <f t="shared" ca="1" si="17"/>
        <v>#NAME?</v>
      </c>
      <c r="BP113" s="320" t="e">
        <f t="shared" ca="1" si="90"/>
        <v>#NAME?</v>
      </c>
      <c r="BQ113" s="344" t="e">
        <f t="shared" ca="1" si="18"/>
        <v>#NAME?</v>
      </c>
      <c r="BR113" s="347" t="e">
        <f t="shared" ca="1" si="19"/>
        <v>#NAME?</v>
      </c>
      <c r="BS113" s="326" t="e">
        <f t="shared" ca="1" si="91"/>
        <v>#NAME?</v>
      </c>
      <c r="BT113" s="437" t="e">
        <f t="shared" ca="1" si="58"/>
        <v>#NAME?</v>
      </c>
      <c r="BU113" s="437" t="e">
        <f t="shared" ca="1" si="59"/>
        <v>#NAME?</v>
      </c>
      <c r="BV113" s="441" t="e">
        <f t="shared" ca="1" si="60"/>
        <v>#NAME?</v>
      </c>
      <c r="BW113" s="442" t="e">
        <f t="shared" ca="1" si="61"/>
        <v>#NAME?</v>
      </c>
      <c r="BX113" s="470" t="e">
        <f t="shared" ca="1" si="5"/>
        <v>#NAME?</v>
      </c>
      <c r="BY113" s="484" t="e">
        <f t="shared" ca="1" si="20"/>
        <v>#NAME?</v>
      </c>
    </row>
    <row r="114" spans="5:77" ht="17.75" customHeight="1" x14ac:dyDescent="0.2">
      <c r="E114" s="423"/>
      <c r="I114" s="366">
        <v>30</v>
      </c>
      <c r="J114" s="414">
        <f t="shared" si="21"/>
        <v>41705.733333333403</v>
      </c>
      <c r="K114" s="435" t="e">
        <f t="shared" ca="1" si="22"/>
        <v>#NAME?</v>
      </c>
      <c r="L114" s="435" t="e">
        <f t="shared" ca="1" si="0"/>
        <v>#NAME?</v>
      </c>
      <c r="M114" s="664" t="e">
        <f t="shared" ca="1" si="23"/>
        <v>#NAME?</v>
      </c>
      <c r="N114" s="664" t="e">
        <f t="shared" ca="1" si="24"/>
        <v>#NAME?</v>
      </c>
      <c r="O114" s="140" t="e">
        <f t="shared" ca="1" si="7"/>
        <v>#NAME?</v>
      </c>
      <c r="P114" s="352" t="e">
        <f t="shared" ca="1" si="25"/>
        <v>#NAME?</v>
      </c>
      <c r="Q114" s="665" t="e">
        <f t="shared" ca="1" si="8"/>
        <v>#NAME?</v>
      </c>
      <c r="R114" s="352" t="e">
        <f t="shared" ca="1" si="65"/>
        <v>#NAME?</v>
      </c>
      <c r="S114" s="662" t="e">
        <f t="shared" ca="1" si="10"/>
        <v>#NAME?</v>
      </c>
      <c r="T114" s="443" t="e">
        <f t="shared" ca="1" si="1"/>
        <v>#NAME?</v>
      </c>
      <c r="U114" s="369" t="e">
        <f t="shared" ca="1" si="2"/>
        <v>#NAME?</v>
      </c>
      <c r="V114" s="454" t="e">
        <f t="shared" ca="1" si="11"/>
        <v>#NAME?</v>
      </c>
      <c r="W114" s="457">
        <f t="shared" si="12"/>
        <v>1000</v>
      </c>
      <c r="X114" s="463" t="e">
        <f t="shared" ca="1" si="13"/>
        <v>#NAME?</v>
      </c>
      <c r="Y114" s="455" t="e">
        <f t="shared" ca="1" si="26"/>
        <v>#NAME?</v>
      </c>
      <c r="Z114" s="699">
        <f t="shared" si="3"/>
        <v>10</v>
      </c>
      <c r="AA114" s="355" t="str">
        <f t="shared" si="4"/>
        <v>ON</v>
      </c>
      <c r="AB114" s="357">
        <f t="shared" si="66"/>
        <v>1.4999999999999999E-2</v>
      </c>
      <c r="AC114" s="356" t="e">
        <f ca="1">IF(  Y113=0,0,IF(OR(S114="KCAS",S114="INOP",S114="MEFE"),   ( (5*( (   (((1+0.2*(T114/661.4786)^2)^3.5 -1)  )/( (1-6.8755856*10^-6 *100*Y114)^5.2558797) +1)^(2/7) -1) )^0.5),IF(S114="MACH",T114, IF(S114="LRC",BicubicInterpolation( 'LRC Mach'!$C$4:$AL$21, Y114,U114),  IF(S114="MRC",BicubicInterpolation( 'MRC Mach'!$C$3:$T$18, Y114,U114),  IF(S114="M0.84",0.84,  IF(S114="CI52",BicubicInterpolation('CI=52 Mach'!$C$3:$T$18, Y114,U114),  IF(S114="HOLDING",BicubicInterpolation(  'Holding Mach'!$C$4:$M$13, Y114,U114),                         IF(S114="LRCINOP", BicubicInterpolation('LRC INOP Mach'!$C$4:$AA$21,Y114,U114), IF(S114="HOLDINGINOP",  BicubicInterpolation('Holding INOP Mach'!$N$4:$U$13,Y114,U114),         "XXX" )))))))   )))</f>
        <v>#NAME?</v>
      </c>
      <c r="AD114" s="313" t="e">
        <f t="shared" ca="1" si="67"/>
        <v>#NAME?</v>
      </c>
      <c r="AE114" s="314" t="e">
        <f t="shared" ca="1" si="28"/>
        <v>#NAME?</v>
      </c>
      <c r="AF114" s="313" t="e">
        <f t="shared" ca="1" si="68"/>
        <v>#NAME?</v>
      </c>
      <c r="AG114" s="314" t="e">
        <f t="shared" ca="1" si="29"/>
        <v>#NAME?</v>
      </c>
      <c r="AH114" s="313" t="e">
        <f t="shared" ca="1" si="69"/>
        <v>#NAME?</v>
      </c>
      <c r="AI114" s="314" t="e">
        <f t="shared" ca="1" si="31"/>
        <v>#NAME?</v>
      </c>
      <c r="AJ114" s="315" t="e">
        <f t="shared" ca="1" si="32"/>
        <v>#NAME?</v>
      </c>
      <c r="AK114" s="568" t="e">
        <f t="shared" ca="1" si="70"/>
        <v>#NAME?</v>
      </c>
      <c r="AL114" s="313" t="e">
        <f t="shared" ca="1" si="71"/>
        <v>#NAME?</v>
      </c>
      <c r="AM114" s="313" t="e">
        <f t="shared" ca="1" si="35"/>
        <v>#NAME?</v>
      </c>
      <c r="AN114" s="313" t="e">
        <f t="shared" ca="1" si="36"/>
        <v>#NAME?</v>
      </c>
      <c r="AO114" s="316" t="e">
        <f t="shared" ca="1" si="72"/>
        <v>#NAME?</v>
      </c>
      <c r="AP114" s="313" t="e">
        <f t="shared" ca="1" si="73"/>
        <v>#NAME?</v>
      </c>
      <c r="AQ114" s="314" t="e">
        <f t="shared" ca="1" si="39"/>
        <v>#NAME?</v>
      </c>
      <c r="AR114" s="315" t="e">
        <f t="shared" ca="1" si="74"/>
        <v>#NAME?</v>
      </c>
      <c r="AS114" s="316" t="e">
        <f t="shared" ca="1" si="75"/>
        <v>#NAME?</v>
      </c>
      <c r="AT114" s="315" t="e">
        <f t="shared" ca="1" si="76"/>
        <v>#NAME?</v>
      </c>
      <c r="AU114" s="317">
        <v>427.8</v>
      </c>
      <c r="AV114" s="315" t="e">
        <f t="shared" ca="1" si="77"/>
        <v>#NAME?</v>
      </c>
      <c r="AW114" s="318" t="e">
        <f ca="1">0.0001*BicubicInterpolation('Drag Coef Table'!$B$4:$L$28,AV114,AC114)</f>
        <v>#NAME?</v>
      </c>
      <c r="AX114" s="319" t="e">
        <f t="shared" ca="1" si="78"/>
        <v>#NAME?</v>
      </c>
      <c r="AY114" s="318" t="e">
        <f t="shared" ca="1" si="79"/>
        <v>#NAME?</v>
      </c>
      <c r="AZ114" s="320" t="e">
        <f t="shared" ca="1" si="80"/>
        <v>#NAME?</v>
      </c>
      <c r="BA114" s="321" t="e">
        <f t="shared" ca="1" si="81"/>
        <v>#NAME?</v>
      </c>
      <c r="BB114" s="322" t="e">
        <f t="shared" ca="1" si="82"/>
        <v>#NAME?</v>
      </c>
      <c r="BC114" s="323">
        <v>75.196700000000007</v>
      </c>
      <c r="BD114" s="324" t="e">
        <f t="shared" ca="1" si="83"/>
        <v>#NAME?</v>
      </c>
      <c r="BE114" s="325" t="e">
        <f t="shared" ca="1" si="84"/>
        <v>#NAME?</v>
      </c>
      <c r="BF114" s="324" t="e">
        <f ca="1">BicubicInterpolation('TSFC Eff Table'!$B$4:$E$69,2,BB114)</f>
        <v>#NAME?</v>
      </c>
      <c r="BG114" s="326" t="e">
        <f t="shared" ca="1" si="85"/>
        <v>#NAME?</v>
      </c>
      <c r="BH114" s="694" t="e">
        <f ca="1">IF( S114="LRCINOP",   (1+(0.03/10)*Z114*(1+0.2*AC114^2) )*BicubicInterpolation( 'LRC INOP FF'!$C$4:$AA$21, Y114, U114 )-200, IF(S114 ="HOLDINGINOP", (1+(0.03/10)*Z114*(1+0.2*AC114^2) )*BicubicInterpolation( 'Holding INOP FF'!$C$4:$J$13,  Y114,  U114)/1.05-200,   BA114*BG114))</f>
        <v>#NAME?</v>
      </c>
      <c r="BI114" s="344" t="e">
        <f t="shared" ca="1" si="15"/>
        <v>#NAME?</v>
      </c>
      <c r="BJ114" s="322" t="e">
        <f t="shared" ca="1" si="86"/>
        <v>#NAME?</v>
      </c>
      <c r="BK114" s="338" t="e">
        <f t="shared" ca="1" si="16"/>
        <v>#NAME?</v>
      </c>
      <c r="BL114" s="327" t="e">
        <f t="shared" ca="1" si="87"/>
        <v>#NAME?</v>
      </c>
      <c r="BM114" s="328">
        <f t="shared" si="88"/>
        <v>200</v>
      </c>
      <c r="BN114" s="329" t="e">
        <f t="shared" ca="1" si="89"/>
        <v>#NAME?</v>
      </c>
      <c r="BO114" s="344" t="e">
        <f t="shared" ca="1" si="17"/>
        <v>#NAME?</v>
      </c>
      <c r="BP114" s="320" t="e">
        <f t="shared" ca="1" si="90"/>
        <v>#NAME?</v>
      </c>
      <c r="BQ114" s="344" t="e">
        <f t="shared" ca="1" si="18"/>
        <v>#NAME?</v>
      </c>
      <c r="BR114" s="347" t="e">
        <f t="shared" ca="1" si="19"/>
        <v>#NAME?</v>
      </c>
      <c r="BS114" s="326" t="e">
        <f t="shared" ca="1" si="91"/>
        <v>#NAME?</v>
      </c>
      <c r="BT114" s="437" t="e">
        <f t="shared" ca="1" si="58"/>
        <v>#NAME?</v>
      </c>
      <c r="BU114" s="437" t="e">
        <f t="shared" ca="1" si="59"/>
        <v>#NAME?</v>
      </c>
      <c r="BV114" s="441" t="e">
        <f t="shared" ca="1" si="60"/>
        <v>#NAME?</v>
      </c>
      <c r="BW114" s="442" t="e">
        <f t="shared" ca="1" si="61"/>
        <v>#NAME?</v>
      </c>
      <c r="BX114" s="470" t="e">
        <f t="shared" ca="1" si="5"/>
        <v>#NAME?</v>
      </c>
      <c r="BY114" s="484" t="e">
        <f t="shared" ca="1" si="20"/>
        <v>#NAME?</v>
      </c>
    </row>
    <row r="115" spans="5:77" ht="17.75" customHeight="1" x14ac:dyDescent="0.2">
      <c r="E115" s="423"/>
      <c r="I115" s="366">
        <v>31</v>
      </c>
      <c r="J115" s="414">
        <f t="shared" si="21"/>
        <v>41705.734027777849</v>
      </c>
      <c r="K115" s="435" t="e">
        <f t="shared" ca="1" si="22"/>
        <v>#NAME?</v>
      </c>
      <c r="L115" s="435" t="e">
        <f t="shared" ca="1" si="0"/>
        <v>#NAME?</v>
      </c>
      <c r="M115" s="664" t="e">
        <f t="shared" ca="1" si="23"/>
        <v>#NAME?</v>
      </c>
      <c r="N115" s="664" t="e">
        <f t="shared" ca="1" si="24"/>
        <v>#NAME?</v>
      </c>
      <c r="O115" s="140" t="e">
        <f t="shared" ca="1" si="7"/>
        <v>#NAME?</v>
      </c>
      <c r="P115" s="352" t="e">
        <f t="shared" ca="1" si="25"/>
        <v>#NAME?</v>
      </c>
      <c r="Q115" s="665" t="e">
        <f t="shared" ca="1" si="8"/>
        <v>#NAME?</v>
      </c>
      <c r="R115" s="352" t="e">
        <f t="shared" ca="1" si="65"/>
        <v>#NAME?</v>
      </c>
      <c r="S115" s="662" t="e">
        <f t="shared" ca="1" si="10"/>
        <v>#NAME?</v>
      </c>
      <c r="T115" s="443" t="e">
        <f t="shared" ca="1" si="1"/>
        <v>#NAME?</v>
      </c>
      <c r="U115" s="369" t="e">
        <f t="shared" ca="1" si="2"/>
        <v>#NAME?</v>
      </c>
      <c r="V115" s="454" t="e">
        <f t="shared" ca="1" si="11"/>
        <v>#NAME?</v>
      </c>
      <c r="W115" s="457">
        <f t="shared" si="12"/>
        <v>1000</v>
      </c>
      <c r="X115" s="463" t="e">
        <f t="shared" ca="1" si="13"/>
        <v>#NAME?</v>
      </c>
      <c r="Y115" s="455" t="e">
        <f t="shared" ca="1" si="26"/>
        <v>#NAME?</v>
      </c>
      <c r="Z115" s="699">
        <f t="shared" si="3"/>
        <v>10</v>
      </c>
      <c r="AA115" s="355" t="str">
        <f t="shared" si="4"/>
        <v>ON</v>
      </c>
      <c r="AB115" s="357">
        <f t="shared" si="66"/>
        <v>1.4999999999999999E-2</v>
      </c>
      <c r="AC115" s="356" t="e">
        <f ca="1">IF(  Y114=0,0,IF(OR(S115="KCAS",S115="INOP",S115="MEFE"),   ( (5*( (   (((1+0.2*(T115/661.4786)^2)^3.5 -1)  )/( (1-6.8755856*10^-6 *100*Y115)^5.2558797) +1)^(2/7) -1) )^0.5),IF(S115="MACH",T115, IF(S115="LRC",BicubicInterpolation( 'LRC Mach'!$C$4:$AL$21, Y115,U115),  IF(S115="MRC",BicubicInterpolation( 'MRC Mach'!$C$3:$T$18, Y115,U115),  IF(S115="M0.84",0.84,  IF(S115="CI52",BicubicInterpolation('CI=52 Mach'!$C$3:$T$18, Y115,U115),  IF(S115="HOLDING",BicubicInterpolation(  'Holding Mach'!$C$4:$M$13, Y115,U115),                         IF(S115="LRCINOP", BicubicInterpolation('LRC INOP Mach'!$C$4:$AA$21,Y115,U115), IF(S115="HOLDINGINOP",  BicubicInterpolation('Holding INOP Mach'!$N$4:$U$13,Y115,U115),         "XXX" )))))))   )))</f>
        <v>#NAME?</v>
      </c>
      <c r="AD115" s="313" t="e">
        <f t="shared" ca="1" si="67"/>
        <v>#NAME?</v>
      </c>
      <c r="AE115" s="314" t="e">
        <f t="shared" ca="1" si="28"/>
        <v>#NAME?</v>
      </c>
      <c r="AF115" s="313" t="e">
        <f t="shared" ca="1" si="68"/>
        <v>#NAME?</v>
      </c>
      <c r="AG115" s="314" t="e">
        <f t="shared" ca="1" si="29"/>
        <v>#NAME?</v>
      </c>
      <c r="AH115" s="313" t="e">
        <f t="shared" ca="1" si="69"/>
        <v>#NAME?</v>
      </c>
      <c r="AI115" s="314" t="e">
        <f t="shared" ca="1" si="31"/>
        <v>#NAME?</v>
      </c>
      <c r="AJ115" s="315" t="e">
        <f t="shared" ca="1" si="32"/>
        <v>#NAME?</v>
      </c>
      <c r="AK115" s="568" t="e">
        <f t="shared" ca="1" si="70"/>
        <v>#NAME?</v>
      </c>
      <c r="AL115" s="313" t="e">
        <f t="shared" ca="1" si="71"/>
        <v>#NAME?</v>
      </c>
      <c r="AM115" s="313" t="e">
        <f t="shared" ca="1" si="35"/>
        <v>#NAME?</v>
      </c>
      <c r="AN115" s="313" t="e">
        <f t="shared" ca="1" si="36"/>
        <v>#NAME?</v>
      </c>
      <c r="AO115" s="316" t="e">
        <f t="shared" ca="1" si="72"/>
        <v>#NAME?</v>
      </c>
      <c r="AP115" s="313" t="e">
        <f t="shared" ca="1" si="73"/>
        <v>#NAME?</v>
      </c>
      <c r="AQ115" s="314" t="e">
        <f t="shared" ca="1" si="39"/>
        <v>#NAME?</v>
      </c>
      <c r="AR115" s="315" t="e">
        <f t="shared" ca="1" si="74"/>
        <v>#NAME?</v>
      </c>
      <c r="AS115" s="316" t="e">
        <f t="shared" ca="1" si="75"/>
        <v>#NAME?</v>
      </c>
      <c r="AT115" s="315" t="e">
        <f t="shared" ca="1" si="76"/>
        <v>#NAME?</v>
      </c>
      <c r="AU115" s="317">
        <v>427.8</v>
      </c>
      <c r="AV115" s="315" t="e">
        <f t="shared" ca="1" si="77"/>
        <v>#NAME?</v>
      </c>
      <c r="AW115" s="318" t="e">
        <f ca="1">0.0001*BicubicInterpolation('Drag Coef Table'!$B$4:$L$28,AV115,AC115)</f>
        <v>#NAME?</v>
      </c>
      <c r="AX115" s="319" t="e">
        <f t="shared" ca="1" si="78"/>
        <v>#NAME?</v>
      </c>
      <c r="AY115" s="318" t="e">
        <f t="shared" ca="1" si="79"/>
        <v>#NAME?</v>
      </c>
      <c r="AZ115" s="320" t="e">
        <f t="shared" ca="1" si="80"/>
        <v>#NAME?</v>
      </c>
      <c r="BA115" s="321" t="e">
        <f t="shared" ca="1" si="81"/>
        <v>#NAME?</v>
      </c>
      <c r="BB115" s="322" t="e">
        <f t="shared" ca="1" si="82"/>
        <v>#NAME?</v>
      </c>
      <c r="BC115" s="323">
        <v>75.196700000000007</v>
      </c>
      <c r="BD115" s="324" t="e">
        <f t="shared" ca="1" si="83"/>
        <v>#NAME?</v>
      </c>
      <c r="BE115" s="325" t="e">
        <f t="shared" ca="1" si="84"/>
        <v>#NAME?</v>
      </c>
      <c r="BF115" s="324" t="e">
        <f ca="1">BicubicInterpolation('TSFC Eff Table'!$B$4:$E$69,2,BB115)</f>
        <v>#NAME?</v>
      </c>
      <c r="BG115" s="326" t="e">
        <f t="shared" ca="1" si="85"/>
        <v>#NAME?</v>
      </c>
      <c r="BH115" s="694" t="e">
        <f ca="1">IF( S115="LRCINOP",   (1+(0.03/10)*Z115*(1+0.2*AC115^2) )*BicubicInterpolation( 'LRC INOP FF'!$C$4:$AA$21, Y115, U115 )-200, IF(S115 ="HOLDINGINOP", (1+(0.03/10)*Z115*(1+0.2*AC115^2) )*BicubicInterpolation( 'Holding INOP FF'!$C$4:$J$13,  Y115,  U115)/1.05-200,   BA115*BG115))</f>
        <v>#NAME?</v>
      </c>
      <c r="BI115" s="344" t="e">
        <f t="shared" ca="1" si="15"/>
        <v>#NAME?</v>
      </c>
      <c r="BJ115" s="322" t="e">
        <f t="shared" ca="1" si="86"/>
        <v>#NAME?</v>
      </c>
      <c r="BK115" s="338" t="e">
        <f t="shared" ca="1" si="16"/>
        <v>#NAME?</v>
      </c>
      <c r="BL115" s="327" t="e">
        <f t="shared" ca="1" si="87"/>
        <v>#NAME?</v>
      </c>
      <c r="BM115" s="328">
        <f t="shared" si="88"/>
        <v>200</v>
      </c>
      <c r="BN115" s="329" t="e">
        <f t="shared" ca="1" si="89"/>
        <v>#NAME?</v>
      </c>
      <c r="BO115" s="344" t="e">
        <f t="shared" ca="1" si="17"/>
        <v>#NAME?</v>
      </c>
      <c r="BP115" s="320" t="e">
        <f t="shared" ca="1" si="90"/>
        <v>#NAME?</v>
      </c>
      <c r="BQ115" s="344" t="e">
        <f t="shared" ca="1" si="18"/>
        <v>#NAME?</v>
      </c>
      <c r="BR115" s="347" t="e">
        <f t="shared" ca="1" si="19"/>
        <v>#NAME?</v>
      </c>
      <c r="BS115" s="326" t="e">
        <f t="shared" ca="1" si="91"/>
        <v>#NAME?</v>
      </c>
      <c r="BT115" s="437" t="e">
        <f t="shared" ca="1" si="58"/>
        <v>#NAME?</v>
      </c>
      <c r="BU115" s="437" t="e">
        <f t="shared" ca="1" si="59"/>
        <v>#NAME?</v>
      </c>
      <c r="BV115" s="441" t="e">
        <f t="shared" ca="1" si="60"/>
        <v>#NAME?</v>
      </c>
      <c r="BW115" s="442" t="e">
        <f t="shared" ca="1" si="61"/>
        <v>#NAME?</v>
      </c>
      <c r="BX115" s="470" t="e">
        <f t="shared" ca="1" si="5"/>
        <v>#NAME?</v>
      </c>
      <c r="BY115" s="484" t="e">
        <f t="shared" ca="1" si="20"/>
        <v>#NAME?</v>
      </c>
    </row>
    <row r="116" spans="5:77" ht="17.75" customHeight="1" x14ac:dyDescent="0.2">
      <c r="E116" s="423"/>
      <c r="I116" s="366">
        <v>32</v>
      </c>
      <c r="J116" s="414">
        <f t="shared" si="21"/>
        <v>41705.734722222296</v>
      </c>
      <c r="K116" s="435" t="e">
        <f t="shared" ca="1" si="22"/>
        <v>#NAME?</v>
      </c>
      <c r="L116" s="435" t="e">
        <f t="shared" ca="1" si="0"/>
        <v>#NAME?</v>
      </c>
      <c r="M116" s="664" t="e">
        <f t="shared" ca="1" si="23"/>
        <v>#NAME?</v>
      </c>
      <c r="N116" s="664" t="e">
        <f t="shared" ca="1" si="24"/>
        <v>#NAME?</v>
      </c>
      <c r="O116" s="140" t="e">
        <f t="shared" ca="1" si="7"/>
        <v>#NAME?</v>
      </c>
      <c r="P116" s="352" t="e">
        <f t="shared" ca="1" si="25"/>
        <v>#NAME?</v>
      </c>
      <c r="Q116" s="665" t="e">
        <f t="shared" ca="1" si="8"/>
        <v>#NAME?</v>
      </c>
      <c r="R116" s="352" t="e">
        <f t="shared" ca="1" si="65"/>
        <v>#NAME?</v>
      </c>
      <c r="S116" s="662" t="e">
        <f t="shared" ca="1" si="10"/>
        <v>#NAME?</v>
      </c>
      <c r="T116" s="443" t="e">
        <f t="shared" ca="1" si="1"/>
        <v>#NAME?</v>
      </c>
      <c r="U116" s="369" t="e">
        <f t="shared" ca="1" si="2"/>
        <v>#NAME?</v>
      </c>
      <c r="V116" s="454" t="e">
        <f t="shared" ca="1" si="11"/>
        <v>#NAME?</v>
      </c>
      <c r="W116" s="457">
        <f t="shared" si="12"/>
        <v>1000</v>
      </c>
      <c r="X116" s="463" t="e">
        <f t="shared" ca="1" si="13"/>
        <v>#NAME?</v>
      </c>
      <c r="Y116" s="455" t="e">
        <f t="shared" ca="1" si="26"/>
        <v>#NAME?</v>
      </c>
      <c r="Z116" s="699">
        <f t="shared" si="3"/>
        <v>10</v>
      </c>
      <c r="AA116" s="355" t="str">
        <f t="shared" si="4"/>
        <v>ON</v>
      </c>
      <c r="AB116" s="357">
        <f t="shared" si="66"/>
        <v>1.4999999999999999E-2</v>
      </c>
      <c r="AC116" s="356" t="e">
        <f ca="1">IF(  Y115=0,0,IF(OR(S116="KCAS",S116="INOP",S116="MEFE"),   ( (5*( (   (((1+0.2*(T116/661.4786)^2)^3.5 -1)  )/( (1-6.8755856*10^-6 *100*Y116)^5.2558797) +1)^(2/7) -1) )^0.5),IF(S116="MACH",T116, IF(S116="LRC",BicubicInterpolation( 'LRC Mach'!$C$4:$AL$21, Y116,U116),  IF(S116="MRC",BicubicInterpolation( 'MRC Mach'!$C$3:$T$18, Y116,U116),  IF(S116="M0.84",0.84,  IF(S116="CI52",BicubicInterpolation('CI=52 Mach'!$C$3:$T$18, Y116,U116),  IF(S116="HOLDING",BicubicInterpolation(  'Holding Mach'!$C$4:$M$13, Y116,U116),                         IF(S116="LRCINOP", BicubicInterpolation('LRC INOP Mach'!$C$4:$AA$21,Y116,U116), IF(S116="HOLDINGINOP",  BicubicInterpolation('Holding INOP Mach'!$N$4:$U$13,Y116,U116),         "XXX" )))))))   )))</f>
        <v>#NAME?</v>
      </c>
      <c r="AD116" s="313" t="e">
        <f t="shared" ca="1" si="67"/>
        <v>#NAME?</v>
      </c>
      <c r="AE116" s="314" t="e">
        <f t="shared" ca="1" si="28"/>
        <v>#NAME?</v>
      </c>
      <c r="AF116" s="313" t="e">
        <f t="shared" ca="1" si="68"/>
        <v>#NAME?</v>
      </c>
      <c r="AG116" s="314" t="e">
        <f t="shared" ca="1" si="29"/>
        <v>#NAME?</v>
      </c>
      <c r="AH116" s="313" t="e">
        <f t="shared" ca="1" si="69"/>
        <v>#NAME?</v>
      </c>
      <c r="AI116" s="314" t="e">
        <f t="shared" ca="1" si="31"/>
        <v>#NAME?</v>
      </c>
      <c r="AJ116" s="315" t="e">
        <f t="shared" ca="1" si="32"/>
        <v>#NAME?</v>
      </c>
      <c r="AK116" s="568" t="e">
        <f t="shared" ca="1" si="70"/>
        <v>#NAME?</v>
      </c>
      <c r="AL116" s="313" t="e">
        <f t="shared" ca="1" si="71"/>
        <v>#NAME?</v>
      </c>
      <c r="AM116" s="313" t="e">
        <f t="shared" ca="1" si="35"/>
        <v>#NAME?</v>
      </c>
      <c r="AN116" s="313" t="e">
        <f t="shared" ca="1" si="36"/>
        <v>#NAME?</v>
      </c>
      <c r="AO116" s="316" t="e">
        <f t="shared" ca="1" si="72"/>
        <v>#NAME?</v>
      </c>
      <c r="AP116" s="313" t="e">
        <f t="shared" ca="1" si="73"/>
        <v>#NAME?</v>
      </c>
      <c r="AQ116" s="314" t="e">
        <f t="shared" ca="1" si="39"/>
        <v>#NAME?</v>
      </c>
      <c r="AR116" s="315" t="e">
        <f t="shared" ca="1" si="74"/>
        <v>#NAME?</v>
      </c>
      <c r="AS116" s="316" t="e">
        <f t="shared" ca="1" si="75"/>
        <v>#NAME?</v>
      </c>
      <c r="AT116" s="315" t="e">
        <f t="shared" ca="1" si="76"/>
        <v>#NAME?</v>
      </c>
      <c r="AU116" s="317">
        <v>427.8</v>
      </c>
      <c r="AV116" s="315" t="e">
        <f t="shared" ca="1" si="77"/>
        <v>#NAME?</v>
      </c>
      <c r="AW116" s="318" t="e">
        <f ca="1">0.0001*BicubicInterpolation('Drag Coef Table'!$B$4:$L$28,AV116,AC116)</f>
        <v>#NAME?</v>
      </c>
      <c r="AX116" s="319" t="e">
        <f t="shared" ca="1" si="78"/>
        <v>#NAME?</v>
      </c>
      <c r="AY116" s="318" t="e">
        <f t="shared" ca="1" si="79"/>
        <v>#NAME?</v>
      </c>
      <c r="AZ116" s="320" t="e">
        <f t="shared" ca="1" si="80"/>
        <v>#NAME?</v>
      </c>
      <c r="BA116" s="321" t="e">
        <f t="shared" ca="1" si="81"/>
        <v>#NAME?</v>
      </c>
      <c r="BB116" s="322" t="e">
        <f t="shared" ca="1" si="82"/>
        <v>#NAME?</v>
      </c>
      <c r="BC116" s="323">
        <v>75.196700000000007</v>
      </c>
      <c r="BD116" s="324" t="e">
        <f t="shared" ca="1" si="83"/>
        <v>#NAME?</v>
      </c>
      <c r="BE116" s="325" t="e">
        <f t="shared" ca="1" si="84"/>
        <v>#NAME?</v>
      </c>
      <c r="BF116" s="324" t="e">
        <f ca="1">BicubicInterpolation('TSFC Eff Table'!$B$4:$E$69,2,BB116)</f>
        <v>#NAME?</v>
      </c>
      <c r="BG116" s="326" t="e">
        <f t="shared" ca="1" si="85"/>
        <v>#NAME?</v>
      </c>
      <c r="BH116" s="694" t="e">
        <f ca="1">IF( S116="LRCINOP",   (1+(0.03/10)*Z116*(1+0.2*AC116^2) )*BicubicInterpolation( 'LRC INOP FF'!$C$4:$AA$21, Y116, U116 )-200, IF(S116 ="HOLDINGINOP", (1+(0.03/10)*Z116*(1+0.2*AC116^2) )*BicubicInterpolation( 'Holding INOP FF'!$C$4:$J$13,  Y116,  U116)/1.05-200,   BA116*BG116))</f>
        <v>#NAME?</v>
      </c>
      <c r="BI116" s="344" t="e">
        <f t="shared" ca="1" si="15"/>
        <v>#NAME?</v>
      </c>
      <c r="BJ116" s="322" t="e">
        <f t="shared" ca="1" si="86"/>
        <v>#NAME?</v>
      </c>
      <c r="BK116" s="338" t="e">
        <f t="shared" ca="1" si="16"/>
        <v>#NAME?</v>
      </c>
      <c r="BL116" s="327" t="e">
        <f t="shared" ca="1" si="87"/>
        <v>#NAME?</v>
      </c>
      <c r="BM116" s="328">
        <f t="shared" si="88"/>
        <v>200</v>
      </c>
      <c r="BN116" s="329" t="e">
        <f t="shared" ca="1" si="89"/>
        <v>#NAME?</v>
      </c>
      <c r="BO116" s="344" t="e">
        <f t="shared" ca="1" si="17"/>
        <v>#NAME?</v>
      </c>
      <c r="BP116" s="320" t="e">
        <f t="shared" ca="1" si="90"/>
        <v>#NAME?</v>
      </c>
      <c r="BQ116" s="344" t="e">
        <f t="shared" ca="1" si="18"/>
        <v>#NAME?</v>
      </c>
      <c r="BR116" s="347" t="e">
        <f t="shared" ca="1" si="19"/>
        <v>#NAME?</v>
      </c>
      <c r="BS116" s="326" t="e">
        <f t="shared" ca="1" si="91"/>
        <v>#NAME?</v>
      </c>
      <c r="BT116" s="437" t="e">
        <f t="shared" ca="1" si="58"/>
        <v>#NAME?</v>
      </c>
      <c r="BU116" s="437" t="e">
        <f t="shared" ca="1" si="59"/>
        <v>#NAME?</v>
      </c>
      <c r="BV116" s="441" t="e">
        <f t="shared" ca="1" si="60"/>
        <v>#NAME?</v>
      </c>
      <c r="BW116" s="442" t="e">
        <f t="shared" ca="1" si="61"/>
        <v>#NAME?</v>
      </c>
      <c r="BX116" s="470" t="e">
        <f t="shared" ca="1" si="5"/>
        <v>#NAME?</v>
      </c>
      <c r="BY116" s="484" t="e">
        <f t="shared" ca="1" si="20"/>
        <v>#NAME?</v>
      </c>
    </row>
    <row r="117" spans="5:77" ht="17.75" customHeight="1" x14ac:dyDescent="0.2">
      <c r="E117" s="423"/>
      <c r="I117" s="366">
        <v>33</v>
      </c>
      <c r="J117" s="414">
        <f t="shared" si="21"/>
        <v>41705.735416666743</v>
      </c>
      <c r="K117" s="435" t="e">
        <f t="shared" ca="1" si="22"/>
        <v>#NAME?</v>
      </c>
      <c r="L117" s="435" t="e">
        <f t="shared" ca="1" si="0"/>
        <v>#NAME?</v>
      </c>
      <c r="M117" s="664" t="e">
        <f t="shared" ca="1" si="23"/>
        <v>#NAME?</v>
      </c>
      <c r="N117" s="664" t="e">
        <f t="shared" ca="1" si="24"/>
        <v>#NAME?</v>
      </c>
      <c r="O117" s="140" t="e">
        <f t="shared" ca="1" si="7"/>
        <v>#NAME?</v>
      </c>
      <c r="P117" s="352" t="e">
        <f t="shared" ca="1" si="25"/>
        <v>#NAME?</v>
      </c>
      <c r="Q117" s="665" t="e">
        <f t="shared" ca="1" si="8"/>
        <v>#NAME?</v>
      </c>
      <c r="R117" s="352" t="e">
        <f t="shared" ca="1" si="65"/>
        <v>#NAME?</v>
      </c>
      <c r="S117" s="662" t="e">
        <f t="shared" ca="1" si="10"/>
        <v>#NAME?</v>
      </c>
      <c r="T117" s="443" t="e">
        <f t="shared" ca="1" si="1"/>
        <v>#NAME?</v>
      </c>
      <c r="U117" s="369" t="e">
        <f t="shared" ca="1" si="2"/>
        <v>#NAME?</v>
      </c>
      <c r="V117" s="454" t="e">
        <f t="shared" ca="1" si="11"/>
        <v>#NAME?</v>
      </c>
      <c r="W117" s="457">
        <f t="shared" si="12"/>
        <v>1000</v>
      </c>
      <c r="X117" s="463" t="e">
        <f t="shared" ca="1" si="13"/>
        <v>#NAME?</v>
      </c>
      <c r="Y117" s="455" t="e">
        <f t="shared" ca="1" si="26"/>
        <v>#NAME?</v>
      </c>
      <c r="Z117" s="699">
        <f t="shared" si="3"/>
        <v>10</v>
      </c>
      <c r="AA117" s="355" t="str">
        <f t="shared" si="4"/>
        <v>ON</v>
      </c>
      <c r="AB117" s="357">
        <f t="shared" si="66"/>
        <v>1.4999999999999999E-2</v>
      </c>
      <c r="AC117" s="356" t="e">
        <f ca="1">IF(  Y116=0,0,IF(OR(S117="KCAS",S117="INOP",S117="MEFE"),   ( (5*( (   (((1+0.2*(T117/661.4786)^2)^3.5 -1)  )/( (1-6.8755856*10^-6 *100*Y117)^5.2558797) +1)^(2/7) -1) )^0.5),IF(S117="MACH",T117, IF(S117="LRC",BicubicInterpolation( 'LRC Mach'!$C$4:$AL$21, Y117,U117),  IF(S117="MRC",BicubicInterpolation( 'MRC Mach'!$C$3:$T$18, Y117,U117),  IF(S117="M0.84",0.84,  IF(S117="CI52",BicubicInterpolation('CI=52 Mach'!$C$3:$T$18, Y117,U117),  IF(S117="HOLDING",BicubicInterpolation(  'Holding Mach'!$C$4:$M$13, Y117,U117),                         IF(S117="LRCINOP", BicubicInterpolation('LRC INOP Mach'!$C$4:$AA$21,Y117,U117), IF(S117="HOLDINGINOP",  BicubicInterpolation('Holding INOP Mach'!$N$4:$U$13,Y117,U117),         "XXX" )))))))   )))</f>
        <v>#NAME?</v>
      </c>
      <c r="AD117" s="313" t="e">
        <f t="shared" ca="1" si="67"/>
        <v>#NAME?</v>
      </c>
      <c r="AE117" s="314" t="e">
        <f t="shared" ca="1" si="28"/>
        <v>#NAME?</v>
      </c>
      <c r="AF117" s="313" t="e">
        <f t="shared" ca="1" si="68"/>
        <v>#NAME?</v>
      </c>
      <c r="AG117" s="314" t="e">
        <f t="shared" ca="1" si="29"/>
        <v>#NAME?</v>
      </c>
      <c r="AH117" s="313" t="e">
        <f t="shared" ca="1" si="69"/>
        <v>#NAME?</v>
      </c>
      <c r="AI117" s="314" t="e">
        <f t="shared" ca="1" si="31"/>
        <v>#NAME?</v>
      </c>
      <c r="AJ117" s="315" t="e">
        <f t="shared" ca="1" si="32"/>
        <v>#NAME?</v>
      </c>
      <c r="AK117" s="568" t="e">
        <f t="shared" ca="1" si="70"/>
        <v>#NAME?</v>
      </c>
      <c r="AL117" s="313" t="e">
        <f t="shared" ca="1" si="71"/>
        <v>#NAME?</v>
      </c>
      <c r="AM117" s="313" t="e">
        <f t="shared" ca="1" si="35"/>
        <v>#NAME?</v>
      </c>
      <c r="AN117" s="313" t="e">
        <f t="shared" ca="1" si="36"/>
        <v>#NAME?</v>
      </c>
      <c r="AO117" s="316" t="e">
        <f t="shared" ca="1" si="72"/>
        <v>#NAME?</v>
      </c>
      <c r="AP117" s="313" t="e">
        <f t="shared" ca="1" si="73"/>
        <v>#NAME?</v>
      </c>
      <c r="AQ117" s="314" t="e">
        <f t="shared" ca="1" si="39"/>
        <v>#NAME?</v>
      </c>
      <c r="AR117" s="315" t="e">
        <f t="shared" ca="1" si="74"/>
        <v>#NAME?</v>
      </c>
      <c r="AS117" s="316" t="e">
        <f t="shared" ca="1" si="75"/>
        <v>#NAME?</v>
      </c>
      <c r="AT117" s="315" t="e">
        <f t="shared" ca="1" si="76"/>
        <v>#NAME?</v>
      </c>
      <c r="AU117" s="317">
        <v>427.8</v>
      </c>
      <c r="AV117" s="315" t="e">
        <f t="shared" ca="1" si="77"/>
        <v>#NAME?</v>
      </c>
      <c r="AW117" s="318" t="e">
        <f ca="1">0.0001*BicubicInterpolation('Drag Coef Table'!$B$4:$L$28,AV117,AC117)</f>
        <v>#NAME?</v>
      </c>
      <c r="AX117" s="319" t="e">
        <f t="shared" ca="1" si="78"/>
        <v>#NAME?</v>
      </c>
      <c r="AY117" s="318" t="e">
        <f t="shared" ca="1" si="79"/>
        <v>#NAME?</v>
      </c>
      <c r="AZ117" s="320" t="e">
        <f t="shared" ca="1" si="80"/>
        <v>#NAME?</v>
      </c>
      <c r="BA117" s="321" t="e">
        <f t="shared" ca="1" si="81"/>
        <v>#NAME?</v>
      </c>
      <c r="BB117" s="322" t="e">
        <f t="shared" ca="1" si="82"/>
        <v>#NAME?</v>
      </c>
      <c r="BC117" s="323">
        <v>75.196700000000007</v>
      </c>
      <c r="BD117" s="324" t="e">
        <f t="shared" ca="1" si="83"/>
        <v>#NAME?</v>
      </c>
      <c r="BE117" s="325" t="e">
        <f t="shared" ca="1" si="84"/>
        <v>#NAME?</v>
      </c>
      <c r="BF117" s="324" t="e">
        <f ca="1">BicubicInterpolation('TSFC Eff Table'!$B$4:$E$69,2,BB117)</f>
        <v>#NAME?</v>
      </c>
      <c r="BG117" s="326" t="e">
        <f t="shared" ca="1" si="85"/>
        <v>#NAME?</v>
      </c>
      <c r="BH117" s="694" t="e">
        <f ca="1">IF( S117="LRCINOP",   (1+(0.03/10)*Z117*(1+0.2*AC117^2) )*BicubicInterpolation( 'LRC INOP FF'!$C$4:$AA$21, Y117, U117 )-200, IF(S117 ="HOLDINGINOP", (1+(0.03/10)*Z117*(1+0.2*AC117^2) )*BicubicInterpolation( 'Holding INOP FF'!$C$4:$J$13,  Y117,  U117)/1.05-200,   BA117*BG117))</f>
        <v>#NAME?</v>
      </c>
      <c r="BI117" s="344" t="e">
        <f t="shared" ca="1" si="15"/>
        <v>#NAME?</v>
      </c>
      <c r="BJ117" s="322" t="e">
        <f t="shared" ca="1" si="86"/>
        <v>#NAME?</v>
      </c>
      <c r="BK117" s="338" t="e">
        <f t="shared" ca="1" si="16"/>
        <v>#NAME?</v>
      </c>
      <c r="BL117" s="327" t="e">
        <f t="shared" ca="1" si="87"/>
        <v>#NAME?</v>
      </c>
      <c r="BM117" s="328">
        <f t="shared" si="88"/>
        <v>200</v>
      </c>
      <c r="BN117" s="329" t="e">
        <f t="shared" ca="1" si="89"/>
        <v>#NAME?</v>
      </c>
      <c r="BO117" s="344" t="e">
        <f t="shared" ca="1" si="17"/>
        <v>#NAME?</v>
      </c>
      <c r="BP117" s="320" t="e">
        <f t="shared" ca="1" si="90"/>
        <v>#NAME?</v>
      </c>
      <c r="BQ117" s="344" t="e">
        <f t="shared" ca="1" si="18"/>
        <v>#NAME?</v>
      </c>
      <c r="BR117" s="347" t="e">
        <f t="shared" ca="1" si="19"/>
        <v>#NAME?</v>
      </c>
      <c r="BS117" s="326" t="e">
        <f t="shared" ca="1" si="91"/>
        <v>#NAME?</v>
      </c>
      <c r="BT117" s="437" t="e">
        <f t="shared" ca="1" si="58"/>
        <v>#NAME?</v>
      </c>
      <c r="BU117" s="437" t="e">
        <f t="shared" ca="1" si="59"/>
        <v>#NAME?</v>
      </c>
      <c r="BV117" s="441" t="e">
        <f t="shared" ca="1" si="60"/>
        <v>#NAME?</v>
      </c>
      <c r="BW117" s="442" t="e">
        <f t="shared" ca="1" si="61"/>
        <v>#NAME?</v>
      </c>
      <c r="BX117" s="470" t="e">
        <f t="shared" ca="1" si="5"/>
        <v>#NAME?</v>
      </c>
      <c r="BY117" s="484" t="e">
        <f t="shared" ca="1" si="20"/>
        <v>#NAME?</v>
      </c>
    </row>
    <row r="118" spans="5:77" ht="17.75" customHeight="1" x14ac:dyDescent="0.2">
      <c r="E118" s="423"/>
      <c r="I118" s="366">
        <v>34</v>
      </c>
      <c r="J118" s="414">
        <f t="shared" si="21"/>
        <v>41705.73611111119</v>
      </c>
      <c r="K118" s="435" t="e">
        <f t="shared" ca="1" si="22"/>
        <v>#NAME?</v>
      </c>
      <c r="L118" s="435" t="e">
        <f t="shared" ca="1" si="0"/>
        <v>#NAME?</v>
      </c>
      <c r="M118" s="664" t="e">
        <f t="shared" ca="1" si="23"/>
        <v>#NAME?</v>
      </c>
      <c r="N118" s="664" t="e">
        <f t="shared" ca="1" si="24"/>
        <v>#NAME?</v>
      </c>
      <c r="O118" s="140" t="e">
        <f t="shared" ca="1" si="7"/>
        <v>#NAME?</v>
      </c>
      <c r="P118" s="352" t="e">
        <f t="shared" ca="1" si="25"/>
        <v>#NAME?</v>
      </c>
      <c r="Q118" s="665" t="e">
        <f t="shared" ca="1" si="8"/>
        <v>#NAME?</v>
      </c>
      <c r="R118" s="352" t="e">
        <f t="shared" ca="1" si="65"/>
        <v>#NAME?</v>
      </c>
      <c r="S118" s="662" t="e">
        <f t="shared" ca="1" si="10"/>
        <v>#NAME?</v>
      </c>
      <c r="T118" s="443" t="e">
        <f t="shared" ca="1" si="1"/>
        <v>#NAME?</v>
      </c>
      <c r="U118" s="369" t="e">
        <f t="shared" ca="1" si="2"/>
        <v>#NAME?</v>
      </c>
      <c r="V118" s="454" t="e">
        <f t="shared" ca="1" si="11"/>
        <v>#NAME?</v>
      </c>
      <c r="W118" s="457">
        <f t="shared" si="12"/>
        <v>1000</v>
      </c>
      <c r="X118" s="463" t="e">
        <f t="shared" ca="1" si="13"/>
        <v>#NAME?</v>
      </c>
      <c r="Y118" s="455" t="e">
        <f t="shared" ca="1" si="26"/>
        <v>#NAME?</v>
      </c>
      <c r="Z118" s="699">
        <f t="shared" si="3"/>
        <v>10</v>
      </c>
      <c r="AA118" s="355" t="str">
        <f t="shared" si="4"/>
        <v>ON</v>
      </c>
      <c r="AB118" s="357">
        <f t="shared" si="66"/>
        <v>1.4999999999999999E-2</v>
      </c>
      <c r="AC118" s="356" t="e">
        <f ca="1">IF(  Y117=0,0,IF(OR(S118="KCAS",S118="INOP",S118="MEFE"),   ( (5*( (   (((1+0.2*(T118/661.4786)^2)^3.5 -1)  )/( (1-6.8755856*10^-6 *100*Y118)^5.2558797) +1)^(2/7) -1) )^0.5),IF(S118="MACH",T118, IF(S118="LRC",BicubicInterpolation( 'LRC Mach'!$C$4:$AL$21, Y118,U118),  IF(S118="MRC",BicubicInterpolation( 'MRC Mach'!$C$3:$T$18, Y118,U118),  IF(S118="M0.84",0.84,  IF(S118="CI52",BicubicInterpolation('CI=52 Mach'!$C$3:$T$18, Y118,U118),  IF(S118="HOLDING",BicubicInterpolation(  'Holding Mach'!$C$4:$M$13, Y118,U118),                         IF(S118="LRCINOP", BicubicInterpolation('LRC INOP Mach'!$C$4:$AA$21,Y118,U118), IF(S118="HOLDINGINOP",  BicubicInterpolation('Holding INOP Mach'!$N$4:$U$13,Y118,U118),         "XXX" )))))))   )))</f>
        <v>#NAME?</v>
      </c>
      <c r="AD118" s="313" t="e">
        <f t="shared" ca="1" si="67"/>
        <v>#NAME?</v>
      </c>
      <c r="AE118" s="314" t="e">
        <f t="shared" ca="1" si="28"/>
        <v>#NAME?</v>
      </c>
      <c r="AF118" s="313" t="e">
        <f t="shared" ca="1" si="68"/>
        <v>#NAME?</v>
      </c>
      <c r="AG118" s="314" t="e">
        <f t="shared" ca="1" si="29"/>
        <v>#NAME?</v>
      </c>
      <c r="AH118" s="313" t="e">
        <f t="shared" ca="1" si="69"/>
        <v>#NAME?</v>
      </c>
      <c r="AI118" s="314" t="e">
        <f t="shared" ca="1" si="31"/>
        <v>#NAME?</v>
      </c>
      <c r="AJ118" s="315" t="e">
        <f t="shared" ca="1" si="32"/>
        <v>#NAME?</v>
      </c>
      <c r="AK118" s="568" t="e">
        <f t="shared" ca="1" si="70"/>
        <v>#NAME?</v>
      </c>
      <c r="AL118" s="313" t="e">
        <f t="shared" ca="1" si="71"/>
        <v>#NAME?</v>
      </c>
      <c r="AM118" s="313" t="e">
        <f t="shared" ca="1" si="35"/>
        <v>#NAME?</v>
      </c>
      <c r="AN118" s="313" t="e">
        <f t="shared" ca="1" si="36"/>
        <v>#NAME?</v>
      </c>
      <c r="AO118" s="316" t="e">
        <f t="shared" ca="1" si="72"/>
        <v>#NAME?</v>
      </c>
      <c r="AP118" s="313" t="e">
        <f t="shared" ca="1" si="73"/>
        <v>#NAME?</v>
      </c>
      <c r="AQ118" s="314" t="e">
        <f t="shared" ca="1" si="39"/>
        <v>#NAME?</v>
      </c>
      <c r="AR118" s="315" t="e">
        <f t="shared" ca="1" si="74"/>
        <v>#NAME?</v>
      </c>
      <c r="AS118" s="316" t="e">
        <f t="shared" ca="1" si="75"/>
        <v>#NAME?</v>
      </c>
      <c r="AT118" s="315" t="e">
        <f t="shared" ca="1" si="76"/>
        <v>#NAME?</v>
      </c>
      <c r="AU118" s="317">
        <v>427.8</v>
      </c>
      <c r="AV118" s="315" t="e">
        <f t="shared" ca="1" si="77"/>
        <v>#NAME?</v>
      </c>
      <c r="AW118" s="318" t="e">
        <f ca="1">0.0001*BicubicInterpolation('Drag Coef Table'!$B$4:$L$28,AV118,AC118)</f>
        <v>#NAME?</v>
      </c>
      <c r="AX118" s="319" t="e">
        <f t="shared" ca="1" si="78"/>
        <v>#NAME?</v>
      </c>
      <c r="AY118" s="318" t="e">
        <f t="shared" ca="1" si="79"/>
        <v>#NAME?</v>
      </c>
      <c r="AZ118" s="320" t="e">
        <f t="shared" ca="1" si="80"/>
        <v>#NAME?</v>
      </c>
      <c r="BA118" s="321" t="e">
        <f t="shared" ca="1" si="81"/>
        <v>#NAME?</v>
      </c>
      <c r="BB118" s="322" t="e">
        <f t="shared" ca="1" si="82"/>
        <v>#NAME?</v>
      </c>
      <c r="BC118" s="323">
        <v>75.196700000000007</v>
      </c>
      <c r="BD118" s="324" t="e">
        <f t="shared" ca="1" si="83"/>
        <v>#NAME?</v>
      </c>
      <c r="BE118" s="325" t="e">
        <f t="shared" ca="1" si="84"/>
        <v>#NAME?</v>
      </c>
      <c r="BF118" s="324" t="e">
        <f ca="1">BicubicInterpolation('TSFC Eff Table'!$B$4:$E$69,2,BB118)</f>
        <v>#NAME?</v>
      </c>
      <c r="BG118" s="326" t="e">
        <f t="shared" ca="1" si="85"/>
        <v>#NAME?</v>
      </c>
      <c r="BH118" s="694" t="e">
        <f ca="1">IF( S118="LRCINOP",   (1+(0.03/10)*Z118*(1+0.2*AC118^2) )*BicubicInterpolation( 'LRC INOP FF'!$C$4:$AA$21, Y118, U118 )-200, IF(S118 ="HOLDINGINOP", (1+(0.03/10)*Z118*(1+0.2*AC118^2) )*BicubicInterpolation( 'Holding INOP FF'!$C$4:$J$13,  Y118,  U118)/1.05-200,   BA118*BG118))</f>
        <v>#NAME?</v>
      </c>
      <c r="BI118" s="344" t="e">
        <f t="shared" ca="1" si="15"/>
        <v>#NAME?</v>
      </c>
      <c r="BJ118" s="322" t="e">
        <f t="shared" ca="1" si="86"/>
        <v>#NAME?</v>
      </c>
      <c r="BK118" s="338" t="e">
        <f t="shared" ca="1" si="16"/>
        <v>#NAME?</v>
      </c>
      <c r="BL118" s="327" t="e">
        <f t="shared" ca="1" si="87"/>
        <v>#NAME?</v>
      </c>
      <c r="BM118" s="328">
        <f t="shared" si="88"/>
        <v>200</v>
      </c>
      <c r="BN118" s="329" t="e">
        <f t="shared" ca="1" si="89"/>
        <v>#NAME?</v>
      </c>
      <c r="BO118" s="344" t="e">
        <f t="shared" ca="1" si="17"/>
        <v>#NAME?</v>
      </c>
      <c r="BP118" s="320" t="e">
        <f t="shared" ca="1" si="90"/>
        <v>#NAME?</v>
      </c>
      <c r="BQ118" s="344" t="e">
        <f t="shared" ca="1" si="18"/>
        <v>#NAME?</v>
      </c>
      <c r="BR118" s="347" t="e">
        <f t="shared" ca="1" si="19"/>
        <v>#NAME?</v>
      </c>
      <c r="BS118" s="326" t="e">
        <f t="shared" ca="1" si="91"/>
        <v>#NAME?</v>
      </c>
      <c r="BT118" s="437" t="e">
        <f t="shared" ca="1" si="58"/>
        <v>#NAME?</v>
      </c>
      <c r="BU118" s="437" t="e">
        <f t="shared" ca="1" si="59"/>
        <v>#NAME?</v>
      </c>
      <c r="BV118" s="441" t="e">
        <f t="shared" ca="1" si="60"/>
        <v>#NAME?</v>
      </c>
      <c r="BW118" s="442" t="e">
        <f t="shared" ca="1" si="61"/>
        <v>#NAME?</v>
      </c>
      <c r="BX118" s="470" t="e">
        <f t="shared" ca="1" si="5"/>
        <v>#NAME?</v>
      </c>
      <c r="BY118" s="484" t="e">
        <f t="shared" ca="1" si="20"/>
        <v>#NAME?</v>
      </c>
    </row>
    <row r="119" spans="5:77" ht="17.75" customHeight="1" x14ac:dyDescent="0.2">
      <c r="E119" s="423"/>
      <c r="I119" s="366">
        <v>35</v>
      </c>
      <c r="J119" s="414">
        <f t="shared" si="21"/>
        <v>41705.736805555636</v>
      </c>
      <c r="K119" s="435" t="e">
        <f t="shared" ca="1" si="22"/>
        <v>#NAME?</v>
      </c>
      <c r="L119" s="435" t="e">
        <f t="shared" ca="1" si="0"/>
        <v>#NAME?</v>
      </c>
      <c r="M119" s="664" t="e">
        <f t="shared" ca="1" si="23"/>
        <v>#NAME?</v>
      </c>
      <c r="N119" s="664" t="e">
        <f t="shared" ca="1" si="24"/>
        <v>#NAME?</v>
      </c>
      <c r="O119" s="140" t="e">
        <f t="shared" ca="1" si="7"/>
        <v>#NAME?</v>
      </c>
      <c r="P119" s="352" t="e">
        <f t="shared" ca="1" si="25"/>
        <v>#NAME?</v>
      </c>
      <c r="Q119" s="665" t="e">
        <f t="shared" ca="1" si="8"/>
        <v>#NAME?</v>
      </c>
      <c r="R119" s="352" t="e">
        <f t="shared" ca="1" si="65"/>
        <v>#NAME?</v>
      </c>
      <c r="S119" s="662" t="e">
        <f t="shared" ca="1" si="10"/>
        <v>#NAME?</v>
      </c>
      <c r="T119" s="443" t="e">
        <f t="shared" ca="1" si="1"/>
        <v>#NAME?</v>
      </c>
      <c r="U119" s="369" t="e">
        <f t="shared" ca="1" si="2"/>
        <v>#NAME?</v>
      </c>
      <c r="V119" s="454" t="e">
        <f t="shared" ca="1" si="11"/>
        <v>#NAME?</v>
      </c>
      <c r="W119" s="457">
        <f t="shared" si="12"/>
        <v>1000</v>
      </c>
      <c r="X119" s="463" t="e">
        <f t="shared" ca="1" si="13"/>
        <v>#NAME?</v>
      </c>
      <c r="Y119" s="455" t="e">
        <f t="shared" ca="1" si="26"/>
        <v>#NAME?</v>
      </c>
      <c r="Z119" s="699">
        <f t="shared" si="3"/>
        <v>10</v>
      </c>
      <c r="AA119" s="355" t="str">
        <f t="shared" si="4"/>
        <v>ON</v>
      </c>
      <c r="AB119" s="357">
        <f t="shared" si="66"/>
        <v>1.4999999999999999E-2</v>
      </c>
      <c r="AC119" s="356" t="e">
        <f ca="1">IF(  Y118=0,0,IF(OR(S119="KCAS",S119="INOP",S119="MEFE"),   ( (5*( (   (((1+0.2*(T119/661.4786)^2)^3.5 -1)  )/( (1-6.8755856*10^-6 *100*Y119)^5.2558797) +1)^(2/7) -1) )^0.5),IF(S119="MACH",T119, IF(S119="LRC",BicubicInterpolation( 'LRC Mach'!$C$4:$AL$21, Y119,U119),  IF(S119="MRC",BicubicInterpolation( 'MRC Mach'!$C$3:$T$18, Y119,U119),  IF(S119="M0.84",0.84,  IF(S119="CI52",BicubicInterpolation('CI=52 Mach'!$C$3:$T$18, Y119,U119),  IF(S119="HOLDING",BicubicInterpolation(  'Holding Mach'!$C$4:$M$13, Y119,U119),                         IF(S119="LRCINOP", BicubicInterpolation('LRC INOP Mach'!$C$4:$AA$21,Y119,U119), IF(S119="HOLDINGINOP",  BicubicInterpolation('Holding INOP Mach'!$N$4:$U$13,Y119,U119),         "XXX" )))))))   )))</f>
        <v>#NAME?</v>
      </c>
      <c r="AD119" s="313" t="e">
        <f t="shared" ca="1" si="67"/>
        <v>#NAME?</v>
      </c>
      <c r="AE119" s="314" t="e">
        <f t="shared" ca="1" si="28"/>
        <v>#NAME?</v>
      </c>
      <c r="AF119" s="313" t="e">
        <f t="shared" ca="1" si="68"/>
        <v>#NAME?</v>
      </c>
      <c r="AG119" s="314" t="e">
        <f t="shared" ca="1" si="29"/>
        <v>#NAME?</v>
      </c>
      <c r="AH119" s="313" t="e">
        <f t="shared" ca="1" si="69"/>
        <v>#NAME?</v>
      </c>
      <c r="AI119" s="314" t="e">
        <f t="shared" ca="1" si="31"/>
        <v>#NAME?</v>
      </c>
      <c r="AJ119" s="315" t="e">
        <f t="shared" ca="1" si="32"/>
        <v>#NAME?</v>
      </c>
      <c r="AK119" s="568" t="e">
        <f t="shared" ca="1" si="70"/>
        <v>#NAME?</v>
      </c>
      <c r="AL119" s="313" t="e">
        <f t="shared" ca="1" si="71"/>
        <v>#NAME?</v>
      </c>
      <c r="AM119" s="313" t="e">
        <f t="shared" ca="1" si="35"/>
        <v>#NAME?</v>
      </c>
      <c r="AN119" s="313" t="e">
        <f t="shared" ca="1" si="36"/>
        <v>#NAME?</v>
      </c>
      <c r="AO119" s="316" t="e">
        <f t="shared" ca="1" si="72"/>
        <v>#NAME?</v>
      </c>
      <c r="AP119" s="313" t="e">
        <f t="shared" ca="1" si="73"/>
        <v>#NAME?</v>
      </c>
      <c r="AQ119" s="314" t="e">
        <f t="shared" ca="1" si="39"/>
        <v>#NAME?</v>
      </c>
      <c r="AR119" s="315" t="e">
        <f t="shared" ca="1" si="74"/>
        <v>#NAME?</v>
      </c>
      <c r="AS119" s="316" t="e">
        <f t="shared" ca="1" si="75"/>
        <v>#NAME?</v>
      </c>
      <c r="AT119" s="315" t="e">
        <f t="shared" ca="1" si="76"/>
        <v>#NAME?</v>
      </c>
      <c r="AU119" s="317">
        <v>427.8</v>
      </c>
      <c r="AV119" s="315" t="e">
        <f t="shared" ca="1" si="77"/>
        <v>#NAME?</v>
      </c>
      <c r="AW119" s="318" t="e">
        <f ca="1">0.0001*BicubicInterpolation('Drag Coef Table'!$B$4:$L$28,AV119,AC119)</f>
        <v>#NAME?</v>
      </c>
      <c r="AX119" s="319" t="e">
        <f t="shared" ca="1" si="78"/>
        <v>#NAME?</v>
      </c>
      <c r="AY119" s="318" t="e">
        <f t="shared" ca="1" si="79"/>
        <v>#NAME?</v>
      </c>
      <c r="AZ119" s="320" t="e">
        <f t="shared" ca="1" si="80"/>
        <v>#NAME?</v>
      </c>
      <c r="BA119" s="321" t="e">
        <f t="shared" ca="1" si="81"/>
        <v>#NAME?</v>
      </c>
      <c r="BB119" s="322" t="e">
        <f t="shared" ca="1" si="82"/>
        <v>#NAME?</v>
      </c>
      <c r="BC119" s="323">
        <v>75.196700000000007</v>
      </c>
      <c r="BD119" s="324" t="e">
        <f t="shared" ca="1" si="83"/>
        <v>#NAME?</v>
      </c>
      <c r="BE119" s="325" t="e">
        <f t="shared" ca="1" si="84"/>
        <v>#NAME?</v>
      </c>
      <c r="BF119" s="324" t="e">
        <f ca="1">BicubicInterpolation('TSFC Eff Table'!$B$4:$E$69,2,BB119)</f>
        <v>#NAME?</v>
      </c>
      <c r="BG119" s="326" t="e">
        <f t="shared" ca="1" si="85"/>
        <v>#NAME?</v>
      </c>
      <c r="BH119" s="694" t="e">
        <f ca="1">IF( S119="LRCINOP",   (1+(0.03/10)*Z119*(1+0.2*AC119^2) )*BicubicInterpolation( 'LRC INOP FF'!$C$4:$AA$21, Y119, U119 )-200, IF(S119 ="HOLDINGINOP", (1+(0.03/10)*Z119*(1+0.2*AC119^2) )*BicubicInterpolation( 'Holding INOP FF'!$C$4:$J$13,  Y119,  U119)/1.05-200,   BA119*BG119))</f>
        <v>#NAME?</v>
      </c>
      <c r="BI119" s="344" t="e">
        <f t="shared" ca="1" si="15"/>
        <v>#NAME?</v>
      </c>
      <c r="BJ119" s="322" t="e">
        <f t="shared" ca="1" si="86"/>
        <v>#NAME?</v>
      </c>
      <c r="BK119" s="338" t="e">
        <f t="shared" ca="1" si="16"/>
        <v>#NAME?</v>
      </c>
      <c r="BL119" s="327" t="e">
        <f t="shared" ca="1" si="87"/>
        <v>#NAME?</v>
      </c>
      <c r="BM119" s="328">
        <f t="shared" si="88"/>
        <v>200</v>
      </c>
      <c r="BN119" s="329" t="e">
        <f t="shared" ca="1" si="89"/>
        <v>#NAME?</v>
      </c>
      <c r="BO119" s="344" t="e">
        <f t="shared" ca="1" si="17"/>
        <v>#NAME?</v>
      </c>
      <c r="BP119" s="320" t="e">
        <f t="shared" ca="1" si="90"/>
        <v>#NAME?</v>
      </c>
      <c r="BQ119" s="344" t="e">
        <f t="shared" ca="1" si="18"/>
        <v>#NAME?</v>
      </c>
      <c r="BR119" s="347" t="e">
        <f t="shared" ca="1" si="19"/>
        <v>#NAME?</v>
      </c>
      <c r="BS119" s="326" t="e">
        <f t="shared" ca="1" si="91"/>
        <v>#NAME?</v>
      </c>
      <c r="BT119" s="437" t="e">
        <f t="shared" ca="1" si="58"/>
        <v>#NAME?</v>
      </c>
      <c r="BU119" s="437" t="e">
        <f t="shared" ca="1" si="59"/>
        <v>#NAME?</v>
      </c>
      <c r="BV119" s="441" t="e">
        <f t="shared" ca="1" si="60"/>
        <v>#NAME?</v>
      </c>
      <c r="BW119" s="442" t="e">
        <f t="shared" ca="1" si="61"/>
        <v>#NAME?</v>
      </c>
      <c r="BX119" s="470" t="e">
        <f t="shared" ca="1" si="5"/>
        <v>#NAME?</v>
      </c>
      <c r="BY119" s="484" t="e">
        <f t="shared" ca="1" si="20"/>
        <v>#NAME?</v>
      </c>
    </row>
    <row r="120" spans="5:77" ht="17.75" customHeight="1" x14ac:dyDescent="0.2">
      <c r="E120" s="423"/>
      <c r="I120" s="366">
        <v>36</v>
      </c>
      <c r="J120" s="414">
        <f t="shared" si="21"/>
        <v>41705.737500000083</v>
      </c>
      <c r="K120" s="435" t="e">
        <f t="shared" ca="1" si="22"/>
        <v>#NAME?</v>
      </c>
      <c r="L120" s="435" t="e">
        <f t="shared" ca="1" si="0"/>
        <v>#NAME?</v>
      </c>
      <c r="M120" s="664" t="e">
        <f t="shared" ca="1" si="23"/>
        <v>#NAME?</v>
      </c>
      <c r="N120" s="664" t="e">
        <f t="shared" ca="1" si="24"/>
        <v>#NAME?</v>
      </c>
      <c r="O120" s="140" t="e">
        <f t="shared" ca="1" si="7"/>
        <v>#NAME?</v>
      </c>
      <c r="P120" s="352" t="e">
        <f t="shared" ca="1" si="25"/>
        <v>#NAME?</v>
      </c>
      <c r="Q120" s="665" t="e">
        <f t="shared" ca="1" si="8"/>
        <v>#NAME?</v>
      </c>
      <c r="R120" s="352" t="e">
        <f t="shared" ca="1" si="65"/>
        <v>#NAME?</v>
      </c>
      <c r="S120" s="662" t="e">
        <f t="shared" ca="1" si="10"/>
        <v>#NAME?</v>
      </c>
      <c r="T120" s="443" t="e">
        <f t="shared" ca="1" si="1"/>
        <v>#NAME?</v>
      </c>
      <c r="U120" s="369" t="e">
        <f t="shared" ca="1" si="2"/>
        <v>#NAME?</v>
      </c>
      <c r="V120" s="454" t="e">
        <f t="shared" ca="1" si="11"/>
        <v>#NAME?</v>
      </c>
      <c r="W120" s="457">
        <f t="shared" si="12"/>
        <v>1000</v>
      </c>
      <c r="X120" s="463" t="e">
        <f t="shared" ca="1" si="13"/>
        <v>#NAME?</v>
      </c>
      <c r="Y120" s="455" t="e">
        <f t="shared" ca="1" si="26"/>
        <v>#NAME?</v>
      </c>
      <c r="Z120" s="699">
        <f t="shared" si="3"/>
        <v>10</v>
      </c>
      <c r="AA120" s="355" t="str">
        <f t="shared" si="4"/>
        <v>ON</v>
      </c>
      <c r="AB120" s="357">
        <f t="shared" si="66"/>
        <v>1.4999999999999999E-2</v>
      </c>
      <c r="AC120" s="356" t="e">
        <f ca="1">IF(  Y119=0,0,IF(OR(S120="KCAS",S120="INOP",S120="MEFE"),   ( (5*( (   (((1+0.2*(T120/661.4786)^2)^3.5 -1)  )/( (1-6.8755856*10^-6 *100*Y120)^5.2558797) +1)^(2/7) -1) )^0.5),IF(S120="MACH",T120, IF(S120="LRC",BicubicInterpolation( 'LRC Mach'!$C$4:$AL$21, Y120,U120),  IF(S120="MRC",BicubicInterpolation( 'MRC Mach'!$C$3:$T$18, Y120,U120),  IF(S120="M0.84",0.84,  IF(S120="CI52",BicubicInterpolation('CI=52 Mach'!$C$3:$T$18, Y120,U120),  IF(S120="HOLDING",BicubicInterpolation(  'Holding Mach'!$C$4:$M$13, Y120,U120),                         IF(S120="LRCINOP", BicubicInterpolation('LRC INOP Mach'!$C$4:$AA$21,Y120,U120), IF(S120="HOLDINGINOP",  BicubicInterpolation('Holding INOP Mach'!$N$4:$U$13,Y120,U120),         "XXX" )))))))   )))</f>
        <v>#NAME?</v>
      </c>
      <c r="AD120" s="313" t="e">
        <f t="shared" ca="1" si="67"/>
        <v>#NAME?</v>
      </c>
      <c r="AE120" s="314" t="e">
        <f t="shared" ca="1" si="28"/>
        <v>#NAME?</v>
      </c>
      <c r="AF120" s="313" t="e">
        <f t="shared" ca="1" si="68"/>
        <v>#NAME?</v>
      </c>
      <c r="AG120" s="314" t="e">
        <f t="shared" ca="1" si="29"/>
        <v>#NAME?</v>
      </c>
      <c r="AH120" s="313" t="e">
        <f t="shared" ca="1" si="69"/>
        <v>#NAME?</v>
      </c>
      <c r="AI120" s="314" t="e">
        <f t="shared" ca="1" si="31"/>
        <v>#NAME?</v>
      </c>
      <c r="AJ120" s="315" t="e">
        <f t="shared" ca="1" si="32"/>
        <v>#NAME?</v>
      </c>
      <c r="AK120" s="568" t="e">
        <f t="shared" ca="1" si="70"/>
        <v>#NAME?</v>
      </c>
      <c r="AL120" s="313" t="e">
        <f t="shared" ca="1" si="71"/>
        <v>#NAME?</v>
      </c>
      <c r="AM120" s="313" t="e">
        <f t="shared" ca="1" si="35"/>
        <v>#NAME?</v>
      </c>
      <c r="AN120" s="313" t="e">
        <f t="shared" ca="1" si="36"/>
        <v>#NAME?</v>
      </c>
      <c r="AO120" s="316" t="e">
        <f t="shared" ca="1" si="72"/>
        <v>#NAME?</v>
      </c>
      <c r="AP120" s="313" t="e">
        <f t="shared" ca="1" si="73"/>
        <v>#NAME?</v>
      </c>
      <c r="AQ120" s="314" t="e">
        <f t="shared" ca="1" si="39"/>
        <v>#NAME?</v>
      </c>
      <c r="AR120" s="315" t="e">
        <f t="shared" ca="1" si="74"/>
        <v>#NAME?</v>
      </c>
      <c r="AS120" s="316" t="e">
        <f t="shared" ca="1" si="75"/>
        <v>#NAME?</v>
      </c>
      <c r="AT120" s="315" t="e">
        <f t="shared" ca="1" si="76"/>
        <v>#NAME?</v>
      </c>
      <c r="AU120" s="317">
        <v>427.8</v>
      </c>
      <c r="AV120" s="315" t="e">
        <f t="shared" ca="1" si="77"/>
        <v>#NAME?</v>
      </c>
      <c r="AW120" s="318" t="e">
        <f ca="1">0.0001*BicubicInterpolation('Drag Coef Table'!$B$4:$L$28,AV120,AC120)</f>
        <v>#NAME?</v>
      </c>
      <c r="AX120" s="319" t="e">
        <f t="shared" ca="1" si="78"/>
        <v>#NAME?</v>
      </c>
      <c r="AY120" s="318" t="e">
        <f t="shared" ca="1" si="79"/>
        <v>#NAME?</v>
      </c>
      <c r="AZ120" s="320" t="e">
        <f t="shared" ca="1" si="80"/>
        <v>#NAME?</v>
      </c>
      <c r="BA120" s="321" t="e">
        <f t="shared" ca="1" si="81"/>
        <v>#NAME?</v>
      </c>
      <c r="BB120" s="322" t="e">
        <f t="shared" ca="1" si="82"/>
        <v>#NAME?</v>
      </c>
      <c r="BC120" s="323">
        <v>75.196700000000007</v>
      </c>
      <c r="BD120" s="324" t="e">
        <f t="shared" ca="1" si="83"/>
        <v>#NAME?</v>
      </c>
      <c r="BE120" s="325" t="e">
        <f t="shared" ca="1" si="84"/>
        <v>#NAME?</v>
      </c>
      <c r="BF120" s="324" t="e">
        <f ca="1">BicubicInterpolation('TSFC Eff Table'!$B$4:$E$69,2,BB120)</f>
        <v>#NAME?</v>
      </c>
      <c r="BG120" s="326" t="e">
        <f t="shared" ca="1" si="85"/>
        <v>#NAME?</v>
      </c>
      <c r="BH120" s="694" t="e">
        <f ca="1">IF( S120="LRCINOP",   (1+(0.03/10)*Z120*(1+0.2*AC120^2) )*BicubicInterpolation( 'LRC INOP FF'!$C$4:$AA$21, Y120, U120 )-200, IF(S120 ="HOLDINGINOP", (1+(0.03/10)*Z120*(1+0.2*AC120^2) )*BicubicInterpolation( 'Holding INOP FF'!$C$4:$J$13,  Y120,  U120)/1.05-200,   BA120*BG120))</f>
        <v>#NAME?</v>
      </c>
      <c r="BI120" s="344" t="e">
        <f t="shared" ca="1" si="15"/>
        <v>#NAME?</v>
      </c>
      <c r="BJ120" s="322" t="e">
        <f t="shared" ca="1" si="86"/>
        <v>#NAME?</v>
      </c>
      <c r="BK120" s="338" t="e">
        <f t="shared" ca="1" si="16"/>
        <v>#NAME?</v>
      </c>
      <c r="BL120" s="327" t="e">
        <f t="shared" ca="1" si="87"/>
        <v>#NAME?</v>
      </c>
      <c r="BM120" s="328">
        <f t="shared" si="88"/>
        <v>200</v>
      </c>
      <c r="BN120" s="329" t="e">
        <f t="shared" ca="1" si="89"/>
        <v>#NAME?</v>
      </c>
      <c r="BO120" s="344" t="e">
        <f t="shared" ca="1" si="17"/>
        <v>#NAME?</v>
      </c>
      <c r="BP120" s="320" t="e">
        <f t="shared" ca="1" si="90"/>
        <v>#NAME?</v>
      </c>
      <c r="BQ120" s="344" t="e">
        <f t="shared" ca="1" si="18"/>
        <v>#NAME?</v>
      </c>
      <c r="BR120" s="347" t="e">
        <f t="shared" ca="1" si="19"/>
        <v>#NAME?</v>
      </c>
      <c r="BS120" s="326" t="e">
        <f t="shared" ca="1" si="91"/>
        <v>#NAME?</v>
      </c>
      <c r="BT120" s="437" t="e">
        <f t="shared" ca="1" si="58"/>
        <v>#NAME?</v>
      </c>
      <c r="BU120" s="437" t="e">
        <f t="shared" ca="1" si="59"/>
        <v>#NAME?</v>
      </c>
      <c r="BV120" s="441" t="e">
        <f t="shared" ca="1" si="60"/>
        <v>#NAME?</v>
      </c>
      <c r="BW120" s="442" t="e">
        <f t="shared" ca="1" si="61"/>
        <v>#NAME?</v>
      </c>
      <c r="BX120" s="470" t="e">
        <f t="shared" ca="1" si="5"/>
        <v>#NAME?</v>
      </c>
      <c r="BY120" s="484" t="e">
        <f t="shared" ca="1" si="20"/>
        <v>#NAME?</v>
      </c>
    </row>
    <row r="121" spans="5:77" ht="17.75" customHeight="1" x14ac:dyDescent="0.2">
      <c r="E121" s="423"/>
      <c r="I121" s="366">
        <v>37</v>
      </c>
      <c r="J121" s="414">
        <f t="shared" si="21"/>
        <v>41705.73819444453</v>
      </c>
      <c r="K121" s="435" t="e">
        <f t="shared" ca="1" si="22"/>
        <v>#NAME?</v>
      </c>
      <c r="L121" s="435" t="e">
        <f t="shared" ca="1" si="0"/>
        <v>#NAME?</v>
      </c>
      <c r="M121" s="664" t="e">
        <f t="shared" ca="1" si="23"/>
        <v>#NAME?</v>
      </c>
      <c r="N121" s="664" t="e">
        <f t="shared" ca="1" si="24"/>
        <v>#NAME?</v>
      </c>
      <c r="O121" s="140" t="e">
        <f t="shared" ca="1" si="7"/>
        <v>#NAME?</v>
      </c>
      <c r="P121" s="352" t="e">
        <f t="shared" ca="1" si="25"/>
        <v>#NAME?</v>
      </c>
      <c r="Q121" s="665" t="e">
        <f t="shared" ca="1" si="8"/>
        <v>#NAME?</v>
      </c>
      <c r="R121" s="352" t="e">
        <f t="shared" ca="1" si="65"/>
        <v>#NAME?</v>
      </c>
      <c r="S121" s="662" t="e">
        <f t="shared" ca="1" si="10"/>
        <v>#NAME?</v>
      </c>
      <c r="T121" s="443" t="e">
        <f t="shared" ca="1" si="1"/>
        <v>#NAME?</v>
      </c>
      <c r="U121" s="369" t="e">
        <f t="shared" ca="1" si="2"/>
        <v>#NAME?</v>
      </c>
      <c r="V121" s="454" t="e">
        <f t="shared" ca="1" si="11"/>
        <v>#NAME?</v>
      </c>
      <c r="W121" s="457">
        <f t="shared" si="12"/>
        <v>1000</v>
      </c>
      <c r="X121" s="463" t="e">
        <f t="shared" ca="1" si="13"/>
        <v>#NAME?</v>
      </c>
      <c r="Y121" s="455" t="e">
        <f t="shared" ca="1" si="26"/>
        <v>#NAME?</v>
      </c>
      <c r="Z121" s="699">
        <f t="shared" si="3"/>
        <v>10</v>
      </c>
      <c r="AA121" s="355" t="str">
        <f t="shared" si="4"/>
        <v>ON</v>
      </c>
      <c r="AB121" s="357">
        <f t="shared" si="66"/>
        <v>1.4999999999999999E-2</v>
      </c>
      <c r="AC121" s="356" t="e">
        <f ca="1">IF(  Y120=0,0,IF(OR(S121="KCAS",S121="INOP",S121="MEFE"),   ( (5*( (   (((1+0.2*(T121/661.4786)^2)^3.5 -1)  )/( (1-6.8755856*10^-6 *100*Y121)^5.2558797) +1)^(2/7) -1) )^0.5),IF(S121="MACH",T121, IF(S121="LRC",BicubicInterpolation( 'LRC Mach'!$C$4:$AL$21, Y121,U121),  IF(S121="MRC",BicubicInterpolation( 'MRC Mach'!$C$3:$T$18, Y121,U121),  IF(S121="M0.84",0.84,  IF(S121="CI52",BicubicInterpolation('CI=52 Mach'!$C$3:$T$18, Y121,U121),  IF(S121="HOLDING",BicubicInterpolation(  'Holding Mach'!$C$4:$M$13, Y121,U121),                         IF(S121="LRCINOP", BicubicInterpolation('LRC INOP Mach'!$C$4:$AA$21,Y121,U121), IF(S121="HOLDINGINOP",  BicubicInterpolation('Holding INOP Mach'!$N$4:$U$13,Y121,U121),         "XXX" )))))))   )))</f>
        <v>#NAME?</v>
      </c>
      <c r="AD121" s="313" t="e">
        <f t="shared" ca="1" si="67"/>
        <v>#NAME?</v>
      </c>
      <c r="AE121" s="314" t="e">
        <f t="shared" ca="1" si="28"/>
        <v>#NAME?</v>
      </c>
      <c r="AF121" s="313" t="e">
        <f t="shared" ca="1" si="68"/>
        <v>#NAME?</v>
      </c>
      <c r="AG121" s="314" t="e">
        <f t="shared" ca="1" si="29"/>
        <v>#NAME?</v>
      </c>
      <c r="AH121" s="313" t="e">
        <f t="shared" ca="1" si="69"/>
        <v>#NAME?</v>
      </c>
      <c r="AI121" s="314" t="e">
        <f t="shared" ca="1" si="31"/>
        <v>#NAME?</v>
      </c>
      <c r="AJ121" s="315" t="e">
        <f t="shared" ca="1" si="32"/>
        <v>#NAME?</v>
      </c>
      <c r="AK121" s="568" t="e">
        <f t="shared" ca="1" si="70"/>
        <v>#NAME?</v>
      </c>
      <c r="AL121" s="313" t="e">
        <f t="shared" ca="1" si="71"/>
        <v>#NAME?</v>
      </c>
      <c r="AM121" s="313" t="e">
        <f t="shared" ca="1" si="35"/>
        <v>#NAME?</v>
      </c>
      <c r="AN121" s="313" t="e">
        <f t="shared" ca="1" si="36"/>
        <v>#NAME?</v>
      </c>
      <c r="AO121" s="316" t="e">
        <f t="shared" ca="1" si="72"/>
        <v>#NAME?</v>
      </c>
      <c r="AP121" s="313" t="e">
        <f t="shared" ca="1" si="73"/>
        <v>#NAME?</v>
      </c>
      <c r="AQ121" s="314" t="e">
        <f t="shared" ca="1" si="39"/>
        <v>#NAME?</v>
      </c>
      <c r="AR121" s="315" t="e">
        <f t="shared" ca="1" si="74"/>
        <v>#NAME?</v>
      </c>
      <c r="AS121" s="316" t="e">
        <f t="shared" ca="1" si="75"/>
        <v>#NAME?</v>
      </c>
      <c r="AT121" s="315" t="e">
        <f t="shared" ca="1" si="76"/>
        <v>#NAME?</v>
      </c>
      <c r="AU121" s="317">
        <v>427.8</v>
      </c>
      <c r="AV121" s="315" t="e">
        <f t="shared" ca="1" si="77"/>
        <v>#NAME?</v>
      </c>
      <c r="AW121" s="318" t="e">
        <f ca="1">0.0001*BicubicInterpolation('Drag Coef Table'!$B$4:$L$28,AV121,AC121)</f>
        <v>#NAME?</v>
      </c>
      <c r="AX121" s="319" t="e">
        <f t="shared" ca="1" si="78"/>
        <v>#NAME?</v>
      </c>
      <c r="AY121" s="318" t="e">
        <f t="shared" ca="1" si="79"/>
        <v>#NAME?</v>
      </c>
      <c r="AZ121" s="320" t="e">
        <f t="shared" ca="1" si="80"/>
        <v>#NAME?</v>
      </c>
      <c r="BA121" s="321" t="e">
        <f t="shared" ca="1" si="81"/>
        <v>#NAME?</v>
      </c>
      <c r="BB121" s="322" t="e">
        <f t="shared" ca="1" si="82"/>
        <v>#NAME?</v>
      </c>
      <c r="BC121" s="323">
        <v>75.196700000000007</v>
      </c>
      <c r="BD121" s="324" t="e">
        <f t="shared" ca="1" si="83"/>
        <v>#NAME?</v>
      </c>
      <c r="BE121" s="325" t="e">
        <f t="shared" ca="1" si="84"/>
        <v>#NAME?</v>
      </c>
      <c r="BF121" s="324" t="e">
        <f ca="1">BicubicInterpolation('TSFC Eff Table'!$B$4:$E$69,2,BB121)</f>
        <v>#NAME?</v>
      </c>
      <c r="BG121" s="326" t="e">
        <f t="shared" ca="1" si="85"/>
        <v>#NAME?</v>
      </c>
      <c r="BH121" s="694" t="e">
        <f ca="1">IF( S121="LRCINOP",   (1+(0.03/10)*Z121*(1+0.2*AC121^2) )*BicubicInterpolation( 'LRC INOP FF'!$C$4:$AA$21, Y121, U121 )-200, IF(S121 ="HOLDINGINOP", (1+(0.03/10)*Z121*(1+0.2*AC121^2) )*BicubicInterpolation( 'Holding INOP FF'!$C$4:$J$13,  Y121,  U121)/1.05-200,   BA121*BG121))</f>
        <v>#NAME?</v>
      </c>
      <c r="BI121" s="344" t="e">
        <f t="shared" ca="1" si="15"/>
        <v>#NAME?</v>
      </c>
      <c r="BJ121" s="322" t="e">
        <f t="shared" ca="1" si="86"/>
        <v>#NAME?</v>
      </c>
      <c r="BK121" s="338" t="e">
        <f t="shared" ca="1" si="16"/>
        <v>#NAME?</v>
      </c>
      <c r="BL121" s="327" t="e">
        <f t="shared" ca="1" si="87"/>
        <v>#NAME?</v>
      </c>
      <c r="BM121" s="328">
        <f t="shared" si="88"/>
        <v>200</v>
      </c>
      <c r="BN121" s="329" t="e">
        <f t="shared" ca="1" si="89"/>
        <v>#NAME?</v>
      </c>
      <c r="BO121" s="344" t="e">
        <f t="shared" ca="1" si="17"/>
        <v>#NAME?</v>
      </c>
      <c r="BP121" s="320" t="e">
        <f t="shared" ca="1" si="90"/>
        <v>#NAME?</v>
      </c>
      <c r="BQ121" s="344" t="e">
        <f t="shared" ca="1" si="18"/>
        <v>#NAME?</v>
      </c>
      <c r="BR121" s="347" t="e">
        <f t="shared" ca="1" si="19"/>
        <v>#NAME?</v>
      </c>
      <c r="BS121" s="326" t="e">
        <f t="shared" ca="1" si="91"/>
        <v>#NAME?</v>
      </c>
      <c r="BT121" s="437" t="e">
        <f t="shared" ca="1" si="58"/>
        <v>#NAME?</v>
      </c>
      <c r="BU121" s="437" t="e">
        <f t="shared" ca="1" si="59"/>
        <v>#NAME?</v>
      </c>
      <c r="BV121" s="441" t="e">
        <f t="shared" ca="1" si="60"/>
        <v>#NAME?</v>
      </c>
      <c r="BW121" s="442" t="e">
        <f t="shared" ca="1" si="61"/>
        <v>#NAME?</v>
      </c>
      <c r="BX121" s="470" t="e">
        <f t="shared" ca="1" si="5"/>
        <v>#NAME?</v>
      </c>
      <c r="BY121" s="484" t="e">
        <f t="shared" ca="1" si="20"/>
        <v>#NAME?</v>
      </c>
    </row>
    <row r="122" spans="5:77" ht="17.75" customHeight="1" x14ac:dyDescent="0.2">
      <c r="E122" s="423"/>
      <c r="I122" s="366">
        <v>38</v>
      </c>
      <c r="J122" s="414">
        <f t="shared" si="21"/>
        <v>41705.738888888976</v>
      </c>
      <c r="K122" s="435" t="e">
        <f t="shared" ca="1" si="22"/>
        <v>#NAME?</v>
      </c>
      <c r="L122" s="435" t="e">
        <f t="shared" ca="1" si="0"/>
        <v>#NAME?</v>
      </c>
      <c r="M122" s="664" t="e">
        <f t="shared" ca="1" si="23"/>
        <v>#NAME?</v>
      </c>
      <c r="N122" s="664" t="e">
        <f t="shared" ca="1" si="24"/>
        <v>#NAME?</v>
      </c>
      <c r="O122" s="140" t="e">
        <f t="shared" ca="1" si="7"/>
        <v>#NAME?</v>
      </c>
      <c r="P122" s="352" t="e">
        <f t="shared" ca="1" si="25"/>
        <v>#NAME?</v>
      </c>
      <c r="Q122" s="665" t="e">
        <f t="shared" ca="1" si="8"/>
        <v>#NAME?</v>
      </c>
      <c r="R122" s="352" t="e">
        <f t="shared" ca="1" si="65"/>
        <v>#NAME?</v>
      </c>
      <c r="S122" s="662" t="e">
        <f t="shared" ca="1" si="10"/>
        <v>#NAME?</v>
      </c>
      <c r="T122" s="443" t="e">
        <f t="shared" ca="1" si="1"/>
        <v>#NAME?</v>
      </c>
      <c r="U122" s="369" t="e">
        <f t="shared" ca="1" si="2"/>
        <v>#NAME?</v>
      </c>
      <c r="V122" s="454" t="e">
        <f t="shared" ca="1" si="11"/>
        <v>#NAME?</v>
      </c>
      <c r="W122" s="457">
        <f t="shared" si="12"/>
        <v>1000</v>
      </c>
      <c r="X122" s="463" t="e">
        <f t="shared" ca="1" si="13"/>
        <v>#NAME?</v>
      </c>
      <c r="Y122" s="455" t="e">
        <f t="shared" ca="1" si="26"/>
        <v>#NAME?</v>
      </c>
      <c r="Z122" s="699">
        <f t="shared" si="3"/>
        <v>10</v>
      </c>
      <c r="AA122" s="355" t="str">
        <f t="shared" si="4"/>
        <v>ON</v>
      </c>
      <c r="AB122" s="357">
        <f t="shared" si="66"/>
        <v>1.4999999999999999E-2</v>
      </c>
      <c r="AC122" s="356" t="e">
        <f ca="1">IF(  Y121=0,0,IF(OR(S122="KCAS",S122="INOP",S122="MEFE"),   ( (5*( (   (((1+0.2*(T122/661.4786)^2)^3.5 -1)  )/( (1-6.8755856*10^-6 *100*Y122)^5.2558797) +1)^(2/7) -1) )^0.5),IF(S122="MACH",T122, IF(S122="LRC",BicubicInterpolation( 'LRC Mach'!$C$4:$AL$21, Y122,U122),  IF(S122="MRC",BicubicInterpolation( 'MRC Mach'!$C$3:$T$18, Y122,U122),  IF(S122="M0.84",0.84,  IF(S122="CI52",BicubicInterpolation('CI=52 Mach'!$C$3:$T$18, Y122,U122),  IF(S122="HOLDING",BicubicInterpolation(  'Holding Mach'!$C$4:$M$13, Y122,U122),                         IF(S122="LRCINOP", BicubicInterpolation('LRC INOP Mach'!$C$4:$AA$21,Y122,U122), IF(S122="HOLDINGINOP",  BicubicInterpolation('Holding INOP Mach'!$N$4:$U$13,Y122,U122),         "XXX" )))))))   )))</f>
        <v>#NAME?</v>
      </c>
      <c r="AD122" s="313" t="e">
        <f t="shared" ca="1" si="67"/>
        <v>#NAME?</v>
      </c>
      <c r="AE122" s="314" t="e">
        <f t="shared" ca="1" si="28"/>
        <v>#NAME?</v>
      </c>
      <c r="AF122" s="313" t="e">
        <f t="shared" ca="1" si="68"/>
        <v>#NAME?</v>
      </c>
      <c r="AG122" s="314" t="e">
        <f t="shared" ca="1" si="29"/>
        <v>#NAME?</v>
      </c>
      <c r="AH122" s="313" t="e">
        <f t="shared" ca="1" si="69"/>
        <v>#NAME?</v>
      </c>
      <c r="AI122" s="314" t="e">
        <f t="shared" ca="1" si="31"/>
        <v>#NAME?</v>
      </c>
      <c r="AJ122" s="315" t="e">
        <f t="shared" ca="1" si="32"/>
        <v>#NAME?</v>
      </c>
      <c r="AK122" s="568" t="e">
        <f t="shared" ca="1" si="70"/>
        <v>#NAME?</v>
      </c>
      <c r="AL122" s="313" t="e">
        <f t="shared" ca="1" si="71"/>
        <v>#NAME?</v>
      </c>
      <c r="AM122" s="313" t="e">
        <f t="shared" ca="1" si="35"/>
        <v>#NAME?</v>
      </c>
      <c r="AN122" s="313" t="e">
        <f t="shared" ca="1" si="36"/>
        <v>#NAME?</v>
      </c>
      <c r="AO122" s="316" t="e">
        <f t="shared" ca="1" si="72"/>
        <v>#NAME?</v>
      </c>
      <c r="AP122" s="313" t="e">
        <f t="shared" ca="1" si="73"/>
        <v>#NAME?</v>
      </c>
      <c r="AQ122" s="314" t="e">
        <f t="shared" ca="1" si="39"/>
        <v>#NAME?</v>
      </c>
      <c r="AR122" s="315" t="e">
        <f t="shared" ca="1" si="74"/>
        <v>#NAME?</v>
      </c>
      <c r="AS122" s="316" t="e">
        <f t="shared" ca="1" si="75"/>
        <v>#NAME?</v>
      </c>
      <c r="AT122" s="315" t="e">
        <f t="shared" ca="1" si="76"/>
        <v>#NAME?</v>
      </c>
      <c r="AU122" s="317">
        <v>427.8</v>
      </c>
      <c r="AV122" s="315" t="e">
        <f t="shared" ca="1" si="77"/>
        <v>#NAME?</v>
      </c>
      <c r="AW122" s="318" t="e">
        <f ca="1">0.0001*BicubicInterpolation('Drag Coef Table'!$B$4:$L$28,AV122,AC122)</f>
        <v>#NAME?</v>
      </c>
      <c r="AX122" s="319" t="e">
        <f t="shared" ca="1" si="78"/>
        <v>#NAME?</v>
      </c>
      <c r="AY122" s="318" t="e">
        <f t="shared" ca="1" si="79"/>
        <v>#NAME?</v>
      </c>
      <c r="AZ122" s="320" t="e">
        <f t="shared" ca="1" si="80"/>
        <v>#NAME?</v>
      </c>
      <c r="BA122" s="321" t="e">
        <f t="shared" ca="1" si="81"/>
        <v>#NAME?</v>
      </c>
      <c r="BB122" s="322" t="e">
        <f t="shared" ca="1" si="82"/>
        <v>#NAME?</v>
      </c>
      <c r="BC122" s="323">
        <v>75.196700000000007</v>
      </c>
      <c r="BD122" s="324" t="e">
        <f t="shared" ca="1" si="83"/>
        <v>#NAME?</v>
      </c>
      <c r="BE122" s="325" t="e">
        <f t="shared" ca="1" si="84"/>
        <v>#NAME?</v>
      </c>
      <c r="BF122" s="324" t="e">
        <f ca="1">BicubicInterpolation('TSFC Eff Table'!$B$4:$E$69,2,BB122)</f>
        <v>#NAME?</v>
      </c>
      <c r="BG122" s="326" t="e">
        <f t="shared" ca="1" si="85"/>
        <v>#NAME?</v>
      </c>
      <c r="BH122" s="694" t="e">
        <f ca="1">IF( S122="LRCINOP",   (1+(0.03/10)*Z122*(1+0.2*AC122^2) )*BicubicInterpolation( 'LRC INOP FF'!$C$4:$AA$21, Y122, U122 )-200, IF(S122 ="HOLDINGINOP", (1+(0.03/10)*Z122*(1+0.2*AC122^2) )*BicubicInterpolation( 'Holding INOP FF'!$C$4:$J$13,  Y122,  U122)/1.05-200,   BA122*BG122))</f>
        <v>#NAME?</v>
      </c>
      <c r="BI122" s="344" t="e">
        <f t="shared" ca="1" si="15"/>
        <v>#NAME?</v>
      </c>
      <c r="BJ122" s="322" t="e">
        <f t="shared" ca="1" si="86"/>
        <v>#NAME?</v>
      </c>
      <c r="BK122" s="338" t="e">
        <f t="shared" ca="1" si="16"/>
        <v>#NAME?</v>
      </c>
      <c r="BL122" s="327" t="e">
        <f t="shared" ca="1" si="87"/>
        <v>#NAME?</v>
      </c>
      <c r="BM122" s="328">
        <f t="shared" si="88"/>
        <v>200</v>
      </c>
      <c r="BN122" s="329" t="e">
        <f t="shared" ca="1" si="89"/>
        <v>#NAME?</v>
      </c>
      <c r="BO122" s="344" t="e">
        <f t="shared" ca="1" si="17"/>
        <v>#NAME?</v>
      </c>
      <c r="BP122" s="320" t="e">
        <f t="shared" ca="1" si="90"/>
        <v>#NAME?</v>
      </c>
      <c r="BQ122" s="344" t="e">
        <f t="shared" ca="1" si="18"/>
        <v>#NAME?</v>
      </c>
      <c r="BR122" s="347" t="e">
        <f t="shared" ca="1" si="19"/>
        <v>#NAME?</v>
      </c>
      <c r="BS122" s="326" t="e">
        <f t="shared" ca="1" si="91"/>
        <v>#NAME?</v>
      </c>
      <c r="BT122" s="437" t="e">
        <f t="shared" ca="1" si="58"/>
        <v>#NAME?</v>
      </c>
      <c r="BU122" s="437" t="e">
        <f t="shared" ca="1" si="59"/>
        <v>#NAME?</v>
      </c>
      <c r="BV122" s="441" t="e">
        <f t="shared" ca="1" si="60"/>
        <v>#NAME?</v>
      </c>
      <c r="BW122" s="442" t="e">
        <f t="shared" ca="1" si="61"/>
        <v>#NAME?</v>
      </c>
      <c r="BX122" s="470" t="e">
        <f t="shared" ca="1" si="5"/>
        <v>#NAME?</v>
      </c>
      <c r="BY122" s="484" t="e">
        <f t="shared" ca="1" si="20"/>
        <v>#NAME?</v>
      </c>
    </row>
    <row r="123" spans="5:77" ht="17.75" customHeight="1" x14ac:dyDescent="0.2">
      <c r="E123" s="423"/>
      <c r="I123" s="366">
        <v>39</v>
      </c>
      <c r="J123" s="414">
        <f t="shared" si="21"/>
        <v>41705.739583333423</v>
      </c>
      <c r="K123" s="435" t="e">
        <f t="shared" ca="1" si="22"/>
        <v>#NAME?</v>
      </c>
      <c r="L123" s="435" t="e">
        <f t="shared" ca="1" si="0"/>
        <v>#NAME?</v>
      </c>
      <c r="M123" s="664" t="e">
        <f t="shared" ca="1" si="23"/>
        <v>#NAME?</v>
      </c>
      <c r="N123" s="664" t="e">
        <f t="shared" ca="1" si="24"/>
        <v>#NAME?</v>
      </c>
      <c r="O123" s="140" t="e">
        <f t="shared" ca="1" si="7"/>
        <v>#NAME?</v>
      </c>
      <c r="P123" s="352" t="e">
        <f t="shared" ca="1" si="25"/>
        <v>#NAME?</v>
      </c>
      <c r="Q123" s="665" t="e">
        <f t="shared" ca="1" si="8"/>
        <v>#NAME?</v>
      </c>
      <c r="R123" s="352" t="e">
        <f t="shared" ca="1" si="65"/>
        <v>#NAME?</v>
      </c>
      <c r="S123" s="662" t="e">
        <f t="shared" ca="1" si="10"/>
        <v>#NAME?</v>
      </c>
      <c r="T123" s="443" t="e">
        <f t="shared" ca="1" si="1"/>
        <v>#NAME?</v>
      </c>
      <c r="U123" s="369" t="e">
        <f t="shared" ca="1" si="2"/>
        <v>#NAME?</v>
      </c>
      <c r="V123" s="454" t="e">
        <f t="shared" ca="1" si="11"/>
        <v>#NAME?</v>
      </c>
      <c r="W123" s="457">
        <f t="shared" si="12"/>
        <v>1000</v>
      </c>
      <c r="X123" s="463" t="e">
        <f t="shared" ca="1" si="13"/>
        <v>#NAME?</v>
      </c>
      <c r="Y123" s="455" t="e">
        <f t="shared" ca="1" si="26"/>
        <v>#NAME?</v>
      </c>
      <c r="Z123" s="699">
        <f t="shared" si="3"/>
        <v>10</v>
      </c>
      <c r="AA123" s="355" t="str">
        <f t="shared" si="4"/>
        <v>ON</v>
      </c>
      <c r="AB123" s="357">
        <f t="shared" si="66"/>
        <v>1.4999999999999999E-2</v>
      </c>
      <c r="AC123" s="356" t="e">
        <f ca="1">IF(  Y122=0,0,IF(OR(S123="KCAS",S123="INOP",S123="MEFE"),   ( (5*( (   (((1+0.2*(T123/661.4786)^2)^3.5 -1)  )/( (1-6.8755856*10^-6 *100*Y123)^5.2558797) +1)^(2/7) -1) )^0.5),IF(S123="MACH",T123, IF(S123="LRC",BicubicInterpolation( 'LRC Mach'!$C$4:$AL$21, Y123,U123),  IF(S123="MRC",BicubicInterpolation( 'MRC Mach'!$C$3:$T$18, Y123,U123),  IF(S123="M0.84",0.84,  IF(S123="CI52",BicubicInterpolation('CI=52 Mach'!$C$3:$T$18, Y123,U123),  IF(S123="HOLDING",BicubicInterpolation(  'Holding Mach'!$C$4:$M$13, Y123,U123),                         IF(S123="LRCINOP", BicubicInterpolation('LRC INOP Mach'!$C$4:$AA$21,Y123,U123), IF(S123="HOLDINGINOP",  BicubicInterpolation('Holding INOP Mach'!$N$4:$U$13,Y123,U123),         "XXX" )))))))   )))</f>
        <v>#NAME?</v>
      </c>
      <c r="AD123" s="313" t="e">
        <f t="shared" ca="1" si="67"/>
        <v>#NAME?</v>
      </c>
      <c r="AE123" s="314" t="e">
        <f t="shared" ca="1" si="28"/>
        <v>#NAME?</v>
      </c>
      <c r="AF123" s="313" t="e">
        <f t="shared" ca="1" si="68"/>
        <v>#NAME?</v>
      </c>
      <c r="AG123" s="314" t="e">
        <f t="shared" ca="1" si="29"/>
        <v>#NAME?</v>
      </c>
      <c r="AH123" s="313" t="e">
        <f t="shared" ca="1" si="69"/>
        <v>#NAME?</v>
      </c>
      <c r="AI123" s="314" t="e">
        <f t="shared" ca="1" si="31"/>
        <v>#NAME?</v>
      </c>
      <c r="AJ123" s="315" t="e">
        <f t="shared" ca="1" si="32"/>
        <v>#NAME?</v>
      </c>
      <c r="AK123" s="568" t="e">
        <f t="shared" ca="1" si="70"/>
        <v>#NAME?</v>
      </c>
      <c r="AL123" s="313" t="e">
        <f t="shared" ca="1" si="71"/>
        <v>#NAME?</v>
      </c>
      <c r="AM123" s="313" t="e">
        <f t="shared" ca="1" si="35"/>
        <v>#NAME?</v>
      </c>
      <c r="AN123" s="313" t="e">
        <f t="shared" ca="1" si="36"/>
        <v>#NAME?</v>
      </c>
      <c r="AO123" s="316" t="e">
        <f t="shared" ca="1" si="72"/>
        <v>#NAME?</v>
      </c>
      <c r="AP123" s="313" t="e">
        <f t="shared" ca="1" si="73"/>
        <v>#NAME?</v>
      </c>
      <c r="AQ123" s="314" t="e">
        <f t="shared" ca="1" si="39"/>
        <v>#NAME?</v>
      </c>
      <c r="AR123" s="315" t="e">
        <f t="shared" ca="1" si="74"/>
        <v>#NAME?</v>
      </c>
      <c r="AS123" s="316" t="e">
        <f t="shared" ca="1" si="75"/>
        <v>#NAME?</v>
      </c>
      <c r="AT123" s="315" t="e">
        <f t="shared" ca="1" si="76"/>
        <v>#NAME?</v>
      </c>
      <c r="AU123" s="317">
        <v>427.8</v>
      </c>
      <c r="AV123" s="315" t="e">
        <f t="shared" ca="1" si="77"/>
        <v>#NAME?</v>
      </c>
      <c r="AW123" s="318" t="e">
        <f ca="1">0.0001*BicubicInterpolation('Drag Coef Table'!$B$4:$L$28,AV123,AC123)</f>
        <v>#NAME?</v>
      </c>
      <c r="AX123" s="319" t="e">
        <f t="shared" ca="1" si="78"/>
        <v>#NAME?</v>
      </c>
      <c r="AY123" s="318" t="e">
        <f t="shared" ca="1" si="79"/>
        <v>#NAME?</v>
      </c>
      <c r="AZ123" s="320" t="e">
        <f t="shared" ca="1" si="80"/>
        <v>#NAME?</v>
      </c>
      <c r="BA123" s="321" t="e">
        <f t="shared" ca="1" si="81"/>
        <v>#NAME?</v>
      </c>
      <c r="BB123" s="322" t="e">
        <f t="shared" ca="1" si="82"/>
        <v>#NAME?</v>
      </c>
      <c r="BC123" s="323">
        <v>75.196700000000007</v>
      </c>
      <c r="BD123" s="324" t="e">
        <f t="shared" ca="1" si="83"/>
        <v>#NAME?</v>
      </c>
      <c r="BE123" s="325" t="e">
        <f t="shared" ca="1" si="84"/>
        <v>#NAME?</v>
      </c>
      <c r="BF123" s="324" t="e">
        <f ca="1">BicubicInterpolation('TSFC Eff Table'!$B$4:$E$69,2,BB123)</f>
        <v>#NAME?</v>
      </c>
      <c r="BG123" s="326" t="e">
        <f t="shared" ca="1" si="85"/>
        <v>#NAME?</v>
      </c>
      <c r="BH123" s="694" t="e">
        <f ca="1">IF( S123="LRCINOP",   (1+(0.03/10)*Z123*(1+0.2*AC123^2) )*BicubicInterpolation( 'LRC INOP FF'!$C$4:$AA$21, Y123, U123 )-200, IF(S123 ="HOLDINGINOP", (1+(0.03/10)*Z123*(1+0.2*AC123^2) )*BicubicInterpolation( 'Holding INOP FF'!$C$4:$J$13,  Y123,  U123)/1.05-200,   BA123*BG123))</f>
        <v>#NAME?</v>
      </c>
      <c r="BI123" s="344" t="e">
        <f t="shared" ca="1" si="15"/>
        <v>#NAME?</v>
      </c>
      <c r="BJ123" s="322" t="e">
        <f t="shared" ca="1" si="86"/>
        <v>#NAME?</v>
      </c>
      <c r="BK123" s="338" t="e">
        <f t="shared" ca="1" si="16"/>
        <v>#NAME?</v>
      </c>
      <c r="BL123" s="327" t="e">
        <f t="shared" ca="1" si="87"/>
        <v>#NAME?</v>
      </c>
      <c r="BM123" s="328">
        <f t="shared" si="88"/>
        <v>200</v>
      </c>
      <c r="BN123" s="329" t="e">
        <f t="shared" ca="1" si="89"/>
        <v>#NAME?</v>
      </c>
      <c r="BO123" s="344" t="e">
        <f t="shared" ca="1" si="17"/>
        <v>#NAME?</v>
      </c>
      <c r="BP123" s="320" t="e">
        <f t="shared" ca="1" si="90"/>
        <v>#NAME?</v>
      </c>
      <c r="BQ123" s="344" t="e">
        <f t="shared" ca="1" si="18"/>
        <v>#NAME?</v>
      </c>
      <c r="BR123" s="347" t="e">
        <f t="shared" ca="1" si="19"/>
        <v>#NAME?</v>
      </c>
      <c r="BS123" s="326" t="e">
        <f t="shared" ca="1" si="91"/>
        <v>#NAME?</v>
      </c>
      <c r="BT123" s="437" t="e">
        <f t="shared" ca="1" si="58"/>
        <v>#NAME?</v>
      </c>
      <c r="BU123" s="437" t="e">
        <f t="shared" ca="1" si="59"/>
        <v>#NAME?</v>
      </c>
      <c r="BV123" s="441" t="e">
        <f t="shared" ca="1" si="60"/>
        <v>#NAME?</v>
      </c>
      <c r="BW123" s="442" t="e">
        <f t="shared" ca="1" si="61"/>
        <v>#NAME?</v>
      </c>
      <c r="BX123" s="470" t="e">
        <f t="shared" ca="1" si="5"/>
        <v>#NAME?</v>
      </c>
      <c r="BY123" s="484" t="e">
        <f t="shared" ca="1" si="20"/>
        <v>#NAME?</v>
      </c>
    </row>
    <row r="124" spans="5:77" ht="17.75" customHeight="1" x14ac:dyDescent="0.2">
      <c r="E124" s="423"/>
      <c r="I124" s="366">
        <v>40</v>
      </c>
      <c r="J124" s="414">
        <f t="shared" si="21"/>
        <v>41705.74027777787</v>
      </c>
      <c r="K124" s="435" t="e">
        <f t="shared" ca="1" si="22"/>
        <v>#NAME?</v>
      </c>
      <c r="L124" s="435" t="e">
        <f t="shared" ca="1" si="0"/>
        <v>#NAME?</v>
      </c>
      <c r="M124" s="664" t="e">
        <f t="shared" ca="1" si="23"/>
        <v>#NAME?</v>
      </c>
      <c r="N124" s="664" t="e">
        <f t="shared" ca="1" si="24"/>
        <v>#NAME?</v>
      </c>
      <c r="O124" s="140" t="e">
        <f t="shared" ca="1" si="7"/>
        <v>#NAME?</v>
      </c>
      <c r="P124" s="352" t="e">
        <f t="shared" ca="1" si="25"/>
        <v>#NAME?</v>
      </c>
      <c r="Q124" s="665" t="e">
        <f t="shared" ca="1" si="8"/>
        <v>#NAME?</v>
      </c>
      <c r="R124" s="352" t="e">
        <f t="shared" ca="1" si="65"/>
        <v>#NAME?</v>
      </c>
      <c r="S124" s="662" t="e">
        <f t="shared" ca="1" si="10"/>
        <v>#NAME?</v>
      </c>
      <c r="T124" s="443" t="e">
        <f t="shared" ca="1" si="1"/>
        <v>#NAME?</v>
      </c>
      <c r="U124" s="369" t="e">
        <f t="shared" ca="1" si="2"/>
        <v>#NAME?</v>
      </c>
      <c r="V124" s="454" t="e">
        <f t="shared" ca="1" si="11"/>
        <v>#NAME?</v>
      </c>
      <c r="W124" s="457">
        <f t="shared" si="12"/>
        <v>1000</v>
      </c>
      <c r="X124" s="463" t="e">
        <f t="shared" ca="1" si="13"/>
        <v>#NAME?</v>
      </c>
      <c r="Y124" s="455" t="e">
        <f t="shared" ca="1" si="26"/>
        <v>#NAME?</v>
      </c>
      <c r="Z124" s="699">
        <f t="shared" si="3"/>
        <v>10</v>
      </c>
      <c r="AA124" s="355" t="str">
        <f t="shared" si="4"/>
        <v>ON</v>
      </c>
      <c r="AB124" s="357">
        <f t="shared" si="66"/>
        <v>1.4999999999999999E-2</v>
      </c>
      <c r="AC124" s="356" t="e">
        <f ca="1">IF(  Y123=0,0,IF(OR(S124="KCAS",S124="INOP",S124="MEFE"),   ( (5*( (   (((1+0.2*(T124/661.4786)^2)^3.5 -1)  )/( (1-6.8755856*10^-6 *100*Y124)^5.2558797) +1)^(2/7) -1) )^0.5),IF(S124="MACH",T124, IF(S124="LRC",BicubicInterpolation( 'LRC Mach'!$C$4:$AL$21, Y124,U124),  IF(S124="MRC",BicubicInterpolation( 'MRC Mach'!$C$3:$T$18, Y124,U124),  IF(S124="M0.84",0.84,  IF(S124="CI52",BicubicInterpolation('CI=52 Mach'!$C$3:$T$18, Y124,U124),  IF(S124="HOLDING",BicubicInterpolation(  'Holding Mach'!$C$4:$M$13, Y124,U124),                         IF(S124="LRCINOP", BicubicInterpolation('LRC INOP Mach'!$C$4:$AA$21,Y124,U124), IF(S124="HOLDINGINOP",  BicubicInterpolation('Holding INOP Mach'!$N$4:$U$13,Y124,U124),         "XXX" )))))))   )))</f>
        <v>#NAME?</v>
      </c>
      <c r="AD124" s="313" t="e">
        <f t="shared" ca="1" si="67"/>
        <v>#NAME?</v>
      </c>
      <c r="AE124" s="314" t="e">
        <f t="shared" ca="1" si="28"/>
        <v>#NAME?</v>
      </c>
      <c r="AF124" s="313" t="e">
        <f t="shared" ca="1" si="68"/>
        <v>#NAME?</v>
      </c>
      <c r="AG124" s="314" t="e">
        <f t="shared" ca="1" si="29"/>
        <v>#NAME?</v>
      </c>
      <c r="AH124" s="313" t="e">
        <f t="shared" ca="1" si="69"/>
        <v>#NAME?</v>
      </c>
      <c r="AI124" s="314" t="e">
        <f t="shared" ca="1" si="31"/>
        <v>#NAME?</v>
      </c>
      <c r="AJ124" s="315" t="e">
        <f t="shared" ca="1" si="32"/>
        <v>#NAME?</v>
      </c>
      <c r="AK124" s="568" t="e">
        <f t="shared" ca="1" si="70"/>
        <v>#NAME?</v>
      </c>
      <c r="AL124" s="313" t="e">
        <f t="shared" ca="1" si="71"/>
        <v>#NAME?</v>
      </c>
      <c r="AM124" s="313" t="e">
        <f t="shared" ca="1" si="35"/>
        <v>#NAME?</v>
      </c>
      <c r="AN124" s="313" t="e">
        <f t="shared" ca="1" si="36"/>
        <v>#NAME?</v>
      </c>
      <c r="AO124" s="316" t="e">
        <f t="shared" ca="1" si="72"/>
        <v>#NAME?</v>
      </c>
      <c r="AP124" s="313" t="e">
        <f t="shared" ca="1" si="73"/>
        <v>#NAME?</v>
      </c>
      <c r="AQ124" s="314" t="e">
        <f t="shared" ca="1" si="39"/>
        <v>#NAME?</v>
      </c>
      <c r="AR124" s="315" t="e">
        <f t="shared" ca="1" si="74"/>
        <v>#NAME?</v>
      </c>
      <c r="AS124" s="316" t="e">
        <f t="shared" ca="1" si="75"/>
        <v>#NAME?</v>
      </c>
      <c r="AT124" s="315" t="e">
        <f t="shared" ca="1" si="76"/>
        <v>#NAME?</v>
      </c>
      <c r="AU124" s="317">
        <v>427.8</v>
      </c>
      <c r="AV124" s="315" t="e">
        <f t="shared" ca="1" si="77"/>
        <v>#NAME?</v>
      </c>
      <c r="AW124" s="318" t="e">
        <f ca="1">0.0001*BicubicInterpolation('Drag Coef Table'!$B$4:$L$28,AV124,AC124)</f>
        <v>#NAME?</v>
      </c>
      <c r="AX124" s="319" t="e">
        <f t="shared" ca="1" si="78"/>
        <v>#NAME?</v>
      </c>
      <c r="AY124" s="318" t="e">
        <f t="shared" ca="1" si="79"/>
        <v>#NAME?</v>
      </c>
      <c r="AZ124" s="320" t="e">
        <f t="shared" ca="1" si="80"/>
        <v>#NAME?</v>
      </c>
      <c r="BA124" s="321" t="e">
        <f t="shared" ca="1" si="81"/>
        <v>#NAME?</v>
      </c>
      <c r="BB124" s="322" t="e">
        <f t="shared" ca="1" si="82"/>
        <v>#NAME?</v>
      </c>
      <c r="BC124" s="323">
        <v>75.196700000000007</v>
      </c>
      <c r="BD124" s="324" t="e">
        <f t="shared" ca="1" si="83"/>
        <v>#NAME?</v>
      </c>
      <c r="BE124" s="325" t="e">
        <f t="shared" ca="1" si="84"/>
        <v>#NAME?</v>
      </c>
      <c r="BF124" s="324" t="e">
        <f ca="1">BicubicInterpolation('TSFC Eff Table'!$B$4:$E$69,2,BB124)</f>
        <v>#NAME?</v>
      </c>
      <c r="BG124" s="326" t="e">
        <f t="shared" ca="1" si="85"/>
        <v>#NAME?</v>
      </c>
      <c r="BH124" s="694" t="e">
        <f ca="1">IF( S124="LRCINOP",   (1+(0.03/10)*Z124*(1+0.2*AC124^2) )*BicubicInterpolation( 'LRC INOP FF'!$C$4:$AA$21, Y124, U124 )-200, IF(S124 ="HOLDINGINOP", (1+(0.03/10)*Z124*(1+0.2*AC124^2) )*BicubicInterpolation( 'Holding INOP FF'!$C$4:$J$13,  Y124,  U124)/1.05-200,   BA124*BG124))</f>
        <v>#NAME?</v>
      </c>
      <c r="BI124" s="344" t="e">
        <f t="shared" ca="1" si="15"/>
        <v>#NAME?</v>
      </c>
      <c r="BJ124" s="322" t="e">
        <f t="shared" ca="1" si="86"/>
        <v>#NAME?</v>
      </c>
      <c r="BK124" s="338" t="e">
        <f t="shared" ca="1" si="16"/>
        <v>#NAME?</v>
      </c>
      <c r="BL124" s="327" t="e">
        <f t="shared" ca="1" si="87"/>
        <v>#NAME?</v>
      </c>
      <c r="BM124" s="328">
        <f t="shared" si="88"/>
        <v>200</v>
      </c>
      <c r="BN124" s="329" t="e">
        <f t="shared" ca="1" si="89"/>
        <v>#NAME?</v>
      </c>
      <c r="BO124" s="344" t="e">
        <f t="shared" ca="1" si="17"/>
        <v>#NAME?</v>
      </c>
      <c r="BP124" s="320" t="e">
        <f t="shared" ca="1" si="90"/>
        <v>#NAME?</v>
      </c>
      <c r="BQ124" s="344" t="e">
        <f t="shared" ca="1" si="18"/>
        <v>#NAME?</v>
      </c>
      <c r="BR124" s="347" t="e">
        <f t="shared" ca="1" si="19"/>
        <v>#NAME?</v>
      </c>
      <c r="BS124" s="326" t="e">
        <f t="shared" ca="1" si="91"/>
        <v>#NAME?</v>
      </c>
      <c r="BT124" s="437" t="e">
        <f t="shared" ca="1" si="58"/>
        <v>#NAME?</v>
      </c>
      <c r="BU124" s="437" t="e">
        <f t="shared" ca="1" si="59"/>
        <v>#NAME?</v>
      </c>
      <c r="BV124" s="441" t="e">
        <f t="shared" ca="1" si="60"/>
        <v>#NAME?</v>
      </c>
      <c r="BW124" s="442" t="e">
        <f t="shared" ca="1" si="61"/>
        <v>#NAME?</v>
      </c>
      <c r="BX124" s="470" t="e">
        <f t="shared" ca="1" si="5"/>
        <v>#NAME?</v>
      </c>
      <c r="BY124" s="484" t="e">
        <f t="shared" ca="1" si="20"/>
        <v>#NAME?</v>
      </c>
    </row>
    <row r="125" spans="5:77" ht="17.75" customHeight="1" x14ac:dyDescent="0.2">
      <c r="E125" s="423"/>
      <c r="I125" s="366">
        <v>41</v>
      </c>
      <c r="J125" s="414">
        <f t="shared" si="21"/>
        <v>41705.740972222316</v>
      </c>
      <c r="K125" s="435" t="e">
        <f t="shared" ca="1" si="22"/>
        <v>#NAME?</v>
      </c>
      <c r="L125" s="435" t="e">
        <f t="shared" ca="1" si="0"/>
        <v>#NAME?</v>
      </c>
      <c r="M125" s="664" t="e">
        <f t="shared" ca="1" si="23"/>
        <v>#NAME?</v>
      </c>
      <c r="N125" s="664" t="e">
        <f t="shared" ca="1" si="24"/>
        <v>#NAME?</v>
      </c>
      <c r="O125" s="140" t="e">
        <f t="shared" ca="1" si="7"/>
        <v>#NAME?</v>
      </c>
      <c r="P125" s="352" t="e">
        <f t="shared" ca="1" si="25"/>
        <v>#NAME?</v>
      </c>
      <c r="Q125" s="665" t="e">
        <f t="shared" ca="1" si="8"/>
        <v>#NAME?</v>
      </c>
      <c r="R125" s="352" t="e">
        <f t="shared" ca="1" si="65"/>
        <v>#NAME?</v>
      </c>
      <c r="S125" s="662" t="e">
        <f t="shared" ca="1" si="10"/>
        <v>#NAME?</v>
      </c>
      <c r="T125" s="443" t="e">
        <f t="shared" ca="1" si="1"/>
        <v>#NAME?</v>
      </c>
      <c r="U125" s="369" t="e">
        <f t="shared" ca="1" si="2"/>
        <v>#NAME?</v>
      </c>
      <c r="V125" s="454" t="e">
        <f t="shared" ca="1" si="11"/>
        <v>#NAME?</v>
      </c>
      <c r="W125" s="457">
        <f t="shared" si="12"/>
        <v>1000</v>
      </c>
      <c r="X125" s="463" t="e">
        <f t="shared" ca="1" si="13"/>
        <v>#NAME?</v>
      </c>
      <c r="Y125" s="455" t="e">
        <f t="shared" ca="1" si="26"/>
        <v>#NAME?</v>
      </c>
      <c r="Z125" s="699">
        <f t="shared" si="3"/>
        <v>10</v>
      </c>
      <c r="AA125" s="355" t="str">
        <f t="shared" si="4"/>
        <v>ON</v>
      </c>
      <c r="AB125" s="357">
        <f t="shared" si="66"/>
        <v>1.4999999999999999E-2</v>
      </c>
      <c r="AC125" s="356" t="e">
        <f ca="1">IF(  Y124=0,0,IF(OR(S125="KCAS",S125="INOP",S125="MEFE"),   ( (5*( (   (((1+0.2*(T125/661.4786)^2)^3.5 -1)  )/( (1-6.8755856*10^-6 *100*Y125)^5.2558797) +1)^(2/7) -1) )^0.5),IF(S125="MACH",T125, IF(S125="LRC",BicubicInterpolation( 'LRC Mach'!$C$4:$AL$21, Y125,U125),  IF(S125="MRC",BicubicInterpolation( 'MRC Mach'!$C$3:$T$18, Y125,U125),  IF(S125="M0.84",0.84,  IF(S125="CI52",BicubicInterpolation('CI=52 Mach'!$C$3:$T$18, Y125,U125),  IF(S125="HOLDING",BicubicInterpolation(  'Holding Mach'!$C$4:$M$13, Y125,U125),                         IF(S125="LRCINOP", BicubicInterpolation('LRC INOP Mach'!$C$4:$AA$21,Y125,U125), IF(S125="HOLDINGINOP",  BicubicInterpolation('Holding INOP Mach'!$N$4:$U$13,Y125,U125),         "XXX" )))))))   )))</f>
        <v>#NAME?</v>
      </c>
      <c r="AD125" s="313" t="e">
        <f t="shared" ca="1" si="67"/>
        <v>#NAME?</v>
      </c>
      <c r="AE125" s="314" t="e">
        <f t="shared" ca="1" si="28"/>
        <v>#NAME?</v>
      </c>
      <c r="AF125" s="313" t="e">
        <f t="shared" ca="1" si="68"/>
        <v>#NAME?</v>
      </c>
      <c r="AG125" s="314" t="e">
        <f t="shared" ca="1" si="29"/>
        <v>#NAME?</v>
      </c>
      <c r="AH125" s="313" t="e">
        <f t="shared" ca="1" si="69"/>
        <v>#NAME?</v>
      </c>
      <c r="AI125" s="314" t="e">
        <f t="shared" ca="1" si="31"/>
        <v>#NAME?</v>
      </c>
      <c r="AJ125" s="315" t="e">
        <f t="shared" ca="1" si="32"/>
        <v>#NAME?</v>
      </c>
      <c r="AK125" s="568" t="e">
        <f t="shared" ca="1" si="70"/>
        <v>#NAME?</v>
      </c>
      <c r="AL125" s="313" t="e">
        <f t="shared" ca="1" si="71"/>
        <v>#NAME?</v>
      </c>
      <c r="AM125" s="313" t="e">
        <f t="shared" ca="1" si="35"/>
        <v>#NAME?</v>
      </c>
      <c r="AN125" s="313" t="e">
        <f t="shared" ca="1" si="36"/>
        <v>#NAME?</v>
      </c>
      <c r="AO125" s="316" t="e">
        <f t="shared" ca="1" si="72"/>
        <v>#NAME?</v>
      </c>
      <c r="AP125" s="313" t="e">
        <f t="shared" ca="1" si="73"/>
        <v>#NAME?</v>
      </c>
      <c r="AQ125" s="314" t="e">
        <f t="shared" ca="1" si="39"/>
        <v>#NAME?</v>
      </c>
      <c r="AR125" s="315" t="e">
        <f t="shared" ca="1" si="74"/>
        <v>#NAME?</v>
      </c>
      <c r="AS125" s="316" t="e">
        <f t="shared" ca="1" si="75"/>
        <v>#NAME?</v>
      </c>
      <c r="AT125" s="315" t="e">
        <f t="shared" ca="1" si="76"/>
        <v>#NAME?</v>
      </c>
      <c r="AU125" s="317">
        <v>427.8</v>
      </c>
      <c r="AV125" s="315" t="e">
        <f t="shared" ca="1" si="77"/>
        <v>#NAME?</v>
      </c>
      <c r="AW125" s="318" t="e">
        <f ca="1">0.0001*BicubicInterpolation('Drag Coef Table'!$B$4:$L$28,AV125,AC125)</f>
        <v>#NAME?</v>
      </c>
      <c r="AX125" s="319" t="e">
        <f t="shared" ca="1" si="78"/>
        <v>#NAME?</v>
      </c>
      <c r="AY125" s="318" t="e">
        <f t="shared" ca="1" si="79"/>
        <v>#NAME?</v>
      </c>
      <c r="AZ125" s="320" t="e">
        <f t="shared" ca="1" si="80"/>
        <v>#NAME?</v>
      </c>
      <c r="BA125" s="321" t="e">
        <f t="shared" ca="1" si="81"/>
        <v>#NAME?</v>
      </c>
      <c r="BB125" s="322" t="e">
        <f t="shared" ca="1" si="82"/>
        <v>#NAME?</v>
      </c>
      <c r="BC125" s="323">
        <v>75.196700000000007</v>
      </c>
      <c r="BD125" s="324" t="e">
        <f t="shared" ca="1" si="83"/>
        <v>#NAME?</v>
      </c>
      <c r="BE125" s="325" t="e">
        <f t="shared" ca="1" si="84"/>
        <v>#NAME?</v>
      </c>
      <c r="BF125" s="324" t="e">
        <f ca="1">BicubicInterpolation('TSFC Eff Table'!$B$4:$E$69,2,BB125)</f>
        <v>#NAME?</v>
      </c>
      <c r="BG125" s="326" t="e">
        <f t="shared" ca="1" si="85"/>
        <v>#NAME?</v>
      </c>
      <c r="BH125" s="694" t="e">
        <f ca="1">IF( S125="LRCINOP",   (1+(0.03/10)*Z125*(1+0.2*AC125^2) )*BicubicInterpolation( 'LRC INOP FF'!$C$4:$AA$21, Y125, U125 )-200, IF(S125 ="HOLDINGINOP", (1+(0.03/10)*Z125*(1+0.2*AC125^2) )*BicubicInterpolation( 'Holding INOP FF'!$C$4:$J$13,  Y125,  U125)/1.05-200,   BA125*BG125))</f>
        <v>#NAME?</v>
      </c>
      <c r="BI125" s="344" t="e">
        <f t="shared" ca="1" si="15"/>
        <v>#NAME?</v>
      </c>
      <c r="BJ125" s="322" t="e">
        <f t="shared" ca="1" si="86"/>
        <v>#NAME?</v>
      </c>
      <c r="BK125" s="338" t="e">
        <f t="shared" ca="1" si="16"/>
        <v>#NAME?</v>
      </c>
      <c r="BL125" s="327" t="e">
        <f t="shared" ca="1" si="87"/>
        <v>#NAME?</v>
      </c>
      <c r="BM125" s="328">
        <f t="shared" si="88"/>
        <v>200</v>
      </c>
      <c r="BN125" s="329" t="e">
        <f t="shared" ca="1" si="89"/>
        <v>#NAME?</v>
      </c>
      <c r="BO125" s="344" t="e">
        <f t="shared" ca="1" si="17"/>
        <v>#NAME?</v>
      </c>
      <c r="BP125" s="320" t="e">
        <f t="shared" ca="1" si="90"/>
        <v>#NAME?</v>
      </c>
      <c r="BQ125" s="344" t="e">
        <f t="shared" ca="1" si="18"/>
        <v>#NAME?</v>
      </c>
      <c r="BR125" s="347" t="e">
        <f t="shared" ca="1" si="19"/>
        <v>#NAME?</v>
      </c>
      <c r="BS125" s="326" t="e">
        <f t="shared" ca="1" si="91"/>
        <v>#NAME?</v>
      </c>
      <c r="BT125" s="437" t="e">
        <f t="shared" ca="1" si="58"/>
        <v>#NAME?</v>
      </c>
      <c r="BU125" s="437" t="e">
        <f t="shared" ca="1" si="59"/>
        <v>#NAME?</v>
      </c>
      <c r="BV125" s="441" t="e">
        <f t="shared" ca="1" si="60"/>
        <v>#NAME?</v>
      </c>
      <c r="BW125" s="442" t="e">
        <f t="shared" ca="1" si="61"/>
        <v>#NAME?</v>
      </c>
      <c r="BX125" s="470" t="e">
        <f t="shared" ca="1" si="5"/>
        <v>#NAME?</v>
      </c>
      <c r="BY125" s="484" t="e">
        <f t="shared" ca="1" si="20"/>
        <v>#NAME?</v>
      </c>
    </row>
    <row r="126" spans="5:77" ht="17.75" customHeight="1" x14ac:dyDescent="0.2">
      <c r="E126" s="423"/>
      <c r="I126" s="366">
        <v>42</v>
      </c>
      <c r="J126" s="414">
        <f t="shared" si="21"/>
        <v>41705.741666666763</v>
      </c>
      <c r="K126" s="435" t="e">
        <f t="shared" ca="1" si="22"/>
        <v>#NAME?</v>
      </c>
      <c r="L126" s="435" t="e">
        <f t="shared" ca="1" si="0"/>
        <v>#NAME?</v>
      </c>
      <c r="M126" s="664" t="e">
        <f t="shared" ca="1" si="23"/>
        <v>#NAME?</v>
      </c>
      <c r="N126" s="664" t="e">
        <f t="shared" ca="1" si="24"/>
        <v>#NAME?</v>
      </c>
      <c r="O126" s="140" t="e">
        <f t="shared" ca="1" si="7"/>
        <v>#NAME?</v>
      </c>
      <c r="P126" s="352" t="e">
        <f t="shared" ca="1" si="25"/>
        <v>#NAME?</v>
      </c>
      <c r="Q126" s="665" t="e">
        <f t="shared" ca="1" si="8"/>
        <v>#NAME?</v>
      </c>
      <c r="R126" s="352" t="e">
        <f t="shared" ca="1" si="65"/>
        <v>#NAME?</v>
      </c>
      <c r="S126" s="662" t="e">
        <f t="shared" ca="1" si="10"/>
        <v>#NAME?</v>
      </c>
      <c r="T126" s="443" t="e">
        <f t="shared" ca="1" si="1"/>
        <v>#NAME?</v>
      </c>
      <c r="U126" s="369" t="e">
        <f t="shared" ca="1" si="2"/>
        <v>#NAME?</v>
      </c>
      <c r="V126" s="454" t="e">
        <f t="shared" ca="1" si="11"/>
        <v>#NAME?</v>
      </c>
      <c r="W126" s="457">
        <f t="shared" si="12"/>
        <v>1000</v>
      </c>
      <c r="X126" s="463" t="e">
        <f t="shared" ca="1" si="13"/>
        <v>#NAME?</v>
      </c>
      <c r="Y126" s="455" t="e">
        <f t="shared" ca="1" si="26"/>
        <v>#NAME?</v>
      </c>
      <c r="Z126" s="699">
        <f t="shared" si="3"/>
        <v>10</v>
      </c>
      <c r="AA126" s="355" t="str">
        <f t="shared" si="4"/>
        <v>ON</v>
      </c>
      <c r="AB126" s="357">
        <f t="shared" si="66"/>
        <v>1.4999999999999999E-2</v>
      </c>
      <c r="AC126" s="356" t="e">
        <f ca="1">IF(  Y125=0,0,IF(OR(S126="KCAS",S126="INOP",S126="MEFE"),   ( (5*( (   (((1+0.2*(T126/661.4786)^2)^3.5 -1)  )/( (1-6.8755856*10^-6 *100*Y126)^5.2558797) +1)^(2/7) -1) )^0.5),IF(S126="MACH",T126, IF(S126="LRC",BicubicInterpolation( 'LRC Mach'!$C$4:$AL$21, Y126,U126),  IF(S126="MRC",BicubicInterpolation( 'MRC Mach'!$C$3:$T$18, Y126,U126),  IF(S126="M0.84",0.84,  IF(S126="CI52",BicubicInterpolation('CI=52 Mach'!$C$3:$T$18, Y126,U126),  IF(S126="HOLDING",BicubicInterpolation(  'Holding Mach'!$C$4:$M$13, Y126,U126),                         IF(S126="LRCINOP", BicubicInterpolation('LRC INOP Mach'!$C$4:$AA$21,Y126,U126), IF(S126="HOLDINGINOP",  BicubicInterpolation('Holding INOP Mach'!$N$4:$U$13,Y126,U126),         "XXX" )))))))   )))</f>
        <v>#NAME?</v>
      </c>
      <c r="AD126" s="313" t="e">
        <f t="shared" ca="1" si="67"/>
        <v>#NAME?</v>
      </c>
      <c r="AE126" s="314" t="e">
        <f t="shared" ca="1" si="28"/>
        <v>#NAME?</v>
      </c>
      <c r="AF126" s="313" t="e">
        <f t="shared" ca="1" si="68"/>
        <v>#NAME?</v>
      </c>
      <c r="AG126" s="314" t="e">
        <f t="shared" ca="1" si="29"/>
        <v>#NAME?</v>
      </c>
      <c r="AH126" s="313" t="e">
        <f t="shared" ca="1" si="69"/>
        <v>#NAME?</v>
      </c>
      <c r="AI126" s="314" t="e">
        <f t="shared" ca="1" si="31"/>
        <v>#NAME?</v>
      </c>
      <c r="AJ126" s="315" t="e">
        <f t="shared" ca="1" si="32"/>
        <v>#NAME?</v>
      </c>
      <c r="AK126" s="568" t="e">
        <f t="shared" ca="1" si="70"/>
        <v>#NAME?</v>
      </c>
      <c r="AL126" s="313" t="e">
        <f t="shared" ca="1" si="71"/>
        <v>#NAME?</v>
      </c>
      <c r="AM126" s="313" t="e">
        <f t="shared" ca="1" si="35"/>
        <v>#NAME?</v>
      </c>
      <c r="AN126" s="313" t="e">
        <f t="shared" ca="1" si="36"/>
        <v>#NAME?</v>
      </c>
      <c r="AO126" s="316" t="e">
        <f t="shared" ca="1" si="72"/>
        <v>#NAME?</v>
      </c>
      <c r="AP126" s="313" t="e">
        <f t="shared" ca="1" si="73"/>
        <v>#NAME?</v>
      </c>
      <c r="AQ126" s="314" t="e">
        <f t="shared" ca="1" si="39"/>
        <v>#NAME?</v>
      </c>
      <c r="AR126" s="315" t="e">
        <f t="shared" ca="1" si="74"/>
        <v>#NAME?</v>
      </c>
      <c r="AS126" s="316" t="e">
        <f t="shared" ca="1" si="75"/>
        <v>#NAME?</v>
      </c>
      <c r="AT126" s="315" t="e">
        <f t="shared" ca="1" si="76"/>
        <v>#NAME?</v>
      </c>
      <c r="AU126" s="317">
        <v>427.8</v>
      </c>
      <c r="AV126" s="315" t="e">
        <f t="shared" ca="1" si="77"/>
        <v>#NAME?</v>
      </c>
      <c r="AW126" s="318" t="e">
        <f ca="1">0.0001*BicubicInterpolation('Drag Coef Table'!$B$4:$L$28,AV126,AC126)</f>
        <v>#NAME?</v>
      </c>
      <c r="AX126" s="319" t="e">
        <f t="shared" ca="1" si="78"/>
        <v>#NAME?</v>
      </c>
      <c r="AY126" s="318" t="e">
        <f t="shared" ca="1" si="79"/>
        <v>#NAME?</v>
      </c>
      <c r="AZ126" s="320" t="e">
        <f t="shared" ca="1" si="80"/>
        <v>#NAME?</v>
      </c>
      <c r="BA126" s="321" t="e">
        <f t="shared" ca="1" si="81"/>
        <v>#NAME?</v>
      </c>
      <c r="BB126" s="322" t="e">
        <f t="shared" ca="1" si="82"/>
        <v>#NAME?</v>
      </c>
      <c r="BC126" s="323">
        <v>75.196700000000007</v>
      </c>
      <c r="BD126" s="324" t="e">
        <f t="shared" ca="1" si="83"/>
        <v>#NAME?</v>
      </c>
      <c r="BE126" s="325" t="e">
        <f t="shared" ca="1" si="84"/>
        <v>#NAME?</v>
      </c>
      <c r="BF126" s="324" t="e">
        <f ca="1">BicubicInterpolation('TSFC Eff Table'!$B$4:$E$69,2,BB126)</f>
        <v>#NAME?</v>
      </c>
      <c r="BG126" s="326" t="e">
        <f t="shared" ca="1" si="85"/>
        <v>#NAME?</v>
      </c>
      <c r="BH126" s="694" t="e">
        <f ca="1">IF( S126="LRCINOP",   (1+(0.03/10)*Z126*(1+0.2*AC126^2) )*BicubicInterpolation( 'LRC INOP FF'!$C$4:$AA$21, Y126, U126 )-200, IF(S126 ="HOLDINGINOP", (1+(0.03/10)*Z126*(1+0.2*AC126^2) )*BicubicInterpolation( 'Holding INOP FF'!$C$4:$J$13,  Y126,  U126)/1.05-200,   BA126*BG126))</f>
        <v>#NAME?</v>
      </c>
      <c r="BI126" s="344" t="e">
        <f t="shared" ca="1" si="15"/>
        <v>#NAME?</v>
      </c>
      <c r="BJ126" s="322" t="e">
        <f t="shared" ca="1" si="86"/>
        <v>#NAME?</v>
      </c>
      <c r="BK126" s="338" t="e">
        <f t="shared" ca="1" si="16"/>
        <v>#NAME?</v>
      </c>
      <c r="BL126" s="327" t="e">
        <f t="shared" ca="1" si="87"/>
        <v>#NAME?</v>
      </c>
      <c r="BM126" s="328">
        <f t="shared" si="88"/>
        <v>200</v>
      </c>
      <c r="BN126" s="329" t="e">
        <f t="shared" ca="1" si="89"/>
        <v>#NAME?</v>
      </c>
      <c r="BO126" s="344" t="e">
        <f t="shared" ca="1" si="17"/>
        <v>#NAME?</v>
      </c>
      <c r="BP126" s="320" t="e">
        <f t="shared" ca="1" si="90"/>
        <v>#NAME?</v>
      </c>
      <c r="BQ126" s="344" t="e">
        <f t="shared" ca="1" si="18"/>
        <v>#NAME?</v>
      </c>
      <c r="BR126" s="347" t="e">
        <f t="shared" ca="1" si="19"/>
        <v>#NAME?</v>
      </c>
      <c r="BS126" s="326" t="e">
        <f t="shared" ca="1" si="91"/>
        <v>#NAME?</v>
      </c>
      <c r="BT126" s="437" t="e">
        <f t="shared" ca="1" si="58"/>
        <v>#NAME?</v>
      </c>
      <c r="BU126" s="437" t="e">
        <f t="shared" ca="1" si="59"/>
        <v>#NAME?</v>
      </c>
      <c r="BV126" s="441" t="e">
        <f t="shared" ca="1" si="60"/>
        <v>#NAME?</v>
      </c>
      <c r="BW126" s="442" t="e">
        <f t="shared" ca="1" si="61"/>
        <v>#NAME?</v>
      </c>
      <c r="BX126" s="470" t="e">
        <f t="shared" ca="1" si="5"/>
        <v>#NAME?</v>
      </c>
      <c r="BY126" s="484" t="e">
        <f t="shared" ca="1" si="20"/>
        <v>#NAME?</v>
      </c>
    </row>
    <row r="127" spans="5:77" ht="17.75" customHeight="1" x14ac:dyDescent="0.2">
      <c r="E127" s="423"/>
      <c r="I127" s="366">
        <v>43</v>
      </c>
      <c r="J127" s="414">
        <f t="shared" si="21"/>
        <v>41705.74236111121</v>
      </c>
      <c r="K127" s="435" t="e">
        <f t="shared" ca="1" si="22"/>
        <v>#NAME?</v>
      </c>
      <c r="L127" s="435" t="e">
        <f t="shared" ca="1" si="0"/>
        <v>#NAME?</v>
      </c>
      <c r="M127" s="664" t="e">
        <f t="shared" ca="1" si="23"/>
        <v>#NAME?</v>
      </c>
      <c r="N127" s="664" t="e">
        <f t="shared" ca="1" si="24"/>
        <v>#NAME?</v>
      </c>
      <c r="O127" s="140" t="e">
        <f t="shared" ca="1" si="7"/>
        <v>#NAME?</v>
      </c>
      <c r="P127" s="352" t="e">
        <f t="shared" ca="1" si="25"/>
        <v>#NAME?</v>
      </c>
      <c r="Q127" s="665" t="e">
        <f t="shared" ca="1" si="8"/>
        <v>#NAME?</v>
      </c>
      <c r="R127" s="352" t="e">
        <f t="shared" ca="1" si="65"/>
        <v>#NAME?</v>
      </c>
      <c r="S127" s="662" t="e">
        <f t="shared" ca="1" si="10"/>
        <v>#NAME?</v>
      </c>
      <c r="T127" s="443" t="e">
        <f t="shared" ca="1" si="1"/>
        <v>#NAME?</v>
      </c>
      <c r="U127" s="369" t="e">
        <f t="shared" ca="1" si="2"/>
        <v>#NAME?</v>
      </c>
      <c r="V127" s="454" t="e">
        <f t="shared" ca="1" si="11"/>
        <v>#NAME?</v>
      </c>
      <c r="W127" s="457">
        <f t="shared" si="12"/>
        <v>1000</v>
      </c>
      <c r="X127" s="463" t="e">
        <f t="shared" ca="1" si="13"/>
        <v>#NAME?</v>
      </c>
      <c r="Y127" s="455" t="e">
        <f t="shared" ca="1" si="26"/>
        <v>#NAME?</v>
      </c>
      <c r="Z127" s="699">
        <f t="shared" si="3"/>
        <v>10</v>
      </c>
      <c r="AA127" s="355" t="str">
        <f t="shared" si="4"/>
        <v>ON</v>
      </c>
      <c r="AB127" s="357">
        <f t="shared" si="66"/>
        <v>1.4999999999999999E-2</v>
      </c>
      <c r="AC127" s="356" t="e">
        <f ca="1">IF(  Y126=0,0,IF(OR(S127="KCAS",S127="INOP",S127="MEFE"),   ( (5*( (   (((1+0.2*(T127/661.4786)^2)^3.5 -1)  )/( (1-6.8755856*10^-6 *100*Y127)^5.2558797) +1)^(2/7) -1) )^0.5),IF(S127="MACH",T127, IF(S127="LRC",BicubicInterpolation( 'LRC Mach'!$C$4:$AL$21, Y127,U127),  IF(S127="MRC",BicubicInterpolation( 'MRC Mach'!$C$3:$T$18, Y127,U127),  IF(S127="M0.84",0.84,  IF(S127="CI52",BicubicInterpolation('CI=52 Mach'!$C$3:$T$18, Y127,U127),  IF(S127="HOLDING",BicubicInterpolation(  'Holding Mach'!$C$4:$M$13, Y127,U127),                         IF(S127="LRCINOP", BicubicInterpolation('LRC INOP Mach'!$C$4:$AA$21,Y127,U127), IF(S127="HOLDINGINOP",  BicubicInterpolation('Holding INOP Mach'!$N$4:$U$13,Y127,U127),         "XXX" )))))))   )))</f>
        <v>#NAME?</v>
      </c>
      <c r="AD127" s="313" t="e">
        <f t="shared" ca="1" si="67"/>
        <v>#NAME?</v>
      </c>
      <c r="AE127" s="314" t="e">
        <f t="shared" ca="1" si="28"/>
        <v>#NAME?</v>
      </c>
      <c r="AF127" s="313" t="e">
        <f t="shared" ca="1" si="68"/>
        <v>#NAME?</v>
      </c>
      <c r="AG127" s="314" t="e">
        <f t="shared" ca="1" si="29"/>
        <v>#NAME?</v>
      </c>
      <c r="AH127" s="313" t="e">
        <f t="shared" ca="1" si="69"/>
        <v>#NAME?</v>
      </c>
      <c r="AI127" s="314" t="e">
        <f t="shared" ca="1" si="31"/>
        <v>#NAME?</v>
      </c>
      <c r="AJ127" s="315" t="e">
        <f t="shared" ca="1" si="32"/>
        <v>#NAME?</v>
      </c>
      <c r="AK127" s="568" t="e">
        <f t="shared" ca="1" si="70"/>
        <v>#NAME?</v>
      </c>
      <c r="AL127" s="313" t="e">
        <f t="shared" ca="1" si="71"/>
        <v>#NAME?</v>
      </c>
      <c r="AM127" s="313" t="e">
        <f t="shared" ca="1" si="35"/>
        <v>#NAME?</v>
      </c>
      <c r="AN127" s="313" t="e">
        <f t="shared" ca="1" si="36"/>
        <v>#NAME?</v>
      </c>
      <c r="AO127" s="316" t="e">
        <f t="shared" ca="1" si="72"/>
        <v>#NAME?</v>
      </c>
      <c r="AP127" s="313" t="e">
        <f t="shared" ca="1" si="73"/>
        <v>#NAME?</v>
      </c>
      <c r="AQ127" s="314" t="e">
        <f t="shared" ca="1" si="39"/>
        <v>#NAME?</v>
      </c>
      <c r="AR127" s="315" t="e">
        <f t="shared" ca="1" si="74"/>
        <v>#NAME?</v>
      </c>
      <c r="AS127" s="316" t="e">
        <f t="shared" ca="1" si="75"/>
        <v>#NAME?</v>
      </c>
      <c r="AT127" s="315" t="e">
        <f t="shared" ca="1" si="76"/>
        <v>#NAME?</v>
      </c>
      <c r="AU127" s="317">
        <v>427.8</v>
      </c>
      <c r="AV127" s="315" t="e">
        <f t="shared" ca="1" si="77"/>
        <v>#NAME?</v>
      </c>
      <c r="AW127" s="318" t="e">
        <f ca="1">0.0001*BicubicInterpolation('Drag Coef Table'!$B$4:$L$28,AV127,AC127)</f>
        <v>#NAME?</v>
      </c>
      <c r="AX127" s="319" t="e">
        <f t="shared" ca="1" si="78"/>
        <v>#NAME?</v>
      </c>
      <c r="AY127" s="318" t="e">
        <f t="shared" ca="1" si="79"/>
        <v>#NAME?</v>
      </c>
      <c r="AZ127" s="320" t="e">
        <f t="shared" ca="1" si="80"/>
        <v>#NAME?</v>
      </c>
      <c r="BA127" s="321" t="e">
        <f t="shared" ca="1" si="81"/>
        <v>#NAME?</v>
      </c>
      <c r="BB127" s="322" t="e">
        <f t="shared" ca="1" si="82"/>
        <v>#NAME?</v>
      </c>
      <c r="BC127" s="323">
        <v>75.196700000000007</v>
      </c>
      <c r="BD127" s="324" t="e">
        <f t="shared" ca="1" si="83"/>
        <v>#NAME?</v>
      </c>
      <c r="BE127" s="325" t="e">
        <f t="shared" ca="1" si="84"/>
        <v>#NAME?</v>
      </c>
      <c r="BF127" s="324" t="e">
        <f ca="1">BicubicInterpolation('TSFC Eff Table'!$B$4:$E$69,2,BB127)</f>
        <v>#NAME?</v>
      </c>
      <c r="BG127" s="326" t="e">
        <f t="shared" ca="1" si="85"/>
        <v>#NAME?</v>
      </c>
      <c r="BH127" s="694" t="e">
        <f ca="1">IF( S127="LRCINOP",   (1+(0.03/10)*Z127*(1+0.2*AC127^2) )*BicubicInterpolation( 'LRC INOP FF'!$C$4:$AA$21, Y127, U127 )-200, IF(S127 ="HOLDINGINOP", (1+(0.03/10)*Z127*(1+0.2*AC127^2) )*BicubicInterpolation( 'Holding INOP FF'!$C$4:$J$13,  Y127,  U127)/1.05-200,   BA127*BG127))</f>
        <v>#NAME?</v>
      </c>
      <c r="BI127" s="344" t="e">
        <f t="shared" ca="1" si="15"/>
        <v>#NAME?</v>
      </c>
      <c r="BJ127" s="322" t="e">
        <f t="shared" ca="1" si="86"/>
        <v>#NAME?</v>
      </c>
      <c r="BK127" s="338" t="e">
        <f t="shared" ca="1" si="16"/>
        <v>#NAME?</v>
      </c>
      <c r="BL127" s="327" t="e">
        <f t="shared" ca="1" si="87"/>
        <v>#NAME?</v>
      </c>
      <c r="BM127" s="328">
        <f t="shared" si="88"/>
        <v>200</v>
      </c>
      <c r="BN127" s="329" t="e">
        <f t="shared" ca="1" si="89"/>
        <v>#NAME?</v>
      </c>
      <c r="BO127" s="344" t="e">
        <f t="shared" ca="1" si="17"/>
        <v>#NAME?</v>
      </c>
      <c r="BP127" s="320" t="e">
        <f t="shared" ca="1" si="90"/>
        <v>#NAME?</v>
      </c>
      <c r="BQ127" s="344" t="e">
        <f t="shared" ca="1" si="18"/>
        <v>#NAME?</v>
      </c>
      <c r="BR127" s="347" t="e">
        <f t="shared" ca="1" si="19"/>
        <v>#NAME?</v>
      </c>
      <c r="BS127" s="326" t="e">
        <f t="shared" ca="1" si="91"/>
        <v>#NAME?</v>
      </c>
      <c r="BT127" s="437" t="e">
        <f t="shared" ca="1" si="58"/>
        <v>#NAME?</v>
      </c>
      <c r="BU127" s="437" t="e">
        <f t="shared" ca="1" si="59"/>
        <v>#NAME?</v>
      </c>
      <c r="BV127" s="441" t="e">
        <f t="shared" ca="1" si="60"/>
        <v>#NAME?</v>
      </c>
      <c r="BW127" s="442" t="e">
        <f t="shared" ca="1" si="61"/>
        <v>#NAME?</v>
      </c>
      <c r="BX127" s="470" t="e">
        <f t="shared" ca="1" si="5"/>
        <v>#NAME?</v>
      </c>
      <c r="BY127" s="484" t="e">
        <f t="shared" ca="1" si="20"/>
        <v>#NAME?</v>
      </c>
    </row>
    <row r="128" spans="5:77" ht="17.75" customHeight="1" x14ac:dyDescent="0.2">
      <c r="E128" s="423"/>
      <c r="I128" s="366">
        <v>44</v>
      </c>
      <c r="J128" s="414">
        <f t="shared" si="21"/>
        <v>41705.743055555657</v>
      </c>
      <c r="K128" s="435" t="e">
        <f t="shared" ca="1" si="22"/>
        <v>#NAME?</v>
      </c>
      <c r="L128" s="435" t="e">
        <f t="shared" ca="1" si="0"/>
        <v>#NAME?</v>
      </c>
      <c r="M128" s="664" t="e">
        <f t="shared" ca="1" si="23"/>
        <v>#NAME?</v>
      </c>
      <c r="N128" s="664" t="e">
        <f t="shared" ca="1" si="24"/>
        <v>#NAME?</v>
      </c>
      <c r="O128" s="140" t="e">
        <f t="shared" ca="1" si="7"/>
        <v>#NAME?</v>
      </c>
      <c r="P128" s="352" t="e">
        <f t="shared" ca="1" si="25"/>
        <v>#NAME?</v>
      </c>
      <c r="Q128" s="665" t="e">
        <f t="shared" ca="1" si="8"/>
        <v>#NAME?</v>
      </c>
      <c r="R128" s="352" t="e">
        <f t="shared" ca="1" si="65"/>
        <v>#NAME?</v>
      </c>
      <c r="S128" s="662" t="e">
        <f t="shared" ca="1" si="10"/>
        <v>#NAME?</v>
      </c>
      <c r="T128" s="443" t="e">
        <f t="shared" ca="1" si="1"/>
        <v>#NAME?</v>
      </c>
      <c r="U128" s="369" t="e">
        <f t="shared" ca="1" si="2"/>
        <v>#NAME?</v>
      </c>
      <c r="V128" s="454" t="e">
        <f t="shared" ca="1" si="11"/>
        <v>#NAME?</v>
      </c>
      <c r="W128" s="457">
        <f t="shared" si="12"/>
        <v>1000</v>
      </c>
      <c r="X128" s="463" t="e">
        <f t="shared" ca="1" si="13"/>
        <v>#NAME?</v>
      </c>
      <c r="Y128" s="455" t="e">
        <f t="shared" ca="1" si="26"/>
        <v>#NAME?</v>
      </c>
      <c r="Z128" s="699">
        <f t="shared" si="3"/>
        <v>10</v>
      </c>
      <c r="AA128" s="355" t="str">
        <f t="shared" si="4"/>
        <v>ON</v>
      </c>
      <c r="AB128" s="357">
        <f t="shared" si="66"/>
        <v>1.4999999999999999E-2</v>
      </c>
      <c r="AC128" s="356" t="e">
        <f ca="1">IF(  Y127=0,0,IF(OR(S128="KCAS",S128="INOP",S128="MEFE"),   ( (5*( (   (((1+0.2*(T128/661.4786)^2)^3.5 -1)  )/( (1-6.8755856*10^-6 *100*Y128)^5.2558797) +1)^(2/7) -1) )^0.5),IF(S128="MACH",T128, IF(S128="LRC",BicubicInterpolation( 'LRC Mach'!$C$4:$AL$21, Y128,U128),  IF(S128="MRC",BicubicInterpolation( 'MRC Mach'!$C$3:$T$18, Y128,U128),  IF(S128="M0.84",0.84,  IF(S128="CI52",BicubicInterpolation('CI=52 Mach'!$C$3:$T$18, Y128,U128),  IF(S128="HOLDING",BicubicInterpolation(  'Holding Mach'!$C$4:$M$13, Y128,U128),                         IF(S128="LRCINOP", BicubicInterpolation('LRC INOP Mach'!$C$4:$AA$21,Y128,U128), IF(S128="HOLDINGINOP",  BicubicInterpolation('Holding INOP Mach'!$N$4:$U$13,Y128,U128),         "XXX" )))))))   )))</f>
        <v>#NAME?</v>
      </c>
      <c r="AD128" s="313" t="e">
        <f t="shared" ca="1" si="67"/>
        <v>#NAME?</v>
      </c>
      <c r="AE128" s="314" t="e">
        <f t="shared" ca="1" si="28"/>
        <v>#NAME?</v>
      </c>
      <c r="AF128" s="313" t="e">
        <f t="shared" ca="1" si="68"/>
        <v>#NAME?</v>
      </c>
      <c r="AG128" s="314" t="e">
        <f t="shared" ca="1" si="29"/>
        <v>#NAME?</v>
      </c>
      <c r="AH128" s="313" t="e">
        <f t="shared" ca="1" si="69"/>
        <v>#NAME?</v>
      </c>
      <c r="AI128" s="314" t="e">
        <f t="shared" ca="1" si="31"/>
        <v>#NAME?</v>
      </c>
      <c r="AJ128" s="315" t="e">
        <f t="shared" ca="1" si="32"/>
        <v>#NAME?</v>
      </c>
      <c r="AK128" s="568" t="e">
        <f t="shared" ca="1" si="70"/>
        <v>#NAME?</v>
      </c>
      <c r="AL128" s="313" t="e">
        <f t="shared" ca="1" si="71"/>
        <v>#NAME?</v>
      </c>
      <c r="AM128" s="313" t="e">
        <f t="shared" ca="1" si="35"/>
        <v>#NAME?</v>
      </c>
      <c r="AN128" s="313" t="e">
        <f t="shared" ca="1" si="36"/>
        <v>#NAME?</v>
      </c>
      <c r="AO128" s="316" t="e">
        <f t="shared" ca="1" si="72"/>
        <v>#NAME?</v>
      </c>
      <c r="AP128" s="313" t="e">
        <f t="shared" ca="1" si="73"/>
        <v>#NAME?</v>
      </c>
      <c r="AQ128" s="314" t="e">
        <f t="shared" ca="1" si="39"/>
        <v>#NAME?</v>
      </c>
      <c r="AR128" s="315" t="e">
        <f t="shared" ca="1" si="74"/>
        <v>#NAME?</v>
      </c>
      <c r="AS128" s="316" t="e">
        <f t="shared" ca="1" si="75"/>
        <v>#NAME?</v>
      </c>
      <c r="AT128" s="315" t="e">
        <f t="shared" ca="1" si="76"/>
        <v>#NAME?</v>
      </c>
      <c r="AU128" s="317">
        <v>427.8</v>
      </c>
      <c r="AV128" s="315" t="e">
        <f t="shared" ca="1" si="77"/>
        <v>#NAME?</v>
      </c>
      <c r="AW128" s="318" t="e">
        <f ca="1">0.0001*BicubicInterpolation('Drag Coef Table'!$B$4:$L$28,AV128,AC128)</f>
        <v>#NAME?</v>
      </c>
      <c r="AX128" s="319" t="e">
        <f t="shared" ca="1" si="78"/>
        <v>#NAME?</v>
      </c>
      <c r="AY128" s="318" t="e">
        <f t="shared" ca="1" si="79"/>
        <v>#NAME?</v>
      </c>
      <c r="AZ128" s="320" t="e">
        <f t="shared" ca="1" si="80"/>
        <v>#NAME?</v>
      </c>
      <c r="BA128" s="321" t="e">
        <f t="shared" ca="1" si="81"/>
        <v>#NAME?</v>
      </c>
      <c r="BB128" s="322" t="e">
        <f t="shared" ca="1" si="82"/>
        <v>#NAME?</v>
      </c>
      <c r="BC128" s="323">
        <v>75.196700000000007</v>
      </c>
      <c r="BD128" s="324" t="e">
        <f t="shared" ca="1" si="83"/>
        <v>#NAME?</v>
      </c>
      <c r="BE128" s="325" t="e">
        <f t="shared" ca="1" si="84"/>
        <v>#NAME?</v>
      </c>
      <c r="BF128" s="324" t="e">
        <f ca="1">BicubicInterpolation('TSFC Eff Table'!$B$4:$E$69,2,BB128)</f>
        <v>#NAME?</v>
      </c>
      <c r="BG128" s="326" t="e">
        <f t="shared" ca="1" si="85"/>
        <v>#NAME?</v>
      </c>
      <c r="BH128" s="694" t="e">
        <f ca="1">IF( S128="LRCINOP",   (1+(0.03/10)*Z128*(1+0.2*AC128^2) )*BicubicInterpolation( 'LRC INOP FF'!$C$4:$AA$21, Y128, U128 )-200, IF(S128 ="HOLDINGINOP", (1+(0.03/10)*Z128*(1+0.2*AC128^2) )*BicubicInterpolation( 'Holding INOP FF'!$C$4:$J$13,  Y128,  U128)/1.05-200,   BA128*BG128))</f>
        <v>#NAME?</v>
      </c>
      <c r="BI128" s="344" t="e">
        <f t="shared" ca="1" si="15"/>
        <v>#NAME?</v>
      </c>
      <c r="BJ128" s="322" t="e">
        <f t="shared" ca="1" si="86"/>
        <v>#NAME?</v>
      </c>
      <c r="BK128" s="338" t="e">
        <f t="shared" ca="1" si="16"/>
        <v>#NAME?</v>
      </c>
      <c r="BL128" s="327" t="e">
        <f t="shared" ca="1" si="87"/>
        <v>#NAME?</v>
      </c>
      <c r="BM128" s="328">
        <f t="shared" si="88"/>
        <v>200</v>
      </c>
      <c r="BN128" s="329" t="e">
        <f t="shared" ca="1" si="89"/>
        <v>#NAME?</v>
      </c>
      <c r="BO128" s="344" t="e">
        <f t="shared" ca="1" si="17"/>
        <v>#NAME?</v>
      </c>
      <c r="BP128" s="320" t="e">
        <f t="shared" ca="1" si="90"/>
        <v>#NAME?</v>
      </c>
      <c r="BQ128" s="344" t="e">
        <f t="shared" ca="1" si="18"/>
        <v>#NAME?</v>
      </c>
      <c r="BR128" s="347" t="e">
        <f t="shared" ca="1" si="19"/>
        <v>#NAME?</v>
      </c>
      <c r="BS128" s="326" t="e">
        <f t="shared" ca="1" si="91"/>
        <v>#NAME?</v>
      </c>
      <c r="BT128" s="437" t="e">
        <f t="shared" ca="1" si="58"/>
        <v>#NAME?</v>
      </c>
      <c r="BU128" s="437" t="e">
        <f t="shared" ca="1" si="59"/>
        <v>#NAME?</v>
      </c>
      <c r="BV128" s="441" t="e">
        <f t="shared" ca="1" si="60"/>
        <v>#NAME?</v>
      </c>
      <c r="BW128" s="442" t="e">
        <f t="shared" ca="1" si="61"/>
        <v>#NAME?</v>
      </c>
      <c r="BX128" s="470" t="e">
        <f t="shared" ca="1" si="5"/>
        <v>#NAME?</v>
      </c>
      <c r="BY128" s="484" t="e">
        <f t="shared" ca="1" si="20"/>
        <v>#NAME?</v>
      </c>
    </row>
    <row r="129" spans="5:77" ht="17.75" customHeight="1" x14ac:dyDescent="0.2">
      <c r="E129" s="423"/>
      <c r="I129" s="366">
        <v>45</v>
      </c>
      <c r="J129" s="414">
        <f t="shared" si="21"/>
        <v>41705.743750000103</v>
      </c>
      <c r="K129" s="435" t="e">
        <f t="shared" ca="1" si="22"/>
        <v>#NAME?</v>
      </c>
      <c r="L129" s="435" t="e">
        <f t="shared" ca="1" si="0"/>
        <v>#NAME?</v>
      </c>
      <c r="M129" s="664" t="e">
        <f t="shared" ca="1" si="23"/>
        <v>#NAME?</v>
      </c>
      <c r="N129" s="664" t="e">
        <f t="shared" ca="1" si="24"/>
        <v>#NAME?</v>
      </c>
      <c r="O129" s="140" t="e">
        <f t="shared" ca="1" si="7"/>
        <v>#NAME?</v>
      </c>
      <c r="P129" s="352" t="e">
        <f t="shared" ca="1" si="25"/>
        <v>#NAME?</v>
      </c>
      <c r="Q129" s="665" t="e">
        <f t="shared" ca="1" si="8"/>
        <v>#NAME?</v>
      </c>
      <c r="R129" s="352" t="e">
        <f t="shared" ca="1" si="65"/>
        <v>#NAME?</v>
      </c>
      <c r="S129" s="662" t="e">
        <f t="shared" ca="1" si="10"/>
        <v>#NAME?</v>
      </c>
      <c r="T129" s="443" t="e">
        <f t="shared" ca="1" si="1"/>
        <v>#NAME?</v>
      </c>
      <c r="U129" s="369" t="e">
        <f t="shared" ca="1" si="2"/>
        <v>#NAME?</v>
      </c>
      <c r="V129" s="454" t="e">
        <f t="shared" ca="1" si="11"/>
        <v>#NAME?</v>
      </c>
      <c r="W129" s="457">
        <f t="shared" si="12"/>
        <v>1000</v>
      </c>
      <c r="X129" s="463" t="e">
        <f t="shared" ca="1" si="13"/>
        <v>#NAME?</v>
      </c>
      <c r="Y129" s="455" t="e">
        <f t="shared" ca="1" si="26"/>
        <v>#NAME?</v>
      </c>
      <c r="Z129" s="699">
        <f t="shared" si="3"/>
        <v>10</v>
      </c>
      <c r="AA129" s="355" t="str">
        <f t="shared" si="4"/>
        <v>ON</v>
      </c>
      <c r="AB129" s="357">
        <f t="shared" si="66"/>
        <v>1.4999999999999999E-2</v>
      </c>
      <c r="AC129" s="356" t="e">
        <f ca="1">IF(  Y128=0,0,IF(OR(S129="KCAS",S129="INOP",S129="MEFE"),   ( (5*( (   (((1+0.2*(T129/661.4786)^2)^3.5 -1)  )/( (1-6.8755856*10^-6 *100*Y129)^5.2558797) +1)^(2/7) -1) )^0.5),IF(S129="MACH",T129, IF(S129="LRC",BicubicInterpolation( 'LRC Mach'!$C$4:$AL$21, Y129,U129),  IF(S129="MRC",BicubicInterpolation( 'MRC Mach'!$C$3:$T$18, Y129,U129),  IF(S129="M0.84",0.84,  IF(S129="CI52",BicubicInterpolation('CI=52 Mach'!$C$3:$T$18, Y129,U129),  IF(S129="HOLDING",BicubicInterpolation(  'Holding Mach'!$C$4:$M$13, Y129,U129),                         IF(S129="LRCINOP", BicubicInterpolation('LRC INOP Mach'!$C$4:$AA$21,Y129,U129), IF(S129="HOLDINGINOP",  BicubicInterpolation('Holding INOP Mach'!$N$4:$U$13,Y129,U129),         "XXX" )))))))   )))</f>
        <v>#NAME?</v>
      </c>
      <c r="AD129" s="313" t="e">
        <f t="shared" ca="1" si="67"/>
        <v>#NAME?</v>
      </c>
      <c r="AE129" s="314" t="e">
        <f t="shared" ca="1" si="28"/>
        <v>#NAME?</v>
      </c>
      <c r="AF129" s="313" t="e">
        <f t="shared" ca="1" si="68"/>
        <v>#NAME?</v>
      </c>
      <c r="AG129" s="314" t="e">
        <f t="shared" ca="1" si="29"/>
        <v>#NAME?</v>
      </c>
      <c r="AH129" s="313" t="e">
        <f t="shared" ca="1" si="69"/>
        <v>#NAME?</v>
      </c>
      <c r="AI129" s="314" t="e">
        <f t="shared" ca="1" si="31"/>
        <v>#NAME?</v>
      </c>
      <c r="AJ129" s="315" t="e">
        <f t="shared" ca="1" si="32"/>
        <v>#NAME?</v>
      </c>
      <c r="AK129" s="568" t="e">
        <f t="shared" ca="1" si="70"/>
        <v>#NAME?</v>
      </c>
      <c r="AL129" s="313" t="e">
        <f t="shared" ca="1" si="71"/>
        <v>#NAME?</v>
      </c>
      <c r="AM129" s="313" t="e">
        <f t="shared" ca="1" si="35"/>
        <v>#NAME?</v>
      </c>
      <c r="AN129" s="313" t="e">
        <f t="shared" ca="1" si="36"/>
        <v>#NAME?</v>
      </c>
      <c r="AO129" s="316" t="e">
        <f t="shared" ca="1" si="72"/>
        <v>#NAME?</v>
      </c>
      <c r="AP129" s="313" t="e">
        <f t="shared" ca="1" si="73"/>
        <v>#NAME?</v>
      </c>
      <c r="AQ129" s="314" t="e">
        <f t="shared" ca="1" si="39"/>
        <v>#NAME?</v>
      </c>
      <c r="AR129" s="315" t="e">
        <f t="shared" ca="1" si="74"/>
        <v>#NAME?</v>
      </c>
      <c r="AS129" s="316" t="e">
        <f t="shared" ca="1" si="75"/>
        <v>#NAME?</v>
      </c>
      <c r="AT129" s="315" t="e">
        <f t="shared" ca="1" si="76"/>
        <v>#NAME?</v>
      </c>
      <c r="AU129" s="317">
        <v>427.8</v>
      </c>
      <c r="AV129" s="315" t="e">
        <f t="shared" ca="1" si="77"/>
        <v>#NAME?</v>
      </c>
      <c r="AW129" s="318" t="e">
        <f ca="1">0.0001*BicubicInterpolation('Drag Coef Table'!$B$4:$L$28,AV129,AC129)</f>
        <v>#NAME?</v>
      </c>
      <c r="AX129" s="319" t="e">
        <f t="shared" ca="1" si="78"/>
        <v>#NAME?</v>
      </c>
      <c r="AY129" s="318" t="e">
        <f t="shared" ca="1" si="79"/>
        <v>#NAME?</v>
      </c>
      <c r="AZ129" s="320" t="e">
        <f t="shared" ca="1" si="80"/>
        <v>#NAME?</v>
      </c>
      <c r="BA129" s="321" t="e">
        <f t="shared" ca="1" si="81"/>
        <v>#NAME?</v>
      </c>
      <c r="BB129" s="322" t="e">
        <f t="shared" ca="1" si="82"/>
        <v>#NAME?</v>
      </c>
      <c r="BC129" s="323">
        <v>75.196700000000007</v>
      </c>
      <c r="BD129" s="324" t="e">
        <f t="shared" ca="1" si="83"/>
        <v>#NAME?</v>
      </c>
      <c r="BE129" s="325" t="e">
        <f t="shared" ca="1" si="84"/>
        <v>#NAME?</v>
      </c>
      <c r="BF129" s="324" t="e">
        <f ca="1">BicubicInterpolation('TSFC Eff Table'!$B$4:$E$69,2,BB129)</f>
        <v>#NAME?</v>
      </c>
      <c r="BG129" s="326" t="e">
        <f t="shared" ca="1" si="85"/>
        <v>#NAME?</v>
      </c>
      <c r="BH129" s="694" t="e">
        <f ca="1">IF( S129="LRCINOP",   (1+(0.03/10)*Z129*(1+0.2*AC129^2) )*BicubicInterpolation( 'LRC INOP FF'!$C$4:$AA$21, Y129, U129 )-200, IF(S129 ="HOLDINGINOP", (1+(0.03/10)*Z129*(1+0.2*AC129^2) )*BicubicInterpolation( 'Holding INOP FF'!$C$4:$J$13,  Y129,  U129)/1.05-200,   BA129*BG129))</f>
        <v>#NAME?</v>
      </c>
      <c r="BI129" s="344" t="e">
        <f t="shared" ca="1" si="15"/>
        <v>#NAME?</v>
      </c>
      <c r="BJ129" s="322" t="e">
        <f t="shared" ca="1" si="86"/>
        <v>#NAME?</v>
      </c>
      <c r="BK129" s="338" t="e">
        <f t="shared" ca="1" si="16"/>
        <v>#NAME?</v>
      </c>
      <c r="BL129" s="327" t="e">
        <f t="shared" ca="1" si="87"/>
        <v>#NAME?</v>
      </c>
      <c r="BM129" s="328">
        <f t="shared" si="88"/>
        <v>200</v>
      </c>
      <c r="BN129" s="329" t="e">
        <f t="shared" ca="1" si="89"/>
        <v>#NAME?</v>
      </c>
      <c r="BO129" s="344" t="e">
        <f t="shared" ca="1" si="17"/>
        <v>#NAME?</v>
      </c>
      <c r="BP129" s="320" t="e">
        <f t="shared" ca="1" si="90"/>
        <v>#NAME?</v>
      </c>
      <c r="BQ129" s="344" t="e">
        <f t="shared" ca="1" si="18"/>
        <v>#NAME?</v>
      </c>
      <c r="BR129" s="347" t="e">
        <f t="shared" ca="1" si="19"/>
        <v>#NAME?</v>
      </c>
      <c r="BS129" s="326" t="e">
        <f t="shared" ca="1" si="91"/>
        <v>#NAME?</v>
      </c>
      <c r="BT129" s="437" t="e">
        <f t="shared" ca="1" si="58"/>
        <v>#NAME?</v>
      </c>
      <c r="BU129" s="437" t="e">
        <f t="shared" ca="1" si="59"/>
        <v>#NAME?</v>
      </c>
      <c r="BV129" s="441" t="e">
        <f t="shared" ca="1" si="60"/>
        <v>#NAME?</v>
      </c>
      <c r="BW129" s="442" t="e">
        <f t="shared" ca="1" si="61"/>
        <v>#NAME?</v>
      </c>
      <c r="BX129" s="470" t="e">
        <f t="shared" ca="1" si="5"/>
        <v>#NAME?</v>
      </c>
      <c r="BY129" s="484" t="e">
        <f t="shared" ca="1" si="20"/>
        <v>#NAME?</v>
      </c>
    </row>
    <row r="130" spans="5:77" ht="17.75" customHeight="1" x14ac:dyDescent="0.2">
      <c r="E130" s="423"/>
      <c r="I130" s="366">
        <v>46</v>
      </c>
      <c r="J130" s="414">
        <f t="shared" si="21"/>
        <v>41705.74444444455</v>
      </c>
      <c r="K130" s="435" t="e">
        <f t="shared" ca="1" si="22"/>
        <v>#NAME?</v>
      </c>
      <c r="L130" s="435" t="e">
        <f t="shared" ca="1" si="0"/>
        <v>#NAME?</v>
      </c>
      <c r="M130" s="664" t="e">
        <f t="shared" ca="1" si="23"/>
        <v>#NAME?</v>
      </c>
      <c r="N130" s="664" t="e">
        <f t="shared" ca="1" si="24"/>
        <v>#NAME?</v>
      </c>
      <c r="O130" s="140" t="e">
        <f t="shared" ca="1" si="7"/>
        <v>#NAME?</v>
      </c>
      <c r="P130" s="352" t="e">
        <f t="shared" ca="1" si="25"/>
        <v>#NAME?</v>
      </c>
      <c r="Q130" s="665" t="e">
        <f t="shared" ca="1" si="8"/>
        <v>#NAME?</v>
      </c>
      <c r="R130" s="352" t="e">
        <f t="shared" ca="1" si="65"/>
        <v>#NAME?</v>
      </c>
      <c r="S130" s="662" t="e">
        <f t="shared" ca="1" si="10"/>
        <v>#NAME?</v>
      </c>
      <c r="T130" s="443" t="e">
        <f t="shared" ca="1" si="1"/>
        <v>#NAME?</v>
      </c>
      <c r="U130" s="369" t="e">
        <f t="shared" ca="1" si="2"/>
        <v>#NAME?</v>
      </c>
      <c r="V130" s="454" t="e">
        <f t="shared" ca="1" si="11"/>
        <v>#NAME?</v>
      </c>
      <c r="W130" s="457">
        <f t="shared" si="12"/>
        <v>1000</v>
      </c>
      <c r="X130" s="463" t="e">
        <f t="shared" ca="1" si="13"/>
        <v>#NAME?</v>
      </c>
      <c r="Y130" s="455" t="e">
        <f t="shared" ca="1" si="26"/>
        <v>#NAME?</v>
      </c>
      <c r="Z130" s="699">
        <f t="shared" si="3"/>
        <v>10</v>
      </c>
      <c r="AA130" s="355" t="str">
        <f t="shared" si="4"/>
        <v>ON</v>
      </c>
      <c r="AB130" s="357">
        <f t="shared" si="66"/>
        <v>1.4999999999999999E-2</v>
      </c>
      <c r="AC130" s="356" t="e">
        <f ca="1">IF(  Y129=0,0,IF(OR(S130="KCAS",S130="INOP",S130="MEFE"),   ( (5*( (   (((1+0.2*(T130/661.4786)^2)^3.5 -1)  )/( (1-6.8755856*10^-6 *100*Y130)^5.2558797) +1)^(2/7) -1) )^0.5),IF(S130="MACH",T130, IF(S130="LRC",BicubicInterpolation( 'LRC Mach'!$C$4:$AL$21, Y130,U130),  IF(S130="MRC",BicubicInterpolation( 'MRC Mach'!$C$3:$T$18, Y130,U130),  IF(S130="M0.84",0.84,  IF(S130="CI52",BicubicInterpolation('CI=52 Mach'!$C$3:$T$18, Y130,U130),  IF(S130="HOLDING",BicubicInterpolation(  'Holding Mach'!$C$4:$M$13, Y130,U130),                         IF(S130="LRCINOP", BicubicInterpolation('LRC INOP Mach'!$C$4:$AA$21,Y130,U130), IF(S130="HOLDINGINOP",  BicubicInterpolation('Holding INOP Mach'!$N$4:$U$13,Y130,U130),         "XXX" )))))))   )))</f>
        <v>#NAME?</v>
      </c>
      <c r="AD130" s="313" t="e">
        <f t="shared" ca="1" si="67"/>
        <v>#NAME?</v>
      </c>
      <c r="AE130" s="314" t="e">
        <f t="shared" ca="1" si="28"/>
        <v>#NAME?</v>
      </c>
      <c r="AF130" s="313" t="e">
        <f t="shared" ca="1" si="68"/>
        <v>#NAME?</v>
      </c>
      <c r="AG130" s="314" t="e">
        <f t="shared" ca="1" si="29"/>
        <v>#NAME?</v>
      </c>
      <c r="AH130" s="313" t="e">
        <f t="shared" ca="1" si="69"/>
        <v>#NAME?</v>
      </c>
      <c r="AI130" s="314" t="e">
        <f t="shared" ca="1" si="31"/>
        <v>#NAME?</v>
      </c>
      <c r="AJ130" s="315" t="e">
        <f t="shared" ca="1" si="32"/>
        <v>#NAME?</v>
      </c>
      <c r="AK130" s="568" t="e">
        <f t="shared" ca="1" si="70"/>
        <v>#NAME?</v>
      </c>
      <c r="AL130" s="313" t="e">
        <f t="shared" ca="1" si="71"/>
        <v>#NAME?</v>
      </c>
      <c r="AM130" s="313" t="e">
        <f t="shared" ca="1" si="35"/>
        <v>#NAME?</v>
      </c>
      <c r="AN130" s="313" t="e">
        <f t="shared" ca="1" si="36"/>
        <v>#NAME?</v>
      </c>
      <c r="AO130" s="316" t="e">
        <f t="shared" ca="1" si="72"/>
        <v>#NAME?</v>
      </c>
      <c r="AP130" s="313" t="e">
        <f t="shared" ca="1" si="73"/>
        <v>#NAME?</v>
      </c>
      <c r="AQ130" s="314" t="e">
        <f t="shared" ca="1" si="39"/>
        <v>#NAME?</v>
      </c>
      <c r="AR130" s="315" t="e">
        <f t="shared" ca="1" si="74"/>
        <v>#NAME?</v>
      </c>
      <c r="AS130" s="316" t="e">
        <f t="shared" ca="1" si="75"/>
        <v>#NAME?</v>
      </c>
      <c r="AT130" s="315" t="e">
        <f t="shared" ca="1" si="76"/>
        <v>#NAME?</v>
      </c>
      <c r="AU130" s="317">
        <v>427.8</v>
      </c>
      <c r="AV130" s="315" t="e">
        <f t="shared" ca="1" si="77"/>
        <v>#NAME?</v>
      </c>
      <c r="AW130" s="318" t="e">
        <f ca="1">0.0001*BicubicInterpolation('Drag Coef Table'!$B$4:$L$28,AV130,AC130)</f>
        <v>#NAME?</v>
      </c>
      <c r="AX130" s="319" t="e">
        <f t="shared" ca="1" si="78"/>
        <v>#NAME?</v>
      </c>
      <c r="AY130" s="318" t="e">
        <f t="shared" ca="1" si="79"/>
        <v>#NAME?</v>
      </c>
      <c r="AZ130" s="320" t="e">
        <f t="shared" ca="1" si="80"/>
        <v>#NAME?</v>
      </c>
      <c r="BA130" s="321" t="e">
        <f t="shared" ca="1" si="81"/>
        <v>#NAME?</v>
      </c>
      <c r="BB130" s="322" t="e">
        <f t="shared" ca="1" si="82"/>
        <v>#NAME?</v>
      </c>
      <c r="BC130" s="323">
        <v>75.196700000000007</v>
      </c>
      <c r="BD130" s="324" t="e">
        <f t="shared" ca="1" si="83"/>
        <v>#NAME?</v>
      </c>
      <c r="BE130" s="325" t="e">
        <f t="shared" ca="1" si="84"/>
        <v>#NAME?</v>
      </c>
      <c r="BF130" s="324" t="e">
        <f ca="1">BicubicInterpolation('TSFC Eff Table'!$B$4:$E$69,2,BB130)</f>
        <v>#NAME?</v>
      </c>
      <c r="BG130" s="326" t="e">
        <f t="shared" ca="1" si="85"/>
        <v>#NAME?</v>
      </c>
      <c r="BH130" s="694" t="e">
        <f ca="1">IF( S130="LRCINOP",   (1+(0.03/10)*Z130*(1+0.2*AC130^2) )*BicubicInterpolation( 'LRC INOP FF'!$C$4:$AA$21, Y130, U130 )-200, IF(S130 ="HOLDINGINOP", (1+(0.03/10)*Z130*(1+0.2*AC130^2) )*BicubicInterpolation( 'Holding INOP FF'!$C$4:$J$13,  Y130,  U130)/1.05-200,   BA130*BG130))</f>
        <v>#NAME?</v>
      </c>
      <c r="BI130" s="344" t="e">
        <f t="shared" ca="1" si="15"/>
        <v>#NAME?</v>
      </c>
      <c r="BJ130" s="322" t="e">
        <f t="shared" ca="1" si="86"/>
        <v>#NAME?</v>
      </c>
      <c r="BK130" s="338" t="e">
        <f t="shared" ca="1" si="16"/>
        <v>#NAME?</v>
      </c>
      <c r="BL130" s="327" t="e">
        <f t="shared" ca="1" si="87"/>
        <v>#NAME?</v>
      </c>
      <c r="BM130" s="328">
        <f t="shared" si="88"/>
        <v>200</v>
      </c>
      <c r="BN130" s="329" t="e">
        <f t="shared" ca="1" si="89"/>
        <v>#NAME?</v>
      </c>
      <c r="BO130" s="344" t="e">
        <f t="shared" ca="1" si="17"/>
        <v>#NAME?</v>
      </c>
      <c r="BP130" s="320" t="e">
        <f t="shared" ca="1" si="90"/>
        <v>#NAME?</v>
      </c>
      <c r="BQ130" s="344" t="e">
        <f t="shared" ca="1" si="18"/>
        <v>#NAME?</v>
      </c>
      <c r="BR130" s="347" t="e">
        <f t="shared" ca="1" si="19"/>
        <v>#NAME?</v>
      </c>
      <c r="BS130" s="326" t="e">
        <f t="shared" ca="1" si="91"/>
        <v>#NAME?</v>
      </c>
      <c r="BT130" s="437" t="e">
        <f t="shared" ca="1" si="58"/>
        <v>#NAME?</v>
      </c>
      <c r="BU130" s="437" t="e">
        <f t="shared" ca="1" si="59"/>
        <v>#NAME?</v>
      </c>
      <c r="BV130" s="441" t="e">
        <f t="shared" ca="1" si="60"/>
        <v>#NAME?</v>
      </c>
      <c r="BW130" s="442" t="e">
        <f t="shared" ca="1" si="61"/>
        <v>#NAME?</v>
      </c>
      <c r="BX130" s="470" t="e">
        <f t="shared" ca="1" si="5"/>
        <v>#NAME?</v>
      </c>
      <c r="BY130" s="484" t="e">
        <f t="shared" ca="1" si="20"/>
        <v>#NAME?</v>
      </c>
    </row>
    <row r="131" spans="5:77" ht="17.75" customHeight="1" x14ac:dyDescent="0.2">
      <c r="E131" s="423"/>
      <c r="I131" s="366">
        <v>47</v>
      </c>
      <c r="J131" s="414">
        <f t="shared" si="21"/>
        <v>41705.745138888997</v>
      </c>
      <c r="K131" s="435" t="e">
        <f t="shared" ca="1" si="22"/>
        <v>#NAME?</v>
      </c>
      <c r="L131" s="435" t="e">
        <f t="shared" ca="1" si="0"/>
        <v>#NAME?</v>
      </c>
      <c r="M131" s="664" t="e">
        <f t="shared" ca="1" si="23"/>
        <v>#NAME?</v>
      </c>
      <c r="N131" s="664" t="e">
        <f t="shared" ca="1" si="24"/>
        <v>#NAME?</v>
      </c>
      <c r="O131" s="140" t="e">
        <f t="shared" ca="1" si="7"/>
        <v>#NAME?</v>
      </c>
      <c r="P131" s="352" t="e">
        <f t="shared" ca="1" si="25"/>
        <v>#NAME?</v>
      </c>
      <c r="Q131" s="665" t="e">
        <f t="shared" ca="1" si="8"/>
        <v>#NAME?</v>
      </c>
      <c r="R131" s="352" t="e">
        <f t="shared" ca="1" si="65"/>
        <v>#NAME?</v>
      </c>
      <c r="S131" s="662" t="e">
        <f t="shared" ca="1" si="10"/>
        <v>#NAME?</v>
      </c>
      <c r="T131" s="443" t="e">
        <f t="shared" ca="1" si="1"/>
        <v>#NAME?</v>
      </c>
      <c r="U131" s="369" t="e">
        <f t="shared" ca="1" si="2"/>
        <v>#NAME?</v>
      </c>
      <c r="V131" s="454" t="e">
        <f t="shared" ca="1" si="11"/>
        <v>#NAME?</v>
      </c>
      <c r="W131" s="457">
        <f t="shared" si="12"/>
        <v>1000</v>
      </c>
      <c r="X131" s="463" t="e">
        <f t="shared" ca="1" si="13"/>
        <v>#NAME?</v>
      </c>
      <c r="Y131" s="455" t="e">
        <f t="shared" ca="1" si="26"/>
        <v>#NAME?</v>
      </c>
      <c r="Z131" s="699">
        <f t="shared" si="3"/>
        <v>10</v>
      </c>
      <c r="AA131" s="355" t="str">
        <f t="shared" si="4"/>
        <v>ON</v>
      </c>
      <c r="AB131" s="357">
        <f t="shared" si="66"/>
        <v>1.4999999999999999E-2</v>
      </c>
      <c r="AC131" s="356" t="e">
        <f ca="1">IF(  Y130=0,0,IF(OR(S131="KCAS",S131="INOP",S131="MEFE"),   ( (5*( (   (((1+0.2*(T131/661.4786)^2)^3.5 -1)  )/( (1-6.8755856*10^-6 *100*Y131)^5.2558797) +1)^(2/7) -1) )^0.5),IF(S131="MACH",T131, IF(S131="LRC",BicubicInterpolation( 'LRC Mach'!$C$4:$AL$21, Y131,U131),  IF(S131="MRC",BicubicInterpolation( 'MRC Mach'!$C$3:$T$18, Y131,U131),  IF(S131="M0.84",0.84,  IF(S131="CI52",BicubicInterpolation('CI=52 Mach'!$C$3:$T$18, Y131,U131),  IF(S131="HOLDING",BicubicInterpolation(  'Holding Mach'!$C$4:$M$13, Y131,U131),                         IF(S131="LRCINOP", BicubicInterpolation('LRC INOP Mach'!$C$4:$AA$21,Y131,U131), IF(S131="HOLDINGINOP",  BicubicInterpolation('Holding INOP Mach'!$N$4:$U$13,Y131,U131),         "XXX" )))))))   )))</f>
        <v>#NAME?</v>
      </c>
      <c r="AD131" s="313" t="e">
        <f t="shared" ca="1" si="67"/>
        <v>#NAME?</v>
      </c>
      <c r="AE131" s="314" t="e">
        <f t="shared" ca="1" si="28"/>
        <v>#NAME?</v>
      </c>
      <c r="AF131" s="313" t="e">
        <f t="shared" ca="1" si="68"/>
        <v>#NAME?</v>
      </c>
      <c r="AG131" s="314" t="e">
        <f t="shared" ca="1" si="29"/>
        <v>#NAME?</v>
      </c>
      <c r="AH131" s="313" t="e">
        <f t="shared" ca="1" si="69"/>
        <v>#NAME?</v>
      </c>
      <c r="AI131" s="314" t="e">
        <f t="shared" ca="1" si="31"/>
        <v>#NAME?</v>
      </c>
      <c r="AJ131" s="315" t="e">
        <f t="shared" ca="1" si="32"/>
        <v>#NAME?</v>
      </c>
      <c r="AK131" s="568" t="e">
        <f t="shared" ca="1" si="70"/>
        <v>#NAME?</v>
      </c>
      <c r="AL131" s="313" t="e">
        <f t="shared" ca="1" si="71"/>
        <v>#NAME?</v>
      </c>
      <c r="AM131" s="313" t="e">
        <f t="shared" ca="1" si="35"/>
        <v>#NAME?</v>
      </c>
      <c r="AN131" s="313" t="e">
        <f t="shared" ca="1" si="36"/>
        <v>#NAME?</v>
      </c>
      <c r="AO131" s="316" t="e">
        <f t="shared" ca="1" si="72"/>
        <v>#NAME?</v>
      </c>
      <c r="AP131" s="313" t="e">
        <f t="shared" ca="1" si="73"/>
        <v>#NAME?</v>
      </c>
      <c r="AQ131" s="314" t="e">
        <f t="shared" ca="1" si="39"/>
        <v>#NAME?</v>
      </c>
      <c r="AR131" s="315" t="e">
        <f t="shared" ca="1" si="74"/>
        <v>#NAME?</v>
      </c>
      <c r="AS131" s="316" t="e">
        <f t="shared" ca="1" si="75"/>
        <v>#NAME?</v>
      </c>
      <c r="AT131" s="315" t="e">
        <f t="shared" ca="1" si="76"/>
        <v>#NAME?</v>
      </c>
      <c r="AU131" s="317">
        <v>427.8</v>
      </c>
      <c r="AV131" s="315" t="e">
        <f t="shared" ca="1" si="77"/>
        <v>#NAME?</v>
      </c>
      <c r="AW131" s="318" t="e">
        <f ca="1">0.0001*BicubicInterpolation('Drag Coef Table'!$B$4:$L$28,AV131,AC131)</f>
        <v>#NAME?</v>
      </c>
      <c r="AX131" s="319" t="e">
        <f t="shared" ca="1" si="78"/>
        <v>#NAME?</v>
      </c>
      <c r="AY131" s="318" t="e">
        <f t="shared" ca="1" si="79"/>
        <v>#NAME?</v>
      </c>
      <c r="AZ131" s="320" t="e">
        <f t="shared" ca="1" si="80"/>
        <v>#NAME?</v>
      </c>
      <c r="BA131" s="321" t="e">
        <f t="shared" ca="1" si="81"/>
        <v>#NAME?</v>
      </c>
      <c r="BB131" s="322" t="e">
        <f t="shared" ca="1" si="82"/>
        <v>#NAME?</v>
      </c>
      <c r="BC131" s="323">
        <v>75.196700000000007</v>
      </c>
      <c r="BD131" s="324" t="e">
        <f t="shared" ca="1" si="83"/>
        <v>#NAME?</v>
      </c>
      <c r="BE131" s="325" t="e">
        <f t="shared" ca="1" si="84"/>
        <v>#NAME?</v>
      </c>
      <c r="BF131" s="324" t="e">
        <f ca="1">BicubicInterpolation('TSFC Eff Table'!$B$4:$E$69,2,BB131)</f>
        <v>#NAME?</v>
      </c>
      <c r="BG131" s="326" t="e">
        <f t="shared" ca="1" si="85"/>
        <v>#NAME?</v>
      </c>
      <c r="BH131" s="694" t="e">
        <f ca="1">IF( S131="LRCINOP",   (1+(0.03/10)*Z131*(1+0.2*AC131^2) )*BicubicInterpolation( 'LRC INOP FF'!$C$4:$AA$21, Y131, U131 )-200, IF(S131 ="HOLDINGINOP", (1+(0.03/10)*Z131*(1+0.2*AC131^2) )*BicubicInterpolation( 'Holding INOP FF'!$C$4:$J$13,  Y131,  U131)/1.05-200,   BA131*BG131))</f>
        <v>#NAME?</v>
      </c>
      <c r="BI131" s="344" t="e">
        <f t="shared" ca="1" si="15"/>
        <v>#NAME?</v>
      </c>
      <c r="BJ131" s="322" t="e">
        <f t="shared" ca="1" si="86"/>
        <v>#NAME?</v>
      </c>
      <c r="BK131" s="338" t="e">
        <f t="shared" ca="1" si="16"/>
        <v>#NAME?</v>
      </c>
      <c r="BL131" s="327" t="e">
        <f t="shared" ca="1" si="87"/>
        <v>#NAME?</v>
      </c>
      <c r="BM131" s="328">
        <f t="shared" si="88"/>
        <v>200</v>
      </c>
      <c r="BN131" s="329" t="e">
        <f t="shared" ca="1" si="89"/>
        <v>#NAME?</v>
      </c>
      <c r="BO131" s="344" t="e">
        <f t="shared" ca="1" si="17"/>
        <v>#NAME?</v>
      </c>
      <c r="BP131" s="320" t="e">
        <f t="shared" ca="1" si="90"/>
        <v>#NAME?</v>
      </c>
      <c r="BQ131" s="344" t="e">
        <f t="shared" ca="1" si="18"/>
        <v>#NAME?</v>
      </c>
      <c r="BR131" s="347" t="e">
        <f t="shared" ca="1" si="19"/>
        <v>#NAME?</v>
      </c>
      <c r="BS131" s="326" t="e">
        <f t="shared" ca="1" si="91"/>
        <v>#NAME?</v>
      </c>
      <c r="BT131" s="437" t="e">
        <f t="shared" ca="1" si="58"/>
        <v>#NAME?</v>
      </c>
      <c r="BU131" s="437" t="e">
        <f t="shared" ca="1" si="59"/>
        <v>#NAME?</v>
      </c>
      <c r="BV131" s="441" t="e">
        <f t="shared" ca="1" si="60"/>
        <v>#NAME?</v>
      </c>
      <c r="BW131" s="442" t="e">
        <f t="shared" ca="1" si="61"/>
        <v>#NAME?</v>
      </c>
      <c r="BX131" s="470" t="e">
        <f t="shared" ca="1" si="5"/>
        <v>#NAME?</v>
      </c>
      <c r="BY131" s="484" t="e">
        <f t="shared" ca="1" si="20"/>
        <v>#NAME?</v>
      </c>
    </row>
    <row r="132" spans="5:77" ht="17.75" customHeight="1" x14ac:dyDescent="0.2">
      <c r="E132" s="423"/>
      <c r="I132" s="366">
        <v>48</v>
      </c>
      <c r="J132" s="414">
        <f t="shared" si="21"/>
        <v>41705.745833333443</v>
      </c>
      <c r="K132" s="435" t="e">
        <f t="shared" ca="1" si="22"/>
        <v>#NAME?</v>
      </c>
      <c r="L132" s="435" t="e">
        <f t="shared" ca="1" si="0"/>
        <v>#NAME?</v>
      </c>
      <c r="M132" s="664" t="e">
        <f t="shared" ca="1" si="23"/>
        <v>#NAME?</v>
      </c>
      <c r="N132" s="664" t="e">
        <f t="shared" ca="1" si="24"/>
        <v>#NAME?</v>
      </c>
      <c r="O132" s="140" t="e">
        <f t="shared" ca="1" si="7"/>
        <v>#NAME?</v>
      </c>
      <c r="P132" s="352" t="e">
        <f t="shared" ca="1" si="25"/>
        <v>#NAME?</v>
      </c>
      <c r="Q132" s="665" t="e">
        <f t="shared" ca="1" si="8"/>
        <v>#NAME?</v>
      </c>
      <c r="R132" s="352" t="e">
        <f t="shared" ca="1" si="65"/>
        <v>#NAME?</v>
      </c>
      <c r="S132" s="662" t="e">
        <f t="shared" ca="1" si="10"/>
        <v>#NAME?</v>
      </c>
      <c r="T132" s="443" t="e">
        <f t="shared" ca="1" si="1"/>
        <v>#NAME?</v>
      </c>
      <c r="U132" s="369" t="e">
        <f t="shared" ca="1" si="2"/>
        <v>#NAME?</v>
      </c>
      <c r="V132" s="454" t="e">
        <f t="shared" ca="1" si="11"/>
        <v>#NAME?</v>
      </c>
      <c r="W132" s="457">
        <f t="shared" si="12"/>
        <v>1000</v>
      </c>
      <c r="X132" s="463" t="e">
        <f t="shared" ca="1" si="13"/>
        <v>#NAME?</v>
      </c>
      <c r="Y132" s="455" t="e">
        <f t="shared" ca="1" si="26"/>
        <v>#NAME?</v>
      </c>
      <c r="Z132" s="699">
        <f t="shared" si="3"/>
        <v>10</v>
      </c>
      <c r="AA132" s="355" t="str">
        <f t="shared" si="4"/>
        <v>ON</v>
      </c>
      <c r="AB132" s="357">
        <f t="shared" si="66"/>
        <v>1.4999999999999999E-2</v>
      </c>
      <c r="AC132" s="356" t="e">
        <f ca="1">IF(  Y131=0,0,IF(OR(S132="KCAS",S132="INOP",S132="MEFE"),   ( (5*( (   (((1+0.2*(T132/661.4786)^2)^3.5 -1)  )/( (1-6.8755856*10^-6 *100*Y132)^5.2558797) +1)^(2/7) -1) )^0.5),IF(S132="MACH",T132, IF(S132="LRC",BicubicInterpolation( 'LRC Mach'!$C$4:$AL$21, Y132,U132),  IF(S132="MRC",BicubicInterpolation( 'MRC Mach'!$C$3:$T$18, Y132,U132),  IF(S132="M0.84",0.84,  IF(S132="CI52",BicubicInterpolation('CI=52 Mach'!$C$3:$T$18, Y132,U132),  IF(S132="HOLDING",BicubicInterpolation(  'Holding Mach'!$C$4:$M$13, Y132,U132),                         IF(S132="LRCINOP", BicubicInterpolation('LRC INOP Mach'!$C$4:$AA$21,Y132,U132), IF(S132="HOLDINGINOP",  BicubicInterpolation('Holding INOP Mach'!$N$4:$U$13,Y132,U132),         "XXX" )))))))   )))</f>
        <v>#NAME?</v>
      </c>
      <c r="AD132" s="313" t="e">
        <f t="shared" ca="1" si="67"/>
        <v>#NAME?</v>
      </c>
      <c r="AE132" s="314" t="e">
        <f t="shared" ca="1" si="28"/>
        <v>#NAME?</v>
      </c>
      <c r="AF132" s="313" t="e">
        <f t="shared" ca="1" si="68"/>
        <v>#NAME?</v>
      </c>
      <c r="AG132" s="314" t="e">
        <f t="shared" ca="1" si="29"/>
        <v>#NAME?</v>
      </c>
      <c r="AH132" s="313" t="e">
        <f t="shared" ca="1" si="69"/>
        <v>#NAME?</v>
      </c>
      <c r="AI132" s="314" t="e">
        <f t="shared" ca="1" si="31"/>
        <v>#NAME?</v>
      </c>
      <c r="AJ132" s="315" t="e">
        <f t="shared" ca="1" si="32"/>
        <v>#NAME?</v>
      </c>
      <c r="AK132" s="568" t="e">
        <f t="shared" ca="1" si="70"/>
        <v>#NAME?</v>
      </c>
      <c r="AL132" s="313" t="e">
        <f t="shared" ca="1" si="71"/>
        <v>#NAME?</v>
      </c>
      <c r="AM132" s="313" t="e">
        <f t="shared" ca="1" si="35"/>
        <v>#NAME?</v>
      </c>
      <c r="AN132" s="313" t="e">
        <f t="shared" ca="1" si="36"/>
        <v>#NAME?</v>
      </c>
      <c r="AO132" s="316" t="e">
        <f t="shared" ca="1" si="72"/>
        <v>#NAME?</v>
      </c>
      <c r="AP132" s="313" t="e">
        <f t="shared" ca="1" si="73"/>
        <v>#NAME?</v>
      </c>
      <c r="AQ132" s="314" t="e">
        <f t="shared" ca="1" si="39"/>
        <v>#NAME?</v>
      </c>
      <c r="AR132" s="315" t="e">
        <f t="shared" ca="1" si="74"/>
        <v>#NAME?</v>
      </c>
      <c r="AS132" s="316" t="e">
        <f t="shared" ca="1" si="75"/>
        <v>#NAME?</v>
      </c>
      <c r="AT132" s="315" t="e">
        <f t="shared" ca="1" si="76"/>
        <v>#NAME?</v>
      </c>
      <c r="AU132" s="317">
        <v>427.8</v>
      </c>
      <c r="AV132" s="315" t="e">
        <f t="shared" ca="1" si="77"/>
        <v>#NAME?</v>
      </c>
      <c r="AW132" s="318" t="e">
        <f ca="1">0.0001*BicubicInterpolation('Drag Coef Table'!$B$4:$L$28,AV132,AC132)</f>
        <v>#NAME?</v>
      </c>
      <c r="AX132" s="319" t="e">
        <f t="shared" ca="1" si="78"/>
        <v>#NAME?</v>
      </c>
      <c r="AY132" s="318" t="e">
        <f t="shared" ca="1" si="79"/>
        <v>#NAME?</v>
      </c>
      <c r="AZ132" s="320" t="e">
        <f t="shared" ca="1" si="80"/>
        <v>#NAME?</v>
      </c>
      <c r="BA132" s="321" t="e">
        <f t="shared" ca="1" si="81"/>
        <v>#NAME?</v>
      </c>
      <c r="BB132" s="322" t="e">
        <f t="shared" ca="1" si="82"/>
        <v>#NAME?</v>
      </c>
      <c r="BC132" s="323">
        <v>75.196700000000007</v>
      </c>
      <c r="BD132" s="324" t="e">
        <f t="shared" ca="1" si="83"/>
        <v>#NAME?</v>
      </c>
      <c r="BE132" s="325" t="e">
        <f t="shared" ca="1" si="84"/>
        <v>#NAME?</v>
      </c>
      <c r="BF132" s="324" t="e">
        <f ca="1">BicubicInterpolation('TSFC Eff Table'!$B$4:$E$69,2,BB132)</f>
        <v>#NAME?</v>
      </c>
      <c r="BG132" s="326" t="e">
        <f t="shared" ca="1" si="85"/>
        <v>#NAME?</v>
      </c>
      <c r="BH132" s="694" t="e">
        <f ca="1">IF( S132="LRCINOP",   (1+(0.03/10)*Z132*(1+0.2*AC132^2) )*BicubicInterpolation( 'LRC INOP FF'!$C$4:$AA$21, Y132, U132 )-200, IF(S132 ="HOLDINGINOP", (1+(0.03/10)*Z132*(1+0.2*AC132^2) )*BicubicInterpolation( 'Holding INOP FF'!$C$4:$J$13,  Y132,  U132)/1.05-200,   BA132*BG132))</f>
        <v>#NAME?</v>
      </c>
      <c r="BI132" s="344" t="e">
        <f t="shared" ca="1" si="15"/>
        <v>#NAME?</v>
      </c>
      <c r="BJ132" s="322" t="e">
        <f t="shared" ca="1" si="86"/>
        <v>#NAME?</v>
      </c>
      <c r="BK132" s="338" t="e">
        <f t="shared" ca="1" si="16"/>
        <v>#NAME?</v>
      </c>
      <c r="BL132" s="327" t="e">
        <f t="shared" ca="1" si="87"/>
        <v>#NAME?</v>
      </c>
      <c r="BM132" s="328">
        <f t="shared" si="88"/>
        <v>200</v>
      </c>
      <c r="BN132" s="329" t="e">
        <f t="shared" ca="1" si="89"/>
        <v>#NAME?</v>
      </c>
      <c r="BO132" s="344" t="e">
        <f t="shared" ca="1" si="17"/>
        <v>#NAME?</v>
      </c>
      <c r="BP132" s="320" t="e">
        <f t="shared" ca="1" si="90"/>
        <v>#NAME?</v>
      </c>
      <c r="BQ132" s="344" t="e">
        <f t="shared" ca="1" si="18"/>
        <v>#NAME?</v>
      </c>
      <c r="BR132" s="347" t="e">
        <f t="shared" ca="1" si="19"/>
        <v>#NAME?</v>
      </c>
      <c r="BS132" s="326" t="e">
        <f t="shared" ca="1" si="91"/>
        <v>#NAME?</v>
      </c>
      <c r="BT132" s="437" t="e">
        <f t="shared" ca="1" si="58"/>
        <v>#NAME?</v>
      </c>
      <c r="BU132" s="437" t="e">
        <f t="shared" ca="1" si="59"/>
        <v>#NAME?</v>
      </c>
      <c r="BV132" s="441" t="e">
        <f t="shared" ca="1" si="60"/>
        <v>#NAME?</v>
      </c>
      <c r="BW132" s="442" t="e">
        <f t="shared" ca="1" si="61"/>
        <v>#NAME?</v>
      </c>
      <c r="BX132" s="470" t="e">
        <f t="shared" ca="1" si="5"/>
        <v>#NAME?</v>
      </c>
      <c r="BY132" s="484" t="e">
        <f t="shared" ca="1" si="20"/>
        <v>#NAME?</v>
      </c>
    </row>
    <row r="133" spans="5:77" ht="17.75" customHeight="1" x14ac:dyDescent="0.2">
      <c r="E133" s="423"/>
      <c r="I133" s="366">
        <v>49</v>
      </c>
      <c r="J133" s="414">
        <f t="shared" si="21"/>
        <v>41705.74652777789</v>
      </c>
      <c r="K133" s="435" t="e">
        <f t="shared" ca="1" si="22"/>
        <v>#NAME?</v>
      </c>
      <c r="L133" s="435" t="e">
        <f t="shared" ca="1" si="0"/>
        <v>#NAME?</v>
      </c>
      <c r="M133" s="664" t="e">
        <f t="shared" ca="1" si="23"/>
        <v>#NAME?</v>
      </c>
      <c r="N133" s="664" t="e">
        <f t="shared" ca="1" si="24"/>
        <v>#NAME?</v>
      </c>
      <c r="O133" s="140" t="e">
        <f t="shared" ca="1" si="7"/>
        <v>#NAME?</v>
      </c>
      <c r="P133" s="352" t="e">
        <f t="shared" ca="1" si="25"/>
        <v>#NAME?</v>
      </c>
      <c r="Q133" s="665" t="e">
        <f t="shared" ca="1" si="8"/>
        <v>#NAME?</v>
      </c>
      <c r="R133" s="352" t="e">
        <f t="shared" ca="1" si="65"/>
        <v>#NAME?</v>
      </c>
      <c r="S133" s="662" t="e">
        <f t="shared" ca="1" si="10"/>
        <v>#NAME?</v>
      </c>
      <c r="T133" s="443" t="e">
        <f t="shared" ca="1" si="1"/>
        <v>#NAME?</v>
      </c>
      <c r="U133" s="369" t="e">
        <f t="shared" ca="1" si="2"/>
        <v>#NAME?</v>
      </c>
      <c r="V133" s="454" t="e">
        <f t="shared" ca="1" si="11"/>
        <v>#NAME?</v>
      </c>
      <c r="W133" s="457">
        <f t="shared" si="12"/>
        <v>1000</v>
      </c>
      <c r="X133" s="463" t="e">
        <f t="shared" ca="1" si="13"/>
        <v>#NAME?</v>
      </c>
      <c r="Y133" s="455" t="e">
        <f t="shared" ca="1" si="26"/>
        <v>#NAME?</v>
      </c>
      <c r="Z133" s="699">
        <f t="shared" si="3"/>
        <v>10</v>
      </c>
      <c r="AA133" s="355" t="str">
        <f t="shared" si="4"/>
        <v>ON</v>
      </c>
      <c r="AB133" s="357">
        <f t="shared" si="66"/>
        <v>1.4999999999999999E-2</v>
      </c>
      <c r="AC133" s="356" t="e">
        <f ca="1">IF(  Y132=0,0,IF(OR(S133="KCAS",S133="INOP",S133="MEFE"),   ( (5*( (   (((1+0.2*(T133/661.4786)^2)^3.5 -1)  )/( (1-6.8755856*10^-6 *100*Y133)^5.2558797) +1)^(2/7) -1) )^0.5),IF(S133="MACH",T133, IF(S133="LRC",BicubicInterpolation( 'LRC Mach'!$C$4:$AL$21, Y133,U133),  IF(S133="MRC",BicubicInterpolation( 'MRC Mach'!$C$3:$T$18, Y133,U133),  IF(S133="M0.84",0.84,  IF(S133="CI52",BicubicInterpolation('CI=52 Mach'!$C$3:$T$18, Y133,U133),  IF(S133="HOLDING",BicubicInterpolation(  'Holding Mach'!$C$4:$M$13, Y133,U133),                         IF(S133="LRCINOP", BicubicInterpolation('LRC INOP Mach'!$C$4:$AA$21,Y133,U133), IF(S133="HOLDINGINOP",  BicubicInterpolation('Holding INOP Mach'!$N$4:$U$13,Y133,U133),         "XXX" )))))))   )))</f>
        <v>#NAME?</v>
      </c>
      <c r="AD133" s="313" t="e">
        <f t="shared" ca="1" si="67"/>
        <v>#NAME?</v>
      </c>
      <c r="AE133" s="314" t="e">
        <f t="shared" ca="1" si="28"/>
        <v>#NAME?</v>
      </c>
      <c r="AF133" s="313" t="e">
        <f t="shared" ca="1" si="68"/>
        <v>#NAME?</v>
      </c>
      <c r="AG133" s="314" t="e">
        <f t="shared" ca="1" si="29"/>
        <v>#NAME?</v>
      </c>
      <c r="AH133" s="313" t="e">
        <f t="shared" ca="1" si="69"/>
        <v>#NAME?</v>
      </c>
      <c r="AI133" s="314" t="e">
        <f t="shared" ca="1" si="31"/>
        <v>#NAME?</v>
      </c>
      <c r="AJ133" s="315" t="e">
        <f t="shared" ca="1" si="32"/>
        <v>#NAME?</v>
      </c>
      <c r="AK133" s="568" t="e">
        <f t="shared" ca="1" si="70"/>
        <v>#NAME?</v>
      </c>
      <c r="AL133" s="313" t="e">
        <f t="shared" ca="1" si="71"/>
        <v>#NAME?</v>
      </c>
      <c r="AM133" s="313" t="e">
        <f t="shared" ca="1" si="35"/>
        <v>#NAME?</v>
      </c>
      <c r="AN133" s="313" t="e">
        <f t="shared" ca="1" si="36"/>
        <v>#NAME?</v>
      </c>
      <c r="AO133" s="316" t="e">
        <f t="shared" ca="1" si="72"/>
        <v>#NAME?</v>
      </c>
      <c r="AP133" s="313" t="e">
        <f t="shared" ca="1" si="73"/>
        <v>#NAME?</v>
      </c>
      <c r="AQ133" s="314" t="e">
        <f t="shared" ca="1" si="39"/>
        <v>#NAME?</v>
      </c>
      <c r="AR133" s="315" t="e">
        <f t="shared" ca="1" si="74"/>
        <v>#NAME?</v>
      </c>
      <c r="AS133" s="316" t="e">
        <f t="shared" ca="1" si="75"/>
        <v>#NAME?</v>
      </c>
      <c r="AT133" s="315" t="e">
        <f t="shared" ca="1" si="76"/>
        <v>#NAME?</v>
      </c>
      <c r="AU133" s="317">
        <v>427.8</v>
      </c>
      <c r="AV133" s="315" t="e">
        <f t="shared" ca="1" si="77"/>
        <v>#NAME?</v>
      </c>
      <c r="AW133" s="318" t="e">
        <f ca="1">0.0001*BicubicInterpolation('Drag Coef Table'!$B$4:$L$28,AV133,AC133)</f>
        <v>#NAME?</v>
      </c>
      <c r="AX133" s="319" t="e">
        <f t="shared" ca="1" si="78"/>
        <v>#NAME?</v>
      </c>
      <c r="AY133" s="318" t="e">
        <f t="shared" ca="1" si="79"/>
        <v>#NAME?</v>
      </c>
      <c r="AZ133" s="320" t="e">
        <f t="shared" ca="1" si="80"/>
        <v>#NAME?</v>
      </c>
      <c r="BA133" s="321" t="e">
        <f t="shared" ca="1" si="81"/>
        <v>#NAME?</v>
      </c>
      <c r="BB133" s="322" t="e">
        <f t="shared" ca="1" si="82"/>
        <v>#NAME?</v>
      </c>
      <c r="BC133" s="323">
        <v>75.196700000000007</v>
      </c>
      <c r="BD133" s="324" t="e">
        <f t="shared" ca="1" si="83"/>
        <v>#NAME?</v>
      </c>
      <c r="BE133" s="325" t="e">
        <f t="shared" ca="1" si="84"/>
        <v>#NAME?</v>
      </c>
      <c r="BF133" s="324" t="e">
        <f ca="1">BicubicInterpolation('TSFC Eff Table'!$B$4:$E$69,2,BB133)</f>
        <v>#NAME?</v>
      </c>
      <c r="BG133" s="326" t="e">
        <f t="shared" ca="1" si="85"/>
        <v>#NAME?</v>
      </c>
      <c r="BH133" s="694" t="e">
        <f ca="1">IF( S133="LRCINOP",   (1+(0.03/10)*Z133*(1+0.2*AC133^2) )*BicubicInterpolation( 'LRC INOP FF'!$C$4:$AA$21, Y133, U133 )-200, IF(S133 ="HOLDINGINOP", (1+(0.03/10)*Z133*(1+0.2*AC133^2) )*BicubicInterpolation( 'Holding INOP FF'!$C$4:$J$13,  Y133,  U133)/1.05-200,   BA133*BG133))</f>
        <v>#NAME?</v>
      </c>
      <c r="BI133" s="344" t="e">
        <f t="shared" ca="1" si="15"/>
        <v>#NAME?</v>
      </c>
      <c r="BJ133" s="322" t="e">
        <f t="shared" ca="1" si="86"/>
        <v>#NAME?</v>
      </c>
      <c r="BK133" s="338" t="e">
        <f t="shared" ca="1" si="16"/>
        <v>#NAME?</v>
      </c>
      <c r="BL133" s="327" t="e">
        <f t="shared" ca="1" si="87"/>
        <v>#NAME?</v>
      </c>
      <c r="BM133" s="328">
        <f t="shared" si="88"/>
        <v>200</v>
      </c>
      <c r="BN133" s="329" t="e">
        <f t="shared" ca="1" si="89"/>
        <v>#NAME?</v>
      </c>
      <c r="BO133" s="344" t="e">
        <f t="shared" ca="1" si="17"/>
        <v>#NAME?</v>
      </c>
      <c r="BP133" s="320" t="e">
        <f t="shared" ca="1" si="90"/>
        <v>#NAME?</v>
      </c>
      <c r="BQ133" s="344" t="e">
        <f t="shared" ca="1" si="18"/>
        <v>#NAME?</v>
      </c>
      <c r="BR133" s="347" t="e">
        <f t="shared" ca="1" si="19"/>
        <v>#NAME?</v>
      </c>
      <c r="BS133" s="326" t="e">
        <f t="shared" ca="1" si="91"/>
        <v>#NAME?</v>
      </c>
      <c r="BT133" s="437" t="e">
        <f t="shared" ca="1" si="58"/>
        <v>#NAME?</v>
      </c>
      <c r="BU133" s="437" t="e">
        <f t="shared" ca="1" si="59"/>
        <v>#NAME?</v>
      </c>
      <c r="BV133" s="441" t="e">
        <f t="shared" ca="1" si="60"/>
        <v>#NAME?</v>
      </c>
      <c r="BW133" s="442" t="e">
        <f t="shared" ca="1" si="61"/>
        <v>#NAME?</v>
      </c>
      <c r="BX133" s="470" t="e">
        <f t="shared" ca="1" si="5"/>
        <v>#NAME?</v>
      </c>
      <c r="BY133" s="484" t="e">
        <f t="shared" ca="1" si="20"/>
        <v>#NAME?</v>
      </c>
    </row>
    <row r="134" spans="5:77" ht="17.75" customHeight="1" x14ac:dyDescent="0.2">
      <c r="E134" s="423"/>
      <c r="I134" s="366">
        <v>50</v>
      </c>
      <c r="J134" s="414">
        <f t="shared" si="21"/>
        <v>41705.747222222337</v>
      </c>
      <c r="K134" s="435" t="e">
        <f t="shared" ca="1" si="22"/>
        <v>#NAME?</v>
      </c>
      <c r="L134" s="435" t="e">
        <f t="shared" ca="1" si="0"/>
        <v>#NAME?</v>
      </c>
      <c r="M134" s="664" t="e">
        <f t="shared" ca="1" si="23"/>
        <v>#NAME?</v>
      </c>
      <c r="N134" s="664" t="e">
        <f t="shared" ca="1" si="24"/>
        <v>#NAME?</v>
      </c>
      <c r="O134" s="140" t="e">
        <f t="shared" ca="1" si="7"/>
        <v>#NAME?</v>
      </c>
      <c r="P134" s="352" t="e">
        <f t="shared" ca="1" si="25"/>
        <v>#NAME?</v>
      </c>
      <c r="Q134" s="665" t="e">
        <f t="shared" ca="1" si="8"/>
        <v>#NAME?</v>
      </c>
      <c r="R134" s="352" t="e">
        <f t="shared" ca="1" si="65"/>
        <v>#NAME?</v>
      </c>
      <c r="S134" s="662" t="e">
        <f t="shared" ca="1" si="10"/>
        <v>#NAME?</v>
      </c>
      <c r="T134" s="443" t="e">
        <f t="shared" ca="1" si="1"/>
        <v>#NAME?</v>
      </c>
      <c r="U134" s="369" t="e">
        <f t="shared" ca="1" si="2"/>
        <v>#NAME?</v>
      </c>
      <c r="V134" s="454" t="e">
        <f t="shared" ca="1" si="11"/>
        <v>#NAME?</v>
      </c>
      <c r="W134" s="457">
        <f t="shared" si="12"/>
        <v>1000</v>
      </c>
      <c r="X134" s="463" t="e">
        <f t="shared" ca="1" si="13"/>
        <v>#NAME?</v>
      </c>
      <c r="Y134" s="455" t="e">
        <f t="shared" ca="1" si="26"/>
        <v>#NAME?</v>
      </c>
      <c r="Z134" s="699">
        <f t="shared" si="3"/>
        <v>10</v>
      </c>
      <c r="AA134" s="355" t="str">
        <f t="shared" si="4"/>
        <v>ON</v>
      </c>
      <c r="AB134" s="357">
        <f t="shared" si="66"/>
        <v>1.4999999999999999E-2</v>
      </c>
      <c r="AC134" s="356" t="e">
        <f ca="1">IF(  Y133=0,0,IF(OR(S134="KCAS",S134="INOP",S134="MEFE"),   ( (5*( (   (((1+0.2*(T134/661.4786)^2)^3.5 -1)  )/( (1-6.8755856*10^-6 *100*Y134)^5.2558797) +1)^(2/7) -1) )^0.5),IF(S134="MACH",T134, IF(S134="LRC",BicubicInterpolation( 'LRC Mach'!$C$4:$AL$21, Y134,U134),  IF(S134="MRC",BicubicInterpolation( 'MRC Mach'!$C$3:$T$18, Y134,U134),  IF(S134="M0.84",0.84,  IF(S134="CI52",BicubicInterpolation('CI=52 Mach'!$C$3:$T$18, Y134,U134),  IF(S134="HOLDING",BicubicInterpolation(  'Holding Mach'!$C$4:$M$13, Y134,U134),                         IF(S134="LRCINOP", BicubicInterpolation('LRC INOP Mach'!$C$4:$AA$21,Y134,U134), IF(S134="HOLDINGINOP",  BicubicInterpolation('Holding INOP Mach'!$N$4:$U$13,Y134,U134),         "XXX" )))))))   )))</f>
        <v>#NAME?</v>
      </c>
      <c r="AD134" s="313" t="e">
        <f t="shared" ca="1" si="67"/>
        <v>#NAME?</v>
      </c>
      <c r="AE134" s="314" t="e">
        <f t="shared" ca="1" si="28"/>
        <v>#NAME?</v>
      </c>
      <c r="AF134" s="313" t="e">
        <f t="shared" ca="1" si="68"/>
        <v>#NAME?</v>
      </c>
      <c r="AG134" s="314" t="e">
        <f t="shared" ca="1" si="29"/>
        <v>#NAME?</v>
      </c>
      <c r="AH134" s="313" t="e">
        <f t="shared" ca="1" si="69"/>
        <v>#NAME?</v>
      </c>
      <c r="AI134" s="314" t="e">
        <f t="shared" ca="1" si="31"/>
        <v>#NAME?</v>
      </c>
      <c r="AJ134" s="315" t="e">
        <f t="shared" ca="1" si="32"/>
        <v>#NAME?</v>
      </c>
      <c r="AK134" s="568" t="e">
        <f t="shared" ca="1" si="70"/>
        <v>#NAME?</v>
      </c>
      <c r="AL134" s="313" t="e">
        <f t="shared" ca="1" si="71"/>
        <v>#NAME?</v>
      </c>
      <c r="AM134" s="313" t="e">
        <f t="shared" ca="1" si="35"/>
        <v>#NAME?</v>
      </c>
      <c r="AN134" s="313" t="e">
        <f t="shared" ca="1" si="36"/>
        <v>#NAME?</v>
      </c>
      <c r="AO134" s="316" t="e">
        <f t="shared" ca="1" si="72"/>
        <v>#NAME?</v>
      </c>
      <c r="AP134" s="313" t="e">
        <f t="shared" ca="1" si="73"/>
        <v>#NAME?</v>
      </c>
      <c r="AQ134" s="314" t="e">
        <f t="shared" ca="1" si="39"/>
        <v>#NAME?</v>
      </c>
      <c r="AR134" s="315" t="e">
        <f t="shared" ca="1" si="74"/>
        <v>#NAME?</v>
      </c>
      <c r="AS134" s="316" t="e">
        <f t="shared" ca="1" si="75"/>
        <v>#NAME?</v>
      </c>
      <c r="AT134" s="315" t="e">
        <f t="shared" ca="1" si="76"/>
        <v>#NAME?</v>
      </c>
      <c r="AU134" s="317">
        <v>427.8</v>
      </c>
      <c r="AV134" s="315" t="e">
        <f t="shared" ca="1" si="77"/>
        <v>#NAME?</v>
      </c>
      <c r="AW134" s="318" t="e">
        <f ca="1">0.0001*BicubicInterpolation('Drag Coef Table'!$B$4:$L$28,AV134,AC134)</f>
        <v>#NAME?</v>
      </c>
      <c r="AX134" s="319" t="e">
        <f t="shared" ca="1" si="78"/>
        <v>#NAME?</v>
      </c>
      <c r="AY134" s="318" t="e">
        <f t="shared" ca="1" si="79"/>
        <v>#NAME?</v>
      </c>
      <c r="AZ134" s="320" t="e">
        <f t="shared" ca="1" si="80"/>
        <v>#NAME?</v>
      </c>
      <c r="BA134" s="321" t="e">
        <f t="shared" ca="1" si="81"/>
        <v>#NAME?</v>
      </c>
      <c r="BB134" s="322" t="e">
        <f t="shared" ca="1" si="82"/>
        <v>#NAME?</v>
      </c>
      <c r="BC134" s="323">
        <v>75.196700000000007</v>
      </c>
      <c r="BD134" s="324" t="e">
        <f t="shared" ca="1" si="83"/>
        <v>#NAME?</v>
      </c>
      <c r="BE134" s="325" t="e">
        <f t="shared" ca="1" si="84"/>
        <v>#NAME?</v>
      </c>
      <c r="BF134" s="324" t="e">
        <f ca="1">BicubicInterpolation('TSFC Eff Table'!$B$4:$E$69,2,BB134)</f>
        <v>#NAME?</v>
      </c>
      <c r="BG134" s="326" t="e">
        <f t="shared" ca="1" si="85"/>
        <v>#NAME?</v>
      </c>
      <c r="BH134" s="694" t="e">
        <f ca="1">IF( S134="LRCINOP",   (1+(0.03/10)*Z134*(1+0.2*AC134^2) )*BicubicInterpolation( 'LRC INOP FF'!$C$4:$AA$21, Y134, U134 )-200, IF(S134 ="HOLDINGINOP", (1+(0.03/10)*Z134*(1+0.2*AC134^2) )*BicubicInterpolation( 'Holding INOP FF'!$C$4:$J$13,  Y134,  U134)/1.05-200,   BA134*BG134))</f>
        <v>#NAME?</v>
      </c>
      <c r="BI134" s="344" t="e">
        <f t="shared" ca="1" si="15"/>
        <v>#NAME?</v>
      </c>
      <c r="BJ134" s="322" t="e">
        <f t="shared" ca="1" si="86"/>
        <v>#NAME?</v>
      </c>
      <c r="BK134" s="338" t="e">
        <f t="shared" ca="1" si="16"/>
        <v>#NAME?</v>
      </c>
      <c r="BL134" s="327" t="e">
        <f t="shared" ca="1" si="87"/>
        <v>#NAME?</v>
      </c>
      <c r="BM134" s="328">
        <f t="shared" si="88"/>
        <v>200</v>
      </c>
      <c r="BN134" s="329" t="e">
        <f t="shared" ca="1" si="89"/>
        <v>#NAME?</v>
      </c>
      <c r="BO134" s="344" t="e">
        <f t="shared" ca="1" si="17"/>
        <v>#NAME?</v>
      </c>
      <c r="BP134" s="320" t="e">
        <f t="shared" ca="1" si="90"/>
        <v>#NAME?</v>
      </c>
      <c r="BQ134" s="344" t="e">
        <f t="shared" ca="1" si="18"/>
        <v>#NAME?</v>
      </c>
      <c r="BR134" s="347" t="e">
        <f t="shared" ca="1" si="19"/>
        <v>#NAME?</v>
      </c>
      <c r="BS134" s="326" t="e">
        <f t="shared" ca="1" si="91"/>
        <v>#NAME?</v>
      </c>
      <c r="BT134" s="437" t="e">
        <f t="shared" ca="1" si="58"/>
        <v>#NAME?</v>
      </c>
      <c r="BU134" s="437" t="e">
        <f t="shared" ca="1" si="59"/>
        <v>#NAME?</v>
      </c>
      <c r="BV134" s="441" t="e">
        <f t="shared" ca="1" si="60"/>
        <v>#NAME?</v>
      </c>
      <c r="BW134" s="442" t="e">
        <f t="shared" ca="1" si="61"/>
        <v>#NAME?</v>
      </c>
      <c r="BX134" s="470" t="e">
        <f t="shared" ca="1" si="5"/>
        <v>#NAME?</v>
      </c>
      <c r="BY134" s="484" t="e">
        <f t="shared" ca="1" si="20"/>
        <v>#NAME?</v>
      </c>
    </row>
    <row r="135" spans="5:77" ht="17.75" customHeight="1" x14ac:dyDescent="0.2">
      <c r="E135" s="423"/>
      <c r="I135" s="366">
        <v>51</v>
      </c>
      <c r="J135" s="414">
        <f t="shared" si="21"/>
        <v>41705.747916666784</v>
      </c>
      <c r="K135" s="435" t="e">
        <f t="shared" ca="1" si="22"/>
        <v>#NAME?</v>
      </c>
      <c r="L135" s="435" t="e">
        <f t="shared" ca="1" si="0"/>
        <v>#NAME?</v>
      </c>
      <c r="M135" s="664" t="e">
        <f t="shared" ca="1" si="23"/>
        <v>#NAME?</v>
      </c>
      <c r="N135" s="664" t="e">
        <f t="shared" ca="1" si="24"/>
        <v>#NAME?</v>
      </c>
      <c r="O135" s="140" t="e">
        <f t="shared" ca="1" si="7"/>
        <v>#NAME?</v>
      </c>
      <c r="P135" s="352" t="e">
        <f t="shared" ca="1" si="25"/>
        <v>#NAME?</v>
      </c>
      <c r="Q135" s="665" t="e">
        <f t="shared" ca="1" si="8"/>
        <v>#NAME?</v>
      </c>
      <c r="R135" s="352" t="e">
        <f t="shared" ca="1" si="65"/>
        <v>#NAME?</v>
      </c>
      <c r="S135" s="662" t="e">
        <f t="shared" ca="1" si="10"/>
        <v>#NAME?</v>
      </c>
      <c r="T135" s="443" t="e">
        <f t="shared" ca="1" si="1"/>
        <v>#NAME?</v>
      </c>
      <c r="U135" s="369" t="e">
        <f t="shared" ca="1" si="2"/>
        <v>#NAME?</v>
      </c>
      <c r="V135" s="454" t="e">
        <f t="shared" ca="1" si="11"/>
        <v>#NAME?</v>
      </c>
      <c r="W135" s="457">
        <f t="shared" si="12"/>
        <v>1000</v>
      </c>
      <c r="X135" s="463" t="e">
        <f t="shared" ca="1" si="13"/>
        <v>#NAME?</v>
      </c>
      <c r="Y135" s="455" t="e">
        <f t="shared" ca="1" si="26"/>
        <v>#NAME?</v>
      </c>
      <c r="Z135" s="699">
        <f t="shared" si="3"/>
        <v>10</v>
      </c>
      <c r="AA135" s="355" t="str">
        <f t="shared" si="4"/>
        <v>ON</v>
      </c>
      <c r="AB135" s="357">
        <f t="shared" si="66"/>
        <v>1.4999999999999999E-2</v>
      </c>
      <c r="AC135" s="356" t="e">
        <f ca="1">IF(  Y134=0,0,IF(OR(S135="KCAS",S135="INOP",S135="MEFE"),   ( (5*( (   (((1+0.2*(T135/661.4786)^2)^3.5 -1)  )/( (1-6.8755856*10^-6 *100*Y135)^5.2558797) +1)^(2/7) -1) )^0.5),IF(S135="MACH",T135, IF(S135="LRC",BicubicInterpolation( 'LRC Mach'!$C$4:$AL$21, Y135,U135),  IF(S135="MRC",BicubicInterpolation( 'MRC Mach'!$C$3:$T$18, Y135,U135),  IF(S135="M0.84",0.84,  IF(S135="CI52",BicubicInterpolation('CI=52 Mach'!$C$3:$T$18, Y135,U135),  IF(S135="HOLDING",BicubicInterpolation(  'Holding Mach'!$C$4:$M$13, Y135,U135),                         IF(S135="LRCINOP", BicubicInterpolation('LRC INOP Mach'!$C$4:$AA$21,Y135,U135), IF(S135="HOLDINGINOP",  BicubicInterpolation('Holding INOP Mach'!$N$4:$U$13,Y135,U135),         "XXX" )))))))   )))</f>
        <v>#NAME?</v>
      </c>
      <c r="AD135" s="313" t="e">
        <f t="shared" ca="1" si="67"/>
        <v>#NAME?</v>
      </c>
      <c r="AE135" s="314" t="e">
        <f t="shared" ca="1" si="28"/>
        <v>#NAME?</v>
      </c>
      <c r="AF135" s="313" t="e">
        <f t="shared" ca="1" si="68"/>
        <v>#NAME?</v>
      </c>
      <c r="AG135" s="314" t="e">
        <f t="shared" ca="1" si="29"/>
        <v>#NAME?</v>
      </c>
      <c r="AH135" s="313" t="e">
        <f t="shared" ca="1" si="69"/>
        <v>#NAME?</v>
      </c>
      <c r="AI135" s="314" t="e">
        <f t="shared" ca="1" si="31"/>
        <v>#NAME?</v>
      </c>
      <c r="AJ135" s="315" t="e">
        <f t="shared" ca="1" si="32"/>
        <v>#NAME?</v>
      </c>
      <c r="AK135" s="568" t="e">
        <f t="shared" ca="1" si="70"/>
        <v>#NAME?</v>
      </c>
      <c r="AL135" s="313" t="e">
        <f t="shared" ca="1" si="71"/>
        <v>#NAME?</v>
      </c>
      <c r="AM135" s="313" t="e">
        <f t="shared" ca="1" si="35"/>
        <v>#NAME?</v>
      </c>
      <c r="AN135" s="313" t="e">
        <f t="shared" ca="1" si="36"/>
        <v>#NAME?</v>
      </c>
      <c r="AO135" s="316" t="e">
        <f t="shared" ca="1" si="72"/>
        <v>#NAME?</v>
      </c>
      <c r="AP135" s="313" t="e">
        <f t="shared" ca="1" si="73"/>
        <v>#NAME?</v>
      </c>
      <c r="AQ135" s="314" t="e">
        <f t="shared" ca="1" si="39"/>
        <v>#NAME?</v>
      </c>
      <c r="AR135" s="315" t="e">
        <f t="shared" ca="1" si="74"/>
        <v>#NAME?</v>
      </c>
      <c r="AS135" s="316" t="e">
        <f t="shared" ca="1" si="75"/>
        <v>#NAME?</v>
      </c>
      <c r="AT135" s="315" t="e">
        <f t="shared" ca="1" si="76"/>
        <v>#NAME?</v>
      </c>
      <c r="AU135" s="317">
        <v>427.8</v>
      </c>
      <c r="AV135" s="315" t="e">
        <f t="shared" ca="1" si="77"/>
        <v>#NAME?</v>
      </c>
      <c r="AW135" s="318" t="e">
        <f ca="1">0.0001*BicubicInterpolation('Drag Coef Table'!$B$4:$L$28,AV135,AC135)</f>
        <v>#NAME?</v>
      </c>
      <c r="AX135" s="319" t="e">
        <f t="shared" ca="1" si="78"/>
        <v>#NAME?</v>
      </c>
      <c r="AY135" s="318" t="e">
        <f t="shared" ca="1" si="79"/>
        <v>#NAME?</v>
      </c>
      <c r="AZ135" s="320" t="e">
        <f t="shared" ca="1" si="80"/>
        <v>#NAME?</v>
      </c>
      <c r="BA135" s="321" t="e">
        <f t="shared" ca="1" si="81"/>
        <v>#NAME?</v>
      </c>
      <c r="BB135" s="322" t="e">
        <f t="shared" ca="1" si="82"/>
        <v>#NAME?</v>
      </c>
      <c r="BC135" s="323">
        <v>75.196700000000007</v>
      </c>
      <c r="BD135" s="324" t="e">
        <f t="shared" ca="1" si="83"/>
        <v>#NAME?</v>
      </c>
      <c r="BE135" s="325" t="e">
        <f t="shared" ca="1" si="84"/>
        <v>#NAME?</v>
      </c>
      <c r="BF135" s="324" t="e">
        <f ca="1">BicubicInterpolation('TSFC Eff Table'!$B$4:$E$69,2,BB135)</f>
        <v>#NAME?</v>
      </c>
      <c r="BG135" s="326" t="e">
        <f t="shared" ca="1" si="85"/>
        <v>#NAME?</v>
      </c>
      <c r="BH135" s="694" t="e">
        <f ca="1">IF( S135="LRCINOP",   (1+(0.03/10)*Z135*(1+0.2*AC135^2) )*BicubicInterpolation( 'LRC INOP FF'!$C$4:$AA$21, Y135, U135 )-200, IF(S135 ="HOLDINGINOP", (1+(0.03/10)*Z135*(1+0.2*AC135^2) )*BicubicInterpolation( 'Holding INOP FF'!$C$4:$J$13,  Y135,  U135)/1.05-200,   BA135*BG135))</f>
        <v>#NAME?</v>
      </c>
      <c r="BI135" s="344" t="e">
        <f t="shared" ca="1" si="15"/>
        <v>#NAME?</v>
      </c>
      <c r="BJ135" s="322" t="e">
        <f t="shared" ca="1" si="86"/>
        <v>#NAME?</v>
      </c>
      <c r="BK135" s="338" t="e">
        <f t="shared" ca="1" si="16"/>
        <v>#NAME?</v>
      </c>
      <c r="BL135" s="327" t="e">
        <f t="shared" ca="1" si="87"/>
        <v>#NAME?</v>
      </c>
      <c r="BM135" s="328">
        <f t="shared" si="88"/>
        <v>200</v>
      </c>
      <c r="BN135" s="329" t="e">
        <f t="shared" ca="1" si="89"/>
        <v>#NAME?</v>
      </c>
      <c r="BO135" s="344" t="e">
        <f t="shared" ca="1" si="17"/>
        <v>#NAME?</v>
      </c>
      <c r="BP135" s="320" t="e">
        <f t="shared" ca="1" si="90"/>
        <v>#NAME?</v>
      </c>
      <c r="BQ135" s="344" t="e">
        <f t="shared" ca="1" si="18"/>
        <v>#NAME?</v>
      </c>
      <c r="BR135" s="347" t="e">
        <f t="shared" ca="1" si="19"/>
        <v>#NAME?</v>
      </c>
      <c r="BS135" s="326" t="e">
        <f t="shared" ca="1" si="91"/>
        <v>#NAME?</v>
      </c>
      <c r="BT135" s="437" t="e">
        <f t="shared" ca="1" si="58"/>
        <v>#NAME?</v>
      </c>
      <c r="BU135" s="437" t="e">
        <f t="shared" ca="1" si="59"/>
        <v>#NAME?</v>
      </c>
      <c r="BV135" s="441" t="e">
        <f t="shared" ca="1" si="60"/>
        <v>#NAME?</v>
      </c>
      <c r="BW135" s="442" t="e">
        <f t="shared" ca="1" si="61"/>
        <v>#NAME?</v>
      </c>
      <c r="BX135" s="470" t="e">
        <f t="shared" ca="1" si="5"/>
        <v>#NAME?</v>
      </c>
      <c r="BY135" s="484" t="e">
        <f t="shared" ca="1" si="20"/>
        <v>#NAME?</v>
      </c>
    </row>
    <row r="136" spans="5:77" ht="17.75" customHeight="1" x14ac:dyDescent="0.2">
      <c r="E136" s="423"/>
      <c r="I136" s="366">
        <v>52</v>
      </c>
      <c r="J136" s="414">
        <f t="shared" si="21"/>
        <v>41705.74861111123</v>
      </c>
      <c r="K136" s="435" t="e">
        <f t="shared" ca="1" si="22"/>
        <v>#NAME?</v>
      </c>
      <c r="L136" s="435" t="e">
        <f t="shared" ca="1" si="0"/>
        <v>#NAME?</v>
      </c>
      <c r="M136" s="664" t="e">
        <f t="shared" ca="1" si="23"/>
        <v>#NAME?</v>
      </c>
      <c r="N136" s="664" t="e">
        <f t="shared" ca="1" si="24"/>
        <v>#NAME?</v>
      </c>
      <c r="O136" s="140" t="e">
        <f t="shared" ca="1" si="7"/>
        <v>#NAME?</v>
      </c>
      <c r="P136" s="352" t="e">
        <f t="shared" ca="1" si="25"/>
        <v>#NAME?</v>
      </c>
      <c r="Q136" s="665" t="e">
        <f t="shared" ca="1" si="8"/>
        <v>#NAME?</v>
      </c>
      <c r="R136" s="352" t="e">
        <f t="shared" ca="1" si="65"/>
        <v>#NAME?</v>
      </c>
      <c r="S136" s="662" t="e">
        <f t="shared" ca="1" si="10"/>
        <v>#NAME?</v>
      </c>
      <c r="T136" s="443" t="e">
        <f t="shared" ca="1" si="1"/>
        <v>#NAME?</v>
      </c>
      <c r="U136" s="369" t="e">
        <f t="shared" ca="1" si="2"/>
        <v>#NAME?</v>
      </c>
      <c r="V136" s="454" t="e">
        <f t="shared" ca="1" si="11"/>
        <v>#NAME?</v>
      </c>
      <c r="W136" s="457">
        <f t="shared" si="12"/>
        <v>1000</v>
      </c>
      <c r="X136" s="463" t="e">
        <f t="shared" ca="1" si="13"/>
        <v>#NAME?</v>
      </c>
      <c r="Y136" s="455" t="e">
        <f t="shared" ca="1" si="26"/>
        <v>#NAME?</v>
      </c>
      <c r="Z136" s="699">
        <f t="shared" si="3"/>
        <v>10</v>
      </c>
      <c r="AA136" s="355" t="str">
        <f t="shared" si="4"/>
        <v>ON</v>
      </c>
      <c r="AB136" s="357">
        <f t="shared" si="66"/>
        <v>1.4999999999999999E-2</v>
      </c>
      <c r="AC136" s="356" t="e">
        <f ca="1">IF(  Y135=0,0,IF(OR(S136="KCAS",S136="INOP",S136="MEFE"),   ( (5*( (   (((1+0.2*(T136/661.4786)^2)^3.5 -1)  )/( (1-6.8755856*10^-6 *100*Y136)^5.2558797) +1)^(2/7) -1) )^0.5),IF(S136="MACH",T136, IF(S136="LRC",BicubicInterpolation( 'LRC Mach'!$C$4:$AL$21, Y136,U136),  IF(S136="MRC",BicubicInterpolation( 'MRC Mach'!$C$3:$T$18, Y136,U136),  IF(S136="M0.84",0.84,  IF(S136="CI52",BicubicInterpolation('CI=52 Mach'!$C$3:$T$18, Y136,U136),  IF(S136="HOLDING",BicubicInterpolation(  'Holding Mach'!$C$4:$M$13, Y136,U136),                         IF(S136="LRCINOP", BicubicInterpolation('LRC INOP Mach'!$C$4:$AA$21,Y136,U136), IF(S136="HOLDINGINOP",  BicubicInterpolation('Holding INOP Mach'!$N$4:$U$13,Y136,U136),         "XXX" )))))))   )))</f>
        <v>#NAME?</v>
      </c>
      <c r="AD136" s="313" t="e">
        <f t="shared" ca="1" si="67"/>
        <v>#NAME?</v>
      </c>
      <c r="AE136" s="314" t="e">
        <f t="shared" ca="1" si="28"/>
        <v>#NAME?</v>
      </c>
      <c r="AF136" s="313" t="e">
        <f t="shared" ca="1" si="68"/>
        <v>#NAME?</v>
      </c>
      <c r="AG136" s="314" t="e">
        <f t="shared" ca="1" si="29"/>
        <v>#NAME?</v>
      </c>
      <c r="AH136" s="313" t="e">
        <f t="shared" ca="1" si="69"/>
        <v>#NAME?</v>
      </c>
      <c r="AI136" s="314" t="e">
        <f t="shared" ca="1" si="31"/>
        <v>#NAME?</v>
      </c>
      <c r="AJ136" s="315" t="e">
        <f t="shared" ca="1" si="32"/>
        <v>#NAME?</v>
      </c>
      <c r="AK136" s="568" t="e">
        <f t="shared" ca="1" si="70"/>
        <v>#NAME?</v>
      </c>
      <c r="AL136" s="313" t="e">
        <f t="shared" ca="1" si="71"/>
        <v>#NAME?</v>
      </c>
      <c r="AM136" s="313" t="e">
        <f t="shared" ca="1" si="35"/>
        <v>#NAME?</v>
      </c>
      <c r="AN136" s="313" t="e">
        <f t="shared" ca="1" si="36"/>
        <v>#NAME?</v>
      </c>
      <c r="AO136" s="316" t="e">
        <f t="shared" ca="1" si="72"/>
        <v>#NAME?</v>
      </c>
      <c r="AP136" s="313" t="e">
        <f t="shared" ca="1" si="73"/>
        <v>#NAME?</v>
      </c>
      <c r="AQ136" s="314" t="e">
        <f t="shared" ca="1" si="39"/>
        <v>#NAME?</v>
      </c>
      <c r="AR136" s="315" t="e">
        <f t="shared" ca="1" si="74"/>
        <v>#NAME?</v>
      </c>
      <c r="AS136" s="316" t="e">
        <f t="shared" ca="1" si="75"/>
        <v>#NAME?</v>
      </c>
      <c r="AT136" s="315" t="e">
        <f t="shared" ca="1" si="76"/>
        <v>#NAME?</v>
      </c>
      <c r="AU136" s="317">
        <v>427.8</v>
      </c>
      <c r="AV136" s="315" t="e">
        <f t="shared" ca="1" si="77"/>
        <v>#NAME?</v>
      </c>
      <c r="AW136" s="318" t="e">
        <f ca="1">0.0001*BicubicInterpolation('Drag Coef Table'!$B$4:$L$28,AV136,AC136)</f>
        <v>#NAME?</v>
      </c>
      <c r="AX136" s="319" t="e">
        <f t="shared" ca="1" si="78"/>
        <v>#NAME?</v>
      </c>
      <c r="AY136" s="318" t="e">
        <f t="shared" ca="1" si="79"/>
        <v>#NAME?</v>
      </c>
      <c r="AZ136" s="320" t="e">
        <f t="shared" ca="1" si="80"/>
        <v>#NAME?</v>
      </c>
      <c r="BA136" s="321" t="e">
        <f t="shared" ca="1" si="81"/>
        <v>#NAME?</v>
      </c>
      <c r="BB136" s="322" t="e">
        <f t="shared" ca="1" si="82"/>
        <v>#NAME?</v>
      </c>
      <c r="BC136" s="323">
        <v>75.196700000000007</v>
      </c>
      <c r="BD136" s="324" t="e">
        <f t="shared" ca="1" si="83"/>
        <v>#NAME?</v>
      </c>
      <c r="BE136" s="325" t="e">
        <f t="shared" ca="1" si="84"/>
        <v>#NAME?</v>
      </c>
      <c r="BF136" s="324" t="e">
        <f ca="1">BicubicInterpolation('TSFC Eff Table'!$B$4:$E$69,2,BB136)</f>
        <v>#NAME?</v>
      </c>
      <c r="BG136" s="326" t="e">
        <f t="shared" ca="1" si="85"/>
        <v>#NAME?</v>
      </c>
      <c r="BH136" s="694" t="e">
        <f ca="1">IF( S136="LRCINOP",   (1+(0.03/10)*Z136*(1+0.2*AC136^2) )*BicubicInterpolation( 'LRC INOP FF'!$C$4:$AA$21, Y136, U136 )-200, IF(S136 ="HOLDINGINOP", (1+(0.03/10)*Z136*(1+0.2*AC136^2) )*BicubicInterpolation( 'Holding INOP FF'!$C$4:$J$13,  Y136,  U136)/1.05-200,   BA136*BG136))</f>
        <v>#NAME?</v>
      </c>
      <c r="BI136" s="344" t="e">
        <f t="shared" ca="1" si="15"/>
        <v>#NAME?</v>
      </c>
      <c r="BJ136" s="322" t="e">
        <f t="shared" ca="1" si="86"/>
        <v>#NAME?</v>
      </c>
      <c r="BK136" s="338" t="e">
        <f t="shared" ca="1" si="16"/>
        <v>#NAME?</v>
      </c>
      <c r="BL136" s="327" t="e">
        <f t="shared" ca="1" si="87"/>
        <v>#NAME?</v>
      </c>
      <c r="BM136" s="328">
        <f t="shared" si="88"/>
        <v>200</v>
      </c>
      <c r="BN136" s="329" t="e">
        <f t="shared" ca="1" si="89"/>
        <v>#NAME?</v>
      </c>
      <c r="BO136" s="344" t="e">
        <f t="shared" ca="1" si="17"/>
        <v>#NAME?</v>
      </c>
      <c r="BP136" s="320" t="e">
        <f t="shared" ca="1" si="90"/>
        <v>#NAME?</v>
      </c>
      <c r="BQ136" s="344" t="e">
        <f t="shared" ca="1" si="18"/>
        <v>#NAME?</v>
      </c>
      <c r="BR136" s="347" t="e">
        <f t="shared" ca="1" si="19"/>
        <v>#NAME?</v>
      </c>
      <c r="BS136" s="326" t="e">
        <f t="shared" ca="1" si="91"/>
        <v>#NAME?</v>
      </c>
      <c r="BT136" s="437" t="e">
        <f t="shared" ca="1" si="58"/>
        <v>#NAME?</v>
      </c>
      <c r="BU136" s="437" t="e">
        <f t="shared" ca="1" si="59"/>
        <v>#NAME?</v>
      </c>
      <c r="BV136" s="441" t="e">
        <f t="shared" ca="1" si="60"/>
        <v>#NAME?</v>
      </c>
      <c r="BW136" s="442" t="e">
        <f t="shared" ca="1" si="61"/>
        <v>#NAME?</v>
      </c>
      <c r="BX136" s="470" t="e">
        <f t="shared" ca="1" si="5"/>
        <v>#NAME?</v>
      </c>
      <c r="BY136" s="484" t="e">
        <f t="shared" ca="1" si="20"/>
        <v>#NAME?</v>
      </c>
    </row>
    <row r="137" spans="5:77" ht="17.75" customHeight="1" x14ac:dyDescent="0.2">
      <c r="E137" s="423"/>
      <c r="I137" s="366">
        <v>53</v>
      </c>
      <c r="J137" s="414">
        <f t="shared" si="21"/>
        <v>41705.749305555677</v>
      </c>
      <c r="K137" s="435" t="e">
        <f t="shared" ca="1" si="22"/>
        <v>#NAME?</v>
      </c>
      <c r="L137" s="435" t="e">
        <f t="shared" ca="1" si="0"/>
        <v>#NAME?</v>
      </c>
      <c r="M137" s="664" t="e">
        <f t="shared" ca="1" si="23"/>
        <v>#NAME?</v>
      </c>
      <c r="N137" s="664" t="e">
        <f t="shared" ca="1" si="24"/>
        <v>#NAME?</v>
      </c>
      <c r="O137" s="140" t="e">
        <f t="shared" ca="1" si="7"/>
        <v>#NAME?</v>
      </c>
      <c r="P137" s="352" t="e">
        <f t="shared" ca="1" si="25"/>
        <v>#NAME?</v>
      </c>
      <c r="Q137" s="665" t="e">
        <f t="shared" ca="1" si="8"/>
        <v>#NAME?</v>
      </c>
      <c r="R137" s="352" t="e">
        <f t="shared" ca="1" si="65"/>
        <v>#NAME?</v>
      </c>
      <c r="S137" s="662" t="e">
        <f t="shared" ca="1" si="10"/>
        <v>#NAME?</v>
      </c>
      <c r="T137" s="443" t="e">
        <f t="shared" ca="1" si="1"/>
        <v>#NAME?</v>
      </c>
      <c r="U137" s="369" t="e">
        <f t="shared" ca="1" si="2"/>
        <v>#NAME?</v>
      </c>
      <c r="V137" s="454" t="e">
        <f t="shared" ca="1" si="11"/>
        <v>#NAME?</v>
      </c>
      <c r="W137" s="457">
        <f t="shared" si="12"/>
        <v>1000</v>
      </c>
      <c r="X137" s="463" t="e">
        <f t="shared" ca="1" si="13"/>
        <v>#NAME?</v>
      </c>
      <c r="Y137" s="455" t="e">
        <f t="shared" ca="1" si="26"/>
        <v>#NAME?</v>
      </c>
      <c r="Z137" s="699">
        <f t="shared" si="3"/>
        <v>10</v>
      </c>
      <c r="AA137" s="355" t="str">
        <f t="shared" si="4"/>
        <v>ON</v>
      </c>
      <c r="AB137" s="357">
        <f t="shared" si="66"/>
        <v>1.4999999999999999E-2</v>
      </c>
      <c r="AC137" s="356" t="e">
        <f ca="1">IF(  Y136=0,0,IF(OR(S137="KCAS",S137="INOP",S137="MEFE"),   ( (5*( (   (((1+0.2*(T137/661.4786)^2)^3.5 -1)  )/( (1-6.8755856*10^-6 *100*Y137)^5.2558797) +1)^(2/7) -1) )^0.5),IF(S137="MACH",T137, IF(S137="LRC",BicubicInterpolation( 'LRC Mach'!$C$4:$AL$21, Y137,U137),  IF(S137="MRC",BicubicInterpolation( 'MRC Mach'!$C$3:$T$18, Y137,U137),  IF(S137="M0.84",0.84,  IF(S137="CI52",BicubicInterpolation('CI=52 Mach'!$C$3:$T$18, Y137,U137),  IF(S137="HOLDING",BicubicInterpolation(  'Holding Mach'!$C$4:$M$13, Y137,U137),                         IF(S137="LRCINOP", BicubicInterpolation('LRC INOP Mach'!$C$4:$AA$21,Y137,U137), IF(S137="HOLDINGINOP",  BicubicInterpolation('Holding INOP Mach'!$N$4:$U$13,Y137,U137),         "XXX" )))))))   )))</f>
        <v>#NAME?</v>
      </c>
      <c r="AD137" s="313" t="e">
        <f t="shared" ca="1" si="67"/>
        <v>#NAME?</v>
      </c>
      <c r="AE137" s="314" t="e">
        <f t="shared" ca="1" si="28"/>
        <v>#NAME?</v>
      </c>
      <c r="AF137" s="313" t="e">
        <f t="shared" ca="1" si="68"/>
        <v>#NAME?</v>
      </c>
      <c r="AG137" s="314" t="e">
        <f t="shared" ca="1" si="29"/>
        <v>#NAME?</v>
      </c>
      <c r="AH137" s="313" t="e">
        <f t="shared" ca="1" si="69"/>
        <v>#NAME?</v>
      </c>
      <c r="AI137" s="314" t="e">
        <f t="shared" ca="1" si="31"/>
        <v>#NAME?</v>
      </c>
      <c r="AJ137" s="315" t="e">
        <f t="shared" ca="1" si="32"/>
        <v>#NAME?</v>
      </c>
      <c r="AK137" s="568" t="e">
        <f t="shared" ca="1" si="70"/>
        <v>#NAME?</v>
      </c>
      <c r="AL137" s="313" t="e">
        <f t="shared" ca="1" si="71"/>
        <v>#NAME?</v>
      </c>
      <c r="AM137" s="313" t="e">
        <f t="shared" ca="1" si="35"/>
        <v>#NAME?</v>
      </c>
      <c r="AN137" s="313" t="e">
        <f t="shared" ca="1" si="36"/>
        <v>#NAME?</v>
      </c>
      <c r="AO137" s="316" t="e">
        <f t="shared" ca="1" si="72"/>
        <v>#NAME?</v>
      </c>
      <c r="AP137" s="313" t="e">
        <f t="shared" ca="1" si="73"/>
        <v>#NAME?</v>
      </c>
      <c r="AQ137" s="314" t="e">
        <f t="shared" ca="1" si="39"/>
        <v>#NAME?</v>
      </c>
      <c r="AR137" s="315" t="e">
        <f t="shared" ca="1" si="74"/>
        <v>#NAME?</v>
      </c>
      <c r="AS137" s="316" t="e">
        <f t="shared" ca="1" si="75"/>
        <v>#NAME?</v>
      </c>
      <c r="AT137" s="315" t="e">
        <f t="shared" ca="1" si="76"/>
        <v>#NAME?</v>
      </c>
      <c r="AU137" s="317">
        <v>427.8</v>
      </c>
      <c r="AV137" s="315" t="e">
        <f t="shared" ca="1" si="77"/>
        <v>#NAME?</v>
      </c>
      <c r="AW137" s="318" t="e">
        <f ca="1">0.0001*BicubicInterpolation('Drag Coef Table'!$B$4:$L$28,AV137,AC137)</f>
        <v>#NAME?</v>
      </c>
      <c r="AX137" s="319" t="e">
        <f t="shared" ca="1" si="78"/>
        <v>#NAME?</v>
      </c>
      <c r="AY137" s="318" t="e">
        <f t="shared" ca="1" si="79"/>
        <v>#NAME?</v>
      </c>
      <c r="AZ137" s="320" t="e">
        <f t="shared" ca="1" si="80"/>
        <v>#NAME?</v>
      </c>
      <c r="BA137" s="321" t="e">
        <f t="shared" ca="1" si="81"/>
        <v>#NAME?</v>
      </c>
      <c r="BB137" s="322" t="e">
        <f t="shared" ca="1" si="82"/>
        <v>#NAME?</v>
      </c>
      <c r="BC137" s="323">
        <v>75.196700000000007</v>
      </c>
      <c r="BD137" s="324" t="e">
        <f t="shared" ca="1" si="83"/>
        <v>#NAME?</v>
      </c>
      <c r="BE137" s="325" t="e">
        <f t="shared" ca="1" si="84"/>
        <v>#NAME?</v>
      </c>
      <c r="BF137" s="324" t="e">
        <f ca="1">BicubicInterpolation('TSFC Eff Table'!$B$4:$E$69,2,BB137)</f>
        <v>#NAME?</v>
      </c>
      <c r="BG137" s="326" t="e">
        <f t="shared" ca="1" si="85"/>
        <v>#NAME?</v>
      </c>
      <c r="BH137" s="694" t="e">
        <f ca="1">IF( S137="LRCINOP",   (1+(0.03/10)*Z137*(1+0.2*AC137^2) )*BicubicInterpolation( 'LRC INOP FF'!$C$4:$AA$21, Y137, U137 )-200, IF(S137 ="HOLDINGINOP", (1+(0.03/10)*Z137*(1+0.2*AC137^2) )*BicubicInterpolation( 'Holding INOP FF'!$C$4:$J$13,  Y137,  U137)/1.05-200,   BA137*BG137))</f>
        <v>#NAME?</v>
      </c>
      <c r="BI137" s="344" t="e">
        <f t="shared" ca="1" si="15"/>
        <v>#NAME?</v>
      </c>
      <c r="BJ137" s="322" t="e">
        <f t="shared" ca="1" si="86"/>
        <v>#NAME?</v>
      </c>
      <c r="BK137" s="338" t="e">
        <f t="shared" ca="1" si="16"/>
        <v>#NAME?</v>
      </c>
      <c r="BL137" s="327" t="e">
        <f t="shared" ca="1" si="87"/>
        <v>#NAME?</v>
      </c>
      <c r="BM137" s="328">
        <f t="shared" si="88"/>
        <v>200</v>
      </c>
      <c r="BN137" s="329" t="e">
        <f t="shared" ca="1" si="89"/>
        <v>#NAME?</v>
      </c>
      <c r="BO137" s="344" t="e">
        <f t="shared" ca="1" si="17"/>
        <v>#NAME?</v>
      </c>
      <c r="BP137" s="320" t="e">
        <f t="shared" ca="1" si="90"/>
        <v>#NAME?</v>
      </c>
      <c r="BQ137" s="344" t="e">
        <f t="shared" ca="1" si="18"/>
        <v>#NAME?</v>
      </c>
      <c r="BR137" s="347" t="e">
        <f t="shared" ca="1" si="19"/>
        <v>#NAME?</v>
      </c>
      <c r="BS137" s="326" t="e">
        <f t="shared" ca="1" si="91"/>
        <v>#NAME?</v>
      </c>
      <c r="BT137" s="437" t="e">
        <f t="shared" ca="1" si="58"/>
        <v>#NAME?</v>
      </c>
      <c r="BU137" s="437" t="e">
        <f t="shared" ca="1" si="59"/>
        <v>#NAME?</v>
      </c>
      <c r="BV137" s="441" t="e">
        <f t="shared" ca="1" si="60"/>
        <v>#NAME?</v>
      </c>
      <c r="BW137" s="442" t="e">
        <f t="shared" ca="1" si="61"/>
        <v>#NAME?</v>
      </c>
      <c r="BX137" s="470" t="e">
        <f t="shared" ca="1" si="5"/>
        <v>#NAME?</v>
      </c>
      <c r="BY137" s="484" t="e">
        <f t="shared" ca="1" si="20"/>
        <v>#NAME?</v>
      </c>
    </row>
    <row r="138" spans="5:77" ht="17.75" customHeight="1" x14ac:dyDescent="0.2">
      <c r="E138" s="423"/>
      <c r="I138" s="366">
        <v>54</v>
      </c>
      <c r="J138" s="414">
        <f t="shared" si="21"/>
        <v>41705.750000000124</v>
      </c>
      <c r="K138" s="435" t="e">
        <f t="shared" ca="1" si="22"/>
        <v>#NAME?</v>
      </c>
      <c r="L138" s="435" t="e">
        <f t="shared" ca="1" si="0"/>
        <v>#NAME?</v>
      </c>
      <c r="M138" s="664" t="e">
        <f t="shared" ca="1" si="23"/>
        <v>#NAME?</v>
      </c>
      <c r="N138" s="664" t="e">
        <f t="shared" ca="1" si="24"/>
        <v>#NAME?</v>
      </c>
      <c r="O138" s="140" t="e">
        <f t="shared" ca="1" si="7"/>
        <v>#NAME?</v>
      </c>
      <c r="P138" s="352" t="e">
        <f t="shared" ca="1" si="25"/>
        <v>#NAME?</v>
      </c>
      <c r="Q138" s="665" t="e">
        <f t="shared" ca="1" si="8"/>
        <v>#NAME?</v>
      </c>
      <c r="R138" s="352" t="e">
        <f t="shared" ca="1" si="65"/>
        <v>#NAME?</v>
      </c>
      <c r="S138" s="662" t="e">
        <f t="shared" ca="1" si="10"/>
        <v>#NAME?</v>
      </c>
      <c r="T138" s="443" t="e">
        <f t="shared" ca="1" si="1"/>
        <v>#NAME?</v>
      </c>
      <c r="U138" s="369" t="e">
        <f t="shared" ca="1" si="2"/>
        <v>#NAME?</v>
      </c>
      <c r="V138" s="454" t="e">
        <f t="shared" ca="1" si="11"/>
        <v>#NAME?</v>
      </c>
      <c r="W138" s="457">
        <f t="shared" si="12"/>
        <v>1000</v>
      </c>
      <c r="X138" s="463" t="e">
        <f t="shared" ca="1" si="13"/>
        <v>#NAME?</v>
      </c>
      <c r="Y138" s="455" t="e">
        <f t="shared" ca="1" si="26"/>
        <v>#NAME?</v>
      </c>
      <c r="Z138" s="699">
        <f t="shared" si="3"/>
        <v>10</v>
      </c>
      <c r="AA138" s="355" t="str">
        <f t="shared" si="4"/>
        <v>ON</v>
      </c>
      <c r="AB138" s="357">
        <f t="shared" si="66"/>
        <v>1.4999999999999999E-2</v>
      </c>
      <c r="AC138" s="356" t="e">
        <f ca="1">IF(  Y137=0,0,IF(OR(S138="KCAS",S138="INOP",S138="MEFE"),   ( (5*( (   (((1+0.2*(T138/661.4786)^2)^3.5 -1)  )/( (1-6.8755856*10^-6 *100*Y138)^5.2558797) +1)^(2/7) -1) )^0.5),IF(S138="MACH",T138, IF(S138="LRC",BicubicInterpolation( 'LRC Mach'!$C$4:$AL$21, Y138,U138),  IF(S138="MRC",BicubicInterpolation( 'MRC Mach'!$C$3:$T$18, Y138,U138),  IF(S138="M0.84",0.84,  IF(S138="CI52",BicubicInterpolation('CI=52 Mach'!$C$3:$T$18, Y138,U138),  IF(S138="HOLDING",BicubicInterpolation(  'Holding Mach'!$C$4:$M$13, Y138,U138),                         IF(S138="LRCINOP", BicubicInterpolation('LRC INOP Mach'!$C$4:$AA$21,Y138,U138), IF(S138="HOLDINGINOP",  BicubicInterpolation('Holding INOP Mach'!$N$4:$U$13,Y138,U138),         "XXX" )))))))   )))</f>
        <v>#NAME?</v>
      </c>
      <c r="AD138" s="313" t="e">
        <f t="shared" ca="1" si="67"/>
        <v>#NAME?</v>
      </c>
      <c r="AE138" s="314" t="e">
        <f t="shared" ca="1" si="28"/>
        <v>#NAME?</v>
      </c>
      <c r="AF138" s="313" t="e">
        <f t="shared" ca="1" si="68"/>
        <v>#NAME?</v>
      </c>
      <c r="AG138" s="314" t="e">
        <f t="shared" ca="1" si="29"/>
        <v>#NAME?</v>
      </c>
      <c r="AH138" s="313" t="e">
        <f t="shared" ca="1" si="69"/>
        <v>#NAME?</v>
      </c>
      <c r="AI138" s="314" t="e">
        <f t="shared" ca="1" si="31"/>
        <v>#NAME?</v>
      </c>
      <c r="AJ138" s="315" t="e">
        <f t="shared" ca="1" si="32"/>
        <v>#NAME?</v>
      </c>
      <c r="AK138" s="568" t="e">
        <f t="shared" ca="1" si="70"/>
        <v>#NAME?</v>
      </c>
      <c r="AL138" s="313" t="e">
        <f t="shared" ca="1" si="71"/>
        <v>#NAME?</v>
      </c>
      <c r="AM138" s="313" t="e">
        <f t="shared" ca="1" si="35"/>
        <v>#NAME?</v>
      </c>
      <c r="AN138" s="313" t="e">
        <f t="shared" ca="1" si="36"/>
        <v>#NAME?</v>
      </c>
      <c r="AO138" s="316" t="e">
        <f t="shared" ca="1" si="72"/>
        <v>#NAME?</v>
      </c>
      <c r="AP138" s="313" t="e">
        <f t="shared" ca="1" si="73"/>
        <v>#NAME?</v>
      </c>
      <c r="AQ138" s="314" t="e">
        <f t="shared" ca="1" si="39"/>
        <v>#NAME?</v>
      </c>
      <c r="AR138" s="315" t="e">
        <f t="shared" ca="1" si="74"/>
        <v>#NAME?</v>
      </c>
      <c r="AS138" s="316" t="e">
        <f t="shared" ca="1" si="75"/>
        <v>#NAME?</v>
      </c>
      <c r="AT138" s="315" t="e">
        <f t="shared" ca="1" si="76"/>
        <v>#NAME?</v>
      </c>
      <c r="AU138" s="317">
        <v>427.8</v>
      </c>
      <c r="AV138" s="315" t="e">
        <f t="shared" ca="1" si="77"/>
        <v>#NAME?</v>
      </c>
      <c r="AW138" s="318" t="e">
        <f ca="1">0.0001*BicubicInterpolation('Drag Coef Table'!$B$4:$L$28,AV138,AC138)</f>
        <v>#NAME?</v>
      </c>
      <c r="AX138" s="319" t="e">
        <f t="shared" ca="1" si="78"/>
        <v>#NAME?</v>
      </c>
      <c r="AY138" s="318" t="e">
        <f t="shared" ca="1" si="79"/>
        <v>#NAME?</v>
      </c>
      <c r="AZ138" s="320" t="e">
        <f t="shared" ca="1" si="80"/>
        <v>#NAME?</v>
      </c>
      <c r="BA138" s="321" t="e">
        <f t="shared" ca="1" si="81"/>
        <v>#NAME?</v>
      </c>
      <c r="BB138" s="322" t="e">
        <f t="shared" ca="1" si="82"/>
        <v>#NAME?</v>
      </c>
      <c r="BC138" s="323">
        <v>75.196700000000007</v>
      </c>
      <c r="BD138" s="324" t="e">
        <f t="shared" ca="1" si="83"/>
        <v>#NAME?</v>
      </c>
      <c r="BE138" s="325" t="e">
        <f t="shared" ca="1" si="84"/>
        <v>#NAME?</v>
      </c>
      <c r="BF138" s="324" t="e">
        <f ca="1">BicubicInterpolation('TSFC Eff Table'!$B$4:$E$69,2,BB138)</f>
        <v>#NAME?</v>
      </c>
      <c r="BG138" s="326" t="e">
        <f t="shared" ca="1" si="85"/>
        <v>#NAME?</v>
      </c>
      <c r="BH138" s="694" t="e">
        <f ca="1">IF( S138="LRCINOP",   (1+(0.03/10)*Z138*(1+0.2*AC138^2) )*BicubicInterpolation( 'LRC INOP FF'!$C$4:$AA$21, Y138, U138 )-200, IF(S138 ="HOLDINGINOP", (1+(0.03/10)*Z138*(1+0.2*AC138^2) )*BicubicInterpolation( 'Holding INOP FF'!$C$4:$J$13,  Y138,  U138)/1.05-200,   BA138*BG138))</f>
        <v>#NAME?</v>
      </c>
      <c r="BI138" s="344" t="e">
        <f t="shared" ca="1" si="15"/>
        <v>#NAME?</v>
      </c>
      <c r="BJ138" s="322" t="e">
        <f t="shared" ca="1" si="86"/>
        <v>#NAME?</v>
      </c>
      <c r="BK138" s="338" t="e">
        <f t="shared" ca="1" si="16"/>
        <v>#NAME?</v>
      </c>
      <c r="BL138" s="327" t="e">
        <f t="shared" ca="1" si="87"/>
        <v>#NAME?</v>
      </c>
      <c r="BM138" s="328">
        <f t="shared" si="88"/>
        <v>200</v>
      </c>
      <c r="BN138" s="329" t="e">
        <f t="shared" ca="1" si="89"/>
        <v>#NAME?</v>
      </c>
      <c r="BO138" s="344" t="e">
        <f t="shared" ca="1" si="17"/>
        <v>#NAME?</v>
      </c>
      <c r="BP138" s="320" t="e">
        <f t="shared" ca="1" si="90"/>
        <v>#NAME?</v>
      </c>
      <c r="BQ138" s="344" t="e">
        <f t="shared" ca="1" si="18"/>
        <v>#NAME?</v>
      </c>
      <c r="BR138" s="347" t="e">
        <f t="shared" ca="1" si="19"/>
        <v>#NAME?</v>
      </c>
      <c r="BS138" s="326" t="e">
        <f t="shared" ca="1" si="91"/>
        <v>#NAME?</v>
      </c>
      <c r="BT138" s="437" t="e">
        <f t="shared" ca="1" si="58"/>
        <v>#NAME?</v>
      </c>
      <c r="BU138" s="437" t="e">
        <f t="shared" ca="1" si="59"/>
        <v>#NAME?</v>
      </c>
      <c r="BV138" s="441" t="e">
        <f t="shared" ca="1" si="60"/>
        <v>#NAME?</v>
      </c>
      <c r="BW138" s="442" t="e">
        <f t="shared" ca="1" si="61"/>
        <v>#NAME?</v>
      </c>
      <c r="BX138" s="470" t="e">
        <f t="shared" ca="1" si="5"/>
        <v>#NAME?</v>
      </c>
      <c r="BY138" s="484" t="e">
        <f t="shared" ca="1" si="20"/>
        <v>#NAME?</v>
      </c>
    </row>
    <row r="139" spans="5:77" ht="17.75" customHeight="1" x14ac:dyDescent="0.2">
      <c r="E139" s="423"/>
      <c r="I139" s="366">
        <v>55</v>
      </c>
      <c r="J139" s="414">
        <f t="shared" si="21"/>
        <v>41705.75069444457</v>
      </c>
      <c r="K139" s="435" t="e">
        <f t="shared" ca="1" si="22"/>
        <v>#NAME?</v>
      </c>
      <c r="L139" s="435" t="e">
        <f t="shared" ca="1" si="0"/>
        <v>#NAME?</v>
      </c>
      <c r="M139" s="664" t="e">
        <f t="shared" ca="1" si="23"/>
        <v>#NAME?</v>
      </c>
      <c r="N139" s="664" t="e">
        <f t="shared" ca="1" si="24"/>
        <v>#NAME?</v>
      </c>
      <c r="O139" s="140" t="e">
        <f t="shared" ca="1" si="7"/>
        <v>#NAME?</v>
      </c>
      <c r="P139" s="352" t="e">
        <f t="shared" ca="1" si="25"/>
        <v>#NAME?</v>
      </c>
      <c r="Q139" s="665" t="e">
        <f t="shared" ca="1" si="8"/>
        <v>#NAME?</v>
      </c>
      <c r="R139" s="352" t="e">
        <f t="shared" ca="1" si="65"/>
        <v>#NAME?</v>
      </c>
      <c r="S139" s="662" t="e">
        <f t="shared" ca="1" si="10"/>
        <v>#NAME?</v>
      </c>
      <c r="T139" s="443" t="e">
        <f t="shared" ca="1" si="1"/>
        <v>#NAME?</v>
      </c>
      <c r="U139" s="369" t="e">
        <f t="shared" ca="1" si="2"/>
        <v>#NAME?</v>
      </c>
      <c r="V139" s="454" t="e">
        <f t="shared" ca="1" si="11"/>
        <v>#NAME?</v>
      </c>
      <c r="W139" s="457">
        <f t="shared" si="12"/>
        <v>1000</v>
      </c>
      <c r="X139" s="463" t="e">
        <f t="shared" ca="1" si="13"/>
        <v>#NAME?</v>
      </c>
      <c r="Y139" s="455" t="e">
        <f t="shared" ca="1" si="26"/>
        <v>#NAME?</v>
      </c>
      <c r="Z139" s="699">
        <f t="shared" si="3"/>
        <v>10</v>
      </c>
      <c r="AA139" s="355" t="str">
        <f t="shared" si="4"/>
        <v>ON</v>
      </c>
      <c r="AB139" s="357">
        <f t="shared" si="66"/>
        <v>1.4999999999999999E-2</v>
      </c>
      <c r="AC139" s="356" t="e">
        <f ca="1">IF(  Y138=0,0,IF(OR(S139="KCAS",S139="INOP",S139="MEFE"),   ( (5*( (   (((1+0.2*(T139/661.4786)^2)^3.5 -1)  )/( (1-6.8755856*10^-6 *100*Y139)^5.2558797) +1)^(2/7) -1) )^0.5),IF(S139="MACH",T139, IF(S139="LRC",BicubicInterpolation( 'LRC Mach'!$C$4:$AL$21, Y139,U139),  IF(S139="MRC",BicubicInterpolation( 'MRC Mach'!$C$3:$T$18, Y139,U139),  IF(S139="M0.84",0.84,  IF(S139="CI52",BicubicInterpolation('CI=52 Mach'!$C$3:$T$18, Y139,U139),  IF(S139="HOLDING",BicubicInterpolation(  'Holding Mach'!$C$4:$M$13, Y139,U139),                         IF(S139="LRCINOP", BicubicInterpolation('LRC INOP Mach'!$C$4:$AA$21,Y139,U139), IF(S139="HOLDINGINOP",  BicubicInterpolation('Holding INOP Mach'!$N$4:$U$13,Y139,U139),         "XXX" )))))))   )))</f>
        <v>#NAME?</v>
      </c>
      <c r="AD139" s="313" t="e">
        <f t="shared" ca="1" si="67"/>
        <v>#NAME?</v>
      </c>
      <c r="AE139" s="314" t="e">
        <f t="shared" ca="1" si="28"/>
        <v>#NAME?</v>
      </c>
      <c r="AF139" s="313" t="e">
        <f t="shared" ca="1" si="68"/>
        <v>#NAME?</v>
      </c>
      <c r="AG139" s="314" t="e">
        <f t="shared" ca="1" si="29"/>
        <v>#NAME?</v>
      </c>
      <c r="AH139" s="313" t="e">
        <f t="shared" ca="1" si="69"/>
        <v>#NAME?</v>
      </c>
      <c r="AI139" s="314" t="e">
        <f t="shared" ca="1" si="31"/>
        <v>#NAME?</v>
      </c>
      <c r="AJ139" s="315" t="e">
        <f t="shared" ca="1" si="32"/>
        <v>#NAME?</v>
      </c>
      <c r="AK139" s="568" t="e">
        <f t="shared" ca="1" si="70"/>
        <v>#NAME?</v>
      </c>
      <c r="AL139" s="313" t="e">
        <f t="shared" ca="1" si="71"/>
        <v>#NAME?</v>
      </c>
      <c r="AM139" s="313" t="e">
        <f t="shared" ca="1" si="35"/>
        <v>#NAME?</v>
      </c>
      <c r="AN139" s="313" t="e">
        <f t="shared" ca="1" si="36"/>
        <v>#NAME?</v>
      </c>
      <c r="AO139" s="316" t="e">
        <f t="shared" ca="1" si="72"/>
        <v>#NAME?</v>
      </c>
      <c r="AP139" s="313" t="e">
        <f t="shared" ca="1" si="73"/>
        <v>#NAME?</v>
      </c>
      <c r="AQ139" s="314" t="e">
        <f t="shared" ca="1" si="39"/>
        <v>#NAME?</v>
      </c>
      <c r="AR139" s="315" t="e">
        <f t="shared" ca="1" si="74"/>
        <v>#NAME?</v>
      </c>
      <c r="AS139" s="316" t="e">
        <f t="shared" ca="1" si="75"/>
        <v>#NAME?</v>
      </c>
      <c r="AT139" s="315" t="e">
        <f t="shared" ca="1" si="76"/>
        <v>#NAME?</v>
      </c>
      <c r="AU139" s="317">
        <v>427.8</v>
      </c>
      <c r="AV139" s="315" t="e">
        <f t="shared" ca="1" si="77"/>
        <v>#NAME?</v>
      </c>
      <c r="AW139" s="318" t="e">
        <f ca="1">0.0001*BicubicInterpolation('Drag Coef Table'!$B$4:$L$28,AV139,AC139)</f>
        <v>#NAME?</v>
      </c>
      <c r="AX139" s="319" t="e">
        <f t="shared" ca="1" si="78"/>
        <v>#NAME?</v>
      </c>
      <c r="AY139" s="318" t="e">
        <f t="shared" ca="1" si="79"/>
        <v>#NAME?</v>
      </c>
      <c r="AZ139" s="320" t="e">
        <f t="shared" ca="1" si="80"/>
        <v>#NAME?</v>
      </c>
      <c r="BA139" s="321" t="e">
        <f t="shared" ca="1" si="81"/>
        <v>#NAME?</v>
      </c>
      <c r="BB139" s="322" t="e">
        <f t="shared" ca="1" si="82"/>
        <v>#NAME?</v>
      </c>
      <c r="BC139" s="323">
        <v>75.196700000000007</v>
      </c>
      <c r="BD139" s="324" t="e">
        <f t="shared" ca="1" si="83"/>
        <v>#NAME?</v>
      </c>
      <c r="BE139" s="325" t="e">
        <f t="shared" ca="1" si="84"/>
        <v>#NAME?</v>
      </c>
      <c r="BF139" s="324" t="e">
        <f ca="1">BicubicInterpolation('TSFC Eff Table'!$B$4:$E$69,2,BB139)</f>
        <v>#NAME?</v>
      </c>
      <c r="BG139" s="326" t="e">
        <f t="shared" ca="1" si="85"/>
        <v>#NAME?</v>
      </c>
      <c r="BH139" s="694" t="e">
        <f ca="1">IF( S139="LRCINOP",   (1+(0.03/10)*Z139*(1+0.2*AC139^2) )*BicubicInterpolation( 'LRC INOP FF'!$C$4:$AA$21, Y139, U139 )-200, IF(S139 ="HOLDINGINOP", (1+(0.03/10)*Z139*(1+0.2*AC139^2) )*BicubicInterpolation( 'Holding INOP FF'!$C$4:$J$13,  Y139,  U139)/1.05-200,   BA139*BG139))</f>
        <v>#NAME?</v>
      </c>
      <c r="BI139" s="344" t="e">
        <f t="shared" ca="1" si="15"/>
        <v>#NAME?</v>
      </c>
      <c r="BJ139" s="322" t="e">
        <f t="shared" ca="1" si="86"/>
        <v>#NAME?</v>
      </c>
      <c r="BK139" s="338" t="e">
        <f t="shared" ca="1" si="16"/>
        <v>#NAME?</v>
      </c>
      <c r="BL139" s="327" t="e">
        <f t="shared" ca="1" si="87"/>
        <v>#NAME?</v>
      </c>
      <c r="BM139" s="328">
        <f t="shared" si="88"/>
        <v>200</v>
      </c>
      <c r="BN139" s="329" t="e">
        <f t="shared" ca="1" si="89"/>
        <v>#NAME?</v>
      </c>
      <c r="BO139" s="344" t="e">
        <f t="shared" ca="1" si="17"/>
        <v>#NAME?</v>
      </c>
      <c r="BP139" s="320" t="e">
        <f t="shared" ca="1" si="90"/>
        <v>#NAME?</v>
      </c>
      <c r="BQ139" s="344" t="e">
        <f t="shared" ca="1" si="18"/>
        <v>#NAME?</v>
      </c>
      <c r="BR139" s="347" t="e">
        <f t="shared" ca="1" si="19"/>
        <v>#NAME?</v>
      </c>
      <c r="BS139" s="326" t="e">
        <f t="shared" ca="1" si="91"/>
        <v>#NAME?</v>
      </c>
      <c r="BT139" s="437" t="e">
        <f t="shared" ca="1" si="58"/>
        <v>#NAME?</v>
      </c>
      <c r="BU139" s="437" t="e">
        <f t="shared" ca="1" si="59"/>
        <v>#NAME?</v>
      </c>
      <c r="BV139" s="441" t="e">
        <f t="shared" ca="1" si="60"/>
        <v>#NAME?</v>
      </c>
      <c r="BW139" s="442" t="e">
        <f t="shared" ca="1" si="61"/>
        <v>#NAME?</v>
      </c>
      <c r="BX139" s="470" t="e">
        <f t="shared" ca="1" si="5"/>
        <v>#NAME?</v>
      </c>
      <c r="BY139" s="484" t="e">
        <f t="shared" ca="1" si="20"/>
        <v>#NAME?</v>
      </c>
    </row>
    <row r="140" spans="5:77" ht="17.75" customHeight="1" x14ac:dyDescent="0.2">
      <c r="E140" s="423"/>
      <c r="I140" s="366">
        <v>56</v>
      </c>
      <c r="J140" s="414">
        <f t="shared" si="21"/>
        <v>41705.751388889017</v>
      </c>
      <c r="K140" s="435" t="e">
        <f t="shared" ca="1" si="22"/>
        <v>#NAME?</v>
      </c>
      <c r="L140" s="435" t="e">
        <f t="shared" ca="1" si="0"/>
        <v>#NAME?</v>
      </c>
      <c r="M140" s="664" t="e">
        <f t="shared" ca="1" si="23"/>
        <v>#NAME?</v>
      </c>
      <c r="N140" s="664" t="e">
        <f t="shared" ca="1" si="24"/>
        <v>#NAME?</v>
      </c>
      <c r="O140" s="140" t="e">
        <f t="shared" ca="1" si="7"/>
        <v>#NAME?</v>
      </c>
      <c r="P140" s="352" t="e">
        <f t="shared" ca="1" si="25"/>
        <v>#NAME?</v>
      </c>
      <c r="Q140" s="665" t="e">
        <f t="shared" ca="1" si="8"/>
        <v>#NAME?</v>
      </c>
      <c r="R140" s="352" t="e">
        <f t="shared" ca="1" si="65"/>
        <v>#NAME?</v>
      </c>
      <c r="S140" s="662" t="e">
        <f t="shared" ca="1" si="10"/>
        <v>#NAME?</v>
      </c>
      <c r="T140" s="443" t="e">
        <f t="shared" ca="1" si="1"/>
        <v>#NAME?</v>
      </c>
      <c r="U140" s="369" t="e">
        <f t="shared" ca="1" si="2"/>
        <v>#NAME?</v>
      </c>
      <c r="V140" s="454" t="e">
        <f t="shared" ca="1" si="11"/>
        <v>#NAME?</v>
      </c>
      <c r="W140" s="457">
        <f t="shared" si="12"/>
        <v>1000</v>
      </c>
      <c r="X140" s="463" t="e">
        <f t="shared" ca="1" si="13"/>
        <v>#NAME?</v>
      </c>
      <c r="Y140" s="455" t="e">
        <f t="shared" ca="1" si="26"/>
        <v>#NAME?</v>
      </c>
      <c r="Z140" s="699">
        <f t="shared" si="3"/>
        <v>10</v>
      </c>
      <c r="AA140" s="355" t="str">
        <f t="shared" si="4"/>
        <v>ON</v>
      </c>
      <c r="AB140" s="357">
        <f t="shared" si="66"/>
        <v>1.4999999999999999E-2</v>
      </c>
      <c r="AC140" s="356" t="e">
        <f ca="1">IF(  Y139=0,0,IF(OR(S140="KCAS",S140="INOP",S140="MEFE"),   ( (5*( (   (((1+0.2*(T140/661.4786)^2)^3.5 -1)  )/( (1-6.8755856*10^-6 *100*Y140)^5.2558797) +1)^(2/7) -1) )^0.5),IF(S140="MACH",T140, IF(S140="LRC",BicubicInterpolation( 'LRC Mach'!$C$4:$AL$21, Y140,U140),  IF(S140="MRC",BicubicInterpolation( 'MRC Mach'!$C$3:$T$18, Y140,U140),  IF(S140="M0.84",0.84,  IF(S140="CI52",BicubicInterpolation('CI=52 Mach'!$C$3:$T$18, Y140,U140),  IF(S140="HOLDING",BicubicInterpolation(  'Holding Mach'!$C$4:$M$13, Y140,U140),                         IF(S140="LRCINOP", BicubicInterpolation('LRC INOP Mach'!$C$4:$AA$21,Y140,U140), IF(S140="HOLDINGINOP",  BicubicInterpolation('Holding INOP Mach'!$N$4:$U$13,Y140,U140),         "XXX" )))))))   )))</f>
        <v>#NAME?</v>
      </c>
      <c r="AD140" s="313" t="e">
        <f t="shared" ca="1" si="67"/>
        <v>#NAME?</v>
      </c>
      <c r="AE140" s="314" t="e">
        <f t="shared" ca="1" si="28"/>
        <v>#NAME?</v>
      </c>
      <c r="AF140" s="313" t="e">
        <f t="shared" ca="1" si="68"/>
        <v>#NAME?</v>
      </c>
      <c r="AG140" s="314" t="e">
        <f t="shared" ca="1" si="29"/>
        <v>#NAME?</v>
      </c>
      <c r="AH140" s="313" t="e">
        <f t="shared" ca="1" si="69"/>
        <v>#NAME?</v>
      </c>
      <c r="AI140" s="314" t="e">
        <f t="shared" ca="1" si="31"/>
        <v>#NAME?</v>
      </c>
      <c r="AJ140" s="315" t="e">
        <f t="shared" ca="1" si="32"/>
        <v>#NAME?</v>
      </c>
      <c r="AK140" s="568" t="e">
        <f t="shared" ca="1" si="70"/>
        <v>#NAME?</v>
      </c>
      <c r="AL140" s="313" t="e">
        <f t="shared" ca="1" si="71"/>
        <v>#NAME?</v>
      </c>
      <c r="AM140" s="313" t="e">
        <f t="shared" ca="1" si="35"/>
        <v>#NAME?</v>
      </c>
      <c r="AN140" s="313" t="e">
        <f t="shared" ca="1" si="36"/>
        <v>#NAME?</v>
      </c>
      <c r="AO140" s="316" t="e">
        <f t="shared" ca="1" si="72"/>
        <v>#NAME?</v>
      </c>
      <c r="AP140" s="313" t="e">
        <f t="shared" ca="1" si="73"/>
        <v>#NAME?</v>
      </c>
      <c r="AQ140" s="314" t="e">
        <f t="shared" ca="1" si="39"/>
        <v>#NAME?</v>
      </c>
      <c r="AR140" s="315" t="e">
        <f t="shared" ca="1" si="74"/>
        <v>#NAME?</v>
      </c>
      <c r="AS140" s="316" t="e">
        <f t="shared" ca="1" si="75"/>
        <v>#NAME?</v>
      </c>
      <c r="AT140" s="315" t="e">
        <f t="shared" ca="1" si="76"/>
        <v>#NAME?</v>
      </c>
      <c r="AU140" s="317">
        <v>427.8</v>
      </c>
      <c r="AV140" s="315" t="e">
        <f t="shared" ca="1" si="77"/>
        <v>#NAME?</v>
      </c>
      <c r="AW140" s="318" t="e">
        <f ca="1">0.0001*BicubicInterpolation('Drag Coef Table'!$B$4:$L$28,AV140,AC140)</f>
        <v>#NAME?</v>
      </c>
      <c r="AX140" s="319" t="e">
        <f t="shared" ca="1" si="78"/>
        <v>#NAME?</v>
      </c>
      <c r="AY140" s="318" t="e">
        <f t="shared" ca="1" si="79"/>
        <v>#NAME?</v>
      </c>
      <c r="AZ140" s="320" t="e">
        <f t="shared" ca="1" si="80"/>
        <v>#NAME?</v>
      </c>
      <c r="BA140" s="321" t="e">
        <f t="shared" ca="1" si="81"/>
        <v>#NAME?</v>
      </c>
      <c r="BB140" s="322" t="e">
        <f t="shared" ca="1" si="82"/>
        <v>#NAME?</v>
      </c>
      <c r="BC140" s="323">
        <v>75.196700000000007</v>
      </c>
      <c r="BD140" s="324" t="e">
        <f t="shared" ca="1" si="83"/>
        <v>#NAME?</v>
      </c>
      <c r="BE140" s="325" t="e">
        <f t="shared" ca="1" si="84"/>
        <v>#NAME?</v>
      </c>
      <c r="BF140" s="324" t="e">
        <f ca="1">BicubicInterpolation('TSFC Eff Table'!$B$4:$E$69,2,BB140)</f>
        <v>#NAME?</v>
      </c>
      <c r="BG140" s="326" t="e">
        <f t="shared" ca="1" si="85"/>
        <v>#NAME?</v>
      </c>
      <c r="BH140" s="694" t="e">
        <f ca="1">IF( S140="LRCINOP",   (1+(0.03/10)*Z140*(1+0.2*AC140^2) )*BicubicInterpolation( 'LRC INOP FF'!$C$4:$AA$21, Y140, U140 )-200, IF(S140 ="HOLDINGINOP", (1+(0.03/10)*Z140*(1+0.2*AC140^2) )*BicubicInterpolation( 'Holding INOP FF'!$C$4:$J$13,  Y140,  U140)/1.05-200,   BA140*BG140))</f>
        <v>#NAME?</v>
      </c>
      <c r="BI140" s="344" t="e">
        <f t="shared" ca="1" si="15"/>
        <v>#NAME?</v>
      </c>
      <c r="BJ140" s="322" t="e">
        <f t="shared" ca="1" si="86"/>
        <v>#NAME?</v>
      </c>
      <c r="BK140" s="338" t="e">
        <f t="shared" ca="1" si="16"/>
        <v>#NAME?</v>
      </c>
      <c r="BL140" s="327" t="e">
        <f t="shared" ca="1" si="87"/>
        <v>#NAME?</v>
      </c>
      <c r="BM140" s="328">
        <f t="shared" si="88"/>
        <v>200</v>
      </c>
      <c r="BN140" s="329" t="e">
        <f t="shared" ca="1" si="89"/>
        <v>#NAME?</v>
      </c>
      <c r="BO140" s="344" t="e">
        <f t="shared" ca="1" si="17"/>
        <v>#NAME?</v>
      </c>
      <c r="BP140" s="320" t="e">
        <f t="shared" ca="1" si="90"/>
        <v>#NAME?</v>
      </c>
      <c r="BQ140" s="344" t="e">
        <f t="shared" ca="1" si="18"/>
        <v>#NAME?</v>
      </c>
      <c r="BR140" s="347" t="e">
        <f t="shared" ca="1" si="19"/>
        <v>#NAME?</v>
      </c>
      <c r="BS140" s="326" t="e">
        <f t="shared" ca="1" si="91"/>
        <v>#NAME?</v>
      </c>
      <c r="BT140" s="437" t="e">
        <f t="shared" ca="1" si="58"/>
        <v>#NAME?</v>
      </c>
      <c r="BU140" s="437" t="e">
        <f t="shared" ca="1" si="59"/>
        <v>#NAME?</v>
      </c>
      <c r="BV140" s="441" t="e">
        <f t="shared" ca="1" si="60"/>
        <v>#NAME?</v>
      </c>
      <c r="BW140" s="442" t="e">
        <f t="shared" ca="1" si="61"/>
        <v>#NAME?</v>
      </c>
      <c r="BX140" s="470" t="e">
        <f t="shared" ca="1" si="5"/>
        <v>#NAME?</v>
      </c>
      <c r="BY140" s="484" t="e">
        <f t="shared" ca="1" si="20"/>
        <v>#NAME?</v>
      </c>
    </row>
    <row r="141" spans="5:77" ht="17.75" customHeight="1" x14ac:dyDescent="0.2">
      <c r="E141" s="423"/>
      <c r="I141" s="366">
        <v>57</v>
      </c>
      <c r="J141" s="414">
        <f t="shared" si="21"/>
        <v>41705.752083333464</v>
      </c>
      <c r="K141" s="435" t="e">
        <f t="shared" ca="1" si="22"/>
        <v>#NAME?</v>
      </c>
      <c r="L141" s="435" t="e">
        <f t="shared" ca="1" si="0"/>
        <v>#NAME?</v>
      </c>
      <c r="M141" s="664" t="e">
        <f t="shared" ca="1" si="23"/>
        <v>#NAME?</v>
      </c>
      <c r="N141" s="664" t="e">
        <f t="shared" ca="1" si="24"/>
        <v>#NAME?</v>
      </c>
      <c r="O141" s="140" t="e">
        <f t="shared" ca="1" si="7"/>
        <v>#NAME?</v>
      </c>
      <c r="P141" s="352" t="e">
        <f t="shared" ca="1" si="25"/>
        <v>#NAME?</v>
      </c>
      <c r="Q141" s="665" t="e">
        <f t="shared" ca="1" si="8"/>
        <v>#NAME?</v>
      </c>
      <c r="R141" s="352" t="e">
        <f t="shared" ca="1" si="65"/>
        <v>#NAME?</v>
      </c>
      <c r="S141" s="662" t="e">
        <f t="shared" ca="1" si="10"/>
        <v>#NAME?</v>
      </c>
      <c r="T141" s="443" t="e">
        <f t="shared" ca="1" si="1"/>
        <v>#NAME?</v>
      </c>
      <c r="U141" s="369" t="e">
        <f t="shared" ca="1" si="2"/>
        <v>#NAME?</v>
      </c>
      <c r="V141" s="454" t="e">
        <f t="shared" ca="1" si="11"/>
        <v>#NAME?</v>
      </c>
      <c r="W141" s="457">
        <f t="shared" si="12"/>
        <v>1000</v>
      </c>
      <c r="X141" s="463" t="e">
        <f t="shared" ca="1" si="13"/>
        <v>#NAME?</v>
      </c>
      <c r="Y141" s="455" t="e">
        <f t="shared" ca="1" si="26"/>
        <v>#NAME?</v>
      </c>
      <c r="Z141" s="699">
        <f t="shared" si="3"/>
        <v>10</v>
      </c>
      <c r="AA141" s="355" t="str">
        <f t="shared" si="4"/>
        <v>ON</v>
      </c>
      <c r="AB141" s="357">
        <f t="shared" si="66"/>
        <v>1.4999999999999999E-2</v>
      </c>
      <c r="AC141" s="356" t="e">
        <f ca="1">IF(  Y140=0,0,IF(OR(S141="KCAS",S141="INOP",S141="MEFE"),   ( (5*( (   (((1+0.2*(T141/661.4786)^2)^3.5 -1)  )/( (1-6.8755856*10^-6 *100*Y141)^5.2558797) +1)^(2/7) -1) )^0.5),IF(S141="MACH",T141, IF(S141="LRC",BicubicInterpolation( 'LRC Mach'!$C$4:$AL$21, Y141,U141),  IF(S141="MRC",BicubicInterpolation( 'MRC Mach'!$C$3:$T$18, Y141,U141),  IF(S141="M0.84",0.84,  IF(S141="CI52",BicubicInterpolation('CI=52 Mach'!$C$3:$T$18, Y141,U141),  IF(S141="HOLDING",BicubicInterpolation(  'Holding Mach'!$C$4:$M$13, Y141,U141),                         IF(S141="LRCINOP", BicubicInterpolation('LRC INOP Mach'!$C$4:$AA$21,Y141,U141), IF(S141="HOLDINGINOP",  BicubicInterpolation('Holding INOP Mach'!$N$4:$U$13,Y141,U141),         "XXX" )))))))   )))</f>
        <v>#NAME?</v>
      </c>
      <c r="AD141" s="313" t="e">
        <f t="shared" ca="1" si="67"/>
        <v>#NAME?</v>
      </c>
      <c r="AE141" s="314" t="e">
        <f t="shared" ca="1" si="28"/>
        <v>#NAME?</v>
      </c>
      <c r="AF141" s="313" t="e">
        <f t="shared" ca="1" si="68"/>
        <v>#NAME?</v>
      </c>
      <c r="AG141" s="314" t="e">
        <f t="shared" ca="1" si="29"/>
        <v>#NAME?</v>
      </c>
      <c r="AH141" s="313" t="e">
        <f t="shared" ca="1" si="69"/>
        <v>#NAME?</v>
      </c>
      <c r="AI141" s="314" t="e">
        <f t="shared" ca="1" si="31"/>
        <v>#NAME?</v>
      </c>
      <c r="AJ141" s="315" t="e">
        <f t="shared" ca="1" si="32"/>
        <v>#NAME?</v>
      </c>
      <c r="AK141" s="568" t="e">
        <f t="shared" ca="1" si="70"/>
        <v>#NAME?</v>
      </c>
      <c r="AL141" s="313" t="e">
        <f t="shared" ca="1" si="71"/>
        <v>#NAME?</v>
      </c>
      <c r="AM141" s="313" t="e">
        <f t="shared" ca="1" si="35"/>
        <v>#NAME?</v>
      </c>
      <c r="AN141" s="313" t="e">
        <f t="shared" ca="1" si="36"/>
        <v>#NAME?</v>
      </c>
      <c r="AO141" s="316" t="e">
        <f t="shared" ca="1" si="72"/>
        <v>#NAME?</v>
      </c>
      <c r="AP141" s="313" t="e">
        <f t="shared" ca="1" si="73"/>
        <v>#NAME?</v>
      </c>
      <c r="AQ141" s="314" t="e">
        <f t="shared" ca="1" si="39"/>
        <v>#NAME?</v>
      </c>
      <c r="AR141" s="315" t="e">
        <f t="shared" ca="1" si="74"/>
        <v>#NAME?</v>
      </c>
      <c r="AS141" s="316" t="e">
        <f t="shared" ca="1" si="75"/>
        <v>#NAME?</v>
      </c>
      <c r="AT141" s="315" t="e">
        <f t="shared" ca="1" si="76"/>
        <v>#NAME?</v>
      </c>
      <c r="AU141" s="317">
        <v>427.8</v>
      </c>
      <c r="AV141" s="315" t="e">
        <f t="shared" ca="1" si="77"/>
        <v>#NAME?</v>
      </c>
      <c r="AW141" s="318" t="e">
        <f ca="1">0.0001*BicubicInterpolation('Drag Coef Table'!$B$4:$L$28,AV141,AC141)</f>
        <v>#NAME?</v>
      </c>
      <c r="AX141" s="319" t="e">
        <f t="shared" ca="1" si="78"/>
        <v>#NAME?</v>
      </c>
      <c r="AY141" s="318" t="e">
        <f t="shared" ca="1" si="79"/>
        <v>#NAME?</v>
      </c>
      <c r="AZ141" s="320" t="e">
        <f t="shared" ca="1" si="80"/>
        <v>#NAME?</v>
      </c>
      <c r="BA141" s="321" t="e">
        <f t="shared" ca="1" si="81"/>
        <v>#NAME?</v>
      </c>
      <c r="BB141" s="322" t="e">
        <f t="shared" ca="1" si="82"/>
        <v>#NAME?</v>
      </c>
      <c r="BC141" s="323">
        <v>75.196700000000007</v>
      </c>
      <c r="BD141" s="324" t="e">
        <f t="shared" ca="1" si="83"/>
        <v>#NAME?</v>
      </c>
      <c r="BE141" s="325" t="e">
        <f t="shared" ca="1" si="84"/>
        <v>#NAME?</v>
      </c>
      <c r="BF141" s="324" t="e">
        <f ca="1">BicubicInterpolation('TSFC Eff Table'!$B$4:$E$69,2,BB141)</f>
        <v>#NAME?</v>
      </c>
      <c r="BG141" s="326" t="e">
        <f t="shared" ca="1" si="85"/>
        <v>#NAME?</v>
      </c>
      <c r="BH141" s="694" t="e">
        <f ca="1">IF( S141="LRCINOP",   (1+(0.03/10)*Z141*(1+0.2*AC141^2) )*BicubicInterpolation( 'LRC INOP FF'!$C$4:$AA$21, Y141, U141 )-200, IF(S141 ="HOLDINGINOP", (1+(0.03/10)*Z141*(1+0.2*AC141^2) )*BicubicInterpolation( 'Holding INOP FF'!$C$4:$J$13,  Y141,  U141)/1.05-200,   BA141*BG141))</f>
        <v>#NAME?</v>
      </c>
      <c r="BI141" s="344" t="e">
        <f t="shared" ca="1" si="15"/>
        <v>#NAME?</v>
      </c>
      <c r="BJ141" s="322" t="e">
        <f t="shared" ca="1" si="86"/>
        <v>#NAME?</v>
      </c>
      <c r="BK141" s="338" t="e">
        <f t="shared" ca="1" si="16"/>
        <v>#NAME?</v>
      </c>
      <c r="BL141" s="327" t="e">
        <f t="shared" ca="1" si="87"/>
        <v>#NAME?</v>
      </c>
      <c r="BM141" s="328">
        <f t="shared" si="88"/>
        <v>200</v>
      </c>
      <c r="BN141" s="329" t="e">
        <f t="shared" ca="1" si="89"/>
        <v>#NAME?</v>
      </c>
      <c r="BO141" s="344" t="e">
        <f t="shared" ca="1" si="17"/>
        <v>#NAME?</v>
      </c>
      <c r="BP141" s="320" t="e">
        <f t="shared" ca="1" si="90"/>
        <v>#NAME?</v>
      </c>
      <c r="BQ141" s="344" t="e">
        <f t="shared" ca="1" si="18"/>
        <v>#NAME?</v>
      </c>
      <c r="BR141" s="347" t="e">
        <f t="shared" ca="1" si="19"/>
        <v>#NAME?</v>
      </c>
      <c r="BS141" s="326" t="e">
        <f t="shared" ca="1" si="91"/>
        <v>#NAME?</v>
      </c>
      <c r="BT141" s="437" t="e">
        <f t="shared" ca="1" si="58"/>
        <v>#NAME?</v>
      </c>
      <c r="BU141" s="437" t="e">
        <f t="shared" ca="1" si="59"/>
        <v>#NAME?</v>
      </c>
      <c r="BV141" s="441" t="e">
        <f t="shared" ca="1" si="60"/>
        <v>#NAME?</v>
      </c>
      <c r="BW141" s="442" t="e">
        <f t="shared" ca="1" si="61"/>
        <v>#NAME?</v>
      </c>
      <c r="BX141" s="470" t="e">
        <f t="shared" ca="1" si="5"/>
        <v>#NAME?</v>
      </c>
      <c r="BY141" s="484" t="e">
        <f t="shared" ca="1" si="20"/>
        <v>#NAME?</v>
      </c>
    </row>
    <row r="142" spans="5:77" ht="17.75" customHeight="1" x14ac:dyDescent="0.2">
      <c r="E142" s="423"/>
      <c r="I142" s="366">
        <v>58</v>
      </c>
      <c r="J142" s="414">
        <f t="shared" si="21"/>
        <v>41705.752777777911</v>
      </c>
      <c r="K142" s="435" t="e">
        <f t="shared" ca="1" si="22"/>
        <v>#NAME?</v>
      </c>
      <c r="L142" s="435" t="e">
        <f t="shared" ca="1" si="0"/>
        <v>#NAME?</v>
      </c>
      <c r="M142" s="664" t="e">
        <f t="shared" ca="1" si="23"/>
        <v>#NAME?</v>
      </c>
      <c r="N142" s="664" t="e">
        <f t="shared" ca="1" si="24"/>
        <v>#NAME?</v>
      </c>
      <c r="O142" s="140" t="e">
        <f t="shared" ca="1" si="7"/>
        <v>#NAME?</v>
      </c>
      <c r="P142" s="352" t="e">
        <f t="shared" ca="1" si="25"/>
        <v>#NAME?</v>
      </c>
      <c r="Q142" s="665" t="e">
        <f t="shared" ca="1" si="8"/>
        <v>#NAME?</v>
      </c>
      <c r="R142" s="352" t="e">
        <f t="shared" ca="1" si="65"/>
        <v>#NAME?</v>
      </c>
      <c r="S142" s="662" t="e">
        <f t="shared" ca="1" si="10"/>
        <v>#NAME?</v>
      </c>
      <c r="T142" s="443" t="e">
        <f t="shared" ca="1" si="1"/>
        <v>#NAME?</v>
      </c>
      <c r="U142" s="369" t="e">
        <f t="shared" ca="1" si="2"/>
        <v>#NAME?</v>
      </c>
      <c r="V142" s="454" t="e">
        <f t="shared" ca="1" si="11"/>
        <v>#NAME?</v>
      </c>
      <c r="W142" s="457">
        <f t="shared" si="12"/>
        <v>1000</v>
      </c>
      <c r="X142" s="463" t="e">
        <f t="shared" ca="1" si="13"/>
        <v>#NAME?</v>
      </c>
      <c r="Y142" s="455" t="e">
        <f t="shared" ca="1" si="26"/>
        <v>#NAME?</v>
      </c>
      <c r="Z142" s="699">
        <f t="shared" si="3"/>
        <v>10</v>
      </c>
      <c r="AA142" s="355" t="str">
        <f t="shared" si="4"/>
        <v>ON</v>
      </c>
      <c r="AB142" s="357">
        <f t="shared" si="66"/>
        <v>1.4999999999999999E-2</v>
      </c>
      <c r="AC142" s="356" t="e">
        <f ca="1">IF(  Y141=0,0,IF(OR(S142="KCAS",S142="INOP",S142="MEFE"),   ( (5*( (   (((1+0.2*(T142/661.4786)^2)^3.5 -1)  )/( (1-6.8755856*10^-6 *100*Y142)^5.2558797) +1)^(2/7) -1) )^0.5),IF(S142="MACH",T142, IF(S142="LRC",BicubicInterpolation( 'LRC Mach'!$C$4:$AL$21, Y142,U142),  IF(S142="MRC",BicubicInterpolation( 'MRC Mach'!$C$3:$T$18, Y142,U142),  IF(S142="M0.84",0.84,  IF(S142="CI52",BicubicInterpolation('CI=52 Mach'!$C$3:$T$18, Y142,U142),  IF(S142="HOLDING",BicubicInterpolation(  'Holding Mach'!$C$4:$M$13, Y142,U142),                         IF(S142="LRCINOP", BicubicInterpolation('LRC INOP Mach'!$C$4:$AA$21,Y142,U142), IF(S142="HOLDINGINOP",  BicubicInterpolation('Holding INOP Mach'!$N$4:$U$13,Y142,U142),         "XXX" )))))))   )))</f>
        <v>#NAME?</v>
      </c>
      <c r="AD142" s="313" t="e">
        <f t="shared" ca="1" si="67"/>
        <v>#NAME?</v>
      </c>
      <c r="AE142" s="314" t="e">
        <f t="shared" ca="1" si="28"/>
        <v>#NAME?</v>
      </c>
      <c r="AF142" s="313" t="e">
        <f t="shared" ca="1" si="68"/>
        <v>#NAME?</v>
      </c>
      <c r="AG142" s="314" t="e">
        <f t="shared" ca="1" si="29"/>
        <v>#NAME?</v>
      </c>
      <c r="AH142" s="313" t="e">
        <f t="shared" ca="1" si="69"/>
        <v>#NAME?</v>
      </c>
      <c r="AI142" s="314" t="e">
        <f t="shared" ca="1" si="31"/>
        <v>#NAME?</v>
      </c>
      <c r="AJ142" s="315" t="e">
        <f t="shared" ca="1" si="32"/>
        <v>#NAME?</v>
      </c>
      <c r="AK142" s="568" t="e">
        <f t="shared" ca="1" si="70"/>
        <v>#NAME?</v>
      </c>
      <c r="AL142" s="313" t="e">
        <f t="shared" ca="1" si="71"/>
        <v>#NAME?</v>
      </c>
      <c r="AM142" s="313" t="e">
        <f t="shared" ca="1" si="35"/>
        <v>#NAME?</v>
      </c>
      <c r="AN142" s="313" t="e">
        <f t="shared" ca="1" si="36"/>
        <v>#NAME?</v>
      </c>
      <c r="AO142" s="316" t="e">
        <f t="shared" ca="1" si="72"/>
        <v>#NAME?</v>
      </c>
      <c r="AP142" s="313" t="e">
        <f t="shared" ca="1" si="73"/>
        <v>#NAME?</v>
      </c>
      <c r="AQ142" s="314" t="e">
        <f t="shared" ca="1" si="39"/>
        <v>#NAME?</v>
      </c>
      <c r="AR142" s="315" t="e">
        <f t="shared" ca="1" si="74"/>
        <v>#NAME?</v>
      </c>
      <c r="AS142" s="316" t="e">
        <f t="shared" ca="1" si="75"/>
        <v>#NAME?</v>
      </c>
      <c r="AT142" s="315" t="e">
        <f t="shared" ca="1" si="76"/>
        <v>#NAME?</v>
      </c>
      <c r="AU142" s="317">
        <v>427.8</v>
      </c>
      <c r="AV142" s="315" t="e">
        <f t="shared" ca="1" si="77"/>
        <v>#NAME?</v>
      </c>
      <c r="AW142" s="318" t="e">
        <f ca="1">0.0001*BicubicInterpolation('Drag Coef Table'!$B$4:$L$28,AV142,AC142)</f>
        <v>#NAME?</v>
      </c>
      <c r="AX142" s="319" t="e">
        <f t="shared" ca="1" si="78"/>
        <v>#NAME?</v>
      </c>
      <c r="AY142" s="318" t="e">
        <f t="shared" ca="1" si="79"/>
        <v>#NAME?</v>
      </c>
      <c r="AZ142" s="320" t="e">
        <f t="shared" ca="1" si="80"/>
        <v>#NAME?</v>
      </c>
      <c r="BA142" s="321" t="e">
        <f t="shared" ca="1" si="81"/>
        <v>#NAME?</v>
      </c>
      <c r="BB142" s="322" t="e">
        <f t="shared" ca="1" si="82"/>
        <v>#NAME?</v>
      </c>
      <c r="BC142" s="323">
        <v>75.196700000000007</v>
      </c>
      <c r="BD142" s="324" t="e">
        <f t="shared" ca="1" si="83"/>
        <v>#NAME?</v>
      </c>
      <c r="BE142" s="325" t="e">
        <f t="shared" ca="1" si="84"/>
        <v>#NAME?</v>
      </c>
      <c r="BF142" s="324" t="e">
        <f ca="1">BicubicInterpolation('TSFC Eff Table'!$B$4:$E$69,2,BB142)</f>
        <v>#NAME?</v>
      </c>
      <c r="BG142" s="326" t="e">
        <f t="shared" ca="1" si="85"/>
        <v>#NAME?</v>
      </c>
      <c r="BH142" s="694" t="e">
        <f ca="1">IF( S142="LRCINOP",   (1+(0.03/10)*Z142*(1+0.2*AC142^2) )*BicubicInterpolation( 'LRC INOP FF'!$C$4:$AA$21, Y142, U142 )-200, IF(S142 ="HOLDINGINOP", (1+(0.03/10)*Z142*(1+0.2*AC142^2) )*BicubicInterpolation( 'Holding INOP FF'!$C$4:$J$13,  Y142,  U142)/1.05-200,   BA142*BG142))</f>
        <v>#NAME?</v>
      </c>
      <c r="BI142" s="344" t="e">
        <f t="shared" ca="1" si="15"/>
        <v>#NAME?</v>
      </c>
      <c r="BJ142" s="322" t="e">
        <f t="shared" ca="1" si="86"/>
        <v>#NAME?</v>
      </c>
      <c r="BK142" s="338" t="e">
        <f t="shared" ca="1" si="16"/>
        <v>#NAME?</v>
      </c>
      <c r="BL142" s="327" t="e">
        <f t="shared" ca="1" si="87"/>
        <v>#NAME?</v>
      </c>
      <c r="BM142" s="328">
        <f t="shared" si="88"/>
        <v>200</v>
      </c>
      <c r="BN142" s="329" t="e">
        <f t="shared" ca="1" si="89"/>
        <v>#NAME?</v>
      </c>
      <c r="BO142" s="344" t="e">
        <f t="shared" ca="1" si="17"/>
        <v>#NAME?</v>
      </c>
      <c r="BP142" s="320" t="e">
        <f t="shared" ca="1" si="90"/>
        <v>#NAME?</v>
      </c>
      <c r="BQ142" s="344" t="e">
        <f t="shared" ca="1" si="18"/>
        <v>#NAME?</v>
      </c>
      <c r="BR142" s="347" t="e">
        <f t="shared" ca="1" si="19"/>
        <v>#NAME?</v>
      </c>
      <c r="BS142" s="326" t="e">
        <f t="shared" ca="1" si="91"/>
        <v>#NAME?</v>
      </c>
      <c r="BT142" s="437" t="e">
        <f t="shared" ca="1" si="58"/>
        <v>#NAME?</v>
      </c>
      <c r="BU142" s="437" t="e">
        <f t="shared" ca="1" si="59"/>
        <v>#NAME?</v>
      </c>
      <c r="BV142" s="441" t="e">
        <f t="shared" ca="1" si="60"/>
        <v>#NAME?</v>
      </c>
      <c r="BW142" s="442" t="e">
        <f t="shared" ca="1" si="61"/>
        <v>#NAME?</v>
      </c>
      <c r="BX142" s="470" t="e">
        <f t="shared" ca="1" si="5"/>
        <v>#NAME?</v>
      </c>
      <c r="BY142" s="484" t="e">
        <f t="shared" ca="1" si="20"/>
        <v>#NAME?</v>
      </c>
    </row>
    <row r="143" spans="5:77" ht="17.75" customHeight="1" x14ac:dyDescent="0.2">
      <c r="E143" s="423"/>
      <c r="I143" s="366">
        <v>59</v>
      </c>
      <c r="J143" s="414">
        <f t="shared" si="21"/>
        <v>41705.753472222357</v>
      </c>
      <c r="K143" s="435" t="e">
        <f t="shared" ca="1" si="22"/>
        <v>#NAME?</v>
      </c>
      <c r="L143" s="435" t="e">
        <f t="shared" ca="1" si="0"/>
        <v>#NAME?</v>
      </c>
      <c r="M143" s="664" t="e">
        <f t="shared" ca="1" si="23"/>
        <v>#NAME?</v>
      </c>
      <c r="N143" s="664" t="e">
        <f t="shared" ca="1" si="24"/>
        <v>#NAME?</v>
      </c>
      <c r="O143" s="140" t="e">
        <f t="shared" ca="1" si="7"/>
        <v>#NAME?</v>
      </c>
      <c r="P143" s="352" t="e">
        <f t="shared" ca="1" si="25"/>
        <v>#NAME?</v>
      </c>
      <c r="Q143" s="665" t="e">
        <f t="shared" ca="1" si="8"/>
        <v>#NAME?</v>
      </c>
      <c r="R143" s="352" t="e">
        <f t="shared" ca="1" si="65"/>
        <v>#NAME?</v>
      </c>
      <c r="S143" s="662" t="e">
        <f t="shared" ca="1" si="10"/>
        <v>#NAME?</v>
      </c>
      <c r="T143" s="443" t="e">
        <f t="shared" ca="1" si="1"/>
        <v>#NAME?</v>
      </c>
      <c r="U143" s="369" t="e">
        <f t="shared" ca="1" si="2"/>
        <v>#NAME?</v>
      </c>
      <c r="V143" s="454" t="e">
        <f t="shared" ca="1" si="11"/>
        <v>#NAME?</v>
      </c>
      <c r="W143" s="457">
        <f t="shared" si="12"/>
        <v>1000</v>
      </c>
      <c r="X143" s="463" t="e">
        <f t="shared" ca="1" si="13"/>
        <v>#NAME?</v>
      </c>
      <c r="Y143" s="455" t="e">
        <f t="shared" ca="1" si="26"/>
        <v>#NAME?</v>
      </c>
      <c r="Z143" s="699">
        <f t="shared" si="3"/>
        <v>10</v>
      </c>
      <c r="AA143" s="355" t="str">
        <f t="shared" si="4"/>
        <v>ON</v>
      </c>
      <c r="AB143" s="357">
        <f t="shared" si="66"/>
        <v>1.4999999999999999E-2</v>
      </c>
      <c r="AC143" s="356" t="e">
        <f ca="1">IF(  Y142=0,0,IF(OR(S143="KCAS",S143="INOP",S143="MEFE"),   ( (5*( (   (((1+0.2*(T143/661.4786)^2)^3.5 -1)  )/( (1-6.8755856*10^-6 *100*Y143)^5.2558797) +1)^(2/7) -1) )^0.5),IF(S143="MACH",T143, IF(S143="LRC",BicubicInterpolation( 'LRC Mach'!$C$4:$AL$21, Y143,U143),  IF(S143="MRC",BicubicInterpolation( 'MRC Mach'!$C$3:$T$18, Y143,U143),  IF(S143="M0.84",0.84,  IF(S143="CI52",BicubicInterpolation('CI=52 Mach'!$C$3:$T$18, Y143,U143),  IF(S143="HOLDING",BicubicInterpolation(  'Holding Mach'!$C$4:$M$13, Y143,U143),                         IF(S143="LRCINOP", BicubicInterpolation('LRC INOP Mach'!$C$4:$AA$21,Y143,U143), IF(S143="HOLDINGINOP",  BicubicInterpolation('Holding INOP Mach'!$N$4:$U$13,Y143,U143),         "XXX" )))))))   )))</f>
        <v>#NAME?</v>
      </c>
      <c r="AD143" s="313" t="e">
        <f t="shared" ca="1" si="67"/>
        <v>#NAME?</v>
      </c>
      <c r="AE143" s="314" t="e">
        <f t="shared" ca="1" si="28"/>
        <v>#NAME?</v>
      </c>
      <c r="AF143" s="313" t="e">
        <f t="shared" ca="1" si="68"/>
        <v>#NAME?</v>
      </c>
      <c r="AG143" s="314" t="e">
        <f t="shared" ca="1" si="29"/>
        <v>#NAME?</v>
      </c>
      <c r="AH143" s="313" t="e">
        <f t="shared" ca="1" si="69"/>
        <v>#NAME?</v>
      </c>
      <c r="AI143" s="314" t="e">
        <f t="shared" ca="1" si="31"/>
        <v>#NAME?</v>
      </c>
      <c r="AJ143" s="315" t="e">
        <f t="shared" ca="1" si="32"/>
        <v>#NAME?</v>
      </c>
      <c r="AK143" s="568" t="e">
        <f t="shared" ca="1" si="70"/>
        <v>#NAME?</v>
      </c>
      <c r="AL143" s="313" t="e">
        <f t="shared" ca="1" si="71"/>
        <v>#NAME?</v>
      </c>
      <c r="AM143" s="313" t="e">
        <f t="shared" ca="1" si="35"/>
        <v>#NAME?</v>
      </c>
      <c r="AN143" s="313" t="e">
        <f t="shared" ca="1" si="36"/>
        <v>#NAME?</v>
      </c>
      <c r="AO143" s="316" t="e">
        <f t="shared" ca="1" si="72"/>
        <v>#NAME?</v>
      </c>
      <c r="AP143" s="313" t="e">
        <f t="shared" ca="1" si="73"/>
        <v>#NAME?</v>
      </c>
      <c r="AQ143" s="314" t="e">
        <f t="shared" ca="1" si="39"/>
        <v>#NAME?</v>
      </c>
      <c r="AR143" s="315" t="e">
        <f t="shared" ca="1" si="74"/>
        <v>#NAME?</v>
      </c>
      <c r="AS143" s="316" t="e">
        <f t="shared" ca="1" si="75"/>
        <v>#NAME?</v>
      </c>
      <c r="AT143" s="315" t="e">
        <f t="shared" ca="1" si="76"/>
        <v>#NAME?</v>
      </c>
      <c r="AU143" s="317">
        <v>427.8</v>
      </c>
      <c r="AV143" s="315" t="e">
        <f t="shared" ca="1" si="77"/>
        <v>#NAME?</v>
      </c>
      <c r="AW143" s="318" t="e">
        <f ca="1">0.0001*BicubicInterpolation('Drag Coef Table'!$B$4:$L$28,AV143,AC143)</f>
        <v>#NAME?</v>
      </c>
      <c r="AX143" s="319" t="e">
        <f t="shared" ca="1" si="78"/>
        <v>#NAME?</v>
      </c>
      <c r="AY143" s="318" t="e">
        <f t="shared" ca="1" si="79"/>
        <v>#NAME?</v>
      </c>
      <c r="AZ143" s="320" t="e">
        <f t="shared" ca="1" si="80"/>
        <v>#NAME?</v>
      </c>
      <c r="BA143" s="321" t="e">
        <f t="shared" ca="1" si="81"/>
        <v>#NAME?</v>
      </c>
      <c r="BB143" s="322" t="e">
        <f t="shared" ca="1" si="82"/>
        <v>#NAME?</v>
      </c>
      <c r="BC143" s="323">
        <v>75.196700000000007</v>
      </c>
      <c r="BD143" s="324" t="e">
        <f t="shared" ca="1" si="83"/>
        <v>#NAME?</v>
      </c>
      <c r="BE143" s="325" t="e">
        <f t="shared" ca="1" si="84"/>
        <v>#NAME?</v>
      </c>
      <c r="BF143" s="324" t="e">
        <f ca="1">BicubicInterpolation('TSFC Eff Table'!$B$4:$E$69,2,BB143)</f>
        <v>#NAME?</v>
      </c>
      <c r="BG143" s="326" t="e">
        <f t="shared" ca="1" si="85"/>
        <v>#NAME?</v>
      </c>
      <c r="BH143" s="694" t="e">
        <f ca="1">IF( S143="LRCINOP",   (1+(0.03/10)*Z143*(1+0.2*AC143^2) )*BicubicInterpolation( 'LRC INOP FF'!$C$4:$AA$21, Y143, U143 )-200, IF(S143 ="HOLDINGINOP", (1+(0.03/10)*Z143*(1+0.2*AC143^2) )*BicubicInterpolation( 'Holding INOP FF'!$C$4:$J$13,  Y143,  U143)/1.05-200,   BA143*BG143))</f>
        <v>#NAME?</v>
      </c>
      <c r="BI143" s="344" t="e">
        <f t="shared" ca="1" si="15"/>
        <v>#NAME?</v>
      </c>
      <c r="BJ143" s="322" t="e">
        <f t="shared" ca="1" si="86"/>
        <v>#NAME?</v>
      </c>
      <c r="BK143" s="338" t="e">
        <f t="shared" ca="1" si="16"/>
        <v>#NAME?</v>
      </c>
      <c r="BL143" s="327" t="e">
        <f t="shared" ca="1" si="87"/>
        <v>#NAME?</v>
      </c>
      <c r="BM143" s="328">
        <f t="shared" si="88"/>
        <v>200</v>
      </c>
      <c r="BN143" s="329" t="e">
        <f t="shared" ca="1" si="89"/>
        <v>#NAME?</v>
      </c>
      <c r="BO143" s="344" t="e">
        <f t="shared" ca="1" si="17"/>
        <v>#NAME?</v>
      </c>
      <c r="BP143" s="320" t="e">
        <f t="shared" ca="1" si="90"/>
        <v>#NAME?</v>
      </c>
      <c r="BQ143" s="344" t="e">
        <f t="shared" ca="1" si="18"/>
        <v>#NAME?</v>
      </c>
      <c r="BR143" s="347" t="e">
        <f t="shared" ca="1" si="19"/>
        <v>#NAME?</v>
      </c>
      <c r="BS143" s="326" t="e">
        <f t="shared" ca="1" si="91"/>
        <v>#NAME?</v>
      </c>
      <c r="BT143" s="437" t="e">
        <f t="shared" ca="1" si="58"/>
        <v>#NAME?</v>
      </c>
      <c r="BU143" s="437" t="e">
        <f t="shared" ca="1" si="59"/>
        <v>#NAME?</v>
      </c>
      <c r="BV143" s="441" t="e">
        <f t="shared" ca="1" si="60"/>
        <v>#NAME?</v>
      </c>
      <c r="BW143" s="442" t="e">
        <f t="shared" ca="1" si="61"/>
        <v>#NAME?</v>
      </c>
      <c r="BX143" s="470" t="e">
        <f t="shared" ca="1" si="5"/>
        <v>#NAME?</v>
      </c>
      <c r="BY143" s="484" t="e">
        <f t="shared" ca="1" si="20"/>
        <v>#NAME?</v>
      </c>
    </row>
    <row r="144" spans="5:77" ht="17.75" customHeight="1" x14ac:dyDescent="0.2">
      <c r="E144" s="423"/>
      <c r="I144" s="366">
        <v>60</v>
      </c>
      <c r="J144" s="414">
        <f t="shared" si="21"/>
        <v>41705.754166666804</v>
      </c>
      <c r="K144" s="435" t="e">
        <f t="shared" ca="1" si="22"/>
        <v>#NAME?</v>
      </c>
      <c r="L144" s="435" t="e">
        <f t="shared" ca="1" si="0"/>
        <v>#NAME?</v>
      </c>
      <c r="M144" s="664" t="e">
        <f t="shared" ca="1" si="23"/>
        <v>#NAME?</v>
      </c>
      <c r="N144" s="664" t="e">
        <f t="shared" ca="1" si="24"/>
        <v>#NAME?</v>
      </c>
      <c r="O144" s="140" t="e">
        <f t="shared" ca="1" si="7"/>
        <v>#NAME?</v>
      </c>
      <c r="P144" s="352" t="e">
        <f t="shared" ca="1" si="25"/>
        <v>#NAME?</v>
      </c>
      <c r="Q144" s="665" t="e">
        <f t="shared" ca="1" si="8"/>
        <v>#NAME?</v>
      </c>
      <c r="R144" s="352" t="e">
        <f t="shared" ca="1" si="65"/>
        <v>#NAME?</v>
      </c>
      <c r="S144" s="662" t="e">
        <f t="shared" ca="1" si="10"/>
        <v>#NAME?</v>
      </c>
      <c r="T144" s="443" t="e">
        <f t="shared" ca="1" si="1"/>
        <v>#NAME?</v>
      </c>
      <c r="U144" s="369" t="e">
        <f t="shared" ca="1" si="2"/>
        <v>#NAME?</v>
      </c>
      <c r="V144" s="454" t="e">
        <f t="shared" ca="1" si="11"/>
        <v>#NAME?</v>
      </c>
      <c r="W144" s="457">
        <f t="shared" si="12"/>
        <v>1000</v>
      </c>
      <c r="X144" s="463" t="e">
        <f t="shared" ca="1" si="13"/>
        <v>#NAME?</v>
      </c>
      <c r="Y144" s="455" t="e">
        <f t="shared" ca="1" si="26"/>
        <v>#NAME?</v>
      </c>
      <c r="Z144" s="699">
        <f t="shared" si="3"/>
        <v>10</v>
      </c>
      <c r="AA144" s="355" t="str">
        <f t="shared" si="4"/>
        <v>ON</v>
      </c>
      <c r="AB144" s="357">
        <f t="shared" si="66"/>
        <v>1.4999999999999999E-2</v>
      </c>
      <c r="AC144" s="356" t="e">
        <f ca="1">IF(  Y143=0,0,IF(OR(S144="KCAS",S144="INOP",S144="MEFE"),   ( (5*( (   (((1+0.2*(T144/661.4786)^2)^3.5 -1)  )/( (1-6.8755856*10^-6 *100*Y144)^5.2558797) +1)^(2/7) -1) )^0.5),IF(S144="MACH",T144, IF(S144="LRC",BicubicInterpolation( 'LRC Mach'!$C$4:$AL$21, Y144,U144),  IF(S144="MRC",BicubicInterpolation( 'MRC Mach'!$C$3:$T$18, Y144,U144),  IF(S144="M0.84",0.84,  IF(S144="CI52",BicubicInterpolation('CI=52 Mach'!$C$3:$T$18, Y144,U144),  IF(S144="HOLDING",BicubicInterpolation(  'Holding Mach'!$C$4:$M$13, Y144,U144),                         IF(S144="LRCINOP", BicubicInterpolation('LRC INOP Mach'!$C$4:$AA$21,Y144,U144), IF(S144="HOLDINGINOP",  BicubicInterpolation('Holding INOP Mach'!$N$4:$U$13,Y144,U144),         "XXX" )))))))   )))</f>
        <v>#NAME?</v>
      </c>
      <c r="AD144" s="313" t="e">
        <f t="shared" ca="1" si="67"/>
        <v>#NAME?</v>
      </c>
      <c r="AE144" s="314" t="e">
        <f t="shared" ca="1" si="28"/>
        <v>#NAME?</v>
      </c>
      <c r="AF144" s="313" t="e">
        <f t="shared" ca="1" si="68"/>
        <v>#NAME?</v>
      </c>
      <c r="AG144" s="314" t="e">
        <f t="shared" ca="1" si="29"/>
        <v>#NAME?</v>
      </c>
      <c r="AH144" s="313" t="e">
        <f t="shared" ca="1" si="69"/>
        <v>#NAME?</v>
      </c>
      <c r="AI144" s="314" t="e">
        <f t="shared" ca="1" si="31"/>
        <v>#NAME?</v>
      </c>
      <c r="AJ144" s="315" t="e">
        <f t="shared" ca="1" si="32"/>
        <v>#NAME?</v>
      </c>
      <c r="AK144" s="568" t="e">
        <f t="shared" ca="1" si="70"/>
        <v>#NAME?</v>
      </c>
      <c r="AL144" s="313" t="e">
        <f t="shared" ca="1" si="71"/>
        <v>#NAME?</v>
      </c>
      <c r="AM144" s="313" t="e">
        <f t="shared" ca="1" si="35"/>
        <v>#NAME?</v>
      </c>
      <c r="AN144" s="313" t="e">
        <f t="shared" ca="1" si="36"/>
        <v>#NAME?</v>
      </c>
      <c r="AO144" s="316" t="e">
        <f t="shared" ca="1" si="72"/>
        <v>#NAME?</v>
      </c>
      <c r="AP144" s="313" t="e">
        <f t="shared" ca="1" si="73"/>
        <v>#NAME?</v>
      </c>
      <c r="AQ144" s="314" t="e">
        <f t="shared" ca="1" si="39"/>
        <v>#NAME?</v>
      </c>
      <c r="AR144" s="315" t="e">
        <f t="shared" ca="1" si="74"/>
        <v>#NAME?</v>
      </c>
      <c r="AS144" s="316" t="e">
        <f t="shared" ca="1" si="75"/>
        <v>#NAME?</v>
      </c>
      <c r="AT144" s="315" t="e">
        <f t="shared" ca="1" si="76"/>
        <v>#NAME?</v>
      </c>
      <c r="AU144" s="317">
        <v>427.8</v>
      </c>
      <c r="AV144" s="315" t="e">
        <f t="shared" ca="1" si="77"/>
        <v>#NAME?</v>
      </c>
      <c r="AW144" s="318" t="e">
        <f ca="1">0.0001*BicubicInterpolation('Drag Coef Table'!$B$4:$L$28,AV144,AC144)</f>
        <v>#NAME?</v>
      </c>
      <c r="AX144" s="319" t="e">
        <f t="shared" ca="1" si="78"/>
        <v>#NAME?</v>
      </c>
      <c r="AY144" s="318" t="e">
        <f t="shared" ca="1" si="79"/>
        <v>#NAME?</v>
      </c>
      <c r="AZ144" s="320" t="e">
        <f t="shared" ca="1" si="80"/>
        <v>#NAME?</v>
      </c>
      <c r="BA144" s="321" t="e">
        <f t="shared" ca="1" si="81"/>
        <v>#NAME?</v>
      </c>
      <c r="BB144" s="322" t="e">
        <f t="shared" ca="1" si="82"/>
        <v>#NAME?</v>
      </c>
      <c r="BC144" s="323">
        <v>75.196700000000007</v>
      </c>
      <c r="BD144" s="324" t="e">
        <f t="shared" ca="1" si="83"/>
        <v>#NAME?</v>
      </c>
      <c r="BE144" s="325" t="e">
        <f t="shared" ca="1" si="84"/>
        <v>#NAME?</v>
      </c>
      <c r="BF144" s="324" t="e">
        <f ca="1">BicubicInterpolation('TSFC Eff Table'!$B$4:$E$69,2,BB144)</f>
        <v>#NAME?</v>
      </c>
      <c r="BG144" s="326" t="e">
        <f t="shared" ca="1" si="85"/>
        <v>#NAME?</v>
      </c>
      <c r="BH144" s="694" t="e">
        <f ca="1">IF( S144="LRCINOP",   (1+(0.03/10)*Z144*(1+0.2*AC144^2) )*BicubicInterpolation( 'LRC INOP FF'!$C$4:$AA$21, Y144, U144 )-200, IF(S144 ="HOLDINGINOP", (1+(0.03/10)*Z144*(1+0.2*AC144^2) )*BicubicInterpolation( 'Holding INOP FF'!$C$4:$J$13,  Y144,  U144)/1.05-200,   BA144*BG144))</f>
        <v>#NAME?</v>
      </c>
      <c r="BI144" s="344" t="e">
        <f t="shared" ca="1" si="15"/>
        <v>#NAME?</v>
      </c>
      <c r="BJ144" s="322" t="e">
        <f t="shared" ca="1" si="86"/>
        <v>#NAME?</v>
      </c>
      <c r="BK144" s="338" t="e">
        <f t="shared" ca="1" si="16"/>
        <v>#NAME?</v>
      </c>
      <c r="BL144" s="327" t="e">
        <f t="shared" ca="1" si="87"/>
        <v>#NAME?</v>
      </c>
      <c r="BM144" s="328">
        <f t="shared" si="88"/>
        <v>200</v>
      </c>
      <c r="BN144" s="329" t="e">
        <f t="shared" ca="1" si="89"/>
        <v>#NAME?</v>
      </c>
      <c r="BO144" s="344" t="e">
        <f t="shared" ca="1" si="17"/>
        <v>#NAME?</v>
      </c>
      <c r="BP144" s="320" t="e">
        <f t="shared" ca="1" si="90"/>
        <v>#NAME?</v>
      </c>
      <c r="BQ144" s="344" t="e">
        <f t="shared" ca="1" si="18"/>
        <v>#NAME?</v>
      </c>
      <c r="BR144" s="347" t="e">
        <f t="shared" ca="1" si="19"/>
        <v>#NAME?</v>
      </c>
      <c r="BS144" s="326" t="e">
        <f t="shared" ca="1" si="91"/>
        <v>#NAME?</v>
      </c>
      <c r="BT144" s="437" t="e">
        <f t="shared" ca="1" si="58"/>
        <v>#NAME?</v>
      </c>
      <c r="BU144" s="437" t="e">
        <f t="shared" ca="1" si="59"/>
        <v>#NAME?</v>
      </c>
      <c r="BV144" s="441" t="e">
        <f t="shared" ca="1" si="60"/>
        <v>#NAME?</v>
      </c>
      <c r="BW144" s="442" t="e">
        <f t="shared" ca="1" si="61"/>
        <v>#NAME?</v>
      </c>
      <c r="BX144" s="470" t="e">
        <f t="shared" ca="1" si="5"/>
        <v>#NAME?</v>
      </c>
      <c r="BY144" s="484" t="e">
        <f t="shared" ca="1" si="20"/>
        <v>#NAME?</v>
      </c>
    </row>
    <row r="145" spans="5:77" ht="17.75" customHeight="1" x14ac:dyDescent="0.2">
      <c r="E145" s="423"/>
      <c r="I145" s="366">
        <v>61</v>
      </c>
      <c r="J145" s="414">
        <f t="shared" si="21"/>
        <v>41705.754861111251</v>
      </c>
      <c r="K145" s="435" t="e">
        <f t="shared" ca="1" si="22"/>
        <v>#NAME?</v>
      </c>
      <c r="L145" s="435" t="e">
        <f t="shared" ca="1" si="0"/>
        <v>#NAME?</v>
      </c>
      <c r="M145" s="664" t="e">
        <f t="shared" ca="1" si="23"/>
        <v>#NAME?</v>
      </c>
      <c r="N145" s="664" t="e">
        <f t="shared" ca="1" si="24"/>
        <v>#NAME?</v>
      </c>
      <c r="O145" s="140" t="e">
        <f t="shared" ca="1" si="7"/>
        <v>#NAME?</v>
      </c>
      <c r="P145" s="352" t="e">
        <f t="shared" ca="1" si="25"/>
        <v>#NAME?</v>
      </c>
      <c r="Q145" s="665" t="e">
        <f t="shared" ca="1" si="8"/>
        <v>#NAME?</v>
      </c>
      <c r="R145" s="352" t="e">
        <f t="shared" ca="1" si="65"/>
        <v>#NAME?</v>
      </c>
      <c r="S145" s="662" t="e">
        <f t="shared" ca="1" si="10"/>
        <v>#NAME?</v>
      </c>
      <c r="T145" s="443" t="e">
        <f t="shared" ca="1" si="1"/>
        <v>#NAME?</v>
      </c>
      <c r="U145" s="369" t="e">
        <f t="shared" ca="1" si="2"/>
        <v>#NAME?</v>
      </c>
      <c r="V145" s="454" t="e">
        <f t="shared" ca="1" si="11"/>
        <v>#NAME?</v>
      </c>
      <c r="W145" s="457">
        <f t="shared" si="12"/>
        <v>1000</v>
      </c>
      <c r="X145" s="463" t="e">
        <f t="shared" ca="1" si="13"/>
        <v>#NAME?</v>
      </c>
      <c r="Y145" s="455" t="e">
        <f t="shared" ca="1" si="26"/>
        <v>#NAME?</v>
      </c>
      <c r="Z145" s="699">
        <f t="shared" si="3"/>
        <v>10</v>
      </c>
      <c r="AA145" s="355" t="str">
        <f t="shared" si="4"/>
        <v>ON</v>
      </c>
      <c r="AB145" s="357">
        <f t="shared" si="66"/>
        <v>1.4999999999999999E-2</v>
      </c>
      <c r="AC145" s="356" t="e">
        <f ca="1">IF(  Y144=0,0,IF(OR(S145="KCAS",S145="INOP",S145="MEFE"),   ( (5*( (   (((1+0.2*(T145/661.4786)^2)^3.5 -1)  )/( (1-6.8755856*10^-6 *100*Y145)^5.2558797) +1)^(2/7) -1) )^0.5),IF(S145="MACH",T145, IF(S145="LRC",BicubicInterpolation( 'LRC Mach'!$C$4:$AL$21, Y145,U145),  IF(S145="MRC",BicubicInterpolation( 'MRC Mach'!$C$3:$T$18, Y145,U145),  IF(S145="M0.84",0.84,  IF(S145="CI52",BicubicInterpolation('CI=52 Mach'!$C$3:$T$18, Y145,U145),  IF(S145="HOLDING",BicubicInterpolation(  'Holding Mach'!$C$4:$M$13, Y145,U145),                         IF(S145="LRCINOP", BicubicInterpolation('LRC INOP Mach'!$C$4:$AA$21,Y145,U145), IF(S145="HOLDINGINOP",  BicubicInterpolation('Holding INOP Mach'!$N$4:$U$13,Y145,U145),         "XXX" )))))))   )))</f>
        <v>#NAME?</v>
      </c>
      <c r="AD145" s="313" t="e">
        <f t="shared" ca="1" si="67"/>
        <v>#NAME?</v>
      </c>
      <c r="AE145" s="314" t="e">
        <f t="shared" ca="1" si="28"/>
        <v>#NAME?</v>
      </c>
      <c r="AF145" s="313" t="e">
        <f t="shared" ca="1" si="68"/>
        <v>#NAME?</v>
      </c>
      <c r="AG145" s="314" t="e">
        <f t="shared" ca="1" si="29"/>
        <v>#NAME?</v>
      </c>
      <c r="AH145" s="313" t="e">
        <f t="shared" ca="1" si="69"/>
        <v>#NAME?</v>
      </c>
      <c r="AI145" s="314" t="e">
        <f t="shared" ca="1" si="31"/>
        <v>#NAME?</v>
      </c>
      <c r="AJ145" s="315" t="e">
        <f t="shared" ca="1" si="32"/>
        <v>#NAME?</v>
      </c>
      <c r="AK145" s="568" t="e">
        <f t="shared" ca="1" si="70"/>
        <v>#NAME?</v>
      </c>
      <c r="AL145" s="313" t="e">
        <f t="shared" ca="1" si="71"/>
        <v>#NAME?</v>
      </c>
      <c r="AM145" s="313" t="e">
        <f t="shared" ca="1" si="35"/>
        <v>#NAME?</v>
      </c>
      <c r="AN145" s="313" t="e">
        <f t="shared" ca="1" si="36"/>
        <v>#NAME?</v>
      </c>
      <c r="AO145" s="316" t="e">
        <f t="shared" ca="1" si="72"/>
        <v>#NAME?</v>
      </c>
      <c r="AP145" s="313" t="e">
        <f t="shared" ca="1" si="73"/>
        <v>#NAME?</v>
      </c>
      <c r="AQ145" s="314" t="e">
        <f t="shared" ca="1" si="39"/>
        <v>#NAME?</v>
      </c>
      <c r="AR145" s="315" t="e">
        <f t="shared" ca="1" si="74"/>
        <v>#NAME?</v>
      </c>
      <c r="AS145" s="316" t="e">
        <f t="shared" ca="1" si="75"/>
        <v>#NAME?</v>
      </c>
      <c r="AT145" s="315" t="e">
        <f t="shared" ca="1" si="76"/>
        <v>#NAME?</v>
      </c>
      <c r="AU145" s="317">
        <v>427.8</v>
      </c>
      <c r="AV145" s="315" t="e">
        <f t="shared" ca="1" si="77"/>
        <v>#NAME?</v>
      </c>
      <c r="AW145" s="318" t="e">
        <f ca="1">0.0001*BicubicInterpolation('Drag Coef Table'!$B$4:$L$28,AV145,AC145)</f>
        <v>#NAME?</v>
      </c>
      <c r="AX145" s="319" t="e">
        <f t="shared" ca="1" si="78"/>
        <v>#NAME?</v>
      </c>
      <c r="AY145" s="318" t="e">
        <f t="shared" ca="1" si="79"/>
        <v>#NAME?</v>
      </c>
      <c r="AZ145" s="320" t="e">
        <f t="shared" ca="1" si="80"/>
        <v>#NAME?</v>
      </c>
      <c r="BA145" s="321" t="e">
        <f t="shared" ca="1" si="81"/>
        <v>#NAME?</v>
      </c>
      <c r="BB145" s="322" t="e">
        <f t="shared" ca="1" si="82"/>
        <v>#NAME?</v>
      </c>
      <c r="BC145" s="323">
        <v>75.196700000000007</v>
      </c>
      <c r="BD145" s="324" t="e">
        <f t="shared" ca="1" si="83"/>
        <v>#NAME?</v>
      </c>
      <c r="BE145" s="325" t="e">
        <f t="shared" ca="1" si="84"/>
        <v>#NAME?</v>
      </c>
      <c r="BF145" s="324" t="e">
        <f ca="1">BicubicInterpolation('TSFC Eff Table'!$B$4:$E$69,2,BB145)</f>
        <v>#NAME?</v>
      </c>
      <c r="BG145" s="326" t="e">
        <f t="shared" ca="1" si="85"/>
        <v>#NAME?</v>
      </c>
      <c r="BH145" s="694" t="e">
        <f ca="1">IF( S145="LRCINOP",   (1+(0.03/10)*Z145*(1+0.2*AC145^2) )*BicubicInterpolation( 'LRC INOP FF'!$C$4:$AA$21, Y145, U145 )-200, IF(S145 ="HOLDINGINOP", (1+(0.03/10)*Z145*(1+0.2*AC145^2) )*BicubicInterpolation( 'Holding INOP FF'!$C$4:$J$13,  Y145,  U145)/1.05-200,   BA145*BG145))</f>
        <v>#NAME?</v>
      </c>
      <c r="BI145" s="344" t="e">
        <f t="shared" ca="1" si="15"/>
        <v>#NAME?</v>
      </c>
      <c r="BJ145" s="322" t="e">
        <f t="shared" ca="1" si="86"/>
        <v>#NAME?</v>
      </c>
      <c r="BK145" s="338" t="e">
        <f t="shared" ca="1" si="16"/>
        <v>#NAME?</v>
      </c>
      <c r="BL145" s="327" t="e">
        <f t="shared" ca="1" si="87"/>
        <v>#NAME?</v>
      </c>
      <c r="BM145" s="328">
        <f t="shared" si="88"/>
        <v>200</v>
      </c>
      <c r="BN145" s="329" t="e">
        <f t="shared" ca="1" si="89"/>
        <v>#NAME?</v>
      </c>
      <c r="BO145" s="344" t="e">
        <f t="shared" ca="1" si="17"/>
        <v>#NAME?</v>
      </c>
      <c r="BP145" s="320" t="e">
        <f t="shared" ca="1" si="90"/>
        <v>#NAME?</v>
      </c>
      <c r="BQ145" s="344" t="e">
        <f t="shared" ca="1" si="18"/>
        <v>#NAME?</v>
      </c>
      <c r="BR145" s="347" t="e">
        <f t="shared" ca="1" si="19"/>
        <v>#NAME?</v>
      </c>
      <c r="BS145" s="326" t="e">
        <f t="shared" ca="1" si="91"/>
        <v>#NAME?</v>
      </c>
      <c r="BT145" s="437" t="e">
        <f t="shared" ca="1" si="58"/>
        <v>#NAME?</v>
      </c>
      <c r="BU145" s="437" t="e">
        <f t="shared" ca="1" si="59"/>
        <v>#NAME?</v>
      </c>
      <c r="BV145" s="441" t="e">
        <f t="shared" ca="1" si="60"/>
        <v>#NAME?</v>
      </c>
      <c r="BW145" s="442" t="e">
        <f t="shared" ca="1" si="61"/>
        <v>#NAME?</v>
      </c>
      <c r="BX145" s="470" t="e">
        <f t="shared" ca="1" si="5"/>
        <v>#NAME?</v>
      </c>
      <c r="BY145" s="484" t="e">
        <f t="shared" ca="1" si="20"/>
        <v>#NAME?</v>
      </c>
    </row>
    <row r="146" spans="5:77" ht="17.75" customHeight="1" x14ac:dyDescent="0.2">
      <c r="E146" s="423"/>
      <c r="I146" s="366">
        <v>62</v>
      </c>
      <c r="J146" s="414">
        <f t="shared" si="21"/>
        <v>41705.755555555697</v>
      </c>
      <c r="K146" s="435" t="e">
        <f t="shared" ca="1" si="22"/>
        <v>#NAME?</v>
      </c>
      <c r="L146" s="435" t="e">
        <f t="shared" ca="1" si="0"/>
        <v>#NAME?</v>
      </c>
      <c r="M146" s="664" t="e">
        <f t="shared" ca="1" si="23"/>
        <v>#NAME?</v>
      </c>
      <c r="N146" s="664" t="e">
        <f t="shared" ca="1" si="24"/>
        <v>#NAME?</v>
      </c>
      <c r="O146" s="140" t="e">
        <f t="shared" ca="1" si="7"/>
        <v>#NAME?</v>
      </c>
      <c r="P146" s="352" t="e">
        <f t="shared" ca="1" si="25"/>
        <v>#NAME?</v>
      </c>
      <c r="Q146" s="665" t="e">
        <f t="shared" ca="1" si="8"/>
        <v>#NAME?</v>
      </c>
      <c r="R146" s="352" t="e">
        <f t="shared" ca="1" si="65"/>
        <v>#NAME?</v>
      </c>
      <c r="S146" s="662" t="e">
        <f t="shared" ca="1" si="10"/>
        <v>#NAME?</v>
      </c>
      <c r="T146" s="443" t="e">
        <f t="shared" ca="1" si="1"/>
        <v>#NAME?</v>
      </c>
      <c r="U146" s="369" t="e">
        <f t="shared" ca="1" si="2"/>
        <v>#NAME?</v>
      </c>
      <c r="V146" s="454" t="e">
        <f t="shared" ca="1" si="11"/>
        <v>#NAME?</v>
      </c>
      <c r="W146" s="457">
        <f t="shared" si="12"/>
        <v>1000</v>
      </c>
      <c r="X146" s="463" t="e">
        <f t="shared" ca="1" si="13"/>
        <v>#NAME?</v>
      </c>
      <c r="Y146" s="455" t="e">
        <f t="shared" ca="1" si="26"/>
        <v>#NAME?</v>
      </c>
      <c r="Z146" s="699">
        <f t="shared" si="3"/>
        <v>10</v>
      </c>
      <c r="AA146" s="355" t="str">
        <f t="shared" si="4"/>
        <v>ON</v>
      </c>
      <c r="AB146" s="357">
        <f t="shared" si="66"/>
        <v>1.4999999999999999E-2</v>
      </c>
      <c r="AC146" s="356" t="e">
        <f ca="1">IF(  Y145=0,0,IF(OR(S146="KCAS",S146="INOP",S146="MEFE"),   ( (5*( (   (((1+0.2*(T146/661.4786)^2)^3.5 -1)  )/( (1-6.8755856*10^-6 *100*Y146)^5.2558797) +1)^(2/7) -1) )^0.5),IF(S146="MACH",T146, IF(S146="LRC",BicubicInterpolation( 'LRC Mach'!$C$4:$AL$21, Y146,U146),  IF(S146="MRC",BicubicInterpolation( 'MRC Mach'!$C$3:$T$18, Y146,U146),  IF(S146="M0.84",0.84,  IF(S146="CI52",BicubicInterpolation('CI=52 Mach'!$C$3:$T$18, Y146,U146),  IF(S146="HOLDING",BicubicInterpolation(  'Holding Mach'!$C$4:$M$13, Y146,U146),                         IF(S146="LRCINOP", BicubicInterpolation('LRC INOP Mach'!$C$4:$AA$21,Y146,U146), IF(S146="HOLDINGINOP",  BicubicInterpolation('Holding INOP Mach'!$N$4:$U$13,Y146,U146),         "XXX" )))))))   )))</f>
        <v>#NAME?</v>
      </c>
      <c r="AD146" s="313" t="e">
        <f t="shared" ca="1" si="67"/>
        <v>#NAME?</v>
      </c>
      <c r="AE146" s="314" t="e">
        <f t="shared" ca="1" si="28"/>
        <v>#NAME?</v>
      </c>
      <c r="AF146" s="313" t="e">
        <f t="shared" ca="1" si="68"/>
        <v>#NAME?</v>
      </c>
      <c r="AG146" s="314" t="e">
        <f t="shared" ca="1" si="29"/>
        <v>#NAME?</v>
      </c>
      <c r="AH146" s="313" t="e">
        <f t="shared" ca="1" si="69"/>
        <v>#NAME?</v>
      </c>
      <c r="AI146" s="314" t="e">
        <f t="shared" ca="1" si="31"/>
        <v>#NAME?</v>
      </c>
      <c r="AJ146" s="315" t="e">
        <f t="shared" ca="1" si="32"/>
        <v>#NAME?</v>
      </c>
      <c r="AK146" s="568" t="e">
        <f t="shared" ca="1" si="70"/>
        <v>#NAME?</v>
      </c>
      <c r="AL146" s="313" t="e">
        <f t="shared" ca="1" si="71"/>
        <v>#NAME?</v>
      </c>
      <c r="AM146" s="313" t="e">
        <f t="shared" ca="1" si="35"/>
        <v>#NAME?</v>
      </c>
      <c r="AN146" s="313" t="e">
        <f t="shared" ca="1" si="36"/>
        <v>#NAME?</v>
      </c>
      <c r="AO146" s="316" t="e">
        <f t="shared" ca="1" si="72"/>
        <v>#NAME?</v>
      </c>
      <c r="AP146" s="313" t="e">
        <f t="shared" ca="1" si="73"/>
        <v>#NAME?</v>
      </c>
      <c r="AQ146" s="314" t="e">
        <f t="shared" ca="1" si="39"/>
        <v>#NAME?</v>
      </c>
      <c r="AR146" s="315" t="e">
        <f t="shared" ca="1" si="74"/>
        <v>#NAME?</v>
      </c>
      <c r="AS146" s="316" t="e">
        <f t="shared" ca="1" si="75"/>
        <v>#NAME?</v>
      </c>
      <c r="AT146" s="315" t="e">
        <f t="shared" ca="1" si="76"/>
        <v>#NAME?</v>
      </c>
      <c r="AU146" s="317">
        <v>427.8</v>
      </c>
      <c r="AV146" s="315" t="e">
        <f t="shared" ca="1" si="77"/>
        <v>#NAME?</v>
      </c>
      <c r="AW146" s="318" t="e">
        <f ca="1">0.0001*BicubicInterpolation('Drag Coef Table'!$B$4:$L$28,AV146,AC146)</f>
        <v>#NAME?</v>
      </c>
      <c r="AX146" s="319" t="e">
        <f t="shared" ca="1" si="78"/>
        <v>#NAME?</v>
      </c>
      <c r="AY146" s="318" t="e">
        <f t="shared" ca="1" si="79"/>
        <v>#NAME?</v>
      </c>
      <c r="AZ146" s="320" t="e">
        <f t="shared" ca="1" si="80"/>
        <v>#NAME?</v>
      </c>
      <c r="BA146" s="321" t="e">
        <f t="shared" ca="1" si="81"/>
        <v>#NAME?</v>
      </c>
      <c r="BB146" s="322" t="e">
        <f t="shared" ca="1" si="82"/>
        <v>#NAME?</v>
      </c>
      <c r="BC146" s="323">
        <v>75.196700000000007</v>
      </c>
      <c r="BD146" s="324" t="e">
        <f t="shared" ca="1" si="83"/>
        <v>#NAME?</v>
      </c>
      <c r="BE146" s="325" t="e">
        <f t="shared" ca="1" si="84"/>
        <v>#NAME?</v>
      </c>
      <c r="BF146" s="324" t="e">
        <f ca="1">BicubicInterpolation('TSFC Eff Table'!$B$4:$E$69,2,BB146)</f>
        <v>#NAME?</v>
      </c>
      <c r="BG146" s="326" t="e">
        <f t="shared" ca="1" si="85"/>
        <v>#NAME?</v>
      </c>
      <c r="BH146" s="694" t="e">
        <f ca="1">IF( S146="LRCINOP",   (1+(0.03/10)*Z146*(1+0.2*AC146^2) )*BicubicInterpolation( 'LRC INOP FF'!$C$4:$AA$21, Y146, U146 )-200, IF(S146 ="HOLDINGINOP", (1+(0.03/10)*Z146*(1+0.2*AC146^2) )*BicubicInterpolation( 'Holding INOP FF'!$C$4:$J$13,  Y146,  U146)/1.05-200,   BA146*BG146))</f>
        <v>#NAME?</v>
      </c>
      <c r="BI146" s="344" t="e">
        <f t="shared" ca="1" si="15"/>
        <v>#NAME?</v>
      </c>
      <c r="BJ146" s="322" t="e">
        <f t="shared" ca="1" si="86"/>
        <v>#NAME?</v>
      </c>
      <c r="BK146" s="338" t="e">
        <f t="shared" ca="1" si="16"/>
        <v>#NAME?</v>
      </c>
      <c r="BL146" s="327" t="e">
        <f t="shared" ca="1" si="87"/>
        <v>#NAME?</v>
      </c>
      <c r="BM146" s="328">
        <f t="shared" si="88"/>
        <v>200</v>
      </c>
      <c r="BN146" s="329" t="e">
        <f t="shared" ca="1" si="89"/>
        <v>#NAME?</v>
      </c>
      <c r="BO146" s="344" t="e">
        <f t="shared" ca="1" si="17"/>
        <v>#NAME?</v>
      </c>
      <c r="BP146" s="320" t="e">
        <f t="shared" ca="1" si="90"/>
        <v>#NAME?</v>
      </c>
      <c r="BQ146" s="344" t="e">
        <f t="shared" ca="1" si="18"/>
        <v>#NAME?</v>
      </c>
      <c r="BR146" s="347" t="e">
        <f t="shared" ca="1" si="19"/>
        <v>#NAME?</v>
      </c>
      <c r="BS146" s="326" t="e">
        <f t="shared" ca="1" si="91"/>
        <v>#NAME?</v>
      </c>
      <c r="BT146" s="437" t="e">
        <f t="shared" ca="1" si="58"/>
        <v>#NAME?</v>
      </c>
      <c r="BU146" s="437" t="e">
        <f t="shared" ca="1" si="59"/>
        <v>#NAME?</v>
      </c>
      <c r="BV146" s="441" t="e">
        <f t="shared" ca="1" si="60"/>
        <v>#NAME?</v>
      </c>
      <c r="BW146" s="442" t="e">
        <f t="shared" ca="1" si="61"/>
        <v>#NAME?</v>
      </c>
      <c r="BX146" s="470" t="e">
        <f t="shared" ca="1" si="5"/>
        <v>#NAME?</v>
      </c>
      <c r="BY146" s="484" t="e">
        <f t="shared" ca="1" si="20"/>
        <v>#NAME?</v>
      </c>
    </row>
    <row r="147" spans="5:77" ht="17.75" customHeight="1" x14ac:dyDescent="0.2">
      <c r="E147" s="423"/>
      <c r="I147" s="366">
        <v>63</v>
      </c>
      <c r="J147" s="414">
        <f t="shared" si="21"/>
        <v>41705.756250000144</v>
      </c>
      <c r="K147" s="435" t="e">
        <f t="shared" ca="1" si="22"/>
        <v>#NAME?</v>
      </c>
      <c r="L147" s="435" t="e">
        <f t="shared" ca="1" si="0"/>
        <v>#NAME?</v>
      </c>
      <c r="M147" s="664" t="e">
        <f t="shared" ca="1" si="23"/>
        <v>#NAME?</v>
      </c>
      <c r="N147" s="664" t="e">
        <f t="shared" ca="1" si="24"/>
        <v>#NAME?</v>
      </c>
      <c r="O147" s="140" t="e">
        <f t="shared" ca="1" si="7"/>
        <v>#NAME?</v>
      </c>
      <c r="P147" s="352" t="e">
        <f t="shared" ca="1" si="25"/>
        <v>#NAME?</v>
      </c>
      <c r="Q147" s="665" t="e">
        <f t="shared" ca="1" si="8"/>
        <v>#NAME?</v>
      </c>
      <c r="R147" s="352" t="e">
        <f t="shared" ca="1" si="65"/>
        <v>#NAME?</v>
      </c>
      <c r="S147" s="662" t="e">
        <f t="shared" ca="1" si="10"/>
        <v>#NAME?</v>
      </c>
      <c r="T147" s="443" t="e">
        <f t="shared" ca="1" si="1"/>
        <v>#NAME?</v>
      </c>
      <c r="U147" s="369" t="e">
        <f t="shared" ca="1" si="2"/>
        <v>#NAME?</v>
      </c>
      <c r="V147" s="454" t="e">
        <f t="shared" ca="1" si="11"/>
        <v>#NAME?</v>
      </c>
      <c r="W147" s="457">
        <f t="shared" si="12"/>
        <v>1000</v>
      </c>
      <c r="X147" s="463" t="e">
        <f t="shared" ca="1" si="13"/>
        <v>#NAME?</v>
      </c>
      <c r="Y147" s="455" t="e">
        <f t="shared" ca="1" si="26"/>
        <v>#NAME?</v>
      </c>
      <c r="Z147" s="699">
        <f t="shared" si="3"/>
        <v>10</v>
      </c>
      <c r="AA147" s="355" t="str">
        <f t="shared" si="4"/>
        <v>ON</v>
      </c>
      <c r="AB147" s="357">
        <f t="shared" si="66"/>
        <v>1.4999999999999999E-2</v>
      </c>
      <c r="AC147" s="356" t="e">
        <f ca="1">IF(  Y146=0,0,IF(OR(S147="KCAS",S147="INOP",S147="MEFE"),   ( (5*( (   (((1+0.2*(T147/661.4786)^2)^3.5 -1)  )/( (1-6.8755856*10^-6 *100*Y147)^5.2558797) +1)^(2/7) -1) )^0.5),IF(S147="MACH",T147, IF(S147="LRC",BicubicInterpolation( 'LRC Mach'!$C$4:$AL$21, Y147,U147),  IF(S147="MRC",BicubicInterpolation( 'MRC Mach'!$C$3:$T$18, Y147,U147),  IF(S147="M0.84",0.84,  IF(S147="CI52",BicubicInterpolation('CI=52 Mach'!$C$3:$T$18, Y147,U147),  IF(S147="HOLDING",BicubicInterpolation(  'Holding Mach'!$C$4:$M$13, Y147,U147),                         IF(S147="LRCINOP", BicubicInterpolation('LRC INOP Mach'!$C$4:$AA$21,Y147,U147), IF(S147="HOLDINGINOP",  BicubicInterpolation('Holding INOP Mach'!$N$4:$U$13,Y147,U147),         "XXX" )))))))   )))</f>
        <v>#NAME?</v>
      </c>
      <c r="AD147" s="313" t="e">
        <f t="shared" ca="1" si="67"/>
        <v>#NAME?</v>
      </c>
      <c r="AE147" s="314" t="e">
        <f t="shared" ca="1" si="28"/>
        <v>#NAME?</v>
      </c>
      <c r="AF147" s="313" t="e">
        <f t="shared" ca="1" si="68"/>
        <v>#NAME?</v>
      </c>
      <c r="AG147" s="314" t="e">
        <f t="shared" ca="1" si="29"/>
        <v>#NAME?</v>
      </c>
      <c r="AH147" s="313" t="e">
        <f t="shared" ca="1" si="69"/>
        <v>#NAME?</v>
      </c>
      <c r="AI147" s="314" t="e">
        <f t="shared" ca="1" si="31"/>
        <v>#NAME?</v>
      </c>
      <c r="AJ147" s="315" t="e">
        <f t="shared" ca="1" si="32"/>
        <v>#NAME?</v>
      </c>
      <c r="AK147" s="568" t="e">
        <f t="shared" ca="1" si="70"/>
        <v>#NAME?</v>
      </c>
      <c r="AL147" s="313" t="e">
        <f t="shared" ca="1" si="71"/>
        <v>#NAME?</v>
      </c>
      <c r="AM147" s="313" t="e">
        <f t="shared" ca="1" si="35"/>
        <v>#NAME?</v>
      </c>
      <c r="AN147" s="313" t="e">
        <f t="shared" ca="1" si="36"/>
        <v>#NAME?</v>
      </c>
      <c r="AO147" s="316" t="e">
        <f t="shared" ca="1" si="72"/>
        <v>#NAME?</v>
      </c>
      <c r="AP147" s="313" t="e">
        <f t="shared" ca="1" si="73"/>
        <v>#NAME?</v>
      </c>
      <c r="AQ147" s="314" t="e">
        <f t="shared" ca="1" si="39"/>
        <v>#NAME?</v>
      </c>
      <c r="AR147" s="315" t="e">
        <f t="shared" ca="1" si="74"/>
        <v>#NAME?</v>
      </c>
      <c r="AS147" s="316" t="e">
        <f t="shared" ca="1" si="75"/>
        <v>#NAME?</v>
      </c>
      <c r="AT147" s="315" t="e">
        <f t="shared" ca="1" si="76"/>
        <v>#NAME?</v>
      </c>
      <c r="AU147" s="317">
        <v>427.8</v>
      </c>
      <c r="AV147" s="315" t="e">
        <f t="shared" ca="1" si="77"/>
        <v>#NAME?</v>
      </c>
      <c r="AW147" s="318" t="e">
        <f ca="1">0.0001*BicubicInterpolation('Drag Coef Table'!$B$4:$L$28,AV147,AC147)</f>
        <v>#NAME?</v>
      </c>
      <c r="AX147" s="319" t="e">
        <f t="shared" ca="1" si="78"/>
        <v>#NAME?</v>
      </c>
      <c r="AY147" s="318" t="e">
        <f t="shared" ca="1" si="79"/>
        <v>#NAME?</v>
      </c>
      <c r="AZ147" s="320" t="e">
        <f t="shared" ca="1" si="80"/>
        <v>#NAME?</v>
      </c>
      <c r="BA147" s="321" t="e">
        <f t="shared" ca="1" si="81"/>
        <v>#NAME?</v>
      </c>
      <c r="BB147" s="322" t="e">
        <f t="shared" ca="1" si="82"/>
        <v>#NAME?</v>
      </c>
      <c r="BC147" s="323">
        <v>75.196700000000007</v>
      </c>
      <c r="BD147" s="324" t="e">
        <f t="shared" ca="1" si="83"/>
        <v>#NAME?</v>
      </c>
      <c r="BE147" s="325" t="e">
        <f t="shared" ca="1" si="84"/>
        <v>#NAME?</v>
      </c>
      <c r="BF147" s="324" t="e">
        <f ca="1">BicubicInterpolation('TSFC Eff Table'!$B$4:$E$69,2,BB147)</f>
        <v>#NAME?</v>
      </c>
      <c r="BG147" s="326" t="e">
        <f t="shared" ca="1" si="85"/>
        <v>#NAME?</v>
      </c>
      <c r="BH147" s="694" t="e">
        <f ca="1">IF( S147="LRCINOP",   (1+(0.03/10)*Z147*(1+0.2*AC147^2) )*BicubicInterpolation( 'LRC INOP FF'!$C$4:$AA$21, Y147, U147 )-200, IF(S147 ="HOLDINGINOP", (1+(0.03/10)*Z147*(1+0.2*AC147^2) )*BicubicInterpolation( 'Holding INOP FF'!$C$4:$J$13,  Y147,  U147)/1.05-200,   BA147*BG147))</f>
        <v>#NAME?</v>
      </c>
      <c r="BI147" s="344" t="e">
        <f t="shared" ca="1" si="15"/>
        <v>#NAME?</v>
      </c>
      <c r="BJ147" s="322" t="e">
        <f t="shared" ca="1" si="86"/>
        <v>#NAME?</v>
      </c>
      <c r="BK147" s="338" t="e">
        <f t="shared" ca="1" si="16"/>
        <v>#NAME?</v>
      </c>
      <c r="BL147" s="327" t="e">
        <f t="shared" ca="1" si="87"/>
        <v>#NAME?</v>
      </c>
      <c r="BM147" s="328">
        <f t="shared" si="88"/>
        <v>200</v>
      </c>
      <c r="BN147" s="329" t="e">
        <f t="shared" ca="1" si="89"/>
        <v>#NAME?</v>
      </c>
      <c r="BO147" s="344" t="e">
        <f t="shared" ca="1" si="17"/>
        <v>#NAME?</v>
      </c>
      <c r="BP147" s="320" t="e">
        <f t="shared" ca="1" si="90"/>
        <v>#NAME?</v>
      </c>
      <c r="BQ147" s="344" t="e">
        <f t="shared" ca="1" si="18"/>
        <v>#NAME?</v>
      </c>
      <c r="BR147" s="347" t="e">
        <f t="shared" ca="1" si="19"/>
        <v>#NAME?</v>
      </c>
      <c r="BS147" s="326" t="e">
        <f t="shared" ca="1" si="91"/>
        <v>#NAME?</v>
      </c>
      <c r="BT147" s="437" t="e">
        <f t="shared" ca="1" si="58"/>
        <v>#NAME?</v>
      </c>
      <c r="BU147" s="437" t="e">
        <f t="shared" ca="1" si="59"/>
        <v>#NAME?</v>
      </c>
      <c r="BV147" s="441" t="e">
        <f t="shared" ca="1" si="60"/>
        <v>#NAME?</v>
      </c>
      <c r="BW147" s="442" t="e">
        <f t="shared" ca="1" si="61"/>
        <v>#NAME?</v>
      </c>
      <c r="BX147" s="470" t="e">
        <f t="shared" ca="1" si="5"/>
        <v>#NAME?</v>
      </c>
      <c r="BY147" s="484" t="e">
        <f t="shared" ca="1" si="20"/>
        <v>#NAME?</v>
      </c>
    </row>
    <row r="148" spans="5:77" ht="17.75" customHeight="1" x14ac:dyDescent="0.2">
      <c r="E148" s="423"/>
      <c r="I148" s="366">
        <v>64</v>
      </c>
      <c r="J148" s="414">
        <f t="shared" si="21"/>
        <v>41705.756944444591</v>
      </c>
      <c r="K148" s="435" t="e">
        <f t="shared" ca="1" si="22"/>
        <v>#NAME?</v>
      </c>
      <c r="L148" s="435" t="e">
        <f t="shared" ca="1" si="0"/>
        <v>#NAME?</v>
      </c>
      <c r="M148" s="664" t="e">
        <f t="shared" ca="1" si="23"/>
        <v>#NAME?</v>
      </c>
      <c r="N148" s="664" t="e">
        <f t="shared" ca="1" si="24"/>
        <v>#NAME?</v>
      </c>
      <c r="O148" s="140" t="e">
        <f t="shared" ca="1" si="7"/>
        <v>#NAME?</v>
      </c>
      <c r="P148" s="352" t="e">
        <f t="shared" ca="1" si="25"/>
        <v>#NAME?</v>
      </c>
      <c r="Q148" s="665" t="e">
        <f t="shared" ca="1" si="8"/>
        <v>#NAME?</v>
      </c>
      <c r="R148" s="352" t="e">
        <f t="shared" ca="1" si="65"/>
        <v>#NAME?</v>
      </c>
      <c r="S148" s="662" t="e">
        <f t="shared" ca="1" si="10"/>
        <v>#NAME?</v>
      </c>
      <c r="T148" s="443" t="e">
        <f t="shared" ca="1" si="1"/>
        <v>#NAME?</v>
      </c>
      <c r="U148" s="369" t="e">
        <f t="shared" ca="1" si="2"/>
        <v>#NAME?</v>
      </c>
      <c r="V148" s="454" t="e">
        <f t="shared" ca="1" si="11"/>
        <v>#NAME?</v>
      </c>
      <c r="W148" s="457">
        <f t="shared" si="12"/>
        <v>1000</v>
      </c>
      <c r="X148" s="463" t="e">
        <f t="shared" ca="1" si="13"/>
        <v>#NAME?</v>
      </c>
      <c r="Y148" s="455" t="e">
        <f t="shared" ca="1" si="26"/>
        <v>#NAME?</v>
      </c>
      <c r="Z148" s="699">
        <f t="shared" si="3"/>
        <v>10</v>
      </c>
      <c r="AA148" s="355" t="str">
        <f t="shared" si="4"/>
        <v>ON</v>
      </c>
      <c r="AB148" s="357">
        <f t="shared" si="66"/>
        <v>1.4999999999999999E-2</v>
      </c>
      <c r="AC148" s="356" t="e">
        <f ca="1">IF(  Y147=0,0,IF(OR(S148="KCAS",S148="INOP",S148="MEFE"),   ( (5*( (   (((1+0.2*(T148/661.4786)^2)^3.5 -1)  )/( (1-6.8755856*10^-6 *100*Y148)^5.2558797) +1)^(2/7) -1) )^0.5),IF(S148="MACH",T148, IF(S148="LRC",BicubicInterpolation( 'LRC Mach'!$C$4:$AL$21, Y148,U148),  IF(S148="MRC",BicubicInterpolation( 'MRC Mach'!$C$3:$T$18, Y148,U148),  IF(S148="M0.84",0.84,  IF(S148="CI52",BicubicInterpolation('CI=52 Mach'!$C$3:$T$18, Y148,U148),  IF(S148="HOLDING",BicubicInterpolation(  'Holding Mach'!$C$4:$M$13, Y148,U148),                         IF(S148="LRCINOP", BicubicInterpolation('LRC INOP Mach'!$C$4:$AA$21,Y148,U148), IF(S148="HOLDINGINOP",  BicubicInterpolation('Holding INOP Mach'!$N$4:$U$13,Y148,U148),         "XXX" )))))))   )))</f>
        <v>#NAME?</v>
      </c>
      <c r="AD148" s="313" t="e">
        <f t="shared" ca="1" si="67"/>
        <v>#NAME?</v>
      </c>
      <c r="AE148" s="314" t="e">
        <f t="shared" ca="1" si="28"/>
        <v>#NAME?</v>
      </c>
      <c r="AF148" s="313" t="e">
        <f t="shared" ca="1" si="68"/>
        <v>#NAME?</v>
      </c>
      <c r="AG148" s="314" t="e">
        <f t="shared" ca="1" si="29"/>
        <v>#NAME?</v>
      </c>
      <c r="AH148" s="313" t="e">
        <f t="shared" ca="1" si="69"/>
        <v>#NAME?</v>
      </c>
      <c r="AI148" s="314" t="e">
        <f t="shared" ca="1" si="31"/>
        <v>#NAME?</v>
      </c>
      <c r="AJ148" s="315" t="e">
        <f t="shared" ca="1" si="32"/>
        <v>#NAME?</v>
      </c>
      <c r="AK148" s="568" t="e">
        <f t="shared" ca="1" si="70"/>
        <v>#NAME?</v>
      </c>
      <c r="AL148" s="313" t="e">
        <f t="shared" ca="1" si="71"/>
        <v>#NAME?</v>
      </c>
      <c r="AM148" s="313" t="e">
        <f t="shared" ca="1" si="35"/>
        <v>#NAME?</v>
      </c>
      <c r="AN148" s="313" t="e">
        <f t="shared" ca="1" si="36"/>
        <v>#NAME?</v>
      </c>
      <c r="AO148" s="316" t="e">
        <f t="shared" ca="1" si="72"/>
        <v>#NAME?</v>
      </c>
      <c r="AP148" s="313" t="e">
        <f t="shared" ca="1" si="73"/>
        <v>#NAME?</v>
      </c>
      <c r="AQ148" s="314" t="e">
        <f t="shared" ca="1" si="39"/>
        <v>#NAME?</v>
      </c>
      <c r="AR148" s="315" t="e">
        <f t="shared" ca="1" si="74"/>
        <v>#NAME?</v>
      </c>
      <c r="AS148" s="316" t="e">
        <f t="shared" ca="1" si="75"/>
        <v>#NAME?</v>
      </c>
      <c r="AT148" s="315" t="e">
        <f t="shared" ca="1" si="76"/>
        <v>#NAME?</v>
      </c>
      <c r="AU148" s="317">
        <v>427.8</v>
      </c>
      <c r="AV148" s="315" t="e">
        <f t="shared" ca="1" si="77"/>
        <v>#NAME?</v>
      </c>
      <c r="AW148" s="318" t="e">
        <f ca="1">0.0001*BicubicInterpolation('Drag Coef Table'!$B$4:$L$28,AV148,AC148)</f>
        <v>#NAME?</v>
      </c>
      <c r="AX148" s="319" t="e">
        <f t="shared" ca="1" si="78"/>
        <v>#NAME?</v>
      </c>
      <c r="AY148" s="318" t="e">
        <f t="shared" ca="1" si="79"/>
        <v>#NAME?</v>
      </c>
      <c r="AZ148" s="320" t="e">
        <f t="shared" ca="1" si="80"/>
        <v>#NAME?</v>
      </c>
      <c r="BA148" s="321" t="e">
        <f t="shared" ca="1" si="81"/>
        <v>#NAME?</v>
      </c>
      <c r="BB148" s="322" t="e">
        <f t="shared" ca="1" si="82"/>
        <v>#NAME?</v>
      </c>
      <c r="BC148" s="323">
        <v>75.196700000000007</v>
      </c>
      <c r="BD148" s="324" t="e">
        <f t="shared" ca="1" si="83"/>
        <v>#NAME?</v>
      </c>
      <c r="BE148" s="325" t="e">
        <f t="shared" ca="1" si="84"/>
        <v>#NAME?</v>
      </c>
      <c r="BF148" s="324" t="e">
        <f ca="1">BicubicInterpolation('TSFC Eff Table'!$B$4:$E$69,2,BB148)</f>
        <v>#NAME?</v>
      </c>
      <c r="BG148" s="326" t="e">
        <f t="shared" ca="1" si="85"/>
        <v>#NAME?</v>
      </c>
      <c r="BH148" s="694" t="e">
        <f ca="1">IF( S148="LRCINOP",   (1+(0.03/10)*Z148*(1+0.2*AC148^2) )*BicubicInterpolation( 'LRC INOP FF'!$C$4:$AA$21, Y148, U148 )-200, IF(S148 ="HOLDINGINOP", (1+(0.03/10)*Z148*(1+0.2*AC148^2) )*BicubicInterpolation( 'Holding INOP FF'!$C$4:$J$13,  Y148,  U148)/1.05-200,   BA148*BG148))</f>
        <v>#NAME?</v>
      </c>
      <c r="BI148" s="344" t="e">
        <f t="shared" ca="1" si="15"/>
        <v>#NAME?</v>
      </c>
      <c r="BJ148" s="322" t="e">
        <f t="shared" ca="1" si="86"/>
        <v>#NAME?</v>
      </c>
      <c r="BK148" s="338" t="e">
        <f t="shared" ca="1" si="16"/>
        <v>#NAME?</v>
      </c>
      <c r="BL148" s="327" t="e">
        <f t="shared" ca="1" si="87"/>
        <v>#NAME?</v>
      </c>
      <c r="BM148" s="328">
        <f t="shared" si="88"/>
        <v>200</v>
      </c>
      <c r="BN148" s="329" t="e">
        <f t="shared" ca="1" si="89"/>
        <v>#NAME?</v>
      </c>
      <c r="BO148" s="344" t="e">
        <f t="shared" ca="1" si="17"/>
        <v>#NAME?</v>
      </c>
      <c r="BP148" s="320" t="e">
        <f t="shared" ca="1" si="90"/>
        <v>#NAME?</v>
      </c>
      <c r="BQ148" s="344" t="e">
        <f t="shared" ca="1" si="18"/>
        <v>#NAME?</v>
      </c>
      <c r="BR148" s="347" t="e">
        <f t="shared" ca="1" si="19"/>
        <v>#NAME?</v>
      </c>
      <c r="BS148" s="326" t="e">
        <f t="shared" ca="1" si="91"/>
        <v>#NAME?</v>
      </c>
      <c r="BT148" s="437" t="e">
        <f t="shared" ca="1" si="58"/>
        <v>#NAME?</v>
      </c>
      <c r="BU148" s="437" t="e">
        <f t="shared" ca="1" si="59"/>
        <v>#NAME?</v>
      </c>
      <c r="BV148" s="441" t="e">
        <f t="shared" ca="1" si="60"/>
        <v>#NAME?</v>
      </c>
      <c r="BW148" s="442" t="e">
        <f t="shared" ca="1" si="61"/>
        <v>#NAME?</v>
      </c>
      <c r="BX148" s="470" t="e">
        <f t="shared" ca="1" si="5"/>
        <v>#NAME?</v>
      </c>
      <c r="BY148" s="484" t="e">
        <f t="shared" ca="1" si="20"/>
        <v>#NAME?</v>
      </c>
    </row>
    <row r="149" spans="5:77" ht="17.75" customHeight="1" x14ac:dyDescent="0.2">
      <c r="E149" s="423"/>
      <c r="I149" s="366">
        <v>65</v>
      </c>
      <c r="J149" s="414">
        <f t="shared" si="21"/>
        <v>41705.757638889037</v>
      </c>
      <c r="K149" s="435" t="e">
        <f t="shared" ca="1" si="22"/>
        <v>#NAME?</v>
      </c>
      <c r="L149" s="435" t="e">
        <f t="shared" ca="1" si="0"/>
        <v>#NAME?</v>
      </c>
      <c r="M149" s="664" t="e">
        <f t="shared" ca="1" si="23"/>
        <v>#NAME?</v>
      </c>
      <c r="N149" s="664" t="e">
        <f t="shared" ca="1" si="24"/>
        <v>#NAME?</v>
      </c>
      <c r="O149" s="140" t="e">
        <f t="shared" ca="1" si="7"/>
        <v>#NAME?</v>
      </c>
      <c r="P149" s="352" t="e">
        <f t="shared" ca="1" si="25"/>
        <v>#NAME?</v>
      </c>
      <c r="Q149" s="665" t="e">
        <f t="shared" ca="1" si="8"/>
        <v>#NAME?</v>
      </c>
      <c r="R149" s="352" t="e">
        <f t="shared" ca="1" si="65"/>
        <v>#NAME?</v>
      </c>
      <c r="S149" s="662" t="e">
        <f t="shared" ca="1" si="10"/>
        <v>#NAME?</v>
      </c>
      <c r="T149" s="443" t="e">
        <f t="shared" ref="T149:T212" ca="1" si="92">IF(AND(S149="MEFE",  S148="MEFE"), MAX(T148+$C$43,$C$39), IF(AND(S148="INOP",S149="MEFE"),  MAX(T148+$C$38,$C$39), IF(AND(S149="INOP",S148="INOP"), MAX(T148+$C$38,$C$39),IF(S149="INOP", AO148,IF($J149&lt;$C$12,$C$6,IF($J149&lt;$C$18,$C$14,$C$20))))))</f>
        <v>#NAME?</v>
      </c>
      <c r="U149" s="369" t="e">
        <f t="shared" ref="U149:U212" ca="1" si="93">P149</f>
        <v>#NAME?</v>
      </c>
      <c r="V149" s="454" t="e">
        <f t="shared" ca="1" si="11"/>
        <v>#NAME?</v>
      </c>
      <c r="W149" s="457">
        <f t="shared" si="12"/>
        <v>1000</v>
      </c>
      <c r="X149" s="463" t="e">
        <f t="shared" ca="1" si="13"/>
        <v>#NAME?</v>
      </c>
      <c r="Y149" s="455" t="e">
        <f t="shared" ca="1" si="26"/>
        <v>#NAME?</v>
      </c>
      <c r="Z149" s="699">
        <f t="shared" ref="Z149:Z212" si="94">IF(I149&gt;$M$83-1,$C$22,IF(I149&gt;$K$83-1,$C$16,$C$8))</f>
        <v>10</v>
      </c>
      <c r="AA149" s="355" t="str">
        <f t="shared" ref="AA149:AA212" si="95">IF(I149&lt;$K$83,$C$9, IF( I149&lt;$L$83, $C$17,$C$23))</f>
        <v>ON</v>
      </c>
      <c r="AB149" s="357">
        <f t="shared" si="66"/>
        <v>1.4999999999999999E-2</v>
      </c>
      <c r="AC149" s="356" t="e">
        <f ca="1">IF(  Y148=0,0,IF(OR(S149="KCAS",S149="INOP",S149="MEFE"),   ( (5*( (   (((1+0.2*(T149/661.4786)^2)^3.5 -1)  )/( (1-6.8755856*10^-6 *100*Y149)^5.2558797) +1)^(2/7) -1) )^0.5),IF(S149="MACH",T149, IF(S149="LRC",BicubicInterpolation( 'LRC Mach'!$C$4:$AL$21, Y149,U149),  IF(S149="MRC",BicubicInterpolation( 'MRC Mach'!$C$3:$T$18, Y149,U149),  IF(S149="M0.84",0.84,  IF(S149="CI52",BicubicInterpolation('CI=52 Mach'!$C$3:$T$18, Y149,U149),  IF(S149="HOLDING",BicubicInterpolation(  'Holding Mach'!$C$4:$M$13, Y149,U149),                         IF(S149="LRCINOP", BicubicInterpolation('LRC INOP Mach'!$C$4:$AA$21,Y149,U149), IF(S149="HOLDINGINOP",  BicubicInterpolation('Holding INOP Mach'!$N$4:$U$13,Y149,U149),         "XXX" )))))))   )))</f>
        <v>#NAME?</v>
      </c>
      <c r="AD149" s="313" t="e">
        <f t="shared" ca="1" si="67"/>
        <v>#NAME?</v>
      </c>
      <c r="AE149" s="314" t="e">
        <f t="shared" ca="1" si="28"/>
        <v>#NAME?</v>
      </c>
      <c r="AF149" s="313" t="e">
        <f t="shared" ca="1" si="68"/>
        <v>#NAME?</v>
      </c>
      <c r="AG149" s="314" t="e">
        <f t="shared" ca="1" si="29"/>
        <v>#NAME?</v>
      </c>
      <c r="AH149" s="313" t="e">
        <f t="shared" ca="1" si="69"/>
        <v>#NAME?</v>
      </c>
      <c r="AI149" s="314" t="e">
        <f t="shared" ca="1" si="31"/>
        <v>#NAME?</v>
      </c>
      <c r="AJ149" s="315" t="e">
        <f t="shared" ca="1" si="32"/>
        <v>#NAME?</v>
      </c>
      <c r="AK149" s="568" t="e">
        <f t="shared" ca="1" si="70"/>
        <v>#NAME?</v>
      </c>
      <c r="AL149" s="313" t="e">
        <f t="shared" ca="1" si="71"/>
        <v>#NAME?</v>
      </c>
      <c r="AM149" s="313" t="e">
        <f t="shared" ca="1" si="35"/>
        <v>#NAME?</v>
      </c>
      <c r="AN149" s="313" t="e">
        <f t="shared" ca="1" si="36"/>
        <v>#NAME?</v>
      </c>
      <c r="AO149" s="316" t="e">
        <f t="shared" ca="1" si="72"/>
        <v>#NAME?</v>
      </c>
      <c r="AP149" s="313" t="e">
        <f t="shared" ca="1" si="73"/>
        <v>#NAME?</v>
      </c>
      <c r="AQ149" s="314" t="e">
        <f t="shared" ca="1" si="39"/>
        <v>#NAME?</v>
      </c>
      <c r="AR149" s="315" t="e">
        <f t="shared" ca="1" si="74"/>
        <v>#NAME?</v>
      </c>
      <c r="AS149" s="316" t="e">
        <f t="shared" ca="1" si="75"/>
        <v>#NAME?</v>
      </c>
      <c r="AT149" s="315" t="e">
        <f t="shared" ca="1" si="76"/>
        <v>#NAME?</v>
      </c>
      <c r="AU149" s="317">
        <v>427.8</v>
      </c>
      <c r="AV149" s="315" t="e">
        <f t="shared" ca="1" si="77"/>
        <v>#NAME?</v>
      </c>
      <c r="AW149" s="318" t="e">
        <f ca="1">0.0001*BicubicInterpolation('Drag Coef Table'!$B$4:$L$28,AV149,AC149)</f>
        <v>#NAME?</v>
      </c>
      <c r="AX149" s="319" t="e">
        <f t="shared" ca="1" si="78"/>
        <v>#NAME?</v>
      </c>
      <c r="AY149" s="318" t="e">
        <f t="shared" ca="1" si="79"/>
        <v>#NAME?</v>
      </c>
      <c r="AZ149" s="320" t="e">
        <f t="shared" ca="1" si="80"/>
        <v>#NAME?</v>
      </c>
      <c r="BA149" s="321" t="e">
        <f t="shared" ca="1" si="81"/>
        <v>#NAME?</v>
      </c>
      <c r="BB149" s="322" t="e">
        <f t="shared" ca="1" si="82"/>
        <v>#NAME?</v>
      </c>
      <c r="BC149" s="323">
        <v>75.196700000000007</v>
      </c>
      <c r="BD149" s="324" t="e">
        <f t="shared" ca="1" si="83"/>
        <v>#NAME?</v>
      </c>
      <c r="BE149" s="325" t="e">
        <f t="shared" ca="1" si="84"/>
        <v>#NAME?</v>
      </c>
      <c r="BF149" s="324" t="e">
        <f ca="1">BicubicInterpolation('TSFC Eff Table'!$B$4:$E$69,2,BB149)</f>
        <v>#NAME?</v>
      </c>
      <c r="BG149" s="326" t="e">
        <f t="shared" ca="1" si="85"/>
        <v>#NAME?</v>
      </c>
      <c r="BH149" s="694" t="e">
        <f ca="1">IF( S149="LRCINOP",   (1+(0.03/10)*Z149*(1+0.2*AC149^2) )*BicubicInterpolation( 'LRC INOP FF'!$C$4:$AA$21, Y149, U149 )-200, IF(S149 ="HOLDINGINOP", (1+(0.03/10)*Z149*(1+0.2*AC149^2) )*BicubicInterpolation( 'Holding INOP FF'!$C$4:$J$13,  Y149,  U149)/1.05-200,   BA149*BG149))</f>
        <v>#NAME?</v>
      </c>
      <c r="BI149" s="344" t="e">
        <f t="shared" ca="1" si="15"/>
        <v>#NAME?</v>
      </c>
      <c r="BJ149" s="322" t="e">
        <f t="shared" ca="1" si="86"/>
        <v>#NAME?</v>
      </c>
      <c r="BK149" s="338" t="e">
        <f t="shared" ca="1" si="16"/>
        <v>#NAME?</v>
      </c>
      <c r="BL149" s="327" t="e">
        <f t="shared" ca="1" si="87"/>
        <v>#NAME?</v>
      </c>
      <c r="BM149" s="328">
        <f t="shared" si="88"/>
        <v>200</v>
      </c>
      <c r="BN149" s="329" t="e">
        <f t="shared" ca="1" si="89"/>
        <v>#NAME?</v>
      </c>
      <c r="BO149" s="344" t="e">
        <f t="shared" ca="1" si="17"/>
        <v>#NAME?</v>
      </c>
      <c r="BP149" s="320" t="e">
        <f t="shared" ca="1" si="90"/>
        <v>#NAME?</v>
      </c>
      <c r="BQ149" s="344" t="e">
        <f t="shared" ca="1" si="18"/>
        <v>#NAME?</v>
      </c>
      <c r="BR149" s="347" t="e">
        <f t="shared" ca="1" si="19"/>
        <v>#NAME?</v>
      </c>
      <c r="BS149" s="326" t="e">
        <f t="shared" ca="1" si="91"/>
        <v>#NAME?</v>
      </c>
      <c r="BT149" s="437" t="e">
        <f t="shared" ca="1" si="58"/>
        <v>#NAME?</v>
      </c>
      <c r="BU149" s="437" t="e">
        <f t="shared" ca="1" si="59"/>
        <v>#NAME?</v>
      </c>
      <c r="BV149" s="441" t="e">
        <f t="shared" ca="1" si="60"/>
        <v>#NAME?</v>
      </c>
      <c r="BW149" s="442" t="e">
        <f t="shared" ca="1" si="61"/>
        <v>#NAME?</v>
      </c>
      <c r="BX149" s="470" t="e">
        <f t="shared" ref="BX149:BX212" ca="1" si="96">IF(Y149=0,I149,"")</f>
        <v>#NAME?</v>
      </c>
      <c r="BY149" s="484" t="e">
        <f t="shared" ca="1" si="20"/>
        <v>#NAME?</v>
      </c>
    </row>
    <row r="150" spans="5:77" ht="17.75" customHeight="1" x14ac:dyDescent="0.2">
      <c r="I150" s="366">
        <v>66</v>
      </c>
      <c r="J150" s="414">
        <f t="shared" si="21"/>
        <v>41705.758333333484</v>
      </c>
      <c r="K150" s="435" t="e">
        <f t="shared" ca="1" si="22"/>
        <v>#NAME?</v>
      </c>
      <c r="L150" s="435" t="e">
        <f t="shared" ref="L150:L213" ca="1" si="97">IF(N150=0,0,Q150*(1+$C$79)/60)</f>
        <v>#NAME?</v>
      </c>
      <c r="M150" s="664" t="e">
        <f t="shared" ca="1" si="23"/>
        <v>#NAME?</v>
      </c>
      <c r="N150" s="664" t="e">
        <f t="shared" ca="1" si="24"/>
        <v>#NAME?</v>
      </c>
      <c r="O150" s="140" t="e">
        <f t="shared" ref="O150:O213" ca="1" si="98">M150+N150</f>
        <v>#NAME?</v>
      </c>
      <c r="P150" s="352" t="e">
        <f t="shared" ca="1" si="25"/>
        <v>#NAME?</v>
      </c>
      <c r="Q150" s="665" t="e">
        <f t="shared" ref="Q150:Q197" ca="1" si="99">IF(S150="MEFE",  0,    IF(S150="INOP",    $C$36*AQ150/0.2243,     IF(V150&lt;Y149,             IF(OR(S150="KCAS",S150="HOLDING",S150="HOLDINGINOP",S150="LRCINOP"),   $C$32,    (1+$C$30*ABS(X150)/1000)*BN150  ),      IF(V150&gt;Y149,   BN150*(1+$C$29*W150/1000),   IF(AND($C$34=1, OR(S150="HOLDING", S150="HOLDINGINOP")  ),1.05,1)*BN150    ))))</f>
        <v>#NAME?</v>
      </c>
      <c r="R150" s="352" t="e">
        <f t="shared" ca="1" si="65"/>
        <v>#NAME?</v>
      </c>
      <c r="S150" s="662" t="e">
        <f t="shared" ref="S150:S213" ca="1" si="100">IF(O150=0, "MEFE",IF(AND(  NOT(S149="LRCINOP"),NOT(S149="HOLDINGINOP"),  N150=0), "INOP",IF(I150&gt;$M$83-1,$C$19,IF(I150&gt;$K$83-1,$C$13,$C$5))))</f>
        <v>#NAME?</v>
      </c>
      <c r="T150" s="443" t="e">
        <f t="shared" ca="1" si="92"/>
        <v>#NAME?</v>
      </c>
      <c r="U150" s="369" t="e">
        <f t="shared" ca="1" si="93"/>
        <v>#NAME?</v>
      </c>
      <c r="V150" s="454" t="e">
        <f t="shared" ref="V150:V213" ca="1" si="101">IF(S149="MEFE",0,IF(AND(S149="INOP", T150=$C$39 ), MIN($C$40,V149 ),IF(J149&lt;$C$12,$C$7,IF(J149&lt;$C$18,$C$15,$C$21))))</f>
        <v>#NAME?</v>
      </c>
      <c r="W150" s="457">
        <f t="shared" ref="W150:W213" si="102">$C$27</f>
        <v>1000</v>
      </c>
      <c r="X150" s="463" t="e">
        <f t="shared" ref="X150:X213" ca="1" si="103">IF(   Y149=0,  0,   IF(S150="INOP", $C$41, IF(S150="MEFE", $C$42,IF(OR(S150="KCAS",S150="HOLDING"), $C$31,$C$28 ) ))             )</f>
        <v>#NAME?</v>
      </c>
      <c r="Y150" s="455" t="e">
        <f t="shared" ca="1" si="26"/>
        <v>#NAME?</v>
      </c>
      <c r="Z150" s="699">
        <f t="shared" si="94"/>
        <v>10</v>
      </c>
      <c r="AA150" s="355" t="str">
        <f t="shared" si="95"/>
        <v>ON</v>
      </c>
      <c r="AB150" s="357">
        <f t="shared" si="66"/>
        <v>1.4999999999999999E-2</v>
      </c>
      <c r="AC150" s="356" t="e">
        <f ca="1">IF(  Y149=0,0,IF(OR(S150="KCAS",S150="INOP",S150="MEFE"),   ( (5*( (   (((1+0.2*(T150/661.4786)^2)^3.5 -1)  )/( (1-6.8755856*10^-6 *100*Y150)^5.2558797) +1)^(2/7) -1) )^0.5),IF(S150="MACH",T150, IF(S150="LRC",BicubicInterpolation( 'LRC Mach'!$C$4:$AL$21, Y150,U150),  IF(S150="MRC",BicubicInterpolation( 'MRC Mach'!$C$3:$T$18, Y150,U150),  IF(S150="M0.84",0.84,  IF(S150="CI52",BicubicInterpolation('CI=52 Mach'!$C$3:$T$18, Y150,U150),  IF(S150="HOLDING",BicubicInterpolation(  'Holding Mach'!$C$4:$M$13, Y150,U150),                         IF(S150="LRCINOP", BicubicInterpolation('LRC INOP Mach'!$C$4:$AA$21,Y150,U150), IF(S150="HOLDINGINOP",  BicubicInterpolation('Holding INOP Mach'!$N$4:$U$13,Y150,U150),         "XXX" )))))))   )))</f>
        <v>#NAME?</v>
      </c>
      <c r="AD150" s="313" t="e">
        <f t="shared" ca="1" si="67"/>
        <v>#NAME?</v>
      </c>
      <c r="AE150" s="314" t="e">
        <f t="shared" ca="1" si="28"/>
        <v>#NAME?</v>
      </c>
      <c r="AF150" s="313" t="e">
        <f t="shared" ca="1" si="68"/>
        <v>#NAME?</v>
      </c>
      <c r="AG150" s="314" t="e">
        <f t="shared" ca="1" si="29"/>
        <v>#NAME?</v>
      </c>
      <c r="AH150" s="313" t="e">
        <f t="shared" ca="1" si="69"/>
        <v>#NAME?</v>
      </c>
      <c r="AI150" s="314" t="e">
        <f t="shared" ca="1" si="31"/>
        <v>#NAME?</v>
      </c>
      <c r="AJ150" s="315" t="e">
        <f t="shared" ca="1" si="32"/>
        <v>#NAME?</v>
      </c>
      <c r="AK150" s="568" t="e">
        <f t="shared" ca="1" si="70"/>
        <v>#NAME?</v>
      </c>
      <c r="AL150" s="313" t="e">
        <f t="shared" ca="1" si="71"/>
        <v>#NAME?</v>
      </c>
      <c r="AM150" s="313" t="e">
        <f t="shared" ca="1" si="35"/>
        <v>#NAME?</v>
      </c>
      <c r="AN150" s="313" t="e">
        <f t="shared" ca="1" si="36"/>
        <v>#NAME?</v>
      </c>
      <c r="AO150" s="316" t="e">
        <f t="shared" ca="1" si="72"/>
        <v>#NAME?</v>
      </c>
      <c r="AP150" s="313" t="e">
        <f t="shared" ca="1" si="73"/>
        <v>#NAME?</v>
      </c>
      <c r="AQ150" s="314" t="e">
        <f t="shared" ca="1" si="39"/>
        <v>#NAME?</v>
      </c>
      <c r="AR150" s="315" t="e">
        <f t="shared" ca="1" si="74"/>
        <v>#NAME?</v>
      </c>
      <c r="AS150" s="316" t="e">
        <f t="shared" ca="1" si="75"/>
        <v>#NAME?</v>
      </c>
      <c r="AT150" s="315" t="e">
        <f t="shared" ca="1" si="76"/>
        <v>#NAME?</v>
      </c>
      <c r="AU150" s="317">
        <v>427.8</v>
      </c>
      <c r="AV150" s="315" t="e">
        <f t="shared" ca="1" si="77"/>
        <v>#NAME?</v>
      </c>
      <c r="AW150" s="318" t="e">
        <f ca="1">0.0001*BicubicInterpolation('Drag Coef Table'!$B$4:$L$28,AV150,AC150)</f>
        <v>#NAME?</v>
      </c>
      <c r="AX150" s="319" t="e">
        <f t="shared" ca="1" si="78"/>
        <v>#NAME?</v>
      </c>
      <c r="AY150" s="318" t="e">
        <f t="shared" ca="1" si="79"/>
        <v>#NAME?</v>
      </c>
      <c r="AZ150" s="320" t="e">
        <f t="shared" ca="1" si="80"/>
        <v>#NAME?</v>
      </c>
      <c r="BA150" s="321" t="e">
        <f t="shared" ca="1" si="81"/>
        <v>#NAME?</v>
      </c>
      <c r="BB150" s="322" t="e">
        <f t="shared" ca="1" si="82"/>
        <v>#NAME?</v>
      </c>
      <c r="BC150" s="323">
        <v>75.196700000000007</v>
      </c>
      <c r="BD150" s="324" t="e">
        <f t="shared" ca="1" si="83"/>
        <v>#NAME?</v>
      </c>
      <c r="BE150" s="325" t="e">
        <f t="shared" ca="1" si="84"/>
        <v>#NAME?</v>
      </c>
      <c r="BF150" s="324" t="e">
        <f ca="1">BicubicInterpolation('TSFC Eff Table'!$B$4:$E$69,2,BB150)</f>
        <v>#NAME?</v>
      </c>
      <c r="BG150" s="326" t="e">
        <f t="shared" ca="1" si="85"/>
        <v>#NAME?</v>
      </c>
      <c r="BH150" s="694" t="e">
        <f ca="1">IF( S150="LRCINOP",   (1+(0.03/10)*Z150*(1+0.2*AC150^2) )*BicubicInterpolation( 'LRC INOP FF'!$C$4:$AA$21, Y150, U150 )-200, IF(S150 ="HOLDINGINOP", (1+(0.03/10)*Z150*(1+0.2*AC150^2) )*BicubicInterpolation( 'Holding INOP FF'!$C$4:$J$13,  Y150,  U150)/1.05-200,   BA150*BG150))</f>
        <v>#NAME?</v>
      </c>
      <c r="BI150" s="344" t="e">
        <f t="shared" ref="BI150:BI213" ca="1" si="104">IF( OR( S150="LRCINOP", S150 ="HOLDINGINOP"),BH150, BH150/2)</f>
        <v>#NAME?</v>
      </c>
      <c r="BJ150" s="322" t="e">
        <f t="shared" ca="1" si="86"/>
        <v>#NAME?</v>
      </c>
      <c r="BK150" s="338" t="e">
        <f t="shared" ref="BK150:BK213" ca="1" si="105">IF( OR( S150="LRCINOP", S150 ="HOLDINGINOP"),BJ150, 2*BJ150)</f>
        <v>#NAME?</v>
      </c>
      <c r="BL150" s="327" t="e">
        <f t="shared" ca="1" si="87"/>
        <v>#NAME?</v>
      </c>
      <c r="BM150" s="328">
        <f t="shared" si="88"/>
        <v>200</v>
      </c>
      <c r="BN150" s="329" t="e">
        <f t="shared" ca="1" si="89"/>
        <v>#NAME?</v>
      </c>
      <c r="BO150" s="344" t="e">
        <f t="shared" ref="BO150:BO213" ca="1" si="106">IF( OR( S150="LRCINOP", S150 ="HOLDINGINOP"), BN150, 2*BN150)</f>
        <v>#NAME?</v>
      </c>
      <c r="BP150" s="320" t="e">
        <f t="shared" ca="1" si="90"/>
        <v>#NAME?</v>
      </c>
      <c r="BQ150" s="344" t="e">
        <f t="shared" ref="BQ150:BQ213" ca="1" si="107">BN150*(1+$C$25)</f>
        <v>#NAME?</v>
      </c>
      <c r="BR150" s="347" t="e">
        <f t="shared" ref="BR150:BR213" ca="1" si="108">BO150*(1+$C$25)</f>
        <v>#NAME?</v>
      </c>
      <c r="BS150" s="326" t="e">
        <f t="shared" ca="1" si="91"/>
        <v>#NAME?</v>
      </c>
      <c r="BT150" s="437" t="e">
        <f t="shared" ca="1" si="58"/>
        <v>#NAME?</v>
      </c>
      <c r="BU150" s="437" t="e">
        <f t="shared" ca="1" si="59"/>
        <v>#NAME?</v>
      </c>
      <c r="BV150" s="441" t="e">
        <f t="shared" ca="1" si="60"/>
        <v>#NAME?</v>
      </c>
      <c r="BW150" s="442" t="e">
        <f t="shared" ca="1" si="61"/>
        <v>#NAME?</v>
      </c>
      <c r="BX150" s="470" t="e">
        <f t="shared" ca="1" si="96"/>
        <v>#NAME?</v>
      </c>
      <c r="BY150" s="484" t="e">
        <f t="shared" ref="BY150:BY213" ca="1" si="109">100*O150</f>
        <v>#NAME?</v>
      </c>
    </row>
    <row r="151" spans="5:77" ht="17.75" customHeight="1" x14ac:dyDescent="0.2">
      <c r="I151" s="366">
        <v>67</v>
      </c>
      <c r="J151" s="414">
        <f t="shared" ref="J151:J214" si="110">J150+1/1440</f>
        <v>41705.759027777931</v>
      </c>
      <c r="K151" s="435" t="e">
        <f t="shared" ref="K151:K214" ca="1" si="111">IF(M151=0,0,Q151*(1+$C$78)/60)</f>
        <v>#NAME?</v>
      </c>
      <c r="L151" s="435" t="e">
        <f t="shared" ca="1" si="97"/>
        <v>#NAME?</v>
      </c>
      <c r="M151" s="664" t="e">
        <f t="shared" ref="M151:M167" ca="1" si="112">IF(  AND(OR(S150="LRCINOP",S150="HOLDINGINOP"),NOT(S150=S149), $C$35="L"), 0,   IF(  AND(OR(S150="LRCINOP",S150="HOLDINGINOP"),NOT(S150=S149), $C$35="R"),  MAX(M150-K150/1000+N150,0),MAX(M150-K150/1000,0)   ))</f>
        <v>#NAME?</v>
      </c>
      <c r="N151" s="664" t="e">
        <f t="shared" ref="N151:N167" ca="1" si="113">IF(  AND(OR(S150="LRCINOP",S150="HOLDINGINOP"),NOT(S150=S149), $C$35="R"), 0,   IF(  AND(OR(S150="LRCINOP",S150="HOLDINGINOP"),NOT(S150=S149), $C$35="L"),  MAX(N150-L150/1000+M150,0),MAX(N150-L150/1000,0)   ))</f>
        <v>#NAME?</v>
      </c>
      <c r="O151" s="140" t="e">
        <f t="shared" ca="1" si="98"/>
        <v>#NAME?</v>
      </c>
      <c r="P151" s="352" t="e">
        <f t="shared" ref="P151:P214" ca="1" si="114">MAX(O151+$C$24,$C$24)</f>
        <v>#NAME?</v>
      </c>
      <c r="Q151" s="665" t="e">
        <f t="shared" ca="1" si="99"/>
        <v>#NAME?</v>
      </c>
      <c r="R151" s="352" t="e">
        <f t="shared" ca="1" si="65"/>
        <v>#NAME?</v>
      </c>
      <c r="S151" s="662" t="e">
        <f t="shared" ca="1" si="100"/>
        <v>#NAME?</v>
      </c>
      <c r="T151" s="443" t="e">
        <f t="shared" ca="1" si="92"/>
        <v>#NAME?</v>
      </c>
      <c r="U151" s="369" t="e">
        <f t="shared" ca="1" si="93"/>
        <v>#NAME?</v>
      </c>
      <c r="V151" s="454" t="e">
        <f t="shared" ca="1" si="101"/>
        <v>#NAME?</v>
      </c>
      <c r="W151" s="457">
        <f t="shared" si="102"/>
        <v>1000</v>
      </c>
      <c r="X151" s="463" t="e">
        <f t="shared" ca="1" si="103"/>
        <v>#NAME?</v>
      </c>
      <c r="Y151" s="455" t="e">
        <f t="shared" ref="Y151:Y214" ca="1" si="115">Y150   +   IF(   V151=Y150,   0,   IF(V151-Y150&lt;0, MAX(V151-Y150,X151/100), IF(    V151-Y150&gt;0,    MIN(V151-Y150, W151/100 ))))</f>
        <v>#NAME?</v>
      </c>
      <c r="Z151" s="699">
        <f t="shared" si="94"/>
        <v>10</v>
      </c>
      <c r="AA151" s="355" t="str">
        <f t="shared" si="95"/>
        <v>ON</v>
      </c>
      <c r="AB151" s="357">
        <f t="shared" si="66"/>
        <v>1.4999999999999999E-2</v>
      </c>
      <c r="AC151" s="356" t="e">
        <f ca="1">IF(  Y150=0,0,IF(OR(S151="KCAS",S151="INOP",S151="MEFE"),   ( (5*( (   (((1+0.2*(T151/661.4786)^2)^3.5 -1)  )/( (1-6.8755856*10^-6 *100*Y151)^5.2558797) +1)^(2/7) -1) )^0.5),IF(S151="MACH",T151, IF(S151="LRC",BicubicInterpolation( 'LRC Mach'!$C$4:$AL$21, Y151,U151),  IF(S151="MRC",BicubicInterpolation( 'MRC Mach'!$C$3:$T$18, Y151,U151),  IF(S151="M0.84",0.84,  IF(S151="CI52",BicubicInterpolation('CI=52 Mach'!$C$3:$T$18, Y151,U151),  IF(S151="HOLDING",BicubicInterpolation(  'Holding Mach'!$C$4:$M$13, Y151,U151),                         IF(S151="LRCINOP", BicubicInterpolation('LRC INOP Mach'!$C$4:$AA$21,Y151,U151), IF(S151="HOLDINGINOP",  BicubicInterpolation('Holding INOP Mach'!$N$4:$U$13,Y151,U151),         "XXX" )))))))   )))</f>
        <v>#NAME?</v>
      </c>
      <c r="AD151" s="313" t="e">
        <f t="shared" ca="1" si="67"/>
        <v>#NAME?</v>
      </c>
      <c r="AE151" s="314" t="e">
        <f t="shared" ref="AE151:AE214" ca="1" si="116">AD151/288.15</f>
        <v>#NAME?</v>
      </c>
      <c r="AF151" s="313" t="e">
        <f t="shared" ca="1" si="68"/>
        <v>#NAME?</v>
      </c>
      <c r="AG151" s="314" t="e">
        <f t="shared" ref="AG151:AG214" ca="1" si="117">AF151/288.15</f>
        <v>#NAME?</v>
      </c>
      <c r="AH151" s="313" t="e">
        <f t="shared" ca="1" si="69"/>
        <v>#NAME?</v>
      </c>
      <c r="AI151" s="314" t="e">
        <f t="shared" ref="AI151:AI214" ca="1" si="118">AH151/288.15</f>
        <v>#NAME?</v>
      </c>
      <c r="AJ151" s="315" t="e">
        <f t="shared" ref="AJ151:AJ214" ca="1" si="119">AI151^0.68</f>
        <v>#NAME?</v>
      </c>
      <c r="AK151" s="568" t="e">
        <f t="shared" ca="1" si="70"/>
        <v>#NAME?</v>
      </c>
      <c r="AL151" s="313" t="e">
        <f t="shared" ca="1" si="71"/>
        <v>#NAME?</v>
      </c>
      <c r="AM151" s="313" t="e">
        <f t="shared" ref="AM151:AM214" ca="1" si="120">AL151*0.5144444</f>
        <v>#NAME?</v>
      </c>
      <c r="AN151" s="313" t="e">
        <f t="shared" ref="AN151:AN214" ca="1" si="121">AN150+AVERAGE(AL150:AL151)/60</f>
        <v>#NAME?</v>
      </c>
      <c r="AO151" s="316" t="e">
        <f t="shared" ca="1" si="72"/>
        <v>#NAME?</v>
      </c>
      <c r="AP151" s="313" t="e">
        <f t="shared" ca="1" si="73"/>
        <v>#NAME?</v>
      </c>
      <c r="AQ151" s="314" t="e">
        <f t="shared" ref="AQ151:AQ214" ca="1" si="122">AP151/1013.25</f>
        <v>#NAME?</v>
      </c>
      <c r="AR151" s="315" t="e">
        <f t="shared" ca="1" si="74"/>
        <v>#NAME?</v>
      </c>
      <c r="AS151" s="316" t="e">
        <f t="shared" ca="1" si="75"/>
        <v>#NAME?</v>
      </c>
      <c r="AT151" s="315" t="e">
        <f t="shared" ca="1" si="76"/>
        <v>#NAME?</v>
      </c>
      <c r="AU151" s="317">
        <v>427.8</v>
      </c>
      <c r="AV151" s="315" t="e">
        <f t="shared" ca="1" si="77"/>
        <v>#NAME?</v>
      </c>
      <c r="AW151" s="318" t="e">
        <f ca="1">0.0001*BicubicInterpolation('Drag Coef Table'!$B$4:$L$28,AV151,AC151)</f>
        <v>#NAME?</v>
      </c>
      <c r="AX151" s="319" t="e">
        <f t="shared" ca="1" si="78"/>
        <v>#NAME?</v>
      </c>
      <c r="AY151" s="318" t="e">
        <f t="shared" ca="1" si="79"/>
        <v>#NAME?</v>
      </c>
      <c r="AZ151" s="320" t="e">
        <f t="shared" ca="1" si="80"/>
        <v>#NAME?</v>
      </c>
      <c r="BA151" s="321" t="e">
        <f t="shared" ca="1" si="81"/>
        <v>#NAME?</v>
      </c>
      <c r="BB151" s="322" t="e">
        <f t="shared" ca="1" si="82"/>
        <v>#NAME?</v>
      </c>
      <c r="BC151" s="323">
        <v>75.196700000000007</v>
      </c>
      <c r="BD151" s="324" t="e">
        <f t="shared" ca="1" si="83"/>
        <v>#NAME?</v>
      </c>
      <c r="BE151" s="325" t="e">
        <f t="shared" ca="1" si="84"/>
        <v>#NAME?</v>
      </c>
      <c r="BF151" s="324" t="e">
        <f ca="1">BicubicInterpolation('TSFC Eff Table'!$B$4:$E$69,2,BB151)</f>
        <v>#NAME?</v>
      </c>
      <c r="BG151" s="326" t="e">
        <f t="shared" ca="1" si="85"/>
        <v>#NAME?</v>
      </c>
      <c r="BH151" s="694" t="e">
        <f ca="1">IF( S151="LRCINOP",   (1+(0.03/10)*Z151*(1+0.2*AC151^2) )*BicubicInterpolation( 'LRC INOP FF'!$C$4:$AA$21, Y151, U151 )-200, IF(S151 ="HOLDINGINOP", (1+(0.03/10)*Z151*(1+0.2*AC151^2) )*BicubicInterpolation( 'Holding INOP FF'!$C$4:$J$13,  Y151,  U151)/1.05-200,   BA151*BG151))</f>
        <v>#NAME?</v>
      </c>
      <c r="BI151" s="344" t="e">
        <f t="shared" ca="1" si="104"/>
        <v>#NAME?</v>
      </c>
      <c r="BJ151" s="322" t="e">
        <f t="shared" ca="1" si="86"/>
        <v>#NAME?</v>
      </c>
      <c r="BK151" s="338" t="e">
        <f t="shared" ca="1" si="105"/>
        <v>#NAME?</v>
      </c>
      <c r="BL151" s="327" t="e">
        <f t="shared" ca="1" si="87"/>
        <v>#NAME?</v>
      </c>
      <c r="BM151" s="328">
        <f t="shared" si="88"/>
        <v>200</v>
      </c>
      <c r="BN151" s="329" t="e">
        <f t="shared" ca="1" si="89"/>
        <v>#NAME?</v>
      </c>
      <c r="BO151" s="344" t="e">
        <f t="shared" ca="1" si="106"/>
        <v>#NAME?</v>
      </c>
      <c r="BP151" s="320" t="e">
        <f t="shared" ca="1" si="90"/>
        <v>#NAME?</v>
      </c>
      <c r="BQ151" s="344" t="e">
        <f t="shared" ca="1" si="107"/>
        <v>#NAME?</v>
      </c>
      <c r="BR151" s="347" t="e">
        <f t="shared" ca="1" si="108"/>
        <v>#NAME?</v>
      </c>
      <c r="BS151" s="326" t="e">
        <f t="shared" ca="1" si="91"/>
        <v>#NAME?</v>
      </c>
      <c r="BT151" s="437" t="e">
        <f t="shared" ref="BT151:BT214" ca="1" si="123">IF(AND(M151=0,M150&gt;0),I151,"")</f>
        <v>#NAME?</v>
      </c>
      <c r="BU151" s="437" t="e">
        <f t="shared" ref="BU151:BU214" ca="1" si="124">IF(AND(N151=0,N150&gt;0),$I151,"")</f>
        <v>#NAME?</v>
      </c>
      <c r="BV151" s="441" t="e">
        <f t="shared" ref="BV151:BV214" ca="1" si="125">BV150+AC150</f>
        <v>#NAME?</v>
      </c>
      <c r="BW151" s="442" t="e">
        <f t="shared" ref="BW151:BW214" ca="1" si="126">BW150+AL150</f>
        <v>#NAME?</v>
      </c>
      <c r="BX151" s="470" t="e">
        <f t="shared" ca="1" si="96"/>
        <v>#NAME?</v>
      </c>
      <c r="BY151" s="484" t="e">
        <f t="shared" ca="1" si="109"/>
        <v>#NAME?</v>
      </c>
    </row>
    <row r="152" spans="5:77" s="212" customFormat="1" ht="17.75" customHeight="1" x14ac:dyDescent="0.2">
      <c r="I152" s="366">
        <v>68</v>
      </c>
      <c r="J152" s="414">
        <f t="shared" si="110"/>
        <v>41705.759722222378</v>
      </c>
      <c r="K152" s="435" t="e">
        <f t="shared" ca="1" si="111"/>
        <v>#NAME?</v>
      </c>
      <c r="L152" s="435" t="e">
        <f t="shared" ca="1" si="97"/>
        <v>#NAME?</v>
      </c>
      <c r="M152" s="664" t="e">
        <f t="shared" ca="1" si="112"/>
        <v>#NAME?</v>
      </c>
      <c r="N152" s="664" t="e">
        <f t="shared" ca="1" si="113"/>
        <v>#NAME?</v>
      </c>
      <c r="O152" s="140" t="e">
        <f t="shared" ca="1" si="98"/>
        <v>#NAME?</v>
      </c>
      <c r="P152" s="352" t="e">
        <f t="shared" ca="1" si="114"/>
        <v>#NAME?</v>
      </c>
      <c r="Q152" s="665" t="e">
        <f t="shared" ca="1" si="99"/>
        <v>#NAME?</v>
      </c>
      <c r="R152" s="352" t="e">
        <f t="shared" ca="1" si="65"/>
        <v>#NAME?</v>
      </c>
      <c r="S152" s="662" t="e">
        <f t="shared" ca="1" si="100"/>
        <v>#NAME?</v>
      </c>
      <c r="T152" s="443" t="e">
        <f t="shared" ca="1" si="92"/>
        <v>#NAME?</v>
      </c>
      <c r="U152" s="369" t="e">
        <f t="shared" ca="1" si="93"/>
        <v>#NAME?</v>
      </c>
      <c r="V152" s="454" t="e">
        <f t="shared" ca="1" si="101"/>
        <v>#NAME?</v>
      </c>
      <c r="W152" s="457">
        <f t="shared" si="102"/>
        <v>1000</v>
      </c>
      <c r="X152" s="463" t="e">
        <f t="shared" ca="1" si="103"/>
        <v>#NAME?</v>
      </c>
      <c r="Y152" s="455" t="e">
        <f t="shared" ca="1" si="115"/>
        <v>#NAME?</v>
      </c>
      <c r="Z152" s="699">
        <f t="shared" si="94"/>
        <v>10</v>
      </c>
      <c r="AA152" s="355" t="str">
        <f t="shared" si="95"/>
        <v>ON</v>
      </c>
      <c r="AB152" s="357">
        <f t="shared" si="66"/>
        <v>1.4999999999999999E-2</v>
      </c>
      <c r="AC152" s="356" t="e">
        <f ca="1">IF(  Y151=0,0,IF(OR(S152="KCAS",S152="INOP",S152="MEFE"),   ( (5*( (   (((1+0.2*(T152/661.4786)^2)^3.5 -1)  )/( (1-6.8755856*10^-6 *100*Y152)^5.2558797) +1)^(2/7) -1) )^0.5),IF(S152="MACH",T152, IF(S152="LRC",BicubicInterpolation( 'LRC Mach'!$C$4:$AL$21, Y152,U152),  IF(S152="MRC",BicubicInterpolation( 'MRC Mach'!$C$3:$T$18, Y152,U152),  IF(S152="M0.84",0.84,  IF(S152="CI52",BicubicInterpolation('CI=52 Mach'!$C$3:$T$18, Y152,U152),  IF(S152="HOLDING",BicubicInterpolation(  'Holding Mach'!$C$4:$M$13, Y152,U152),                         IF(S152="LRCINOP", BicubicInterpolation('LRC INOP Mach'!$C$4:$AA$21,Y152,U152), IF(S152="HOLDINGINOP",  BicubicInterpolation('Holding INOP Mach'!$N$4:$U$13,Y152,U152),         "XXX" )))))))   )))</f>
        <v>#NAME?</v>
      </c>
      <c r="AD152" s="313" t="e">
        <f t="shared" ca="1" si="67"/>
        <v>#NAME?</v>
      </c>
      <c r="AE152" s="314" t="e">
        <f t="shared" ca="1" si="116"/>
        <v>#NAME?</v>
      </c>
      <c r="AF152" s="313" t="e">
        <f t="shared" ca="1" si="68"/>
        <v>#NAME?</v>
      </c>
      <c r="AG152" s="314" t="e">
        <f t="shared" ca="1" si="117"/>
        <v>#NAME?</v>
      </c>
      <c r="AH152" s="313" t="e">
        <f t="shared" ca="1" si="69"/>
        <v>#NAME?</v>
      </c>
      <c r="AI152" s="314" t="e">
        <f t="shared" ca="1" si="118"/>
        <v>#NAME?</v>
      </c>
      <c r="AJ152" s="315" t="e">
        <f t="shared" ca="1" si="119"/>
        <v>#NAME?</v>
      </c>
      <c r="AK152" s="568" t="e">
        <f t="shared" ca="1" si="70"/>
        <v>#NAME?</v>
      </c>
      <c r="AL152" s="313" t="e">
        <f t="shared" ca="1" si="71"/>
        <v>#NAME?</v>
      </c>
      <c r="AM152" s="313" t="e">
        <f t="shared" ca="1" si="120"/>
        <v>#NAME?</v>
      </c>
      <c r="AN152" s="313" t="e">
        <f t="shared" ca="1" si="121"/>
        <v>#NAME?</v>
      </c>
      <c r="AO152" s="316" t="e">
        <f t="shared" ca="1" si="72"/>
        <v>#NAME?</v>
      </c>
      <c r="AP152" s="313" t="e">
        <f t="shared" ca="1" si="73"/>
        <v>#NAME?</v>
      </c>
      <c r="AQ152" s="314" t="e">
        <f t="shared" ca="1" si="122"/>
        <v>#NAME?</v>
      </c>
      <c r="AR152" s="315" t="e">
        <f t="shared" ca="1" si="74"/>
        <v>#NAME?</v>
      </c>
      <c r="AS152" s="316" t="e">
        <f t="shared" ca="1" si="75"/>
        <v>#NAME?</v>
      </c>
      <c r="AT152" s="315" t="e">
        <f t="shared" ca="1" si="76"/>
        <v>#NAME?</v>
      </c>
      <c r="AU152" s="317">
        <v>427.8</v>
      </c>
      <c r="AV152" s="315" t="e">
        <f t="shared" ca="1" si="77"/>
        <v>#NAME?</v>
      </c>
      <c r="AW152" s="318" t="e">
        <f ca="1">0.0001*BicubicInterpolation('Drag Coef Table'!$B$4:$L$28,AV152,AC152)</f>
        <v>#NAME?</v>
      </c>
      <c r="AX152" s="319" t="e">
        <f t="shared" ca="1" si="78"/>
        <v>#NAME?</v>
      </c>
      <c r="AY152" s="318" t="e">
        <f t="shared" ca="1" si="79"/>
        <v>#NAME?</v>
      </c>
      <c r="AZ152" s="320" t="e">
        <f t="shared" ca="1" si="80"/>
        <v>#NAME?</v>
      </c>
      <c r="BA152" s="321" t="e">
        <f t="shared" ca="1" si="81"/>
        <v>#NAME?</v>
      </c>
      <c r="BB152" s="322" t="e">
        <f t="shared" ca="1" si="82"/>
        <v>#NAME?</v>
      </c>
      <c r="BC152" s="323">
        <v>75.196700000000007</v>
      </c>
      <c r="BD152" s="324" t="e">
        <f t="shared" ca="1" si="83"/>
        <v>#NAME?</v>
      </c>
      <c r="BE152" s="325" t="e">
        <f t="shared" ca="1" si="84"/>
        <v>#NAME?</v>
      </c>
      <c r="BF152" s="324" t="e">
        <f ca="1">BicubicInterpolation('TSFC Eff Table'!$B$4:$E$69,2,BB152)</f>
        <v>#NAME?</v>
      </c>
      <c r="BG152" s="326" t="e">
        <f t="shared" ca="1" si="85"/>
        <v>#NAME?</v>
      </c>
      <c r="BH152" s="694" t="e">
        <f ca="1">IF( S152="LRCINOP",   (1+(0.03/10)*Z152*(1+0.2*AC152^2) )*BicubicInterpolation( 'LRC INOP FF'!$C$4:$AA$21, Y152, U152 )-200, IF(S152 ="HOLDINGINOP", (1+(0.03/10)*Z152*(1+0.2*AC152^2) )*BicubicInterpolation( 'Holding INOP FF'!$C$4:$J$13,  Y152,  U152)/1.05-200,   BA152*BG152))</f>
        <v>#NAME?</v>
      </c>
      <c r="BI152" s="344" t="e">
        <f t="shared" ca="1" si="104"/>
        <v>#NAME?</v>
      </c>
      <c r="BJ152" s="322" t="e">
        <f t="shared" ca="1" si="86"/>
        <v>#NAME?</v>
      </c>
      <c r="BK152" s="338" t="e">
        <f t="shared" ca="1" si="105"/>
        <v>#NAME?</v>
      </c>
      <c r="BL152" s="327" t="e">
        <f t="shared" ca="1" si="87"/>
        <v>#NAME?</v>
      </c>
      <c r="BM152" s="328">
        <f t="shared" si="88"/>
        <v>200</v>
      </c>
      <c r="BN152" s="329" t="e">
        <f t="shared" ca="1" si="89"/>
        <v>#NAME?</v>
      </c>
      <c r="BO152" s="344" t="e">
        <f t="shared" ca="1" si="106"/>
        <v>#NAME?</v>
      </c>
      <c r="BP152" s="320" t="e">
        <f t="shared" ca="1" si="90"/>
        <v>#NAME?</v>
      </c>
      <c r="BQ152" s="344" t="e">
        <f t="shared" ca="1" si="107"/>
        <v>#NAME?</v>
      </c>
      <c r="BR152" s="347" t="e">
        <f t="shared" ca="1" si="108"/>
        <v>#NAME?</v>
      </c>
      <c r="BS152" s="326" t="e">
        <f t="shared" ca="1" si="91"/>
        <v>#NAME?</v>
      </c>
      <c r="BT152" s="437" t="e">
        <f t="shared" ca="1" si="123"/>
        <v>#NAME?</v>
      </c>
      <c r="BU152" s="437" t="e">
        <f t="shared" ca="1" si="124"/>
        <v>#NAME?</v>
      </c>
      <c r="BV152" s="441" t="e">
        <f t="shared" ca="1" si="125"/>
        <v>#NAME?</v>
      </c>
      <c r="BW152" s="442" t="e">
        <f t="shared" ca="1" si="126"/>
        <v>#NAME?</v>
      </c>
      <c r="BX152" s="470" t="e">
        <f t="shared" ca="1" si="96"/>
        <v>#NAME?</v>
      </c>
      <c r="BY152" s="484" t="e">
        <f t="shared" ca="1" si="109"/>
        <v>#NAME?</v>
      </c>
    </row>
    <row r="153" spans="5:77" s="212" customFormat="1" ht="17.75" customHeight="1" x14ac:dyDescent="0.2">
      <c r="I153" s="366">
        <v>69</v>
      </c>
      <c r="J153" s="414">
        <f t="shared" si="110"/>
        <v>41705.760416666824</v>
      </c>
      <c r="K153" s="435" t="e">
        <f t="shared" ca="1" si="111"/>
        <v>#NAME?</v>
      </c>
      <c r="L153" s="435" t="e">
        <f t="shared" ca="1" si="97"/>
        <v>#NAME?</v>
      </c>
      <c r="M153" s="664" t="e">
        <f t="shared" ca="1" si="112"/>
        <v>#NAME?</v>
      </c>
      <c r="N153" s="664" t="e">
        <f t="shared" ca="1" si="113"/>
        <v>#NAME?</v>
      </c>
      <c r="O153" s="140" t="e">
        <f t="shared" ca="1" si="98"/>
        <v>#NAME?</v>
      </c>
      <c r="P153" s="352" t="e">
        <f t="shared" ca="1" si="114"/>
        <v>#NAME?</v>
      </c>
      <c r="Q153" s="665" t="e">
        <f t="shared" ca="1" si="99"/>
        <v>#NAME?</v>
      </c>
      <c r="R153" s="352" t="e">
        <f t="shared" ca="1" si="65"/>
        <v>#NAME?</v>
      </c>
      <c r="S153" s="662" t="e">
        <f t="shared" ca="1" si="100"/>
        <v>#NAME?</v>
      </c>
      <c r="T153" s="443" t="e">
        <f t="shared" ca="1" si="92"/>
        <v>#NAME?</v>
      </c>
      <c r="U153" s="369" t="e">
        <f t="shared" ca="1" si="93"/>
        <v>#NAME?</v>
      </c>
      <c r="V153" s="454" t="e">
        <f t="shared" ca="1" si="101"/>
        <v>#NAME?</v>
      </c>
      <c r="W153" s="457">
        <f t="shared" si="102"/>
        <v>1000</v>
      </c>
      <c r="X153" s="463" t="e">
        <f t="shared" ca="1" si="103"/>
        <v>#NAME?</v>
      </c>
      <c r="Y153" s="455" t="e">
        <f t="shared" ca="1" si="115"/>
        <v>#NAME?</v>
      </c>
      <c r="Z153" s="699">
        <f t="shared" si="94"/>
        <v>10</v>
      </c>
      <c r="AA153" s="355" t="str">
        <f t="shared" si="95"/>
        <v>ON</v>
      </c>
      <c r="AB153" s="357">
        <f t="shared" si="66"/>
        <v>1.4999999999999999E-2</v>
      </c>
      <c r="AC153" s="356" t="e">
        <f ca="1">IF(  Y152=0,0,IF(OR(S153="KCAS",S153="INOP",S153="MEFE"),   ( (5*( (   (((1+0.2*(T153/661.4786)^2)^3.5 -1)  )/( (1-6.8755856*10^-6 *100*Y153)^5.2558797) +1)^(2/7) -1) )^0.5),IF(S153="MACH",T153, IF(S153="LRC",BicubicInterpolation( 'LRC Mach'!$C$4:$AL$21, Y153,U153),  IF(S153="MRC",BicubicInterpolation( 'MRC Mach'!$C$3:$T$18, Y153,U153),  IF(S153="M0.84",0.84,  IF(S153="CI52",BicubicInterpolation('CI=52 Mach'!$C$3:$T$18, Y153,U153),  IF(S153="HOLDING",BicubicInterpolation(  'Holding Mach'!$C$4:$M$13, Y153,U153),                         IF(S153="LRCINOP", BicubicInterpolation('LRC INOP Mach'!$C$4:$AA$21,Y153,U153), IF(S153="HOLDINGINOP",  BicubicInterpolation('Holding INOP Mach'!$N$4:$U$13,Y153,U153),         "XXX" )))))))   )))</f>
        <v>#NAME?</v>
      </c>
      <c r="AD153" s="313" t="e">
        <f t="shared" ca="1" si="67"/>
        <v>#NAME?</v>
      </c>
      <c r="AE153" s="314" t="e">
        <f t="shared" ca="1" si="116"/>
        <v>#NAME?</v>
      </c>
      <c r="AF153" s="313" t="e">
        <f t="shared" ca="1" si="68"/>
        <v>#NAME?</v>
      </c>
      <c r="AG153" s="314" t="e">
        <f t="shared" ca="1" si="117"/>
        <v>#NAME?</v>
      </c>
      <c r="AH153" s="313" t="e">
        <f t="shared" ca="1" si="69"/>
        <v>#NAME?</v>
      </c>
      <c r="AI153" s="314" t="e">
        <f t="shared" ca="1" si="118"/>
        <v>#NAME?</v>
      </c>
      <c r="AJ153" s="315" t="e">
        <f t="shared" ca="1" si="119"/>
        <v>#NAME?</v>
      </c>
      <c r="AK153" s="568" t="e">
        <f t="shared" ca="1" si="70"/>
        <v>#NAME?</v>
      </c>
      <c r="AL153" s="313" t="e">
        <f t="shared" ca="1" si="71"/>
        <v>#NAME?</v>
      </c>
      <c r="AM153" s="313" t="e">
        <f t="shared" ca="1" si="120"/>
        <v>#NAME?</v>
      </c>
      <c r="AN153" s="313" t="e">
        <f t="shared" ca="1" si="121"/>
        <v>#NAME?</v>
      </c>
      <c r="AO153" s="316" t="e">
        <f t="shared" ca="1" si="72"/>
        <v>#NAME?</v>
      </c>
      <c r="AP153" s="313" t="e">
        <f t="shared" ca="1" si="73"/>
        <v>#NAME?</v>
      </c>
      <c r="AQ153" s="314" t="e">
        <f t="shared" ca="1" si="122"/>
        <v>#NAME?</v>
      </c>
      <c r="AR153" s="315" t="e">
        <f t="shared" ca="1" si="74"/>
        <v>#NAME?</v>
      </c>
      <c r="AS153" s="316" t="e">
        <f t="shared" ca="1" si="75"/>
        <v>#NAME?</v>
      </c>
      <c r="AT153" s="315" t="e">
        <f t="shared" ca="1" si="76"/>
        <v>#NAME?</v>
      </c>
      <c r="AU153" s="317">
        <v>427.8</v>
      </c>
      <c r="AV153" s="315" t="e">
        <f t="shared" ca="1" si="77"/>
        <v>#NAME?</v>
      </c>
      <c r="AW153" s="318" t="e">
        <f ca="1">0.0001*BicubicInterpolation('Drag Coef Table'!$B$4:$L$28,AV153,AC153)</f>
        <v>#NAME?</v>
      </c>
      <c r="AX153" s="319" t="e">
        <f t="shared" ca="1" si="78"/>
        <v>#NAME?</v>
      </c>
      <c r="AY153" s="318" t="e">
        <f t="shared" ca="1" si="79"/>
        <v>#NAME?</v>
      </c>
      <c r="AZ153" s="320" t="e">
        <f t="shared" ca="1" si="80"/>
        <v>#NAME?</v>
      </c>
      <c r="BA153" s="321" t="e">
        <f t="shared" ca="1" si="81"/>
        <v>#NAME?</v>
      </c>
      <c r="BB153" s="322" t="e">
        <f t="shared" ca="1" si="82"/>
        <v>#NAME?</v>
      </c>
      <c r="BC153" s="323">
        <v>75.196700000000007</v>
      </c>
      <c r="BD153" s="324" t="e">
        <f t="shared" ca="1" si="83"/>
        <v>#NAME?</v>
      </c>
      <c r="BE153" s="325" t="e">
        <f t="shared" ca="1" si="84"/>
        <v>#NAME?</v>
      </c>
      <c r="BF153" s="324" t="e">
        <f ca="1">BicubicInterpolation('TSFC Eff Table'!$B$4:$E$69,2,BB153)</f>
        <v>#NAME?</v>
      </c>
      <c r="BG153" s="326" t="e">
        <f t="shared" ca="1" si="85"/>
        <v>#NAME?</v>
      </c>
      <c r="BH153" s="694" t="e">
        <f ca="1">IF( S153="LRCINOP",   (1+(0.03/10)*Z153*(1+0.2*AC153^2) )*BicubicInterpolation( 'LRC INOP FF'!$C$4:$AA$21, Y153, U153 )-200, IF(S153 ="HOLDINGINOP", (1+(0.03/10)*Z153*(1+0.2*AC153^2) )*BicubicInterpolation( 'Holding INOP FF'!$C$4:$J$13,  Y153,  U153)/1.05-200,   BA153*BG153))</f>
        <v>#NAME?</v>
      </c>
      <c r="BI153" s="344" t="e">
        <f t="shared" ca="1" si="104"/>
        <v>#NAME?</v>
      </c>
      <c r="BJ153" s="322" t="e">
        <f t="shared" ca="1" si="86"/>
        <v>#NAME?</v>
      </c>
      <c r="BK153" s="338" t="e">
        <f t="shared" ca="1" si="105"/>
        <v>#NAME?</v>
      </c>
      <c r="BL153" s="327" t="e">
        <f t="shared" ca="1" si="87"/>
        <v>#NAME?</v>
      </c>
      <c r="BM153" s="328">
        <f t="shared" si="88"/>
        <v>200</v>
      </c>
      <c r="BN153" s="329" t="e">
        <f t="shared" ca="1" si="89"/>
        <v>#NAME?</v>
      </c>
      <c r="BO153" s="344" t="e">
        <f t="shared" ca="1" si="106"/>
        <v>#NAME?</v>
      </c>
      <c r="BP153" s="320" t="e">
        <f t="shared" ca="1" si="90"/>
        <v>#NAME?</v>
      </c>
      <c r="BQ153" s="344" t="e">
        <f t="shared" ca="1" si="107"/>
        <v>#NAME?</v>
      </c>
      <c r="BR153" s="347" t="e">
        <f t="shared" ca="1" si="108"/>
        <v>#NAME?</v>
      </c>
      <c r="BS153" s="326" t="e">
        <f t="shared" ca="1" si="91"/>
        <v>#NAME?</v>
      </c>
      <c r="BT153" s="437" t="e">
        <f t="shared" ca="1" si="123"/>
        <v>#NAME?</v>
      </c>
      <c r="BU153" s="437" t="e">
        <f t="shared" ca="1" si="124"/>
        <v>#NAME?</v>
      </c>
      <c r="BV153" s="441" t="e">
        <f t="shared" ca="1" si="125"/>
        <v>#NAME?</v>
      </c>
      <c r="BW153" s="442" t="e">
        <f t="shared" ca="1" si="126"/>
        <v>#NAME?</v>
      </c>
      <c r="BX153" s="470" t="e">
        <f t="shared" ca="1" si="96"/>
        <v>#NAME?</v>
      </c>
      <c r="BY153" s="484" t="e">
        <f t="shared" ca="1" si="109"/>
        <v>#NAME?</v>
      </c>
    </row>
    <row r="154" spans="5:77" s="212" customFormat="1" ht="17.75" customHeight="1" x14ac:dyDescent="0.2">
      <c r="I154" s="366">
        <v>70</v>
      </c>
      <c r="J154" s="414">
        <f t="shared" si="110"/>
        <v>41705.761111111271</v>
      </c>
      <c r="K154" s="435" t="e">
        <f t="shared" ca="1" si="111"/>
        <v>#NAME?</v>
      </c>
      <c r="L154" s="435" t="e">
        <f t="shared" ca="1" si="97"/>
        <v>#NAME?</v>
      </c>
      <c r="M154" s="664" t="e">
        <f t="shared" ca="1" si="112"/>
        <v>#NAME?</v>
      </c>
      <c r="N154" s="664" t="e">
        <f t="shared" ca="1" si="113"/>
        <v>#NAME?</v>
      </c>
      <c r="O154" s="140" t="e">
        <f t="shared" ca="1" si="98"/>
        <v>#NAME?</v>
      </c>
      <c r="P154" s="352" t="e">
        <f t="shared" ca="1" si="114"/>
        <v>#NAME?</v>
      </c>
      <c r="Q154" s="665" t="e">
        <f t="shared" ca="1" si="99"/>
        <v>#NAME?</v>
      </c>
      <c r="R154" s="352" t="e">
        <f t="shared" ca="1" si="65"/>
        <v>#NAME?</v>
      </c>
      <c r="S154" s="662" t="e">
        <f t="shared" ca="1" si="100"/>
        <v>#NAME?</v>
      </c>
      <c r="T154" s="443" t="e">
        <f t="shared" ca="1" si="92"/>
        <v>#NAME?</v>
      </c>
      <c r="U154" s="369" t="e">
        <f t="shared" ca="1" si="93"/>
        <v>#NAME?</v>
      </c>
      <c r="V154" s="454" t="e">
        <f t="shared" ca="1" si="101"/>
        <v>#NAME?</v>
      </c>
      <c r="W154" s="457">
        <f t="shared" si="102"/>
        <v>1000</v>
      </c>
      <c r="X154" s="463" t="e">
        <f t="shared" ca="1" si="103"/>
        <v>#NAME?</v>
      </c>
      <c r="Y154" s="455" t="e">
        <f t="shared" ca="1" si="115"/>
        <v>#NAME?</v>
      </c>
      <c r="Z154" s="699">
        <f t="shared" si="94"/>
        <v>10</v>
      </c>
      <c r="AA154" s="355" t="str">
        <f t="shared" si="95"/>
        <v>ON</v>
      </c>
      <c r="AB154" s="357">
        <f t="shared" si="66"/>
        <v>1.4999999999999999E-2</v>
      </c>
      <c r="AC154" s="356" t="e">
        <f ca="1">IF(  Y153=0,0,IF(OR(S154="KCAS",S154="INOP",S154="MEFE"),   ( (5*( (   (((1+0.2*(T154/661.4786)^2)^3.5 -1)  )/( (1-6.8755856*10^-6 *100*Y154)^5.2558797) +1)^(2/7) -1) )^0.5),IF(S154="MACH",T154, IF(S154="LRC",BicubicInterpolation( 'LRC Mach'!$C$4:$AL$21, Y154,U154),  IF(S154="MRC",BicubicInterpolation( 'MRC Mach'!$C$3:$T$18, Y154,U154),  IF(S154="M0.84",0.84,  IF(S154="CI52",BicubicInterpolation('CI=52 Mach'!$C$3:$T$18, Y154,U154),  IF(S154="HOLDING",BicubicInterpolation(  'Holding Mach'!$C$4:$M$13, Y154,U154),                         IF(S154="LRCINOP", BicubicInterpolation('LRC INOP Mach'!$C$4:$AA$21,Y154,U154), IF(S154="HOLDINGINOP",  BicubicInterpolation('Holding INOP Mach'!$N$4:$U$13,Y154,U154),         "XXX" )))))))   )))</f>
        <v>#NAME?</v>
      </c>
      <c r="AD154" s="313" t="e">
        <f t="shared" ca="1" si="67"/>
        <v>#NAME?</v>
      </c>
      <c r="AE154" s="314" t="e">
        <f t="shared" ca="1" si="116"/>
        <v>#NAME?</v>
      </c>
      <c r="AF154" s="313" t="e">
        <f t="shared" ca="1" si="68"/>
        <v>#NAME?</v>
      </c>
      <c r="AG154" s="314" t="e">
        <f t="shared" ca="1" si="117"/>
        <v>#NAME?</v>
      </c>
      <c r="AH154" s="313" t="e">
        <f t="shared" ca="1" si="69"/>
        <v>#NAME?</v>
      </c>
      <c r="AI154" s="314" t="e">
        <f t="shared" ca="1" si="118"/>
        <v>#NAME?</v>
      </c>
      <c r="AJ154" s="315" t="e">
        <f t="shared" ca="1" si="119"/>
        <v>#NAME?</v>
      </c>
      <c r="AK154" s="568" t="e">
        <f t="shared" ca="1" si="70"/>
        <v>#NAME?</v>
      </c>
      <c r="AL154" s="313" t="e">
        <f t="shared" ca="1" si="71"/>
        <v>#NAME?</v>
      </c>
      <c r="AM154" s="313" t="e">
        <f t="shared" ca="1" si="120"/>
        <v>#NAME?</v>
      </c>
      <c r="AN154" s="313" t="e">
        <f t="shared" ca="1" si="121"/>
        <v>#NAME?</v>
      </c>
      <c r="AO154" s="316" t="e">
        <f t="shared" ca="1" si="72"/>
        <v>#NAME?</v>
      </c>
      <c r="AP154" s="313" t="e">
        <f t="shared" ca="1" si="73"/>
        <v>#NAME?</v>
      </c>
      <c r="AQ154" s="314" t="e">
        <f t="shared" ca="1" si="122"/>
        <v>#NAME?</v>
      </c>
      <c r="AR154" s="315" t="e">
        <f t="shared" ca="1" si="74"/>
        <v>#NAME?</v>
      </c>
      <c r="AS154" s="316" t="e">
        <f t="shared" ca="1" si="75"/>
        <v>#NAME?</v>
      </c>
      <c r="AT154" s="315" t="e">
        <f t="shared" ca="1" si="76"/>
        <v>#NAME?</v>
      </c>
      <c r="AU154" s="317">
        <v>427.8</v>
      </c>
      <c r="AV154" s="315" t="e">
        <f t="shared" ca="1" si="77"/>
        <v>#NAME?</v>
      </c>
      <c r="AW154" s="318" t="e">
        <f ca="1">0.0001*BicubicInterpolation('Drag Coef Table'!$B$4:$L$28,AV154,AC154)</f>
        <v>#NAME?</v>
      </c>
      <c r="AX154" s="319" t="e">
        <f t="shared" ca="1" si="78"/>
        <v>#NAME?</v>
      </c>
      <c r="AY154" s="318" t="e">
        <f t="shared" ca="1" si="79"/>
        <v>#NAME?</v>
      </c>
      <c r="AZ154" s="320" t="e">
        <f t="shared" ca="1" si="80"/>
        <v>#NAME?</v>
      </c>
      <c r="BA154" s="321" t="e">
        <f t="shared" ca="1" si="81"/>
        <v>#NAME?</v>
      </c>
      <c r="BB154" s="322" t="e">
        <f t="shared" ca="1" si="82"/>
        <v>#NAME?</v>
      </c>
      <c r="BC154" s="323">
        <v>75.196700000000007</v>
      </c>
      <c r="BD154" s="324" t="e">
        <f t="shared" ca="1" si="83"/>
        <v>#NAME?</v>
      </c>
      <c r="BE154" s="325" t="e">
        <f t="shared" ca="1" si="84"/>
        <v>#NAME?</v>
      </c>
      <c r="BF154" s="324" t="e">
        <f ca="1">BicubicInterpolation('TSFC Eff Table'!$B$4:$E$69,2,BB154)</f>
        <v>#NAME?</v>
      </c>
      <c r="BG154" s="326" t="e">
        <f t="shared" ca="1" si="85"/>
        <v>#NAME?</v>
      </c>
      <c r="BH154" s="694" t="e">
        <f ca="1">IF( S154="LRCINOP",   (1+(0.03/10)*Z154*(1+0.2*AC154^2) )*BicubicInterpolation( 'LRC INOP FF'!$C$4:$AA$21, Y154, U154 )-200, IF(S154 ="HOLDINGINOP", (1+(0.03/10)*Z154*(1+0.2*AC154^2) )*BicubicInterpolation( 'Holding INOP FF'!$C$4:$J$13,  Y154,  U154)/1.05-200,   BA154*BG154))</f>
        <v>#NAME?</v>
      </c>
      <c r="BI154" s="344" t="e">
        <f t="shared" ca="1" si="104"/>
        <v>#NAME?</v>
      </c>
      <c r="BJ154" s="322" t="e">
        <f t="shared" ca="1" si="86"/>
        <v>#NAME?</v>
      </c>
      <c r="BK154" s="338" t="e">
        <f t="shared" ca="1" si="105"/>
        <v>#NAME?</v>
      </c>
      <c r="BL154" s="327" t="e">
        <f t="shared" ca="1" si="87"/>
        <v>#NAME?</v>
      </c>
      <c r="BM154" s="328">
        <f t="shared" si="88"/>
        <v>200</v>
      </c>
      <c r="BN154" s="329" t="e">
        <f t="shared" ca="1" si="89"/>
        <v>#NAME?</v>
      </c>
      <c r="BO154" s="344" t="e">
        <f t="shared" ca="1" si="106"/>
        <v>#NAME?</v>
      </c>
      <c r="BP154" s="320" t="e">
        <f t="shared" ca="1" si="90"/>
        <v>#NAME?</v>
      </c>
      <c r="BQ154" s="344" t="e">
        <f t="shared" ca="1" si="107"/>
        <v>#NAME?</v>
      </c>
      <c r="BR154" s="347" t="e">
        <f t="shared" ca="1" si="108"/>
        <v>#NAME?</v>
      </c>
      <c r="BS154" s="326" t="e">
        <f t="shared" ca="1" si="91"/>
        <v>#NAME?</v>
      </c>
      <c r="BT154" s="437" t="e">
        <f t="shared" ca="1" si="123"/>
        <v>#NAME?</v>
      </c>
      <c r="BU154" s="437" t="e">
        <f t="shared" ca="1" si="124"/>
        <v>#NAME?</v>
      </c>
      <c r="BV154" s="441" t="e">
        <f t="shared" ca="1" si="125"/>
        <v>#NAME?</v>
      </c>
      <c r="BW154" s="442" t="e">
        <f t="shared" ca="1" si="126"/>
        <v>#NAME?</v>
      </c>
      <c r="BX154" s="470" t="e">
        <f t="shared" ca="1" si="96"/>
        <v>#NAME?</v>
      </c>
      <c r="BY154" s="484" t="e">
        <f t="shared" ca="1" si="109"/>
        <v>#NAME?</v>
      </c>
    </row>
    <row r="155" spans="5:77" s="212" customFormat="1" ht="17.75" customHeight="1" x14ac:dyDescent="0.2">
      <c r="I155" s="366">
        <v>71</v>
      </c>
      <c r="J155" s="414">
        <f t="shared" si="110"/>
        <v>41705.761805555718</v>
      </c>
      <c r="K155" s="435" t="e">
        <f t="shared" ca="1" si="111"/>
        <v>#NAME?</v>
      </c>
      <c r="L155" s="435" t="e">
        <f t="shared" ca="1" si="97"/>
        <v>#NAME?</v>
      </c>
      <c r="M155" s="664" t="e">
        <f t="shared" ca="1" si="112"/>
        <v>#NAME?</v>
      </c>
      <c r="N155" s="664" t="e">
        <f t="shared" ca="1" si="113"/>
        <v>#NAME?</v>
      </c>
      <c r="O155" s="140" t="e">
        <f t="shared" ca="1" si="98"/>
        <v>#NAME?</v>
      </c>
      <c r="P155" s="352" t="e">
        <f t="shared" ca="1" si="114"/>
        <v>#NAME?</v>
      </c>
      <c r="Q155" s="665" t="e">
        <f t="shared" ca="1" si="99"/>
        <v>#NAME?</v>
      </c>
      <c r="R155" s="352" t="e">
        <f t="shared" ca="1" si="65"/>
        <v>#NAME?</v>
      </c>
      <c r="S155" s="662" t="e">
        <f t="shared" ca="1" si="100"/>
        <v>#NAME?</v>
      </c>
      <c r="T155" s="443" t="e">
        <f t="shared" ca="1" si="92"/>
        <v>#NAME?</v>
      </c>
      <c r="U155" s="369" t="e">
        <f t="shared" ca="1" si="93"/>
        <v>#NAME?</v>
      </c>
      <c r="V155" s="454" t="e">
        <f t="shared" ca="1" si="101"/>
        <v>#NAME?</v>
      </c>
      <c r="W155" s="457">
        <f t="shared" si="102"/>
        <v>1000</v>
      </c>
      <c r="X155" s="463" t="e">
        <f t="shared" ca="1" si="103"/>
        <v>#NAME?</v>
      </c>
      <c r="Y155" s="455" t="e">
        <f t="shared" ca="1" si="115"/>
        <v>#NAME?</v>
      </c>
      <c r="Z155" s="699">
        <f t="shared" si="94"/>
        <v>10</v>
      </c>
      <c r="AA155" s="355" t="str">
        <f t="shared" si="95"/>
        <v>ON</v>
      </c>
      <c r="AB155" s="357">
        <f t="shared" si="66"/>
        <v>1.4999999999999999E-2</v>
      </c>
      <c r="AC155" s="356" t="e">
        <f ca="1">IF(  Y154=0,0,IF(OR(S155="KCAS",S155="INOP",S155="MEFE"),   ( (5*( (   (((1+0.2*(T155/661.4786)^2)^3.5 -1)  )/( (1-6.8755856*10^-6 *100*Y155)^5.2558797) +1)^(2/7) -1) )^0.5),IF(S155="MACH",T155, IF(S155="LRC",BicubicInterpolation( 'LRC Mach'!$C$4:$AL$21, Y155,U155),  IF(S155="MRC",BicubicInterpolation( 'MRC Mach'!$C$3:$T$18, Y155,U155),  IF(S155="M0.84",0.84,  IF(S155="CI52",BicubicInterpolation('CI=52 Mach'!$C$3:$T$18, Y155,U155),  IF(S155="HOLDING",BicubicInterpolation(  'Holding Mach'!$C$4:$M$13, Y155,U155),                         IF(S155="LRCINOP", BicubicInterpolation('LRC INOP Mach'!$C$4:$AA$21,Y155,U155), IF(S155="HOLDINGINOP",  BicubicInterpolation('Holding INOP Mach'!$N$4:$U$13,Y155,U155),         "XXX" )))))))   )))</f>
        <v>#NAME?</v>
      </c>
      <c r="AD155" s="313" t="e">
        <f t="shared" ca="1" si="67"/>
        <v>#NAME?</v>
      </c>
      <c r="AE155" s="314" t="e">
        <f t="shared" ca="1" si="116"/>
        <v>#NAME?</v>
      </c>
      <c r="AF155" s="313" t="e">
        <f t="shared" ca="1" si="68"/>
        <v>#NAME?</v>
      </c>
      <c r="AG155" s="314" t="e">
        <f t="shared" ca="1" si="117"/>
        <v>#NAME?</v>
      </c>
      <c r="AH155" s="313" t="e">
        <f t="shared" ca="1" si="69"/>
        <v>#NAME?</v>
      </c>
      <c r="AI155" s="314" t="e">
        <f t="shared" ca="1" si="118"/>
        <v>#NAME?</v>
      </c>
      <c r="AJ155" s="315" t="e">
        <f t="shared" ca="1" si="119"/>
        <v>#NAME?</v>
      </c>
      <c r="AK155" s="568" t="e">
        <f t="shared" ca="1" si="70"/>
        <v>#NAME?</v>
      </c>
      <c r="AL155" s="313" t="e">
        <f t="shared" ca="1" si="71"/>
        <v>#NAME?</v>
      </c>
      <c r="AM155" s="313" t="e">
        <f t="shared" ca="1" si="120"/>
        <v>#NAME?</v>
      </c>
      <c r="AN155" s="313" t="e">
        <f t="shared" ca="1" si="121"/>
        <v>#NAME?</v>
      </c>
      <c r="AO155" s="316" t="e">
        <f t="shared" ca="1" si="72"/>
        <v>#NAME?</v>
      </c>
      <c r="AP155" s="313" t="e">
        <f t="shared" ca="1" si="73"/>
        <v>#NAME?</v>
      </c>
      <c r="AQ155" s="314" t="e">
        <f t="shared" ca="1" si="122"/>
        <v>#NAME?</v>
      </c>
      <c r="AR155" s="315" t="e">
        <f t="shared" ca="1" si="74"/>
        <v>#NAME?</v>
      </c>
      <c r="AS155" s="316" t="e">
        <f t="shared" ca="1" si="75"/>
        <v>#NAME?</v>
      </c>
      <c r="AT155" s="315" t="e">
        <f t="shared" ca="1" si="76"/>
        <v>#NAME?</v>
      </c>
      <c r="AU155" s="317">
        <v>427.8</v>
      </c>
      <c r="AV155" s="315" t="e">
        <f t="shared" ca="1" si="77"/>
        <v>#NAME?</v>
      </c>
      <c r="AW155" s="318" t="e">
        <f ca="1">0.0001*BicubicInterpolation('Drag Coef Table'!$B$4:$L$28,AV155,AC155)</f>
        <v>#NAME?</v>
      </c>
      <c r="AX155" s="319" t="e">
        <f t="shared" ca="1" si="78"/>
        <v>#NAME?</v>
      </c>
      <c r="AY155" s="318" t="e">
        <f t="shared" ca="1" si="79"/>
        <v>#NAME?</v>
      </c>
      <c r="AZ155" s="320" t="e">
        <f t="shared" ca="1" si="80"/>
        <v>#NAME?</v>
      </c>
      <c r="BA155" s="321" t="e">
        <f t="shared" ca="1" si="81"/>
        <v>#NAME?</v>
      </c>
      <c r="BB155" s="322" t="e">
        <f t="shared" ca="1" si="82"/>
        <v>#NAME?</v>
      </c>
      <c r="BC155" s="323">
        <v>75.196700000000007</v>
      </c>
      <c r="BD155" s="324" t="e">
        <f t="shared" ca="1" si="83"/>
        <v>#NAME?</v>
      </c>
      <c r="BE155" s="325" t="e">
        <f t="shared" ca="1" si="84"/>
        <v>#NAME?</v>
      </c>
      <c r="BF155" s="324" t="e">
        <f ca="1">BicubicInterpolation('TSFC Eff Table'!$B$4:$E$69,2,BB155)</f>
        <v>#NAME?</v>
      </c>
      <c r="BG155" s="326" t="e">
        <f t="shared" ca="1" si="85"/>
        <v>#NAME?</v>
      </c>
      <c r="BH155" s="694" t="e">
        <f ca="1">IF( S155="LRCINOP",   (1+(0.03/10)*Z155*(1+0.2*AC155^2) )*BicubicInterpolation( 'LRC INOP FF'!$C$4:$AA$21, Y155, U155 )-200, IF(S155 ="HOLDINGINOP", (1+(0.03/10)*Z155*(1+0.2*AC155^2) )*BicubicInterpolation( 'Holding INOP FF'!$C$4:$J$13,  Y155,  U155)/1.05-200,   BA155*BG155))</f>
        <v>#NAME?</v>
      </c>
      <c r="BI155" s="344" t="e">
        <f t="shared" ca="1" si="104"/>
        <v>#NAME?</v>
      </c>
      <c r="BJ155" s="322" t="e">
        <f t="shared" ca="1" si="86"/>
        <v>#NAME?</v>
      </c>
      <c r="BK155" s="338" t="e">
        <f t="shared" ca="1" si="105"/>
        <v>#NAME?</v>
      </c>
      <c r="BL155" s="327" t="e">
        <f t="shared" ca="1" si="87"/>
        <v>#NAME?</v>
      </c>
      <c r="BM155" s="328">
        <f t="shared" si="88"/>
        <v>200</v>
      </c>
      <c r="BN155" s="329" t="e">
        <f t="shared" ca="1" si="89"/>
        <v>#NAME?</v>
      </c>
      <c r="BO155" s="344" t="e">
        <f t="shared" ca="1" si="106"/>
        <v>#NAME?</v>
      </c>
      <c r="BP155" s="320" t="e">
        <f t="shared" ca="1" si="90"/>
        <v>#NAME?</v>
      </c>
      <c r="BQ155" s="344" t="e">
        <f t="shared" ca="1" si="107"/>
        <v>#NAME?</v>
      </c>
      <c r="BR155" s="347" t="e">
        <f t="shared" ca="1" si="108"/>
        <v>#NAME?</v>
      </c>
      <c r="BS155" s="326" t="e">
        <f t="shared" ca="1" si="91"/>
        <v>#NAME?</v>
      </c>
      <c r="BT155" s="437" t="e">
        <f t="shared" ca="1" si="123"/>
        <v>#NAME?</v>
      </c>
      <c r="BU155" s="437" t="e">
        <f t="shared" ca="1" si="124"/>
        <v>#NAME?</v>
      </c>
      <c r="BV155" s="441" t="e">
        <f t="shared" ca="1" si="125"/>
        <v>#NAME?</v>
      </c>
      <c r="BW155" s="442" t="e">
        <f t="shared" ca="1" si="126"/>
        <v>#NAME?</v>
      </c>
      <c r="BX155" s="470" t="e">
        <f t="shared" ca="1" si="96"/>
        <v>#NAME?</v>
      </c>
      <c r="BY155" s="484" t="e">
        <f t="shared" ca="1" si="109"/>
        <v>#NAME?</v>
      </c>
    </row>
    <row r="156" spans="5:77" s="212" customFormat="1" ht="17.75" customHeight="1" x14ac:dyDescent="0.2">
      <c r="I156" s="366">
        <v>72</v>
      </c>
      <c r="J156" s="414">
        <f t="shared" si="110"/>
        <v>41705.762500000164</v>
      </c>
      <c r="K156" s="435" t="e">
        <f t="shared" ca="1" si="111"/>
        <v>#NAME?</v>
      </c>
      <c r="L156" s="435" t="e">
        <f t="shared" ca="1" si="97"/>
        <v>#NAME?</v>
      </c>
      <c r="M156" s="664" t="e">
        <f t="shared" ca="1" si="112"/>
        <v>#NAME?</v>
      </c>
      <c r="N156" s="664" t="e">
        <f t="shared" ca="1" si="113"/>
        <v>#NAME?</v>
      </c>
      <c r="O156" s="140" t="e">
        <f t="shared" ca="1" si="98"/>
        <v>#NAME?</v>
      </c>
      <c r="P156" s="352" t="e">
        <f t="shared" ca="1" si="114"/>
        <v>#NAME?</v>
      </c>
      <c r="Q156" s="665" t="e">
        <f t="shared" ca="1" si="99"/>
        <v>#NAME?</v>
      </c>
      <c r="R156" s="352" t="e">
        <f t="shared" ca="1" si="65"/>
        <v>#NAME?</v>
      </c>
      <c r="S156" s="662" t="e">
        <f t="shared" ca="1" si="100"/>
        <v>#NAME?</v>
      </c>
      <c r="T156" s="443" t="e">
        <f t="shared" ca="1" si="92"/>
        <v>#NAME?</v>
      </c>
      <c r="U156" s="369" t="e">
        <f t="shared" ca="1" si="93"/>
        <v>#NAME?</v>
      </c>
      <c r="V156" s="454" t="e">
        <f t="shared" ca="1" si="101"/>
        <v>#NAME?</v>
      </c>
      <c r="W156" s="457">
        <f t="shared" si="102"/>
        <v>1000</v>
      </c>
      <c r="X156" s="463" t="e">
        <f t="shared" ca="1" si="103"/>
        <v>#NAME?</v>
      </c>
      <c r="Y156" s="455" t="e">
        <f t="shared" ca="1" si="115"/>
        <v>#NAME?</v>
      </c>
      <c r="Z156" s="699">
        <f t="shared" si="94"/>
        <v>10</v>
      </c>
      <c r="AA156" s="355" t="str">
        <f t="shared" si="95"/>
        <v>ON</v>
      </c>
      <c r="AB156" s="357">
        <f t="shared" si="66"/>
        <v>1.4999999999999999E-2</v>
      </c>
      <c r="AC156" s="356" t="e">
        <f ca="1">IF(  Y155=0,0,IF(OR(S156="KCAS",S156="INOP",S156="MEFE"),   ( (5*( (   (((1+0.2*(T156/661.4786)^2)^3.5 -1)  )/( (1-6.8755856*10^-6 *100*Y156)^5.2558797) +1)^(2/7) -1) )^0.5),IF(S156="MACH",T156, IF(S156="LRC",BicubicInterpolation( 'LRC Mach'!$C$4:$AL$21, Y156,U156),  IF(S156="MRC",BicubicInterpolation( 'MRC Mach'!$C$3:$T$18, Y156,U156),  IF(S156="M0.84",0.84,  IF(S156="CI52",BicubicInterpolation('CI=52 Mach'!$C$3:$T$18, Y156,U156),  IF(S156="HOLDING",BicubicInterpolation(  'Holding Mach'!$C$4:$M$13, Y156,U156),                         IF(S156="LRCINOP", BicubicInterpolation('LRC INOP Mach'!$C$4:$AA$21,Y156,U156), IF(S156="HOLDINGINOP",  BicubicInterpolation('Holding INOP Mach'!$N$4:$U$13,Y156,U156),         "XXX" )))))))   )))</f>
        <v>#NAME?</v>
      </c>
      <c r="AD156" s="313" t="e">
        <f t="shared" ca="1" si="67"/>
        <v>#NAME?</v>
      </c>
      <c r="AE156" s="314" t="e">
        <f t="shared" ca="1" si="116"/>
        <v>#NAME?</v>
      </c>
      <c r="AF156" s="313" t="e">
        <f t="shared" ca="1" si="68"/>
        <v>#NAME?</v>
      </c>
      <c r="AG156" s="314" t="e">
        <f t="shared" ca="1" si="117"/>
        <v>#NAME?</v>
      </c>
      <c r="AH156" s="313" t="e">
        <f t="shared" ca="1" si="69"/>
        <v>#NAME?</v>
      </c>
      <c r="AI156" s="314" t="e">
        <f t="shared" ca="1" si="118"/>
        <v>#NAME?</v>
      </c>
      <c r="AJ156" s="315" t="e">
        <f t="shared" ca="1" si="119"/>
        <v>#NAME?</v>
      </c>
      <c r="AK156" s="568" t="e">
        <f t="shared" ca="1" si="70"/>
        <v>#NAME?</v>
      </c>
      <c r="AL156" s="313" t="e">
        <f t="shared" ca="1" si="71"/>
        <v>#NAME?</v>
      </c>
      <c r="AM156" s="313" t="e">
        <f t="shared" ca="1" si="120"/>
        <v>#NAME?</v>
      </c>
      <c r="AN156" s="313" t="e">
        <f t="shared" ca="1" si="121"/>
        <v>#NAME?</v>
      </c>
      <c r="AO156" s="316" t="e">
        <f t="shared" ca="1" si="72"/>
        <v>#NAME?</v>
      </c>
      <c r="AP156" s="313" t="e">
        <f t="shared" ca="1" si="73"/>
        <v>#NAME?</v>
      </c>
      <c r="AQ156" s="314" t="e">
        <f t="shared" ca="1" si="122"/>
        <v>#NAME?</v>
      </c>
      <c r="AR156" s="315" t="e">
        <f t="shared" ca="1" si="74"/>
        <v>#NAME?</v>
      </c>
      <c r="AS156" s="316" t="e">
        <f t="shared" ca="1" si="75"/>
        <v>#NAME?</v>
      </c>
      <c r="AT156" s="315" t="e">
        <f t="shared" ca="1" si="76"/>
        <v>#NAME?</v>
      </c>
      <c r="AU156" s="317">
        <v>427.8</v>
      </c>
      <c r="AV156" s="315" t="e">
        <f t="shared" ca="1" si="77"/>
        <v>#NAME?</v>
      </c>
      <c r="AW156" s="318" t="e">
        <f ca="1">0.0001*BicubicInterpolation('Drag Coef Table'!$B$4:$L$28,AV156,AC156)</f>
        <v>#NAME?</v>
      </c>
      <c r="AX156" s="319" t="e">
        <f t="shared" ca="1" si="78"/>
        <v>#NAME?</v>
      </c>
      <c r="AY156" s="318" t="e">
        <f t="shared" ca="1" si="79"/>
        <v>#NAME?</v>
      </c>
      <c r="AZ156" s="320" t="e">
        <f t="shared" ca="1" si="80"/>
        <v>#NAME?</v>
      </c>
      <c r="BA156" s="321" t="e">
        <f t="shared" ca="1" si="81"/>
        <v>#NAME?</v>
      </c>
      <c r="BB156" s="322" t="e">
        <f t="shared" ca="1" si="82"/>
        <v>#NAME?</v>
      </c>
      <c r="BC156" s="323">
        <v>75.196700000000007</v>
      </c>
      <c r="BD156" s="324" t="e">
        <f t="shared" ca="1" si="83"/>
        <v>#NAME?</v>
      </c>
      <c r="BE156" s="325" t="e">
        <f t="shared" ca="1" si="84"/>
        <v>#NAME?</v>
      </c>
      <c r="BF156" s="324" t="e">
        <f ca="1">BicubicInterpolation('TSFC Eff Table'!$B$4:$E$69,2,BB156)</f>
        <v>#NAME?</v>
      </c>
      <c r="BG156" s="326" t="e">
        <f t="shared" ca="1" si="85"/>
        <v>#NAME?</v>
      </c>
      <c r="BH156" s="694" t="e">
        <f ca="1">IF( S156="LRCINOP",   (1+(0.03/10)*Z156*(1+0.2*AC156^2) )*BicubicInterpolation( 'LRC INOP FF'!$C$4:$AA$21, Y156, U156 )-200, IF(S156 ="HOLDINGINOP", (1+(0.03/10)*Z156*(1+0.2*AC156^2) )*BicubicInterpolation( 'Holding INOP FF'!$C$4:$J$13,  Y156,  U156)/1.05-200,   BA156*BG156))</f>
        <v>#NAME?</v>
      </c>
      <c r="BI156" s="344" t="e">
        <f t="shared" ca="1" si="104"/>
        <v>#NAME?</v>
      </c>
      <c r="BJ156" s="322" t="e">
        <f t="shared" ca="1" si="86"/>
        <v>#NAME?</v>
      </c>
      <c r="BK156" s="338" t="e">
        <f t="shared" ca="1" si="105"/>
        <v>#NAME?</v>
      </c>
      <c r="BL156" s="327" t="e">
        <f t="shared" ca="1" si="87"/>
        <v>#NAME?</v>
      </c>
      <c r="BM156" s="328">
        <f t="shared" si="88"/>
        <v>200</v>
      </c>
      <c r="BN156" s="329" t="e">
        <f t="shared" ca="1" si="89"/>
        <v>#NAME?</v>
      </c>
      <c r="BO156" s="344" t="e">
        <f t="shared" ca="1" si="106"/>
        <v>#NAME?</v>
      </c>
      <c r="BP156" s="320" t="e">
        <f t="shared" ca="1" si="90"/>
        <v>#NAME?</v>
      </c>
      <c r="BQ156" s="344" t="e">
        <f t="shared" ca="1" si="107"/>
        <v>#NAME?</v>
      </c>
      <c r="BR156" s="347" t="e">
        <f t="shared" ca="1" si="108"/>
        <v>#NAME?</v>
      </c>
      <c r="BS156" s="326" t="e">
        <f t="shared" ca="1" si="91"/>
        <v>#NAME?</v>
      </c>
      <c r="BT156" s="437" t="e">
        <f t="shared" ca="1" si="123"/>
        <v>#NAME?</v>
      </c>
      <c r="BU156" s="437" t="e">
        <f t="shared" ca="1" si="124"/>
        <v>#NAME?</v>
      </c>
      <c r="BV156" s="441" t="e">
        <f t="shared" ca="1" si="125"/>
        <v>#NAME?</v>
      </c>
      <c r="BW156" s="442" t="e">
        <f t="shared" ca="1" si="126"/>
        <v>#NAME?</v>
      </c>
      <c r="BX156" s="470" t="e">
        <f t="shared" ca="1" si="96"/>
        <v>#NAME?</v>
      </c>
      <c r="BY156" s="484" t="e">
        <f t="shared" ca="1" si="109"/>
        <v>#NAME?</v>
      </c>
    </row>
    <row r="157" spans="5:77" s="212" customFormat="1" ht="17.75" customHeight="1" x14ac:dyDescent="0.2">
      <c r="I157" s="366">
        <v>73</v>
      </c>
      <c r="J157" s="414">
        <f t="shared" si="110"/>
        <v>41705.763194444611</v>
      </c>
      <c r="K157" s="435" t="e">
        <f t="shared" ca="1" si="111"/>
        <v>#NAME?</v>
      </c>
      <c r="L157" s="435" t="e">
        <f t="shared" ca="1" si="97"/>
        <v>#NAME?</v>
      </c>
      <c r="M157" s="664" t="e">
        <f t="shared" ca="1" si="112"/>
        <v>#NAME?</v>
      </c>
      <c r="N157" s="664" t="e">
        <f t="shared" ca="1" si="113"/>
        <v>#NAME?</v>
      </c>
      <c r="O157" s="140" t="e">
        <f t="shared" ca="1" si="98"/>
        <v>#NAME?</v>
      </c>
      <c r="P157" s="352" t="e">
        <f t="shared" ca="1" si="114"/>
        <v>#NAME?</v>
      </c>
      <c r="Q157" s="665" t="e">
        <f t="shared" ca="1" si="99"/>
        <v>#NAME?</v>
      </c>
      <c r="R157" s="352" t="e">
        <f t="shared" ca="1" si="65"/>
        <v>#NAME?</v>
      </c>
      <c r="S157" s="662" t="e">
        <f t="shared" ca="1" si="100"/>
        <v>#NAME?</v>
      </c>
      <c r="T157" s="443" t="e">
        <f t="shared" ca="1" si="92"/>
        <v>#NAME?</v>
      </c>
      <c r="U157" s="369" t="e">
        <f t="shared" ca="1" si="93"/>
        <v>#NAME?</v>
      </c>
      <c r="V157" s="454" t="e">
        <f t="shared" ca="1" si="101"/>
        <v>#NAME?</v>
      </c>
      <c r="W157" s="457">
        <f t="shared" si="102"/>
        <v>1000</v>
      </c>
      <c r="X157" s="463" t="e">
        <f t="shared" ca="1" si="103"/>
        <v>#NAME?</v>
      </c>
      <c r="Y157" s="455" t="e">
        <f t="shared" ca="1" si="115"/>
        <v>#NAME?</v>
      </c>
      <c r="Z157" s="699">
        <f t="shared" si="94"/>
        <v>10</v>
      </c>
      <c r="AA157" s="355" t="str">
        <f t="shared" si="95"/>
        <v>ON</v>
      </c>
      <c r="AB157" s="357">
        <f t="shared" si="66"/>
        <v>1.4999999999999999E-2</v>
      </c>
      <c r="AC157" s="356" t="e">
        <f ca="1">IF(  Y156=0,0,IF(OR(S157="KCAS",S157="INOP",S157="MEFE"),   ( (5*( (   (((1+0.2*(T157/661.4786)^2)^3.5 -1)  )/( (1-6.8755856*10^-6 *100*Y157)^5.2558797) +1)^(2/7) -1) )^0.5),IF(S157="MACH",T157, IF(S157="LRC",BicubicInterpolation( 'LRC Mach'!$C$4:$AL$21, Y157,U157),  IF(S157="MRC",BicubicInterpolation( 'MRC Mach'!$C$3:$T$18, Y157,U157),  IF(S157="M0.84",0.84,  IF(S157="CI52",BicubicInterpolation('CI=52 Mach'!$C$3:$T$18, Y157,U157),  IF(S157="HOLDING",BicubicInterpolation(  'Holding Mach'!$C$4:$M$13, Y157,U157),                         IF(S157="LRCINOP", BicubicInterpolation('LRC INOP Mach'!$C$4:$AA$21,Y157,U157), IF(S157="HOLDINGINOP",  BicubicInterpolation('Holding INOP Mach'!$N$4:$U$13,Y157,U157),         "XXX" )))))))   )))</f>
        <v>#NAME?</v>
      </c>
      <c r="AD157" s="313" t="e">
        <f t="shared" ca="1" si="67"/>
        <v>#NAME?</v>
      </c>
      <c r="AE157" s="314" t="e">
        <f t="shared" ca="1" si="116"/>
        <v>#NAME?</v>
      </c>
      <c r="AF157" s="313" t="e">
        <f t="shared" ca="1" si="68"/>
        <v>#NAME?</v>
      </c>
      <c r="AG157" s="314" t="e">
        <f t="shared" ca="1" si="117"/>
        <v>#NAME?</v>
      </c>
      <c r="AH157" s="313" t="e">
        <f t="shared" ca="1" si="69"/>
        <v>#NAME?</v>
      </c>
      <c r="AI157" s="314" t="e">
        <f t="shared" ca="1" si="118"/>
        <v>#NAME?</v>
      </c>
      <c r="AJ157" s="315" t="e">
        <f t="shared" ca="1" si="119"/>
        <v>#NAME?</v>
      </c>
      <c r="AK157" s="568" t="e">
        <f t="shared" ca="1" si="70"/>
        <v>#NAME?</v>
      </c>
      <c r="AL157" s="313" t="e">
        <f t="shared" ca="1" si="71"/>
        <v>#NAME?</v>
      </c>
      <c r="AM157" s="313" t="e">
        <f t="shared" ca="1" si="120"/>
        <v>#NAME?</v>
      </c>
      <c r="AN157" s="313" t="e">
        <f t="shared" ca="1" si="121"/>
        <v>#NAME?</v>
      </c>
      <c r="AO157" s="316" t="e">
        <f t="shared" ca="1" si="72"/>
        <v>#NAME?</v>
      </c>
      <c r="AP157" s="313" t="e">
        <f t="shared" ca="1" si="73"/>
        <v>#NAME?</v>
      </c>
      <c r="AQ157" s="314" t="e">
        <f t="shared" ca="1" si="122"/>
        <v>#NAME?</v>
      </c>
      <c r="AR157" s="315" t="e">
        <f t="shared" ca="1" si="74"/>
        <v>#NAME?</v>
      </c>
      <c r="AS157" s="316" t="e">
        <f t="shared" ca="1" si="75"/>
        <v>#NAME?</v>
      </c>
      <c r="AT157" s="315" t="e">
        <f t="shared" ca="1" si="76"/>
        <v>#NAME?</v>
      </c>
      <c r="AU157" s="317">
        <v>427.8</v>
      </c>
      <c r="AV157" s="315" t="e">
        <f t="shared" ca="1" si="77"/>
        <v>#NAME?</v>
      </c>
      <c r="AW157" s="318" t="e">
        <f ca="1">0.0001*BicubicInterpolation('Drag Coef Table'!$B$4:$L$28,AV157,AC157)</f>
        <v>#NAME?</v>
      </c>
      <c r="AX157" s="319" t="e">
        <f t="shared" ca="1" si="78"/>
        <v>#NAME?</v>
      </c>
      <c r="AY157" s="318" t="e">
        <f t="shared" ca="1" si="79"/>
        <v>#NAME?</v>
      </c>
      <c r="AZ157" s="320" t="e">
        <f t="shared" ca="1" si="80"/>
        <v>#NAME?</v>
      </c>
      <c r="BA157" s="321" t="e">
        <f t="shared" ca="1" si="81"/>
        <v>#NAME?</v>
      </c>
      <c r="BB157" s="322" t="e">
        <f t="shared" ca="1" si="82"/>
        <v>#NAME?</v>
      </c>
      <c r="BC157" s="323">
        <v>75.196700000000007</v>
      </c>
      <c r="BD157" s="324" t="e">
        <f t="shared" ca="1" si="83"/>
        <v>#NAME?</v>
      </c>
      <c r="BE157" s="325" t="e">
        <f t="shared" ca="1" si="84"/>
        <v>#NAME?</v>
      </c>
      <c r="BF157" s="324" t="e">
        <f ca="1">BicubicInterpolation('TSFC Eff Table'!$B$4:$E$69,2,BB157)</f>
        <v>#NAME?</v>
      </c>
      <c r="BG157" s="326" t="e">
        <f t="shared" ca="1" si="85"/>
        <v>#NAME?</v>
      </c>
      <c r="BH157" s="694" t="e">
        <f ca="1">IF( S157="LRCINOP",   (1+(0.03/10)*Z157*(1+0.2*AC157^2) )*BicubicInterpolation( 'LRC INOP FF'!$C$4:$AA$21, Y157, U157 )-200, IF(S157 ="HOLDINGINOP", (1+(0.03/10)*Z157*(1+0.2*AC157^2) )*BicubicInterpolation( 'Holding INOP FF'!$C$4:$J$13,  Y157,  U157)/1.05-200,   BA157*BG157))</f>
        <v>#NAME?</v>
      </c>
      <c r="BI157" s="344" t="e">
        <f t="shared" ca="1" si="104"/>
        <v>#NAME?</v>
      </c>
      <c r="BJ157" s="322" t="e">
        <f t="shared" ca="1" si="86"/>
        <v>#NAME?</v>
      </c>
      <c r="BK157" s="338" t="e">
        <f t="shared" ca="1" si="105"/>
        <v>#NAME?</v>
      </c>
      <c r="BL157" s="327" t="e">
        <f t="shared" ca="1" si="87"/>
        <v>#NAME?</v>
      </c>
      <c r="BM157" s="328">
        <f t="shared" si="88"/>
        <v>200</v>
      </c>
      <c r="BN157" s="329" t="e">
        <f t="shared" ca="1" si="89"/>
        <v>#NAME?</v>
      </c>
      <c r="BO157" s="344" t="e">
        <f t="shared" ca="1" si="106"/>
        <v>#NAME?</v>
      </c>
      <c r="BP157" s="320" t="e">
        <f t="shared" ca="1" si="90"/>
        <v>#NAME?</v>
      </c>
      <c r="BQ157" s="344" t="e">
        <f t="shared" ca="1" si="107"/>
        <v>#NAME?</v>
      </c>
      <c r="BR157" s="347" t="e">
        <f t="shared" ca="1" si="108"/>
        <v>#NAME?</v>
      </c>
      <c r="BS157" s="326" t="e">
        <f t="shared" ca="1" si="91"/>
        <v>#NAME?</v>
      </c>
      <c r="BT157" s="437" t="e">
        <f t="shared" ca="1" si="123"/>
        <v>#NAME?</v>
      </c>
      <c r="BU157" s="437" t="e">
        <f t="shared" ca="1" si="124"/>
        <v>#NAME?</v>
      </c>
      <c r="BV157" s="441" t="e">
        <f t="shared" ca="1" si="125"/>
        <v>#NAME?</v>
      </c>
      <c r="BW157" s="442" t="e">
        <f t="shared" ca="1" si="126"/>
        <v>#NAME?</v>
      </c>
      <c r="BX157" s="470" t="e">
        <f t="shared" ca="1" si="96"/>
        <v>#NAME?</v>
      </c>
      <c r="BY157" s="484" t="e">
        <f t="shared" ca="1" si="109"/>
        <v>#NAME?</v>
      </c>
    </row>
    <row r="158" spans="5:77" s="212" customFormat="1" ht="17.75" customHeight="1" x14ac:dyDescent="0.2">
      <c r="I158" s="366">
        <v>74</v>
      </c>
      <c r="J158" s="414">
        <f t="shared" si="110"/>
        <v>41705.763888889058</v>
      </c>
      <c r="K158" s="435" t="e">
        <f t="shared" ca="1" si="111"/>
        <v>#NAME?</v>
      </c>
      <c r="L158" s="435" t="e">
        <f t="shared" ca="1" si="97"/>
        <v>#NAME?</v>
      </c>
      <c r="M158" s="664" t="e">
        <f t="shared" ca="1" si="112"/>
        <v>#NAME?</v>
      </c>
      <c r="N158" s="664" t="e">
        <f t="shared" ca="1" si="113"/>
        <v>#NAME?</v>
      </c>
      <c r="O158" s="140" t="e">
        <f t="shared" ca="1" si="98"/>
        <v>#NAME?</v>
      </c>
      <c r="P158" s="352" t="e">
        <f t="shared" ca="1" si="114"/>
        <v>#NAME?</v>
      </c>
      <c r="Q158" s="665" t="e">
        <f t="shared" ca="1" si="99"/>
        <v>#NAME?</v>
      </c>
      <c r="R158" s="352" t="e">
        <f t="shared" ca="1" si="65"/>
        <v>#NAME?</v>
      </c>
      <c r="S158" s="662" t="e">
        <f t="shared" ca="1" si="100"/>
        <v>#NAME?</v>
      </c>
      <c r="T158" s="443" t="e">
        <f t="shared" ca="1" si="92"/>
        <v>#NAME?</v>
      </c>
      <c r="U158" s="369" t="e">
        <f t="shared" ca="1" si="93"/>
        <v>#NAME?</v>
      </c>
      <c r="V158" s="454" t="e">
        <f t="shared" ca="1" si="101"/>
        <v>#NAME?</v>
      </c>
      <c r="W158" s="457">
        <f t="shared" si="102"/>
        <v>1000</v>
      </c>
      <c r="X158" s="463" t="e">
        <f t="shared" ca="1" si="103"/>
        <v>#NAME?</v>
      </c>
      <c r="Y158" s="455" t="e">
        <f t="shared" ca="1" si="115"/>
        <v>#NAME?</v>
      </c>
      <c r="Z158" s="699">
        <f t="shared" si="94"/>
        <v>10</v>
      </c>
      <c r="AA158" s="355" t="str">
        <f t="shared" si="95"/>
        <v>ON</v>
      </c>
      <c r="AB158" s="357">
        <f t="shared" si="66"/>
        <v>1.4999999999999999E-2</v>
      </c>
      <c r="AC158" s="356" t="e">
        <f ca="1">IF(  Y157=0,0,IF(OR(S158="KCAS",S158="INOP",S158="MEFE"),   ( (5*( (   (((1+0.2*(T158/661.4786)^2)^3.5 -1)  )/( (1-6.8755856*10^-6 *100*Y158)^5.2558797) +1)^(2/7) -1) )^0.5),IF(S158="MACH",T158, IF(S158="LRC",BicubicInterpolation( 'LRC Mach'!$C$4:$AL$21, Y158,U158),  IF(S158="MRC",BicubicInterpolation( 'MRC Mach'!$C$3:$T$18, Y158,U158),  IF(S158="M0.84",0.84,  IF(S158="CI52",BicubicInterpolation('CI=52 Mach'!$C$3:$T$18, Y158,U158),  IF(S158="HOLDING",BicubicInterpolation(  'Holding Mach'!$C$4:$M$13, Y158,U158),                         IF(S158="LRCINOP", BicubicInterpolation('LRC INOP Mach'!$C$4:$AA$21,Y158,U158), IF(S158="HOLDINGINOP",  BicubicInterpolation('Holding INOP Mach'!$N$4:$U$13,Y158,U158),         "XXX" )))))))   )))</f>
        <v>#NAME?</v>
      </c>
      <c r="AD158" s="313" t="e">
        <f t="shared" ca="1" si="67"/>
        <v>#NAME?</v>
      </c>
      <c r="AE158" s="314" t="e">
        <f t="shared" ca="1" si="116"/>
        <v>#NAME?</v>
      </c>
      <c r="AF158" s="313" t="e">
        <f t="shared" ca="1" si="68"/>
        <v>#NAME?</v>
      </c>
      <c r="AG158" s="314" t="e">
        <f t="shared" ca="1" si="117"/>
        <v>#NAME?</v>
      </c>
      <c r="AH158" s="313" t="e">
        <f t="shared" ca="1" si="69"/>
        <v>#NAME?</v>
      </c>
      <c r="AI158" s="314" t="e">
        <f t="shared" ca="1" si="118"/>
        <v>#NAME?</v>
      </c>
      <c r="AJ158" s="315" t="e">
        <f t="shared" ca="1" si="119"/>
        <v>#NAME?</v>
      </c>
      <c r="AK158" s="568" t="e">
        <f t="shared" ca="1" si="70"/>
        <v>#NAME?</v>
      </c>
      <c r="AL158" s="313" t="e">
        <f t="shared" ca="1" si="71"/>
        <v>#NAME?</v>
      </c>
      <c r="AM158" s="313" t="e">
        <f t="shared" ca="1" si="120"/>
        <v>#NAME?</v>
      </c>
      <c r="AN158" s="313" t="e">
        <f t="shared" ca="1" si="121"/>
        <v>#NAME?</v>
      </c>
      <c r="AO158" s="316" t="e">
        <f t="shared" ca="1" si="72"/>
        <v>#NAME?</v>
      </c>
      <c r="AP158" s="313" t="e">
        <f t="shared" ca="1" si="73"/>
        <v>#NAME?</v>
      </c>
      <c r="AQ158" s="314" t="e">
        <f t="shared" ca="1" si="122"/>
        <v>#NAME?</v>
      </c>
      <c r="AR158" s="315" t="e">
        <f t="shared" ca="1" si="74"/>
        <v>#NAME?</v>
      </c>
      <c r="AS158" s="316" t="e">
        <f t="shared" ca="1" si="75"/>
        <v>#NAME?</v>
      </c>
      <c r="AT158" s="315" t="e">
        <f t="shared" ca="1" si="76"/>
        <v>#NAME?</v>
      </c>
      <c r="AU158" s="317">
        <v>427.8</v>
      </c>
      <c r="AV158" s="315" t="e">
        <f t="shared" ca="1" si="77"/>
        <v>#NAME?</v>
      </c>
      <c r="AW158" s="318" t="e">
        <f ca="1">0.0001*BicubicInterpolation('Drag Coef Table'!$B$4:$L$28,AV158,AC158)</f>
        <v>#NAME?</v>
      </c>
      <c r="AX158" s="319" t="e">
        <f t="shared" ca="1" si="78"/>
        <v>#NAME?</v>
      </c>
      <c r="AY158" s="318" t="e">
        <f t="shared" ca="1" si="79"/>
        <v>#NAME?</v>
      </c>
      <c r="AZ158" s="320" t="e">
        <f t="shared" ca="1" si="80"/>
        <v>#NAME?</v>
      </c>
      <c r="BA158" s="321" t="e">
        <f t="shared" ca="1" si="81"/>
        <v>#NAME?</v>
      </c>
      <c r="BB158" s="322" t="e">
        <f t="shared" ca="1" si="82"/>
        <v>#NAME?</v>
      </c>
      <c r="BC158" s="323">
        <v>75.196700000000007</v>
      </c>
      <c r="BD158" s="324" t="e">
        <f t="shared" ca="1" si="83"/>
        <v>#NAME?</v>
      </c>
      <c r="BE158" s="325" t="e">
        <f t="shared" ca="1" si="84"/>
        <v>#NAME?</v>
      </c>
      <c r="BF158" s="324" t="e">
        <f ca="1">BicubicInterpolation('TSFC Eff Table'!$B$4:$E$69,2,BB158)</f>
        <v>#NAME?</v>
      </c>
      <c r="BG158" s="326" t="e">
        <f t="shared" ca="1" si="85"/>
        <v>#NAME?</v>
      </c>
      <c r="BH158" s="694" t="e">
        <f ca="1">IF( S158="LRCINOP",   (1+(0.03/10)*Z158*(1+0.2*AC158^2) )*BicubicInterpolation( 'LRC INOP FF'!$C$4:$AA$21, Y158, U158 )-200, IF(S158 ="HOLDINGINOP", (1+(0.03/10)*Z158*(1+0.2*AC158^2) )*BicubicInterpolation( 'Holding INOP FF'!$C$4:$J$13,  Y158,  U158)/1.05-200,   BA158*BG158))</f>
        <v>#NAME?</v>
      </c>
      <c r="BI158" s="344" t="e">
        <f t="shared" ca="1" si="104"/>
        <v>#NAME?</v>
      </c>
      <c r="BJ158" s="322" t="e">
        <f t="shared" ca="1" si="86"/>
        <v>#NAME?</v>
      </c>
      <c r="BK158" s="338" t="e">
        <f t="shared" ca="1" si="105"/>
        <v>#NAME?</v>
      </c>
      <c r="BL158" s="327" t="e">
        <f t="shared" ca="1" si="87"/>
        <v>#NAME?</v>
      </c>
      <c r="BM158" s="328">
        <f t="shared" si="88"/>
        <v>200</v>
      </c>
      <c r="BN158" s="329" t="e">
        <f t="shared" ca="1" si="89"/>
        <v>#NAME?</v>
      </c>
      <c r="BO158" s="344" t="e">
        <f t="shared" ca="1" si="106"/>
        <v>#NAME?</v>
      </c>
      <c r="BP158" s="320" t="e">
        <f t="shared" ca="1" si="90"/>
        <v>#NAME?</v>
      </c>
      <c r="BQ158" s="344" t="e">
        <f t="shared" ca="1" si="107"/>
        <v>#NAME?</v>
      </c>
      <c r="BR158" s="347" t="e">
        <f t="shared" ca="1" si="108"/>
        <v>#NAME?</v>
      </c>
      <c r="BS158" s="326" t="e">
        <f t="shared" ca="1" si="91"/>
        <v>#NAME?</v>
      </c>
      <c r="BT158" s="437" t="e">
        <f t="shared" ca="1" si="123"/>
        <v>#NAME?</v>
      </c>
      <c r="BU158" s="437" t="e">
        <f t="shared" ca="1" si="124"/>
        <v>#NAME?</v>
      </c>
      <c r="BV158" s="441" t="e">
        <f t="shared" ca="1" si="125"/>
        <v>#NAME?</v>
      </c>
      <c r="BW158" s="442" t="e">
        <f t="shared" ca="1" si="126"/>
        <v>#NAME?</v>
      </c>
      <c r="BX158" s="470" t="e">
        <f t="shared" ca="1" si="96"/>
        <v>#NAME?</v>
      </c>
      <c r="BY158" s="484" t="e">
        <f t="shared" ca="1" si="109"/>
        <v>#NAME?</v>
      </c>
    </row>
    <row r="159" spans="5:77" s="212" customFormat="1" ht="17.75" customHeight="1" x14ac:dyDescent="0.2">
      <c r="I159" s="366">
        <v>75</v>
      </c>
      <c r="J159" s="414">
        <f t="shared" si="110"/>
        <v>41705.764583333505</v>
      </c>
      <c r="K159" s="435" t="e">
        <f t="shared" ca="1" si="111"/>
        <v>#NAME?</v>
      </c>
      <c r="L159" s="435" t="e">
        <f t="shared" ca="1" si="97"/>
        <v>#NAME?</v>
      </c>
      <c r="M159" s="664" t="e">
        <f t="shared" ca="1" si="112"/>
        <v>#NAME?</v>
      </c>
      <c r="N159" s="664" t="e">
        <f t="shared" ca="1" si="113"/>
        <v>#NAME?</v>
      </c>
      <c r="O159" s="140" t="e">
        <f t="shared" ca="1" si="98"/>
        <v>#NAME?</v>
      </c>
      <c r="P159" s="352" t="e">
        <f t="shared" ca="1" si="114"/>
        <v>#NAME?</v>
      </c>
      <c r="Q159" s="665" t="e">
        <f t="shared" ca="1" si="99"/>
        <v>#NAME?</v>
      </c>
      <c r="R159" s="352" t="e">
        <f t="shared" ref="R159:R222" ca="1" si="127">AC159</f>
        <v>#NAME?</v>
      </c>
      <c r="S159" s="662" t="e">
        <f t="shared" ca="1" si="100"/>
        <v>#NAME?</v>
      </c>
      <c r="T159" s="443" t="e">
        <f t="shared" ca="1" si="92"/>
        <v>#NAME?</v>
      </c>
      <c r="U159" s="369" t="e">
        <f t="shared" ca="1" si="93"/>
        <v>#NAME?</v>
      </c>
      <c r="V159" s="454" t="e">
        <f t="shared" ca="1" si="101"/>
        <v>#NAME?</v>
      </c>
      <c r="W159" s="457">
        <f t="shared" si="102"/>
        <v>1000</v>
      </c>
      <c r="X159" s="463" t="e">
        <f t="shared" ca="1" si="103"/>
        <v>#NAME?</v>
      </c>
      <c r="Y159" s="455" t="e">
        <f t="shared" ca="1" si="115"/>
        <v>#NAME?</v>
      </c>
      <c r="Z159" s="699">
        <f t="shared" si="94"/>
        <v>10</v>
      </c>
      <c r="AA159" s="355" t="str">
        <f t="shared" si="95"/>
        <v>ON</v>
      </c>
      <c r="AB159" s="357">
        <f t="shared" ref="AB159:AB222" si="128">AB158</f>
        <v>1.4999999999999999E-2</v>
      </c>
      <c r="AC159" s="356" t="e">
        <f ca="1">IF(  Y158=0,0,IF(OR(S159="KCAS",S159="INOP",S159="MEFE"),   ( (5*( (   (((1+0.2*(T159/661.4786)^2)^3.5 -1)  )/( (1-6.8755856*10^-6 *100*Y159)^5.2558797) +1)^(2/7) -1) )^0.5),IF(S159="MACH",T159, IF(S159="LRC",BicubicInterpolation( 'LRC Mach'!$C$4:$AL$21, Y159,U159),  IF(S159="MRC",BicubicInterpolation( 'MRC Mach'!$C$3:$T$18, Y159,U159),  IF(S159="M0.84",0.84,  IF(S159="CI52",BicubicInterpolation('CI=52 Mach'!$C$3:$T$18, Y159,U159),  IF(S159="HOLDING",BicubicInterpolation(  'Holding Mach'!$C$4:$M$13, Y159,U159),                         IF(S159="LRCINOP", BicubicInterpolation('LRC INOP Mach'!$C$4:$AA$21,Y159,U159), IF(S159="HOLDINGINOP",  BicubicInterpolation('Holding INOP Mach'!$N$4:$U$13,Y159,U159),         "XXX" )))))))   )))</f>
        <v>#NAME?</v>
      </c>
      <c r="AD159" s="313" t="e">
        <f t="shared" ref="AD159:AD222" ca="1" si="129">IF(Y159&lt;360.8924,288.15-1.9812*Y159/10,216.65)</f>
        <v>#NAME?</v>
      </c>
      <c r="AE159" s="314" t="e">
        <f t="shared" ca="1" si="116"/>
        <v>#NAME?</v>
      </c>
      <c r="AF159" s="313" t="e">
        <f t="shared" ref="AF159:AF222" ca="1" si="130">AD159+Z159</f>
        <v>#NAME?</v>
      </c>
      <c r="AG159" s="314" t="e">
        <f t="shared" ca="1" si="117"/>
        <v>#NAME?</v>
      </c>
      <c r="AH159" s="313" t="e">
        <f t="shared" ref="AH159:AH222" ca="1" si="131">AF159*(1+0.2*AC159^2)</f>
        <v>#NAME?</v>
      </c>
      <c r="AI159" s="314" t="e">
        <f t="shared" ca="1" si="118"/>
        <v>#NAME?</v>
      </c>
      <c r="AJ159" s="315" t="e">
        <f t="shared" ca="1" si="119"/>
        <v>#NAME?</v>
      </c>
      <c r="AK159" s="568" t="e">
        <f t="shared" ref="AK159:AK222" ca="1" si="132">661.4786*SQRT(AG159)</f>
        <v>#NAME?</v>
      </c>
      <c r="AL159" s="313" t="e">
        <f t="shared" ref="AL159:AL222" ca="1" si="133">AC159*AK159</f>
        <v>#NAME?</v>
      </c>
      <c r="AM159" s="313" t="e">
        <f t="shared" ca="1" si="120"/>
        <v>#NAME?</v>
      </c>
      <c r="AN159" s="313" t="e">
        <f t="shared" ca="1" si="121"/>
        <v>#NAME?</v>
      </c>
      <c r="AO159" s="316" t="e">
        <f t="shared" ref="AO159:AO222" ca="1" si="134">661.4786*(5*((1 + ( (1-0.00068755856*Y159)^5.2558797)*((1 + AC159^2/5)^3.5 - 1))^(2/7) - 1))^0.5</f>
        <v>#NAME?</v>
      </c>
      <c r="AP159" s="313" t="e">
        <f t="shared" ref="AP159:AP222" ca="1" si="135">IF(Y159&lt;360.8924,1013.25*(1-0.0000068755856*100*Y159)^5.2558797,0.01*0.2233609*101325*EXP(-0.004806346*(Y159-360.8924)))</f>
        <v>#NAME?</v>
      </c>
      <c r="AQ159" s="314" t="e">
        <f t="shared" ca="1" si="122"/>
        <v>#NAME?</v>
      </c>
      <c r="AR159" s="315" t="e">
        <f t="shared" ref="AR159:AR222" ca="1" si="136">AQ159*(1+0.2*AC159^2)^3.5</f>
        <v>#NAME?</v>
      </c>
      <c r="AS159" s="316" t="e">
        <f t="shared" ref="AS159:AS222" ca="1" si="137">U159/AQ159</f>
        <v>#NAME?</v>
      </c>
      <c r="AT159" s="315" t="e">
        <f t="shared" ref="AT159:AT222" ca="1" si="138">1.225*AQ159/AG159</f>
        <v>#NAME?</v>
      </c>
      <c r="AU159" s="317">
        <v>427.8</v>
      </c>
      <c r="AV159" s="315" t="e">
        <f t="shared" ref="AV159:AV222" ca="1" si="139">1000*9.80665*U159/(0.5*AT159*AU159*(AM159)^2)</f>
        <v>#NAME?</v>
      </c>
      <c r="AW159" s="318" t="e">
        <f ca="1">0.0001*BicubicInterpolation('Drag Coef Table'!$B$4:$L$28,AV159,AC159)</f>
        <v>#NAME?</v>
      </c>
      <c r="AX159" s="319" t="e">
        <f t="shared" ref="AX159:AX222" ca="1" si="140">(-45.29)*0.0001*LOG10(  (  ( AG159 + 0.38312 ) / AG159^2    )   /   (   (AE159 +0.38312)/(AE159)^2  ) )</f>
        <v>#NAME?</v>
      </c>
      <c r="AY159" s="318" t="e">
        <f t="shared" ref="AY159:AY222" ca="1" si="141">AW159+AX159</f>
        <v>#NAME?</v>
      </c>
      <c r="AZ159" s="320" t="e">
        <f t="shared" ref="AZ159:AZ222" ca="1" si="142">AV159/AY159</f>
        <v>#NAME?</v>
      </c>
      <c r="BA159" s="321" t="e">
        <f t="shared" ref="BA159:BA222" ca="1" si="143">AY159*0.5*AT159*(AM159^2)*AU159/1000</f>
        <v>#NAME?</v>
      </c>
      <c r="BB159" s="322" t="e">
        <f t="shared" ref="BB159:BB222" ca="1" si="144">BA159/AQ159/9.80665</f>
        <v>#NAME?</v>
      </c>
      <c r="BC159" s="323">
        <v>75.196700000000007</v>
      </c>
      <c r="BD159" s="324" t="e">
        <f t="shared" ref="BD159:BD222" ca="1" si="145">AG159^0.68</f>
        <v>#NAME?</v>
      </c>
      <c r="BE159" s="325" t="e">
        <f t="shared" ref="BE159:BE222" ca="1" si="146">AC159^0.53</f>
        <v>#NAME?</v>
      </c>
      <c r="BF159" s="324" t="e">
        <f ca="1">BicubicInterpolation('TSFC Eff Table'!$B$4:$E$69,2,BB159)</f>
        <v>#NAME?</v>
      </c>
      <c r="BG159" s="326" t="e">
        <f t="shared" ref="BG159:BG222" ca="1" si="147">BC159*BD159*BE159/BF159</f>
        <v>#NAME?</v>
      </c>
      <c r="BH159" s="694" t="e">
        <f ca="1">IF( S159="LRCINOP",   (1+(0.03/10)*Z159*(1+0.2*AC159^2) )*BicubicInterpolation( 'LRC INOP FF'!$C$4:$AA$21, Y159, U159 )-200, IF(S159 ="HOLDINGINOP", (1+(0.03/10)*Z159*(1+0.2*AC159^2) )*BicubicInterpolation( 'Holding INOP FF'!$C$4:$J$13,  Y159,  U159)/1.05-200,   BA159*BG159))</f>
        <v>#NAME?</v>
      </c>
      <c r="BI159" s="344" t="e">
        <f t="shared" ca="1" si="104"/>
        <v>#NAME?</v>
      </c>
      <c r="BJ159" s="322" t="e">
        <f t="shared" ref="BJ159:BJ222" ca="1" si="148">BI159/(AR159*AJ159)/1000</f>
        <v>#NAME?</v>
      </c>
      <c r="BK159" s="338" t="e">
        <f t="shared" ca="1" si="105"/>
        <v>#NAME?</v>
      </c>
      <c r="BL159" s="327" t="e">
        <f t="shared" ref="BL159:BL222" ca="1" si="149">100*BK159/AS159</f>
        <v>#NAME?</v>
      </c>
      <c r="BM159" s="328">
        <f t="shared" ref="BM159:BM222" si="150">200-IF(AA159="OFF",55,0)</f>
        <v>200</v>
      </c>
      <c r="BN159" s="329" t="e">
        <f t="shared" ref="BN159:BN222" ca="1" si="151">BI159+BM159</f>
        <v>#NAME?</v>
      </c>
      <c r="BO159" s="344" t="e">
        <f t="shared" ca="1" si="106"/>
        <v>#NAME?</v>
      </c>
      <c r="BP159" s="320" t="e">
        <f t="shared" ref="BP159:BP222" ca="1" si="152">1000*AL159/BO159</f>
        <v>#NAME?</v>
      </c>
      <c r="BQ159" s="344" t="e">
        <f t="shared" ca="1" si="107"/>
        <v>#NAME?</v>
      </c>
      <c r="BR159" s="347" t="e">
        <f t="shared" ca="1" si="108"/>
        <v>#NAME?</v>
      </c>
      <c r="BS159" s="326" t="e">
        <f t="shared" ref="BS159:BS222" ca="1" si="153">1000*AL159/BR159</f>
        <v>#NAME?</v>
      </c>
      <c r="BT159" s="437" t="e">
        <f t="shared" ca="1" si="123"/>
        <v>#NAME?</v>
      </c>
      <c r="BU159" s="437" t="e">
        <f t="shared" ca="1" si="124"/>
        <v>#NAME?</v>
      </c>
      <c r="BV159" s="441" t="e">
        <f t="shared" ca="1" si="125"/>
        <v>#NAME?</v>
      </c>
      <c r="BW159" s="442" t="e">
        <f t="shared" ca="1" si="126"/>
        <v>#NAME?</v>
      </c>
      <c r="BX159" s="470" t="e">
        <f t="shared" ca="1" si="96"/>
        <v>#NAME?</v>
      </c>
      <c r="BY159" s="484" t="e">
        <f t="shared" ca="1" si="109"/>
        <v>#NAME?</v>
      </c>
    </row>
    <row r="160" spans="5:77" s="212" customFormat="1" ht="17.75" customHeight="1" x14ac:dyDescent="0.2">
      <c r="I160" s="366">
        <v>76</v>
      </c>
      <c r="J160" s="414">
        <f t="shared" si="110"/>
        <v>41705.765277777951</v>
      </c>
      <c r="K160" s="435" t="e">
        <f t="shared" ca="1" si="111"/>
        <v>#NAME?</v>
      </c>
      <c r="L160" s="435" t="e">
        <f t="shared" ca="1" si="97"/>
        <v>#NAME?</v>
      </c>
      <c r="M160" s="664" t="e">
        <f t="shared" ca="1" si="112"/>
        <v>#NAME?</v>
      </c>
      <c r="N160" s="664" t="e">
        <f t="shared" ca="1" si="113"/>
        <v>#NAME?</v>
      </c>
      <c r="O160" s="140" t="e">
        <f t="shared" ca="1" si="98"/>
        <v>#NAME?</v>
      </c>
      <c r="P160" s="352" t="e">
        <f t="shared" ca="1" si="114"/>
        <v>#NAME?</v>
      </c>
      <c r="Q160" s="665" t="e">
        <f t="shared" ca="1" si="99"/>
        <v>#NAME?</v>
      </c>
      <c r="R160" s="352" t="e">
        <f t="shared" ca="1" si="127"/>
        <v>#NAME?</v>
      </c>
      <c r="S160" s="662" t="e">
        <f t="shared" ca="1" si="100"/>
        <v>#NAME?</v>
      </c>
      <c r="T160" s="443" t="e">
        <f t="shared" ca="1" si="92"/>
        <v>#NAME?</v>
      </c>
      <c r="U160" s="369" t="e">
        <f t="shared" ca="1" si="93"/>
        <v>#NAME?</v>
      </c>
      <c r="V160" s="454" t="e">
        <f t="shared" ca="1" si="101"/>
        <v>#NAME?</v>
      </c>
      <c r="W160" s="457">
        <f t="shared" si="102"/>
        <v>1000</v>
      </c>
      <c r="X160" s="463" t="e">
        <f t="shared" ca="1" si="103"/>
        <v>#NAME?</v>
      </c>
      <c r="Y160" s="455" t="e">
        <f t="shared" ca="1" si="115"/>
        <v>#NAME?</v>
      </c>
      <c r="Z160" s="699">
        <f t="shared" si="94"/>
        <v>10</v>
      </c>
      <c r="AA160" s="355" t="str">
        <f t="shared" si="95"/>
        <v>ON</v>
      </c>
      <c r="AB160" s="357">
        <f t="shared" si="128"/>
        <v>1.4999999999999999E-2</v>
      </c>
      <c r="AC160" s="356" t="e">
        <f ca="1">IF(  Y159=0,0,IF(OR(S160="KCAS",S160="INOP",S160="MEFE"),   ( (5*( (   (((1+0.2*(T160/661.4786)^2)^3.5 -1)  )/( (1-6.8755856*10^-6 *100*Y160)^5.2558797) +1)^(2/7) -1) )^0.5),IF(S160="MACH",T160, IF(S160="LRC",BicubicInterpolation( 'LRC Mach'!$C$4:$AL$21, Y160,U160),  IF(S160="MRC",BicubicInterpolation( 'MRC Mach'!$C$3:$T$18, Y160,U160),  IF(S160="M0.84",0.84,  IF(S160="CI52",BicubicInterpolation('CI=52 Mach'!$C$3:$T$18, Y160,U160),  IF(S160="HOLDING",BicubicInterpolation(  'Holding Mach'!$C$4:$M$13, Y160,U160),                         IF(S160="LRCINOP", BicubicInterpolation('LRC INOP Mach'!$C$4:$AA$21,Y160,U160), IF(S160="HOLDINGINOP",  BicubicInterpolation('Holding INOP Mach'!$N$4:$U$13,Y160,U160),         "XXX" )))))))   )))</f>
        <v>#NAME?</v>
      </c>
      <c r="AD160" s="313" t="e">
        <f t="shared" ca="1" si="129"/>
        <v>#NAME?</v>
      </c>
      <c r="AE160" s="314" t="e">
        <f t="shared" ca="1" si="116"/>
        <v>#NAME?</v>
      </c>
      <c r="AF160" s="313" t="e">
        <f t="shared" ca="1" si="130"/>
        <v>#NAME?</v>
      </c>
      <c r="AG160" s="314" t="e">
        <f t="shared" ca="1" si="117"/>
        <v>#NAME?</v>
      </c>
      <c r="AH160" s="313" t="e">
        <f t="shared" ca="1" si="131"/>
        <v>#NAME?</v>
      </c>
      <c r="AI160" s="314" t="e">
        <f t="shared" ca="1" si="118"/>
        <v>#NAME?</v>
      </c>
      <c r="AJ160" s="315" t="e">
        <f t="shared" ca="1" si="119"/>
        <v>#NAME?</v>
      </c>
      <c r="AK160" s="568" t="e">
        <f t="shared" ca="1" si="132"/>
        <v>#NAME?</v>
      </c>
      <c r="AL160" s="313" t="e">
        <f t="shared" ca="1" si="133"/>
        <v>#NAME?</v>
      </c>
      <c r="AM160" s="313" t="e">
        <f t="shared" ca="1" si="120"/>
        <v>#NAME?</v>
      </c>
      <c r="AN160" s="313" t="e">
        <f t="shared" ca="1" si="121"/>
        <v>#NAME?</v>
      </c>
      <c r="AO160" s="316" t="e">
        <f t="shared" ca="1" si="134"/>
        <v>#NAME?</v>
      </c>
      <c r="AP160" s="313" t="e">
        <f t="shared" ca="1" si="135"/>
        <v>#NAME?</v>
      </c>
      <c r="AQ160" s="314" t="e">
        <f t="shared" ca="1" si="122"/>
        <v>#NAME?</v>
      </c>
      <c r="AR160" s="315" t="e">
        <f t="shared" ca="1" si="136"/>
        <v>#NAME?</v>
      </c>
      <c r="AS160" s="316" t="e">
        <f t="shared" ca="1" si="137"/>
        <v>#NAME?</v>
      </c>
      <c r="AT160" s="315" t="e">
        <f t="shared" ca="1" si="138"/>
        <v>#NAME?</v>
      </c>
      <c r="AU160" s="317">
        <v>427.8</v>
      </c>
      <c r="AV160" s="315" t="e">
        <f t="shared" ca="1" si="139"/>
        <v>#NAME?</v>
      </c>
      <c r="AW160" s="318" t="e">
        <f ca="1">0.0001*BicubicInterpolation('Drag Coef Table'!$B$4:$L$28,AV160,AC160)</f>
        <v>#NAME?</v>
      </c>
      <c r="AX160" s="319" t="e">
        <f t="shared" ca="1" si="140"/>
        <v>#NAME?</v>
      </c>
      <c r="AY160" s="318" t="e">
        <f t="shared" ca="1" si="141"/>
        <v>#NAME?</v>
      </c>
      <c r="AZ160" s="320" t="e">
        <f t="shared" ca="1" si="142"/>
        <v>#NAME?</v>
      </c>
      <c r="BA160" s="321" t="e">
        <f t="shared" ca="1" si="143"/>
        <v>#NAME?</v>
      </c>
      <c r="BB160" s="322" t="e">
        <f t="shared" ca="1" si="144"/>
        <v>#NAME?</v>
      </c>
      <c r="BC160" s="323">
        <v>75.196700000000007</v>
      </c>
      <c r="BD160" s="324" t="e">
        <f t="shared" ca="1" si="145"/>
        <v>#NAME?</v>
      </c>
      <c r="BE160" s="325" t="e">
        <f t="shared" ca="1" si="146"/>
        <v>#NAME?</v>
      </c>
      <c r="BF160" s="324" t="e">
        <f ca="1">BicubicInterpolation('TSFC Eff Table'!$B$4:$E$69,2,BB160)</f>
        <v>#NAME?</v>
      </c>
      <c r="BG160" s="326" t="e">
        <f t="shared" ca="1" si="147"/>
        <v>#NAME?</v>
      </c>
      <c r="BH160" s="694" t="e">
        <f ca="1">IF( S160="LRCINOP",   (1+(0.03/10)*Z160*(1+0.2*AC160^2) )*BicubicInterpolation( 'LRC INOP FF'!$C$4:$AA$21, Y160, U160 )-200, IF(S160 ="HOLDINGINOP", (1+(0.03/10)*Z160*(1+0.2*AC160^2) )*BicubicInterpolation( 'Holding INOP FF'!$C$4:$J$13,  Y160,  U160)/1.05-200,   BA160*BG160))</f>
        <v>#NAME?</v>
      </c>
      <c r="BI160" s="344" t="e">
        <f t="shared" ca="1" si="104"/>
        <v>#NAME?</v>
      </c>
      <c r="BJ160" s="322" t="e">
        <f t="shared" ca="1" si="148"/>
        <v>#NAME?</v>
      </c>
      <c r="BK160" s="338" t="e">
        <f t="shared" ca="1" si="105"/>
        <v>#NAME?</v>
      </c>
      <c r="BL160" s="327" t="e">
        <f t="shared" ca="1" si="149"/>
        <v>#NAME?</v>
      </c>
      <c r="BM160" s="328">
        <f t="shared" si="150"/>
        <v>200</v>
      </c>
      <c r="BN160" s="329" t="e">
        <f t="shared" ca="1" si="151"/>
        <v>#NAME?</v>
      </c>
      <c r="BO160" s="344" t="e">
        <f t="shared" ca="1" si="106"/>
        <v>#NAME?</v>
      </c>
      <c r="BP160" s="320" t="e">
        <f t="shared" ca="1" si="152"/>
        <v>#NAME?</v>
      </c>
      <c r="BQ160" s="344" t="e">
        <f t="shared" ca="1" si="107"/>
        <v>#NAME?</v>
      </c>
      <c r="BR160" s="347" t="e">
        <f t="shared" ca="1" si="108"/>
        <v>#NAME?</v>
      </c>
      <c r="BS160" s="326" t="e">
        <f t="shared" ca="1" si="153"/>
        <v>#NAME?</v>
      </c>
      <c r="BT160" s="437" t="e">
        <f t="shared" ca="1" si="123"/>
        <v>#NAME?</v>
      </c>
      <c r="BU160" s="437" t="e">
        <f t="shared" ca="1" si="124"/>
        <v>#NAME?</v>
      </c>
      <c r="BV160" s="441" t="e">
        <f t="shared" ca="1" si="125"/>
        <v>#NAME?</v>
      </c>
      <c r="BW160" s="442" t="e">
        <f t="shared" ca="1" si="126"/>
        <v>#NAME?</v>
      </c>
      <c r="BX160" s="470" t="e">
        <f t="shared" ca="1" si="96"/>
        <v>#NAME?</v>
      </c>
      <c r="BY160" s="484" t="e">
        <f t="shared" ca="1" si="109"/>
        <v>#NAME?</v>
      </c>
    </row>
    <row r="161" spans="9:77" s="212" customFormat="1" ht="17.75" customHeight="1" x14ac:dyDescent="0.2">
      <c r="I161" s="366">
        <v>77</v>
      </c>
      <c r="J161" s="414">
        <f t="shared" si="110"/>
        <v>41705.765972222398</v>
      </c>
      <c r="K161" s="435" t="e">
        <f t="shared" ca="1" si="111"/>
        <v>#NAME?</v>
      </c>
      <c r="L161" s="435" t="e">
        <f t="shared" ca="1" si="97"/>
        <v>#NAME?</v>
      </c>
      <c r="M161" s="664" t="e">
        <f t="shared" ca="1" si="112"/>
        <v>#NAME?</v>
      </c>
      <c r="N161" s="664" t="e">
        <f t="shared" ca="1" si="113"/>
        <v>#NAME?</v>
      </c>
      <c r="O161" s="140" t="e">
        <f t="shared" ca="1" si="98"/>
        <v>#NAME?</v>
      </c>
      <c r="P161" s="352" t="e">
        <f t="shared" ca="1" si="114"/>
        <v>#NAME?</v>
      </c>
      <c r="Q161" s="665" t="e">
        <f t="shared" ca="1" si="99"/>
        <v>#NAME?</v>
      </c>
      <c r="R161" s="352" t="e">
        <f t="shared" ca="1" si="127"/>
        <v>#NAME?</v>
      </c>
      <c r="S161" s="662" t="e">
        <f t="shared" ca="1" si="100"/>
        <v>#NAME?</v>
      </c>
      <c r="T161" s="443" t="e">
        <f t="shared" ca="1" si="92"/>
        <v>#NAME?</v>
      </c>
      <c r="U161" s="369" t="e">
        <f t="shared" ca="1" si="93"/>
        <v>#NAME?</v>
      </c>
      <c r="V161" s="454" t="e">
        <f t="shared" ca="1" si="101"/>
        <v>#NAME?</v>
      </c>
      <c r="W161" s="457">
        <f t="shared" si="102"/>
        <v>1000</v>
      </c>
      <c r="X161" s="463" t="e">
        <f t="shared" ca="1" si="103"/>
        <v>#NAME?</v>
      </c>
      <c r="Y161" s="455" t="e">
        <f t="shared" ca="1" si="115"/>
        <v>#NAME?</v>
      </c>
      <c r="Z161" s="699">
        <f t="shared" si="94"/>
        <v>10</v>
      </c>
      <c r="AA161" s="355" t="str">
        <f t="shared" si="95"/>
        <v>ON</v>
      </c>
      <c r="AB161" s="357">
        <f t="shared" si="128"/>
        <v>1.4999999999999999E-2</v>
      </c>
      <c r="AC161" s="356" t="e">
        <f ca="1">IF(  Y160=0,0,IF(OR(S161="KCAS",S161="INOP",S161="MEFE"),   ( (5*( (   (((1+0.2*(T161/661.4786)^2)^3.5 -1)  )/( (1-6.8755856*10^-6 *100*Y161)^5.2558797) +1)^(2/7) -1) )^0.5),IF(S161="MACH",T161, IF(S161="LRC",BicubicInterpolation( 'LRC Mach'!$C$4:$AL$21, Y161,U161),  IF(S161="MRC",BicubicInterpolation( 'MRC Mach'!$C$3:$T$18, Y161,U161),  IF(S161="M0.84",0.84,  IF(S161="CI52",BicubicInterpolation('CI=52 Mach'!$C$3:$T$18, Y161,U161),  IF(S161="HOLDING",BicubicInterpolation(  'Holding Mach'!$C$4:$M$13, Y161,U161),                         IF(S161="LRCINOP", BicubicInterpolation('LRC INOP Mach'!$C$4:$AA$21,Y161,U161), IF(S161="HOLDINGINOP",  BicubicInterpolation('Holding INOP Mach'!$N$4:$U$13,Y161,U161),         "XXX" )))))))   )))</f>
        <v>#NAME?</v>
      </c>
      <c r="AD161" s="313" t="e">
        <f t="shared" ca="1" si="129"/>
        <v>#NAME?</v>
      </c>
      <c r="AE161" s="314" t="e">
        <f t="shared" ca="1" si="116"/>
        <v>#NAME?</v>
      </c>
      <c r="AF161" s="313" t="e">
        <f t="shared" ca="1" si="130"/>
        <v>#NAME?</v>
      </c>
      <c r="AG161" s="314" t="e">
        <f t="shared" ca="1" si="117"/>
        <v>#NAME?</v>
      </c>
      <c r="AH161" s="313" t="e">
        <f t="shared" ca="1" si="131"/>
        <v>#NAME?</v>
      </c>
      <c r="AI161" s="314" t="e">
        <f t="shared" ca="1" si="118"/>
        <v>#NAME?</v>
      </c>
      <c r="AJ161" s="315" t="e">
        <f t="shared" ca="1" si="119"/>
        <v>#NAME?</v>
      </c>
      <c r="AK161" s="568" t="e">
        <f t="shared" ca="1" si="132"/>
        <v>#NAME?</v>
      </c>
      <c r="AL161" s="313" t="e">
        <f t="shared" ca="1" si="133"/>
        <v>#NAME?</v>
      </c>
      <c r="AM161" s="313" t="e">
        <f t="shared" ca="1" si="120"/>
        <v>#NAME?</v>
      </c>
      <c r="AN161" s="313" t="e">
        <f t="shared" ca="1" si="121"/>
        <v>#NAME?</v>
      </c>
      <c r="AO161" s="316" t="e">
        <f t="shared" ca="1" si="134"/>
        <v>#NAME?</v>
      </c>
      <c r="AP161" s="313" t="e">
        <f t="shared" ca="1" si="135"/>
        <v>#NAME?</v>
      </c>
      <c r="AQ161" s="314" t="e">
        <f t="shared" ca="1" si="122"/>
        <v>#NAME?</v>
      </c>
      <c r="AR161" s="315" t="e">
        <f t="shared" ca="1" si="136"/>
        <v>#NAME?</v>
      </c>
      <c r="AS161" s="316" t="e">
        <f t="shared" ca="1" si="137"/>
        <v>#NAME?</v>
      </c>
      <c r="AT161" s="315" t="e">
        <f t="shared" ca="1" si="138"/>
        <v>#NAME?</v>
      </c>
      <c r="AU161" s="317">
        <v>427.8</v>
      </c>
      <c r="AV161" s="315" t="e">
        <f t="shared" ca="1" si="139"/>
        <v>#NAME?</v>
      </c>
      <c r="AW161" s="318" t="e">
        <f ca="1">0.0001*BicubicInterpolation('Drag Coef Table'!$B$4:$L$28,AV161,AC161)</f>
        <v>#NAME?</v>
      </c>
      <c r="AX161" s="319" t="e">
        <f t="shared" ca="1" si="140"/>
        <v>#NAME?</v>
      </c>
      <c r="AY161" s="318" t="e">
        <f t="shared" ca="1" si="141"/>
        <v>#NAME?</v>
      </c>
      <c r="AZ161" s="320" t="e">
        <f t="shared" ca="1" si="142"/>
        <v>#NAME?</v>
      </c>
      <c r="BA161" s="321" t="e">
        <f t="shared" ca="1" si="143"/>
        <v>#NAME?</v>
      </c>
      <c r="BB161" s="322" t="e">
        <f t="shared" ca="1" si="144"/>
        <v>#NAME?</v>
      </c>
      <c r="BC161" s="323">
        <v>75.196700000000007</v>
      </c>
      <c r="BD161" s="324" t="e">
        <f t="shared" ca="1" si="145"/>
        <v>#NAME?</v>
      </c>
      <c r="BE161" s="325" t="e">
        <f t="shared" ca="1" si="146"/>
        <v>#NAME?</v>
      </c>
      <c r="BF161" s="324" t="e">
        <f ca="1">BicubicInterpolation('TSFC Eff Table'!$B$4:$E$69,2,BB161)</f>
        <v>#NAME?</v>
      </c>
      <c r="BG161" s="326" t="e">
        <f t="shared" ca="1" si="147"/>
        <v>#NAME?</v>
      </c>
      <c r="BH161" s="694" t="e">
        <f ca="1">IF( S161="LRCINOP",   (1+(0.03/10)*Z161*(1+0.2*AC161^2) )*BicubicInterpolation( 'LRC INOP FF'!$C$4:$AA$21, Y161, U161 )-200, IF(S161 ="HOLDINGINOP", (1+(0.03/10)*Z161*(1+0.2*AC161^2) )*BicubicInterpolation( 'Holding INOP FF'!$C$4:$J$13,  Y161,  U161)/1.05-200,   BA161*BG161))</f>
        <v>#NAME?</v>
      </c>
      <c r="BI161" s="344" t="e">
        <f t="shared" ca="1" si="104"/>
        <v>#NAME?</v>
      </c>
      <c r="BJ161" s="322" t="e">
        <f t="shared" ca="1" si="148"/>
        <v>#NAME?</v>
      </c>
      <c r="BK161" s="338" t="e">
        <f t="shared" ca="1" si="105"/>
        <v>#NAME?</v>
      </c>
      <c r="BL161" s="327" t="e">
        <f t="shared" ca="1" si="149"/>
        <v>#NAME?</v>
      </c>
      <c r="BM161" s="328">
        <f t="shared" si="150"/>
        <v>200</v>
      </c>
      <c r="BN161" s="329" t="e">
        <f t="shared" ca="1" si="151"/>
        <v>#NAME?</v>
      </c>
      <c r="BO161" s="344" t="e">
        <f t="shared" ca="1" si="106"/>
        <v>#NAME?</v>
      </c>
      <c r="BP161" s="320" t="e">
        <f t="shared" ca="1" si="152"/>
        <v>#NAME?</v>
      </c>
      <c r="BQ161" s="344" t="e">
        <f t="shared" ca="1" si="107"/>
        <v>#NAME?</v>
      </c>
      <c r="BR161" s="347" t="e">
        <f t="shared" ca="1" si="108"/>
        <v>#NAME?</v>
      </c>
      <c r="BS161" s="326" t="e">
        <f t="shared" ca="1" si="153"/>
        <v>#NAME?</v>
      </c>
      <c r="BT161" s="437" t="e">
        <f t="shared" ca="1" si="123"/>
        <v>#NAME?</v>
      </c>
      <c r="BU161" s="437" t="e">
        <f t="shared" ca="1" si="124"/>
        <v>#NAME?</v>
      </c>
      <c r="BV161" s="441" t="e">
        <f t="shared" ca="1" si="125"/>
        <v>#NAME?</v>
      </c>
      <c r="BW161" s="442" t="e">
        <f t="shared" ca="1" si="126"/>
        <v>#NAME?</v>
      </c>
      <c r="BX161" s="470" t="e">
        <f t="shared" ca="1" si="96"/>
        <v>#NAME?</v>
      </c>
      <c r="BY161" s="484" t="e">
        <f t="shared" ca="1" si="109"/>
        <v>#NAME?</v>
      </c>
    </row>
    <row r="162" spans="9:77" s="212" customFormat="1" ht="17.75" customHeight="1" x14ac:dyDescent="0.2">
      <c r="I162" s="366">
        <v>78</v>
      </c>
      <c r="J162" s="414">
        <f t="shared" si="110"/>
        <v>41705.766666666845</v>
      </c>
      <c r="K162" s="435" t="e">
        <f t="shared" ca="1" si="111"/>
        <v>#NAME?</v>
      </c>
      <c r="L162" s="435" t="e">
        <f t="shared" ca="1" si="97"/>
        <v>#NAME?</v>
      </c>
      <c r="M162" s="664" t="e">
        <f t="shared" ca="1" si="112"/>
        <v>#NAME?</v>
      </c>
      <c r="N162" s="664" t="e">
        <f t="shared" ca="1" si="113"/>
        <v>#NAME?</v>
      </c>
      <c r="O162" s="140" t="e">
        <f t="shared" ca="1" si="98"/>
        <v>#NAME?</v>
      </c>
      <c r="P162" s="352" t="e">
        <f t="shared" ca="1" si="114"/>
        <v>#NAME?</v>
      </c>
      <c r="Q162" s="665" t="e">
        <f t="shared" ca="1" si="99"/>
        <v>#NAME?</v>
      </c>
      <c r="R162" s="352" t="e">
        <f t="shared" ca="1" si="127"/>
        <v>#NAME?</v>
      </c>
      <c r="S162" s="662" t="e">
        <f t="shared" ca="1" si="100"/>
        <v>#NAME?</v>
      </c>
      <c r="T162" s="443" t="e">
        <f t="shared" ca="1" si="92"/>
        <v>#NAME?</v>
      </c>
      <c r="U162" s="369" t="e">
        <f t="shared" ca="1" si="93"/>
        <v>#NAME?</v>
      </c>
      <c r="V162" s="454" t="e">
        <f t="shared" ca="1" si="101"/>
        <v>#NAME?</v>
      </c>
      <c r="W162" s="457">
        <f t="shared" si="102"/>
        <v>1000</v>
      </c>
      <c r="X162" s="463" t="e">
        <f t="shared" ca="1" si="103"/>
        <v>#NAME?</v>
      </c>
      <c r="Y162" s="455" t="e">
        <f t="shared" ca="1" si="115"/>
        <v>#NAME?</v>
      </c>
      <c r="Z162" s="699">
        <f t="shared" si="94"/>
        <v>10</v>
      </c>
      <c r="AA162" s="355" t="str">
        <f t="shared" si="95"/>
        <v>ON</v>
      </c>
      <c r="AB162" s="357">
        <f t="shared" si="128"/>
        <v>1.4999999999999999E-2</v>
      </c>
      <c r="AC162" s="356" t="e">
        <f ca="1">IF(  Y161=0,0,IF(OR(S162="KCAS",S162="INOP",S162="MEFE"),   ( (5*( (   (((1+0.2*(T162/661.4786)^2)^3.5 -1)  )/( (1-6.8755856*10^-6 *100*Y162)^5.2558797) +1)^(2/7) -1) )^0.5),IF(S162="MACH",T162, IF(S162="LRC",BicubicInterpolation( 'LRC Mach'!$C$4:$AL$21, Y162,U162),  IF(S162="MRC",BicubicInterpolation( 'MRC Mach'!$C$3:$T$18, Y162,U162),  IF(S162="M0.84",0.84,  IF(S162="CI52",BicubicInterpolation('CI=52 Mach'!$C$3:$T$18, Y162,U162),  IF(S162="HOLDING",BicubicInterpolation(  'Holding Mach'!$C$4:$M$13, Y162,U162),                         IF(S162="LRCINOP", BicubicInterpolation('LRC INOP Mach'!$C$4:$AA$21,Y162,U162), IF(S162="HOLDINGINOP",  BicubicInterpolation('Holding INOP Mach'!$N$4:$U$13,Y162,U162),         "XXX" )))))))   )))</f>
        <v>#NAME?</v>
      </c>
      <c r="AD162" s="313" t="e">
        <f t="shared" ca="1" si="129"/>
        <v>#NAME?</v>
      </c>
      <c r="AE162" s="314" t="e">
        <f t="shared" ca="1" si="116"/>
        <v>#NAME?</v>
      </c>
      <c r="AF162" s="313" t="e">
        <f t="shared" ca="1" si="130"/>
        <v>#NAME?</v>
      </c>
      <c r="AG162" s="314" t="e">
        <f t="shared" ca="1" si="117"/>
        <v>#NAME?</v>
      </c>
      <c r="AH162" s="313" t="e">
        <f t="shared" ca="1" si="131"/>
        <v>#NAME?</v>
      </c>
      <c r="AI162" s="314" t="e">
        <f t="shared" ca="1" si="118"/>
        <v>#NAME?</v>
      </c>
      <c r="AJ162" s="315" t="e">
        <f t="shared" ca="1" si="119"/>
        <v>#NAME?</v>
      </c>
      <c r="AK162" s="568" t="e">
        <f t="shared" ca="1" si="132"/>
        <v>#NAME?</v>
      </c>
      <c r="AL162" s="313" t="e">
        <f t="shared" ca="1" si="133"/>
        <v>#NAME?</v>
      </c>
      <c r="AM162" s="313" t="e">
        <f t="shared" ca="1" si="120"/>
        <v>#NAME?</v>
      </c>
      <c r="AN162" s="313" t="e">
        <f t="shared" ca="1" si="121"/>
        <v>#NAME?</v>
      </c>
      <c r="AO162" s="316" t="e">
        <f t="shared" ca="1" si="134"/>
        <v>#NAME?</v>
      </c>
      <c r="AP162" s="313" t="e">
        <f t="shared" ca="1" si="135"/>
        <v>#NAME?</v>
      </c>
      <c r="AQ162" s="314" t="e">
        <f t="shared" ca="1" si="122"/>
        <v>#NAME?</v>
      </c>
      <c r="AR162" s="315" t="e">
        <f t="shared" ca="1" si="136"/>
        <v>#NAME?</v>
      </c>
      <c r="AS162" s="316" t="e">
        <f t="shared" ca="1" si="137"/>
        <v>#NAME?</v>
      </c>
      <c r="AT162" s="315" t="e">
        <f t="shared" ca="1" si="138"/>
        <v>#NAME?</v>
      </c>
      <c r="AU162" s="317">
        <v>427.8</v>
      </c>
      <c r="AV162" s="315" t="e">
        <f t="shared" ca="1" si="139"/>
        <v>#NAME?</v>
      </c>
      <c r="AW162" s="318" t="e">
        <f ca="1">0.0001*BicubicInterpolation('Drag Coef Table'!$B$4:$L$28,AV162,AC162)</f>
        <v>#NAME?</v>
      </c>
      <c r="AX162" s="319" t="e">
        <f t="shared" ca="1" si="140"/>
        <v>#NAME?</v>
      </c>
      <c r="AY162" s="318" t="e">
        <f t="shared" ca="1" si="141"/>
        <v>#NAME?</v>
      </c>
      <c r="AZ162" s="320" t="e">
        <f t="shared" ca="1" si="142"/>
        <v>#NAME?</v>
      </c>
      <c r="BA162" s="321" t="e">
        <f t="shared" ca="1" si="143"/>
        <v>#NAME?</v>
      </c>
      <c r="BB162" s="322" t="e">
        <f t="shared" ca="1" si="144"/>
        <v>#NAME?</v>
      </c>
      <c r="BC162" s="323">
        <v>75.196700000000007</v>
      </c>
      <c r="BD162" s="324" t="e">
        <f t="shared" ca="1" si="145"/>
        <v>#NAME?</v>
      </c>
      <c r="BE162" s="325" t="e">
        <f t="shared" ca="1" si="146"/>
        <v>#NAME?</v>
      </c>
      <c r="BF162" s="324" t="e">
        <f ca="1">BicubicInterpolation('TSFC Eff Table'!$B$4:$E$69,2,BB162)</f>
        <v>#NAME?</v>
      </c>
      <c r="BG162" s="326" t="e">
        <f t="shared" ca="1" si="147"/>
        <v>#NAME?</v>
      </c>
      <c r="BH162" s="694" t="e">
        <f ca="1">IF( S162="LRCINOP",   (1+(0.03/10)*Z162*(1+0.2*AC162^2) )*BicubicInterpolation( 'LRC INOP FF'!$C$4:$AA$21, Y162, U162 )-200, IF(S162 ="HOLDINGINOP", (1+(0.03/10)*Z162*(1+0.2*AC162^2) )*BicubicInterpolation( 'Holding INOP FF'!$C$4:$J$13,  Y162,  U162)/1.05-200,   BA162*BG162))</f>
        <v>#NAME?</v>
      </c>
      <c r="BI162" s="344" t="e">
        <f t="shared" ca="1" si="104"/>
        <v>#NAME?</v>
      </c>
      <c r="BJ162" s="322" t="e">
        <f t="shared" ca="1" si="148"/>
        <v>#NAME?</v>
      </c>
      <c r="BK162" s="338" t="e">
        <f t="shared" ca="1" si="105"/>
        <v>#NAME?</v>
      </c>
      <c r="BL162" s="327" t="e">
        <f t="shared" ca="1" si="149"/>
        <v>#NAME?</v>
      </c>
      <c r="BM162" s="328">
        <f t="shared" si="150"/>
        <v>200</v>
      </c>
      <c r="BN162" s="329" t="e">
        <f t="shared" ca="1" si="151"/>
        <v>#NAME?</v>
      </c>
      <c r="BO162" s="344" t="e">
        <f t="shared" ca="1" si="106"/>
        <v>#NAME?</v>
      </c>
      <c r="BP162" s="320" t="e">
        <f t="shared" ca="1" si="152"/>
        <v>#NAME?</v>
      </c>
      <c r="BQ162" s="344" t="e">
        <f t="shared" ca="1" si="107"/>
        <v>#NAME?</v>
      </c>
      <c r="BR162" s="347" t="e">
        <f t="shared" ca="1" si="108"/>
        <v>#NAME?</v>
      </c>
      <c r="BS162" s="326" t="e">
        <f t="shared" ca="1" si="153"/>
        <v>#NAME?</v>
      </c>
      <c r="BT162" s="437" t="e">
        <f t="shared" ca="1" si="123"/>
        <v>#NAME?</v>
      </c>
      <c r="BU162" s="437" t="e">
        <f t="shared" ca="1" si="124"/>
        <v>#NAME?</v>
      </c>
      <c r="BV162" s="441" t="e">
        <f t="shared" ca="1" si="125"/>
        <v>#NAME?</v>
      </c>
      <c r="BW162" s="442" t="e">
        <f t="shared" ca="1" si="126"/>
        <v>#NAME?</v>
      </c>
      <c r="BX162" s="470" t="e">
        <f t="shared" ca="1" si="96"/>
        <v>#NAME?</v>
      </c>
      <c r="BY162" s="484" t="e">
        <f t="shared" ca="1" si="109"/>
        <v>#NAME?</v>
      </c>
    </row>
    <row r="163" spans="9:77" s="212" customFormat="1" ht="17.75" customHeight="1" x14ac:dyDescent="0.2">
      <c r="I163" s="366">
        <v>79</v>
      </c>
      <c r="J163" s="414">
        <f t="shared" si="110"/>
        <v>41705.767361111291</v>
      </c>
      <c r="K163" s="435" t="e">
        <f t="shared" ca="1" si="111"/>
        <v>#NAME?</v>
      </c>
      <c r="L163" s="435" t="e">
        <f t="shared" ca="1" si="97"/>
        <v>#NAME?</v>
      </c>
      <c r="M163" s="664" t="e">
        <f t="shared" ca="1" si="112"/>
        <v>#NAME?</v>
      </c>
      <c r="N163" s="664" t="e">
        <f t="shared" ca="1" si="113"/>
        <v>#NAME?</v>
      </c>
      <c r="O163" s="140" t="e">
        <f t="shared" ca="1" si="98"/>
        <v>#NAME?</v>
      </c>
      <c r="P163" s="352" t="e">
        <f t="shared" ca="1" si="114"/>
        <v>#NAME?</v>
      </c>
      <c r="Q163" s="665" t="e">
        <f t="shared" ca="1" si="99"/>
        <v>#NAME?</v>
      </c>
      <c r="R163" s="352" t="e">
        <f t="shared" ca="1" si="127"/>
        <v>#NAME?</v>
      </c>
      <c r="S163" s="662" t="e">
        <f t="shared" ca="1" si="100"/>
        <v>#NAME?</v>
      </c>
      <c r="T163" s="443" t="e">
        <f t="shared" ca="1" si="92"/>
        <v>#NAME?</v>
      </c>
      <c r="U163" s="369" t="e">
        <f t="shared" ca="1" si="93"/>
        <v>#NAME?</v>
      </c>
      <c r="V163" s="454" t="e">
        <f t="shared" ca="1" si="101"/>
        <v>#NAME?</v>
      </c>
      <c r="W163" s="457">
        <f t="shared" si="102"/>
        <v>1000</v>
      </c>
      <c r="X163" s="463" t="e">
        <f t="shared" ca="1" si="103"/>
        <v>#NAME?</v>
      </c>
      <c r="Y163" s="455" t="e">
        <f t="shared" ca="1" si="115"/>
        <v>#NAME?</v>
      </c>
      <c r="Z163" s="699">
        <f t="shared" si="94"/>
        <v>10</v>
      </c>
      <c r="AA163" s="355" t="str">
        <f t="shared" si="95"/>
        <v>ON</v>
      </c>
      <c r="AB163" s="357">
        <f t="shared" si="128"/>
        <v>1.4999999999999999E-2</v>
      </c>
      <c r="AC163" s="356" t="e">
        <f ca="1">IF(  Y162=0,0,IF(OR(S163="KCAS",S163="INOP",S163="MEFE"),   ( (5*( (   (((1+0.2*(T163/661.4786)^2)^3.5 -1)  )/( (1-6.8755856*10^-6 *100*Y163)^5.2558797) +1)^(2/7) -1) )^0.5),IF(S163="MACH",T163, IF(S163="LRC",BicubicInterpolation( 'LRC Mach'!$C$4:$AL$21, Y163,U163),  IF(S163="MRC",BicubicInterpolation( 'MRC Mach'!$C$3:$T$18, Y163,U163),  IF(S163="M0.84",0.84,  IF(S163="CI52",BicubicInterpolation('CI=52 Mach'!$C$3:$T$18, Y163,U163),  IF(S163="HOLDING",BicubicInterpolation(  'Holding Mach'!$C$4:$M$13, Y163,U163),                         IF(S163="LRCINOP", BicubicInterpolation('LRC INOP Mach'!$C$4:$AA$21,Y163,U163), IF(S163="HOLDINGINOP",  BicubicInterpolation('Holding INOP Mach'!$N$4:$U$13,Y163,U163),         "XXX" )))))))   )))</f>
        <v>#NAME?</v>
      </c>
      <c r="AD163" s="313" t="e">
        <f t="shared" ca="1" si="129"/>
        <v>#NAME?</v>
      </c>
      <c r="AE163" s="314" t="e">
        <f t="shared" ca="1" si="116"/>
        <v>#NAME?</v>
      </c>
      <c r="AF163" s="313" t="e">
        <f t="shared" ca="1" si="130"/>
        <v>#NAME?</v>
      </c>
      <c r="AG163" s="314" t="e">
        <f t="shared" ca="1" si="117"/>
        <v>#NAME?</v>
      </c>
      <c r="AH163" s="313" t="e">
        <f t="shared" ca="1" si="131"/>
        <v>#NAME?</v>
      </c>
      <c r="AI163" s="314" t="e">
        <f t="shared" ca="1" si="118"/>
        <v>#NAME?</v>
      </c>
      <c r="AJ163" s="315" t="e">
        <f t="shared" ca="1" si="119"/>
        <v>#NAME?</v>
      </c>
      <c r="AK163" s="568" t="e">
        <f t="shared" ca="1" si="132"/>
        <v>#NAME?</v>
      </c>
      <c r="AL163" s="313" t="e">
        <f t="shared" ca="1" si="133"/>
        <v>#NAME?</v>
      </c>
      <c r="AM163" s="313" t="e">
        <f t="shared" ca="1" si="120"/>
        <v>#NAME?</v>
      </c>
      <c r="AN163" s="313" t="e">
        <f t="shared" ca="1" si="121"/>
        <v>#NAME?</v>
      </c>
      <c r="AO163" s="316" t="e">
        <f t="shared" ca="1" si="134"/>
        <v>#NAME?</v>
      </c>
      <c r="AP163" s="313" t="e">
        <f t="shared" ca="1" si="135"/>
        <v>#NAME?</v>
      </c>
      <c r="AQ163" s="314" t="e">
        <f t="shared" ca="1" si="122"/>
        <v>#NAME?</v>
      </c>
      <c r="AR163" s="315" t="e">
        <f t="shared" ca="1" si="136"/>
        <v>#NAME?</v>
      </c>
      <c r="AS163" s="316" t="e">
        <f t="shared" ca="1" si="137"/>
        <v>#NAME?</v>
      </c>
      <c r="AT163" s="315" t="e">
        <f t="shared" ca="1" si="138"/>
        <v>#NAME?</v>
      </c>
      <c r="AU163" s="317">
        <v>427.8</v>
      </c>
      <c r="AV163" s="315" t="e">
        <f t="shared" ca="1" si="139"/>
        <v>#NAME?</v>
      </c>
      <c r="AW163" s="318" t="e">
        <f ca="1">0.0001*BicubicInterpolation('Drag Coef Table'!$B$4:$L$28,AV163,AC163)</f>
        <v>#NAME?</v>
      </c>
      <c r="AX163" s="319" t="e">
        <f t="shared" ca="1" si="140"/>
        <v>#NAME?</v>
      </c>
      <c r="AY163" s="318" t="e">
        <f t="shared" ca="1" si="141"/>
        <v>#NAME?</v>
      </c>
      <c r="AZ163" s="320" t="e">
        <f t="shared" ca="1" si="142"/>
        <v>#NAME?</v>
      </c>
      <c r="BA163" s="321" t="e">
        <f t="shared" ca="1" si="143"/>
        <v>#NAME?</v>
      </c>
      <c r="BB163" s="322" t="e">
        <f t="shared" ca="1" si="144"/>
        <v>#NAME?</v>
      </c>
      <c r="BC163" s="323">
        <v>75.196700000000007</v>
      </c>
      <c r="BD163" s="324" t="e">
        <f t="shared" ca="1" si="145"/>
        <v>#NAME?</v>
      </c>
      <c r="BE163" s="325" t="e">
        <f t="shared" ca="1" si="146"/>
        <v>#NAME?</v>
      </c>
      <c r="BF163" s="324" t="e">
        <f ca="1">BicubicInterpolation('TSFC Eff Table'!$B$4:$E$69,2,BB163)</f>
        <v>#NAME?</v>
      </c>
      <c r="BG163" s="326" t="e">
        <f t="shared" ca="1" si="147"/>
        <v>#NAME?</v>
      </c>
      <c r="BH163" s="694" t="e">
        <f ca="1">IF( S163="LRCINOP",   (1+(0.03/10)*Z163*(1+0.2*AC163^2) )*BicubicInterpolation( 'LRC INOP FF'!$C$4:$AA$21, Y163, U163 )-200, IF(S163 ="HOLDINGINOP", (1+(0.03/10)*Z163*(1+0.2*AC163^2) )*BicubicInterpolation( 'Holding INOP FF'!$C$4:$J$13,  Y163,  U163)/1.05-200,   BA163*BG163))</f>
        <v>#NAME?</v>
      </c>
      <c r="BI163" s="344" t="e">
        <f t="shared" ca="1" si="104"/>
        <v>#NAME?</v>
      </c>
      <c r="BJ163" s="322" t="e">
        <f t="shared" ca="1" si="148"/>
        <v>#NAME?</v>
      </c>
      <c r="BK163" s="338" t="e">
        <f t="shared" ca="1" si="105"/>
        <v>#NAME?</v>
      </c>
      <c r="BL163" s="327" t="e">
        <f t="shared" ca="1" si="149"/>
        <v>#NAME?</v>
      </c>
      <c r="BM163" s="328">
        <f t="shared" si="150"/>
        <v>200</v>
      </c>
      <c r="BN163" s="329" t="e">
        <f t="shared" ca="1" si="151"/>
        <v>#NAME?</v>
      </c>
      <c r="BO163" s="344" t="e">
        <f t="shared" ca="1" si="106"/>
        <v>#NAME?</v>
      </c>
      <c r="BP163" s="320" t="e">
        <f t="shared" ca="1" si="152"/>
        <v>#NAME?</v>
      </c>
      <c r="BQ163" s="344" t="e">
        <f t="shared" ca="1" si="107"/>
        <v>#NAME?</v>
      </c>
      <c r="BR163" s="347" t="e">
        <f t="shared" ca="1" si="108"/>
        <v>#NAME?</v>
      </c>
      <c r="BS163" s="326" t="e">
        <f t="shared" ca="1" si="153"/>
        <v>#NAME?</v>
      </c>
      <c r="BT163" s="437" t="e">
        <f t="shared" ca="1" si="123"/>
        <v>#NAME?</v>
      </c>
      <c r="BU163" s="437" t="e">
        <f t="shared" ca="1" si="124"/>
        <v>#NAME?</v>
      </c>
      <c r="BV163" s="441" t="e">
        <f t="shared" ca="1" si="125"/>
        <v>#NAME?</v>
      </c>
      <c r="BW163" s="442" t="e">
        <f t="shared" ca="1" si="126"/>
        <v>#NAME?</v>
      </c>
      <c r="BX163" s="470" t="e">
        <f t="shared" ca="1" si="96"/>
        <v>#NAME?</v>
      </c>
      <c r="BY163" s="484" t="e">
        <f t="shared" ca="1" si="109"/>
        <v>#NAME?</v>
      </c>
    </row>
    <row r="164" spans="9:77" s="212" customFormat="1" ht="17.75" customHeight="1" x14ac:dyDescent="0.2">
      <c r="I164" s="366">
        <v>80</v>
      </c>
      <c r="J164" s="414">
        <f t="shared" si="110"/>
        <v>41705.768055555738</v>
      </c>
      <c r="K164" s="435" t="e">
        <f t="shared" ca="1" si="111"/>
        <v>#NAME?</v>
      </c>
      <c r="L164" s="435" t="e">
        <f t="shared" ca="1" si="97"/>
        <v>#NAME?</v>
      </c>
      <c r="M164" s="664" t="e">
        <f t="shared" ca="1" si="112"/>
        <v>#NAME?</v>
      </c>
      <c r="N164" s="664" t="e">
        <f t="shared" ca="1" si="113"/>
        <v>#NAME?</v>
      </c>
      <c r="O164" s="140" t="e">
        <f t="shared" ca="1" si="98"/>
        <v>#NAME?</v>
      </c>
      <c r="P164" s="352" t="e">
        <f t="shared" ca="1" si="114"/>
        <v>#NAME?</v>
      </c>
      <c r="Q164" s="665" t="e">
        <f t="shared" ca="1" si="99"/>
        <v>#NAME?</v>
      </c>
      <c r="R164" s="352" t="e">
        <f t="shared" ca="1" si="127"/>
        <v>#NAME?</v>
      </c>
      <c r="S164" s="662" t="e">
        <f t="shared" ca="1" si="100"/>
        <v>#NAME?</v>
      </c>
      <c r="T164" s="443" t="e">
        <f t="shared" ca="1" si="92"/>
        <v>#NAME?</v>
      </c>
      <c r="U164" s="369" t="e">
        <f t="shared" ca="1" si="93"/>
        <v>#NAME?</v>
      </c>
      <c r="V164" s="454" t="e">
        <f t="shared" ca="1" si="101"/>
        <v>#NAME?</v>
      </c>
      <c r="W164" s="457">
        <f t="shared" si="102"/>
        <v>1000</v>
      </c>
      <c r="X164" s="463" t="e">
        <f t="shared" ca="1" si="103"/>
        <v>#NAME?</v>
      </c>
      <c r="Y164" s="455" t="e">
        <f t="shared" ca="1" si="115"/>
        <v>#NAME?</v>
      </c>
      <c r="Z164" s="699">
        <f t="shared" si="94"/>
        <v>10</v>
      </c>
      <c r="AA164" s="355" t="str">
        <f t="shared" si="95"/>
        <v>ON</v>
      </c>
      <c r="AB164" s="357">
        <f t="shared" si="128"/>
        <v>1.4999999999999999E-2</v>
      </c>
      <c r="AC164" s="356" t="e">
        <f ca="1">IF(  Y163=0,0,IF(OR(S164="KCAS",S164="INOP",S164="MEFE"),   ( (5*( (   (((1+0.2*(T164/661.4786)^2)^3.5 -1)  )/( (1-6.8755856*10^-6 *100*Y164)^5.2558797) +1)^(2/7) -1) )^0.5),IF(S164="MACH",T164, IF(S164="LRC",BicubicInterpolation( 'LRC Mach'!$C$4:$AL$21, Y164,U164),  IF(S164="MRC",BicubicInterpolation( 'MRC Mach'!$C$3:$T$18, Y164,U164),  IF(S164="M0.84",0.84,  IF(S164="CI52",BicubicInterpolation('CI=52 Mach'!$C$3:$T$18, Y164,U164),  IF(S164="HOLDING",BicubicInterpolation(  'Holding Mach'!$C$4:$M$13, Y164,U164),                         IF(S164="LRCINOP", BicubicInterpolation('LRC INOP Mach'!$C$4:$AA$21,Y164,U164), IF(S164="HOLDINGINOP",  BicubicInterpolation('Holding INOP Mach'!$N$4:$U$13,Y164,U164),         "XXX" )))))))   )))</f>
        <v>#NAME?</v>
      </c>
      <c r="AD164" s="313" t="e">
        <f t="shared" ca="1" si="129"/>
        <v>#NAME?</v>
      </c>
      <c r="AE164" s="314" t="e">
        <f t="shared" ca="1" si="116"/>
        <v>#NAME?</v>
      </c>
      <c r="AF164" s="313" t="e">
        <f t="shared" ca="1" si="130"/>
        <v>#NAME?</v>
      </c>
      <c r="AG164" s="314" t="e">
        <f t="shared" ca="1" si="117"/>
        <v>#NAME?</v>
      </c>
      <c r="AH164" s="313" t="e">
        <f t="shared" ca="1" si="131"/>
        <v>#NAME?</v>
      </c>
      <c r="AI164" s="314" t="e">
        <f t="shared" ca="1" si="118"/>
        <v>#NAME?</v>
      </c>
      <c r="AJ164" s="315" t="e">
        <f t="shared" ca="1" si="119"/>
        <v>#NAME?</v>
      </c>
      <c r="AK164" s="568" t="e">
        <f t="shared" ca="1" si="132"/>
        <v>#NAME?</v>
      </c>
      <c r="AL164" s="313" t="e">
        <f t="shared" ca="1" si="133"/>
        <v>#NAME?</v>
      </c>
      <c r="AM164" s="313" t="e">
        <f t="shared" ca="1" si="120"/>
        <v>#NAME?</v>
      </c>
      <c r="AN164" s="313" t="e">
        <f t="shared" ca="1" si="121"/>
        <v>#NAME?</v>
      </c>
      <c r="AO164" s="316" t="e">
        <f t="shared" ca="1" si="134"/>
        <v>#NAME?</v>
      </c>
      <c r="AP164" s="313" t="e">
        <f t="shared" ca="1" si="135"/>
        <v>#NAME?</v>
      </c>
      <c r="AQ164" s="314" t="e">
        <f t="shared" ca="1" si="122"/>
        <v>#NAME?</v>
      </c>
      <c r="AR164" s="315" t="e">
        <f t="shared" ca="1" si="136"/>
        <v>#NAME?</v>
      </c>
      <c r="AS164" s="316" t="e">
        <f t="shared" ca="1" si="137"/>
        <v>#NAME?</v>
      </c>
      <c r="AT164" s="315" t="e">
        <f t="shared" ca="1" si="138"/>
        <v>#NAME?</v>
      </c>
      <c r="AU164" s="317">
        <v>427.8</v>
      </c>
      <c r="AV164" s="315" t="e">
        <f t="shared" ca="1" si="139"/>
        <v>#NAME?</v>
      </c>
      <c r="AW164" s="318" t="e">
        <f ca="1">0.0001*BicubicInterpolation('Drag Coef Table'!$B$4:$L$28,AV164,AC164)</f>
        <v>#NAME?</v>
      </c>
      <c r="AX164" s="319" t="e">
        <f t="shared" ca="1" si="140"/>
        <v>#NAME?</v>
      </c>
      <c r="AY164" s="318" t="e">
        <f t="shared" ca="1" si="141"/>
        <v>#NAME?</v>
      </c>
      <c r="AZ164" s="320" t="e">
        <f t="shared" ca="1" si="142"/>
        <v>#NAME?</v>
      </c>
      <c r="BA164" s="321" t="e">
        <f t="shared" ca="1" si="143"/>
        <v>#NAME?</v>
      </c>
      <c r="BB164" s="322" t="e">
        <f t="shared" ca="1" si="144"/>
        <v>#NAME?</v>
      </c>
      <c r="BC164" s="323">
        <v>75.196700000000007</v>
      </c>
      <c r="BD164" s="324" t="e">
        <f t="shared" ca="1" si="145"/>
        <v>#NAME?</v>
      </c>
      <c r="BE164" s="325" t="e">
        <f t="shared" ca="1" si="146"/>
        <v>#NAME?</v>
      </c>
      <c r="BF164" s="324" t="e">
        <f ca="1">BicubicInterpolation('TSFC Eff Table'!$B$4:$E$69,2,BB164)</f>
        <v>#NAME?</v>
      </c>
      <c r="BG164" s="326" t="e">
        <f t="shared" ca="1" si="147"/>
        <v>#NAME?</v>
      </c>
      <c r="BH164" s="694" t="e">
        <f ca="1">IF( S164="LRCINOP",   (1+(0.03/10)*Z164*(1+0.2*AC164^2) )*BicubicInterpolation( 'LRC INOP FF'!$C$4:$AA$21, Y164, U164 )-200, IF(S164 ="HOLDINGINOP", (1+(0.03/10)*Z164*(1+0.2*AC164^2) )*BicubicInterpolation( 'Holding INOP FF'!$C$4:$J$13,  Y164,  U164)/1.05-200,   BA164*BG164))</f>
        <v>#NAME?</v>
      </c>
      <c r="BI164" s="344" t="e">
        <f t="shared" ca="1" si="104"/>
        <v>#NAME?</v>
      </c>
      <c r="BJ164" s="322" t="e">
        <f t="shared" ca="1" si="148"/>
        <v>#NAME?</v>
      </c>
      <c r="BK164" s="338" t="e">
        <f t="shared" ca="1" si="105"/>
        <v>#NAME?</v>
      </c>
      <c r="BL164" s="327" t="e">
        <f t="shared" ca="1" si="149"/>
        <v>#NAME?</v>
      </c>
      <c r="BM164" s="328">
        <f t="shared" si="150"/>
        <v>200</v>
      </c>
      <c r="BN164" s="329" t="e">
        <f t="shared" ca="1" si="151"/>
        <v>#NAME?</v>
      </c>
      <c r="BO164" s="344" t="e">
        <f t="shared" ca="1" si="106"/>
        <v>#NAME?</v>
      </c>
      <c r="BP164" s="320" t="e">
        <f t="shared" ca="1" si="152"/>
        <v>#NAME?</v>
      </c>
      <c r="BQ164" s="344" t="e">
        <f t="shared" ca="1" si="107"/>
        <v>#NAME?</v>
      </c>
      <c r="BR164" s="347" t="e">
        <f t="shared" ca="1" si="108"/>
        <v>#NAME?</v>
      </c>
      <c r="BS164" s="326" t="e">
        <f t="shared" ca="1" si="153"/>
        <v>#NAME?</v>
      </c>
      <c r="BT164" s="437" t="e">
        <f t="shared" ca="1" si="123"/>
        <v>#NAME?</v>
      </c>
      <c r="BU164" s="437" t="e">
        <f t="shared" ca="1" si="124"/>
        <v>#NAME?</v>
      </c>
      <c r="BV164" s="441" t="e">
        <f t="shared" ca="1" si="125"/>
        <v>#NAME?</v>
      </c>
      <c r="BW164" s="442" t="e">
        <f t="shared" ca="1" si="126"/>
        <v>#NAME?</v>
      </c>
      <c r="BX164" s="470" t="e">
        <f t="shared" ca="1" si="96"/>
        <v>#NAME?</v>
      </c>
      <c r="BY164" s="484" t="e">
        <f t="shared" ca="1" si="109"/>
        <v>#NAME?</v>
      </c>
    </row>
    <row r="165" spans="9:77" s="212" customFormat="1" ht="17.75" customHeight="1" x14ac:dyDescent="0.2">
      <c r="I165" s="366">
        <v>81</v>
      </c>
      <c r="J165" s="414">
        <f t="shared" si="110"/>
        <v>41705.768750000185</v>
      </c>
      <c r="K165" s="435" t="e">
        <f t="shared" ca="1" si="111"/>
        <v>#NAME?</v>
      </c>
      <c r="L165" s="435" t="e">
        <f t="shared" ca="1" si="97"/>
        <v>#NAME?</v>
      </c>
      <c r="M165" s="664" t="e">
        <f t="shared" ca="1" si="112"/>
        <v>#NAME?</v>
      </c>
      <c r="N165" s="664" t="e">
        <f t="shared" ca="1" si="113"/>
        <v>#NAME?</v>
      </c>
      <c r="O165" s="140" t="e">
        <f t="shared" ca="1" si="98"/>
        <v>#NAME?</v>
      </c>
      <c r="P165" s="352" t="e">
        <f t="shared" ca="1" si="114"/>
        <v>#NAME?</v>
      </c>
      <c r="Q165" s="665" t="e">
        <f t="shared" ca="1" si="99"/>
        <v>#NAME?</v>
      </c>
      <c r="R165" s="352" t="e">
        <f t="shared" ca="1" si="127"/>
        <v>#NAME?</v>
      </c>
      <c r="S165" s="662" t="e">
        <f t="shared" ca="1" si="100"/>
        <v>#NAME?</v>
      </c>
      <c r="T165" s="443" t="e">
        <f t="shared" ca="1" si="92"/>
        <v>#NAME?</v>
      </c>
      <c r="U165" s="369" t="e">
        <f t="shared" ca="1" si="93"/>
        <v>#NAME?</v>
      </c>
      <c r="V165" s="454" t="e">
        <f t="shared" ca="1" si="101"/>
        <v>#NAME?</v>
      </c>
      <c r="W165" s="457">
        <f t="shared" si="102"/>
        <v>1000</v>
      </c>
      <c r="X165" s="463" t="e">
        <f t="shared" ca="1" si="103"/>
        <v>#NAME?</v>
      </c>
      <c r="Y165" s="455" t="e">
        <f t="shared" ca="1" si="115"/>
        <v>#NAME?</v>
      </c>
      <c r="Z165" s="699">
        <f t="shared" si="94"/>
        <v>10</v>
      </c>
      <c r="AA165" s="355" t="str">
        <f t="shared" si="95"/>
        <v>ON</v>
      </c>
      <c r="AB165" s="357">
        <f t="shared" si="128"/>
        <v>1.4999999999999999E-2</v>
      </c>
      <c r="AC165" s="356" t="e">
        <f ca="1">IF(  Y164=0,0,IF(OR(S165="KCAS",S165="INOP",S165="MEFE"),   ( (5*( (   (((1+0.2*(T165/661.4786)^2)^3.5 -1)  )/( (1-6.8755856*10^-6 *100*Y165)^5.2558797) +1)^(2/7) -1) )^0.5),IF(S165="MACH",T165, IF(S165="LRC",BicubicInterpolation( 'LRC Mach'!$C$4:$AL$21, Y165,U165),  IF(S165="MRC",BicubicInterpolation( 'MRC Mach'!$C$3:$T$18, Y165,U165),  IF(S165="M0.84",0.84,  IF(S165="CI52",BicubicInterpolation('CI=52 Mach'!$C$3:$T$18, Y165,U165),  IF(S165="HOLDING",BicubicInterpolation(  'Holding Mach'!$C$4:$M$13, Y165,U165),                         IF(S165="LRCINOP", BicubicInterpolation('LRC INOP Mach'!$C$4:$AA$21,Y165,U165), IF(S165="HOLDINGINOP",  BicubicInterpolation('Holding INOP Mach'!$N$4:$U$13,Y165,U165),         "XXX" )))))))   )))</f>
        <v>#NAME?</v>
      </c>
      <c r="AD165" s="313" t="e">
        <f t="shared" ca="1" si="129"/>
        <v>#NAME?</v>
      </c>
      <c r="AE165" s="314" t="e">
        <f t="shared" ca="1" si="116"/>
        <v>#NAME?</v>
      </c>
      <c r="AF165" s="313" t="e">
        <f t="shared" ca="1" si="130"/>
        <v>#NAME?</v>
      </c>
      <c r="AG165" s="314" t="e">
        <f t="shared" ca="1" si="117"/>
        <v>#NAME?</v>
      </c>
      <c r="AH165" s="313" t="e">
        <f t="shared" ca="1" si="131"/>
        <v>#NAME?</v>
      </c>
      <c r="AI165" s="314" t="e">
        <f t="shared" ca="1" si="118"/>
        <v>#NAME?</v>
      </c>
      <c r="AJ165" s="315" t="e">
        <f t="shared" ca="1" si="119"/>
        <v>#NAME?</v>
      </c>
      <c r="AK165" s="568" t="e">
        <f t="shared" ca="1" si="132"/>
        <v>#NAME?</v>
      </c>
      <c r="AL165" s="313" t="e">
        <f t="shared" ca="1" si="133"/>
        <v>#NAME?</v>
      </c>
      <c r="AM165" s="313" t="e">
        <f t="shared" ca="1" si="120"/>
        <v>#NAME?</v>
      </c>
      <c r="AN165" s="313" t="e">
        <f t="shared" ca="1" si="121"/>
        <v>#NAME?</v>
      </c>
      <c r="AO165" s="316" t="e">
        <f t="shared" ca="1" si="134"/>
        <v>#NAME?</v>
      </c>
      <c r="AP165" s="313" t="e">
        <f t="shared" ca="1" si="135"/>
        <v>#NAME?</v>
      </c>
      <c r="AQ165" s="314" t="e">
        <f t="shared" ca="1" si="122"/>
        <v>#NAME?</v>
      </c>
      <c r="AR165" s="315" t="e">
        <f t="shared" ca="1" si="136"/>
        <v>#NAME?</v>
      </c>
      <c r="AS165" s="316" t="e">
        <f t="shared" ca="1" si="137"/>
        <v>#NAME?</v>
      </c>
      <c r="AT165" s="315" t="e">
        <f t="shared" ca="1" si="138"/>
        <v>#NAME?</v>
      </c>
      <c r="AU165" s="317">
        <v>427.8</v>
      </c>
      <c r="AV165" s="315" t="e">
        <f t="shared" ca="1" si="139"/>
        <v>#NAME?</v>
      </c>
      <c r="AW165" s="318" t="e">
        <f ca="1">0.0001*BicubicInterpolation('Drag Coef Table'!$B$4:$L$28,AV165,AC165)</f>
        <v>#NAME?</v>
      </c>
      <c r="AX165" s="319" t="e">
        <f t="shared" ca="1" si="140"/>
        <v>#NAME?</v>
      </c>
      <c r="AY165" s="318" t="e">
        <f t="shared" ca="1" si="141"/>
        <v>#NAME?</v>
      </c>
      <c r="AZ165" s="320" t="e">
        <f t="shared" ca="1" si="142"/>
        <v>#NAME?</v>
      </c>
      <c r="BA165" s="321" t="e">
        <f t="shared" ca="1" si="143"/>
        <v>#NAME?</v>
      </c>
      <c r="BB165" s="322" t="e">
        <f t="shared" ca="1" si="144"/>
        <v>#NAME?</v>
      </c>
      <c r="BC165" s="323">
        <v>75.196700000000007</v>
      </c>
      <c r="BD165" s="324" t="e">
        <f t="shared" ca="1" si="145"/>
        <v>#NAME?</v>
      </c>
      <c r="BE165" s="325" t="e">
        <f t="shared" ca="1" si="146"/>
        <v>#NAME?</v>
      </c>
      <c r="BF165" s="324" t="e">
        <f ca="1">BicubicInterpolation('TSFC Eff Table'!$B$4:$E$69,2,BB165)</f>
        <v>#NAME?</v>
      </c>
      <c r="BG165" s="326" t="e">
        <f t="shared" ca="1" si="147"/>
        <v>#NAME?</v>
      </c>
      <c r="BH165" s="694" t="e">
        <f ca="1">IF( S165="LRCINOP",   (1+(0.03/10)*Z165*(1+0.2*AC165^2) )*BicubicInterpolation( 'LRC INOP FF'!$C$4:$AA$21, Y165, U165 )-200, IF(S165 ="HOLDINGINOP", (1+(0.03/10)*Z165*(1+0.2*AC165^2) )*BicubicInterpolation( 'Holding INOP FF'!$C$4:$J$13,  Y165,  U165)/1.05-200,   BA165*BG165))</f>
        <v>#NAME?</v>
      </c>
      <c r="BI165" s="344" t="e">
        <f t="shared" ca="1" si="104"/>
        <v>#NAME?</v>
      </c>
      <c r="BJ165" s="322" t="e">
        <f t="shared" ca="1" si="148"/>
        <v>#NAME?</v>
      </c>
      <c r="BK165" s="338" t="e">
        <f t="shared" ca="1" si="105"/>
        <v>#NAME?</v>
      </c>
      <c r="BL165" s="327" t="e">
        <f t="shared" ca="1" si="149"/>
        <v>#NAME?</v>
      </c>
      <c r="BM165" s="328">
        <f t="shared" si="150"/>
        <v>200</v>
      </c>
      <c r="BN165" s="329" t="e">
        <f t="shared" ca="1" si="151"/>
        <v>#NAME?</v>
      </c>
      <c r="BO165" s="344" t="e">
        <f t="shared" ca="1" si="106"/>
        <v>#NAME?</v>
      </c>
      <c r="BP165" s="320" t="e">
        <f t="shared" ca="1" si="152"/>
        <v>#NAME?</v>
      </c>
      <c r="BQ165" s="344" t="e">
        <f t="shared" ca="1" si="107"/>
        <v>#NAME?</v>
      </c>
      <c r="BR165" s="347" t="e">
        <f t="shared" ca="1" si="108"/>
        <v>#NAME?</v>
      </c>
      <c r="BS165" s="326" t="e">
        <f t="shared" ca="1" si="153"/>
        <v>#NAME?</v>
      </c>
      <c r="BT165" s="437" t="e">
        <f t="shared" ca="1" si="123"/>
        <v>#NAME?</v>
      </c>
      <c r="BU165" s="437" t="e">
        <f t="shared" ca="1" si="124"/>
        <v>#NAME?</v>
      </c>
      <c r="BV165" s="441" t="e">
        <f t="shared" ca="1" si="125"/>
        <v>#NAME?</v>
      </c>
      <c r="BW165" s="442" t="e">
        <f t="shared" ca="1" si="126"/>
        <v>#NAME?</v>
      </c>
      <c r="BX165" s="470" t="e">
        <f t="shared" ca="1" si="96"/>
        <v>#NAME?</v>
      </c>
      <c r="BY165" s="484" t="e">
        <f t="shared" ca="1" si="109"/>
        <v>#NAME?</v>
      </c>
    </row>
    <row r="166" spans="9:77" s="212" customFormat="1" ht="17.75" customHeight="1" x14ac:dyDescent="0.2">
      <c r="I166" s="366">
        <v>82</v>
      </c>
      <c r="J166" s="414">
        <f t="shared" si="110"/>
        <v>41705.769444444632</v>
      </c>
      <c r="K166" s="435" t="e">
        <f t="shared" ca="1" si="111"/>
        <v>#NAME?</v>
      </c>
      <c r="L166" s="435" t="e">
        <f t="shared" ca="1" si="97"/>
        <v>#NAME?</v>
      </c>
      <c r="M166" s="664" t="e">
        <f t="shared" ca="1" si="112"/>
        <v>#NAME?</v>
      </c>
      <c r="N166" s="664" t="e">
        <f t="shared" ca="1" si="113"/>
        <v>#NAME?</v>
      </c>
      <c r="O166" s="140" t="e">
        <f t="shared" ca="1" si="98"/>
        <v>#NAME?</v>
      </c>
      <c r="P166" s="352" t="e">
        <f t="shared" ca="1" si="114"/>
        <v>#NAME?</v>
      </c>
      <c r="Q166" s="665" t="e">
        <f t="shared" ca="1" si="99"/>
        <v>#NAME?</v>
      </c>
      <c r="R166" s="352" t="e">
        <f t="shared" ca="1" si="127"/>
        <v>#NAME?</v>
      </c>
      <c r="S166" s="662" t="e">
        <f t="shared" ca="1" si="100"/>
        <v>#NAME?</v>
      </c>
      <c r="T166" s="443" t="e">
        <f t="shared" ca="1" si="92"/>
        <v>#NAME?</v>
      </c>
      <c r="U166" s="369" t="e">
        <f t="shared" ca="1" si="93"/>
        <v>#NAME?</v>
      </c>
      <c r="V166" s="454" t="e">
        <f t="shared" ca="1" si="101"/>
        <v>#NAME?</v>
      </c>
      <c r="W166" s="457">
        <f t="shared" si="102"/>
        <v>1000</v>
      </c>
      <c r="X166" s="463" t="e">
        <f t="shared" ca="1" si="103"/>
        <v>#NAME?</v>
      </c>
      <c r="Y166" s="455" t="e">
        <f t="shared" ca="1" si="115"/>
        <v>#NAME?</v>
      </c>
      <c r="Z166" s="699">
        <f t="shared" si="94"/>
        <v>10</v>
      </c>
      <c r="AA166" s="355" t="str">
        <f t="shared" si="95"/>
        <v>ON</v>
      </c>
      <c r="AB166" s="357">
        <f t="shared" si="128"/>
        <v>1.4999999999999999E-2</v>
      </c>
      <c r="AC166" s="356" t="e">
        <f ca="1">IF(  Y165=0,0,IF(OR(S166="KCAS",S166="INOP",S166="MEFE"),   ( (5*( (   (((1+0.2*(T166/661.4786)^2)^3.5 -1)  )/( (1-6.8755856*10^-6 *100*Y166)^5.2558797) +1)^(2/7) -1) )^0.5),IF(S166="MACH",T166, IF(S166="LRC",BicubicInterpolation( 'LRC Mach'!$C$4:$AL$21, Y166,U166),  IF(S166="MRC",BicubicInterpolation( 'MRC Mach'!$C$3:$T$18, Y166,U166),  IF(S166="M0.84",0.84,  IF(S166="CI52",BicubicInterpolation('CI=52 Mach'!$C$3:$T$18, Y166,U166),  IF(S166="HOLDING",BicubicInterpolation(  'Holding Mach'!$C$4:$M$13, Y166,U166),                         IF(S166="LRCINOP", BicubicInterpolation('LRC INOP Mach'!$C$4:$AA$21,Y166,U166), IF(S166="HOLDINGINOP",  BicubicInterpolation('Holding INOP Mach'!$N$4:$U$13,Y166,U166),         "XXX" )))))))   )))</f>
        <v>#NAME?</v>
      </c>
      <c r="AD166" s="313" t="e">
        <f t="shared" ca="1" si="129"/>
        <v>#NAME?</v>
      </c>
      <c r="AE166" s="314" t="e">
        <f t="shared" ca="1" si="116"/>
        <v>#NAME?</v>
      </c>
      <c r="AF166" s="313" t="e">
        <f t="shared" ca="1" si="130"/>
        <v>#NAME?</v>
      </c>
      <c r="AG166" s="314" t="e">
        <f t="shared" ca="1" si="117"/>
        <v>#NAME?</v>
      </c>
      <c r="AH166" s="313" t="e">
        <f t="shared" ca="1" si="131"/>
        <v>#NAME?</v>
      </c>
      <c r="AI166" s="314" t="e">
        <f t="shared" ca="1" si="118"/>
        <v>#NAME?</v>
      </c>
      <c r="AJ166" s="315" t="e">
        <f t="shared" ca="1" si="119"/>
        <v>#NAME?</v>
      </c>
      <c r="AK166" s="568" t="e">
        <f t="shared" ca="1" si="132"/>
        <v>#NAME?</v>
      </c>
      <c r="AL166" s="313" t="e">
        <f t="shared" ca="1" si="133"/>
        <v>#NAME?</v>
      </c>
      <c r="AM166" s="313" t="e">
        <f t="shared" ca="1" si="120"/>
        <v>#NAME?</v>
      </c>
      <c r="AN166" s="313" t="e">
        <f t="shared" ca="1" si="121"/>
        <v>#NAME?</v>
      </c>
      <c r="AO166" s="316" t="e">
        <f t="shared" ca="1" si="134"/>
        <v>#NAME?</v>
      </c>
      <c r="AP166" s="313" t="e">
        <f t="shared" ca="1" si="135"/>
        <v>#NAME?</v>
      </c>
      <c r="AQ166" s="314" t="e">
        <f t="shared" ca="1" si="122"/>
        <v>#NAME?</v>
      </c>
      <c r="AR166" s="315" t="e">
        <f t="shared" ca="1" si="136"/>
        <v>#NAME?</v>
      </c>
      <c r="AS166" s="316" t="e">
        <f t="shared" ca="1" si="137"/>
        <v>#NAME?</v>
      </c>
      <c r="AT166" s="315" t="e">
        <f t="shared" ca="1" si="138"/>
        <v>#NAME?</v>
      </c>
      <c r="AU166" s="317">
        <v>427.8</v>
      </c>
      <c r="AV166" s="315" t="e">
        <f t="shared" ca="1" si="139"/>
        <v>#NAME?</v>
      </c>
      <c r="AW166" s="318" t="e">
        <f ca="1">0.0001*BicubicInterpolation('Drag Coef Table'!$B$4:$L$28,AV166,AC166)</f>
        <v>#NAME?</v>
      </c>
      <c r="AX166" s="319" t="e">
        <f t="shared" ca="1" si="140"/>
        <v>#NAME?</v>
      </c>
      <c r="AY166" s="318" t="e">
        <f t="shared" ca="1" si="141"/>
        <v>#NAME?</v>
      </c>
      <c r="AZ166" s="320" t="e">
        <f t="shared" ca="1" si="142"/>
        <v>#NAME?</v>
      </c>
      <c r="BA166" s="321" t="e">
        <f t="shared" ca="1" si="143"/>
        <v>#NAME?</v>
      </c>
      <c r="BB166" s="322" t="e">
        <f t="shared" ca="1" si="144"/>
        <v>#NAME?</v>
      </c>
      <c r="BC166" s="323">
        <v>75.196700000000007</v>
      </c>
      <c r="BD166" s="324" t="e">
        <f t="shared" ca="1" si="145"/>
        <v>#NAME?</v>
      </c>
      <c r="BE166" s="325" t="e">
        <f t="shared" ca="1" si="146"/>
        <v>#NAME?</v>
      </c>
      <c r="BF166" s="324" t="e">
        <f ca="1">BicubicInterpolation('TSFC Eff Table'!$B$4:$E$69,2,BB166)</f>
        <v>#NAME?</v>
      </c>
      <c r="BG166" s="326" t="e">
        <f t="shared" ca="1" si="147"/>
        <v>#NAME?</v>
      </c>
      <c r="BH166" s="694" t="e">
        <f ca="1">IF( S166="LRCINOP",   (1+(0.03/10)*Z166*(1+0.2*AC166^2) )*BicubicInterpolation( 'LRC INOP FF'!$C$4:$AA$21, Y166, U166 )-200, IF(S166 ="HOLDINGINOP", (1+(0.03/10)*Z166*(1+0.2*AC166^2) )*BicubicInterpolation( 'Holding INOP FF'!$C$4:$J$13,  Y166,  U166)/1.05-200,   BA166*BG166))</f>
        <v>#NAME?</v>
      </c>
      <c r="BI166" s="344" t="e">
        <f t="shared" ca="1" si="104"/>
        <v>#NAME?</v>
      </c>
      <c r="BJ166" s="322" t="e">
        <f t="shared" ca="1" si="148"/>
        <v>#NAME?</v>
      </c>
      <c r="BK166" s="338" t="e">
        <f t="shared" ca="1" si="105"/>
        <v>#NAME?</v>
      </c>
      <c r="BL166" s="327" t="e">
        <f t="shared" ca="1" si="149"/>
        <v>#NAME?</v>
      </c>
      <c r="BM166" s="328">
        <f t="shared" si="150"/>
        <v>200</v>
      </c>
      <c r="BN166" s="329" t="e">
        <f t="shared" ca="1" si="151"/>
        <v>#NAME?</v>
      </c>
      <c r="BO166" s="344" t="e">
        <f t="shared" ca="1" si="106"/>
        <v>#NAME?</v>
      </c>
      <c r="BP166" s="320" t="e">
        <f t="shared" ca="1" si="152"/>
        <v>#NAME?</v>
      </c>
      <c r="BQ166" s="344" t="e">
        <f t="shared" ca="1" si="107"/>
        <v>#NAME?</v>
      </c>
      <c r="BR166" s="347" t="e">
        <f t="shared" ca="1" si="108"/>
        <v>#NAME?</v>
      </c>
      <c r="BS166" s="326" t="e">
        <f t="shared" ca="1" si="153"/>
        <v>#NAME?</v>
      </c>
      <c r="BT166" s="437" t="e">
        <f t="shared" ca="1" si="123"/>
        <v>#NAME?</v>
      </c>
      <c r="BU166" s="437" t="e">
        <f t="shared" ca="1" si="124"/>
        <v>#NAME?</v>
      </c>
      <c r="BV166" s="441" t="e">
        <f t="shared" ca="1" si="125"/>
        <v>#NAME?</v>
      </c>
      <c r="BW166" s="442" t="e">
        <f t="shared" ca="1" si="126"/>
        <v>#NAME?</v>
      </c>
      <c r="BX166" s="470" t="e">
        <f t="shared" ca="1" si="96"/>
        <v>#NAME?</v>
      </c>
      <c r="BY166" s="484" t="e">
        <f t="shared" ca="1" si="109"/>
        <v>#NAME?</v>
      </c>
    </row>
    <row r="167" spans="9:77" s="212" customFormat="1" ht="17.75" customHeight="1" x14ac:dyDescent="0.2">
      <c r="I167" s="366">
        <v>83</v>
      </c>
      <c r="J167" s="414">
        <f t="shared" si="110"/>
        <v>41705.770138889078</v>
      </c>
      <c r="K167" s="435" t="e">
        <f t="shared" ca="1" si="111"/>
        <v>#NAME?</v>
      </c>
      <c r="L167" s="435" t="e">
        <f t="shared" ca="1" si="97"/>
        <v>#NAME?</v>
      </c>
      <c r="M167" s="664" t="e">
        <f t="shared" ca="1" si="112"/>
        <v>#NAME?</v>
      </c>
      <c r="N167" s="664" t="e">
        <f t="shared" ca="1" si="113"/>
        <v>#NAME?</v>
      </c>
      <c r="O167" s="140" t="e">
        <f t="shared" ca="1" si="98"/>
        <v>#NAME?</v>
      </c>
      <c r="P167" s="352" t="e">
        <f t="shared" ca="1" si="114"/>
        <v>#NAME?</v>
      </c>
      <c r="Q167" s="665" t="e">
        <f t="shared" ca="1" si="99"/>
        <v>#NAME?</v>
      </c>
      <c r="R167" s="352" t="e">
        <f t="shared" ca="1" si="127"/>
        <v>#NAME?</v>
      </c>
      <c r="S167" s="662" t="e">
        <f t="shared" ca="1" si="100"/>
        <v>#NAME?</v>
      </c>
      <c r="T167" s="443" t="e">
        <f t="shared" ca="1" si="92"/>
        <v>#NAME?</v>
      </c>
      <c r="U167" s="369" t="e">
        <f t="shared" ca="1" si="93"/>
        <v>#NAME?</v>
      </c>
      <c r="V167" s="454" t="e">
        <f t="shared" ca="1" si="101"/>
        <v>#NAME?</v>
      </c>
      <c r="W167" s="457">
        <f t="shared" si="102"/>
        <v>1000</v>
      </c>
      <c r="X167" s="463" t="e">
        <f t="shared" ca="1" si="103"/>
        <v>#NAME?</v>
      </c>
      <c r="Y167" s="455" t="e">
        <f t="shared" ca="1" si="115"/>
        <v>#NAME?</v>
      </c>
      <c r="Z167" s="699">
        <f t="shared" si="94"/>
        <v>8.5</v>
      </c>
      <c r="AA167" s="355" t="str">
        <f t="shared" si="95"/>
        <v>ON</v>
      </c>
      <c r="AB167" s="357">
        <f t="shared" si="128"/>
        <v>1.4999999999999999E-2</v>
      </c>
      <c r="AC167" s="356" t="e">
        <f ca="1">IF(  Y166=0,0,IF(OR(S167="KCAS",S167="INOP",S167="MEFE"),   ( (5*( (   (((1+0.2*(T167/661.4786)^2)^3.5 -1)  )/( (1-6.8755856*10^-6 *100*Y167)^5.2558797) +1)^(2/7) -1) )^0.5),IF(S167="MACH",T167, IF(S167="LRC",BicubicInterpolation( 'LRC Mach'!$C$4:$AL$21, Y167,U167),  IF(S167="MRC",BicubicInterpolation( 'MRC Mach'!$C$3:$T$18, Y167,U167),  IF(S167="M0.84",0.84,  IF(S167="CI52",BicubicInterpolation('CI=52 Mach'!$C$3:$T$18, Y167,U167),  IF(S167="HOLDING",BicubicInterpolation(  'Holding Mach'!$C$4:$M$13, Y167,U167),                         IF(S167="LRCINOP", BicubicInterpolation('LRC INOP Mach'!$C$4:$AA$21,Y167,U167), IF(S167="HOLDINGINOP",  BicubicInterpolation('Holding INOP Mach'!$N$4:$U$13,Y167,U167),         "XXX" )))))))   )))</f>
        <v>#NAME?</v>
      </c>
      <c r="AD167" s="313" t="e">
        <f t="shared" ca="1" si="129"/>
        <v>#NAME?</v>
      </c>
      <c r="AE167" s="314" t="e">
        <f t="shared" ca="1" si="116"/>
        <v>#NAME?</v>
      </c>
      <c r="AF167" s="313" t="e">
        <f t="shared" ca="1" si="130"/>
        <v>#NAME?</v>
      </c>
      <c r="AG167" s="314" t="e">
        <f t="shared" ca="1" si="117"/>
        <v>#NAME?</v>
      </c>
      <c r="AH167" s="313" t="e">
        <f t="shared" ca="1" si="131"/>
        <v>#NAME?</v>
      </c>
      <c r="AI167" s="314" t="e">
        <f t="shared" ca="1" si="118"/>
        <v>#NAME?</v>
      </c>
      <c r="AJ167" s="315" t="e">
        <f t="shared" ca="1" si="119"/>
        <v>#NAME?</v>
      </c>
      <c r="AK167" s="568" t="e">
        <f t="shared" ca="1" si="132"/>
        <v>#NAME?</v>
      </c>
      <c r="AL167" s="313" t="e">
        <f t="shared" ca="1" si="133"/>
        <v>#NAME?</v>
      </c>
      <c r="AM167" s="313" t="e">
        <f t="shared" ca="1" si="120"/>
        <v>#NAME?</v>
      </c>
      <c r="AN167" s="313" t="e">
        <f t="shared" ca="1" si="121"/>
        <v>#NAME?</v>
      </c>
      <c r="AO167" s="316" t="e">
        <f t="shared" ca="1" si="134"/>
        <v>#NAME?</v>
      </c>
      <c r="AP167" s="313" t="e">
        <f t="shared" ca="1" si="135"/>
        <v>#NAME?</v>
      </c>
      <c r="AQ167" s="314" t="e">
        <f t="shared" ca="1" si="122"/>
        <v>#NAME?</v>
      </c>
      <c r="AR167" s="315" t="e">
        <f t="shared" ca="1" si="136"/>
        <v>#NAME?</v>
      </c>
      <c r="AS167" s="316" t="e">
        <f t="shared" ca="1" si="137"/>
        <v>#NAME?</v>
      </c>
      <c r="AT167" s="315" t="e">
        <f t="shared" ca="1" si="138"/>
        <v>#NAME?</v>
      </c>
      <c r="AU167" s="317">
        <v>427.8</v>
      </c>
      <c r="AV167" s="315" t="e">
        <f t="shared" ca="1" si="139"/>
        <v>#NAME?</v>
      </c>
      <c r="AW167" s="318" t="e">
        <f ca="1">0.0001*BicubicInterpolation('Drag Coef Table'!$B$4:$L$28,AV167,AC167)</f>
        <v>#NAME?</v>
      </c>
      <c r="AX167" s="319" t="e">
        <f t="shared" ca="1" si="140"/>
        <v>#NAME?</v>
      </c>
      <c r="AY167" s="318" t="e">
        <f t="shared" ca="1" si="141"/>
        <v>#NAME?</v>
      </c>
      <c r="AZ167" s="320" t="e">
        <f t="shared" ca="1" si="142"/>
        <v>#NAME?</v>
      </c>
      <c r="BA167" s="321" t="e">
        <f t="shared" ca="1" si="143"/>
        <v>#NAME?</v>
      </c>
      <c r="BB167" s="322" t="e">
        <f t="shared" ca="1" si="144"/>
        <v>#NAME?</v>
      </c>
      <c r="BC167" s="323">
        <v>75.196700000000007</v>
      </c>
      <c r="BD167" s="324" t="e">
        <f t="shared" ca="1" si="145"/>
        <v>#NAME?</v>
      </c>
      <c r="BE167" s="325" t="e">
        <f t="shared" ca="1" si="146"/>
        <v>#NAME?</v>
      </c>
      <c r="BF167" s="324" t="e">
        <f ca="1">BicubicInterpolation('TSFC Eff Table'!$B$4:$E$69,2,BB167)</f>
        <v>#NAME?</v>
      </c>
      <c r="BG167" s="326" t="e">
        <f t="shared" ca="1" si="147"/>
        <v>#NAME?</v>
      </c>
      <c r="BH167" s="694" t="e">
        <f ca="1">IF( S167="LRCINOP",   (1+(0.03/10)*Z167*(1+0.2*AC167^2) )*BicubicInterpolation( 'LRC INOP FF'!$C$4:$AA$21, Y167, U167 )-200, IF(S167 ="HOLDINGINOP", (1+(0.03/10)*Z167*(1+0.2*AC167^2) )*BicubicInterpolation( 'Holding INOP FF'!$C$4:$J$13,  Y167,  U167)/1.05-200,   BA167*BG167))</f>
        <v>#NAME?</v>
      </c>
      <c r="BI167" s="344" t="e">
        <f t="shared" ca="1" si="104"/>
        <v>#NAME?</v>
      </c>
      <c r="BJ167" s="322" t="e">
        <f t="shared" ca="1" si="148"/>
        <v>#NAME?</v>
      </c>
      <c r="BK167" s="338" t="e">
        <f t="shared" ca="1" si="105"/>
        <v>#NAME?</v>
      </c>
      <c r="BL167" s="327" t="e">
        <f t="shared" ca="1" si="149"/>
        <v>#NAME?</v>
      </c>
      <c r="BM167" s="328">
        <f t="shared" si="150"/>
        <v>200</v>
      </c>
      <c r="BN167" s="329" t="e">
        <f t="shared" ca="1" si="151"/>
        <v>#NAME?</v>
      </c>
      <c r="BO167" s="344" t="e">
        <f t="shared" ca="1" si="106"/>
        <v>#NAME?</v>
      </c>
      <c r="BP167" s="320" t="e">
        <f t="shared" ca="1" si="152"/>
        <v>#NAME?</v>
      </c>
      <c r="BQ167" s="344" t="e">
        <f t="shared" ca="1" si="107"/>
        <v>#NAME?</v>
      </c>
      <c r="BR167" s="347" t="e">
        <f t="shared" ca="1" si="108"/>
        <v>#NAME?</v>
      </c>
      <c r="BS167" s="326" t="e">
        <f t="shared" ca="1" si="153"/>
        <v>#NAME?</v>
      </c>
      <c r="BT167" s="437" t="e">
        <f t="shared" ca="1" si="123"/>
        <v>#NAME?</v>
      </c>
      <c r="BU167" s="437" t="e">
        <f t="shared" ca="1" si="124"/>
        <v>#NAME?</v>
      </c>
      <c r="BV167" s="441" t="e">
        <f t="shared" ca="1" si="125"/>
        <v>#NAME?</v>
      </c>
      <c r="BW167" s="442" t="e">
        <f t="shared" ca="1" si="126"/>
        <v>#NAME?</v>
      </c>
      <c r="BX167" s="470" t="e">
        <f t="shared" ca="1" si="96"/>
        <v>#NAME?</v>
      </c>
      <c r="BY167" s="484" t="e">
        <f t="shared" ca="1" si="109"/>
        <v>#NAME?</v>
      </c>
    </row>
    <row r="168" spans="9:77" s="212" customFormat="1" ht="17.75" customHeight="1" x14ac:dyDescent="0.2">
      <c r="I168" s="366">
        <v>84</v>
      </c>
      <c r="J168" s="414">
        <f t="shared" si="110"/>
        <v>41705.770833333525</v>
      </c>
      <c r="K168" s="435" t="e">
        <f t="shared" ca="1" si="111"/>
        <v>#NAME?</v>
      </c>
      <c r="L168" s="435" t="e">
        <f t="shared" ca="1" si="97"/>
        <v>#NAME?</v>
      </c>
      <c r="M168" s="664" t="e">
        <f ca="1">IF(  AND(OR(S167="LRCINOP",S167="HOLDINGINOP"),NOT(S167=S166), $C$35="L"), 0,   IF(  AND(OR(S167="LRCINOP",S167="HOLDINGINOP"),NOT(S167=S166), $C$35="R"),  MAX(M167-K167/1000+N167,0),MAX(M167-K167/1000,0)   ))</f>
        <v>#NAME?</v>
      </c>
      <c r="N168" s="664" t="e">
        <f ca="1">IF(  AND(OR(S167="LRCINOP",S167="HOLDINGINOP"),NOT(S167=S166), $C$35="R"), 0,   IF(  AND(OR(S167="LRCINOP",S167="HOLDINGINOP"),NOT(S167=S166), $C$35="L"),  MAX(N167-L167/1000+M167,0),MAX(N167-L167/1000,0)   ))</f>
        <v>#NAME?</v>
      </c>
      <c r="O168" s="140" t="e">
        <f t="shared" ca="1" si="98"/>
        <v>#NAME?</v>
      </c>
      <c r="P168" s="352" t="e">
        <f t="shared" ca="1" si="114"/>
        <v>#NAME?</v>
      </c>
      <c r="Q168" s="665" t="e">
        <f t="shared" ca="1" si="99"/>
        <v>#NAME?</v>
      </c>
      <c r="R168" s="352" t="e">
        <f t="shared" ca="1" si="127"/>
        <v>#NAME?</v>
      </c>
      <c r="S168" s="662" t="e">
        <f t="shared" ca="1" si="100"/>
        <v>#NAME?</v>
      </c>
      <c r="T168" s="443" t="e">
        <f t="shared" ca="1" si="92"/>
        <v>#NAME?</v>
      </c>
      <c r="U168" s="369" t="e">
        <f t="shared" ca="1" si="93"/>
        <v>#NAME?</v>
      </c>
      <c r="V168" s="454" t="e">
        <f t="shared" ca="1" si="101"/>
        <v>#NAME?</v>
      </c>
      <c r="W168" s="457">
        <f t="shared" si="102"/>
        <v>1000</v>
      </c>
      <c r="X168" s="463" t="e">
        <f t="shared" ca="1" si="103"/>
        <v>#NAME?</v>
      </c>
      <c r="Y168" s="455" t="e">
        <f t="shared" ca="1" si="115"/>
        <v>#NAME?</v>
      </c>
      <c r="Z168" s="699">
        <f t="shared" si="94"/>
        <v>8.5</v>
      </c>
      <c r="AA168" s="355" t="str">
        <f t="shared" si="95"/>
        <v>ON</v>
      </c>
      <c r="AB168" s="357">
        <f t="shared" si="128"/>
        <v>1.4999999999999999E-2</v>
      </c>
      <c r="AC168" s="356" t="e">
        <f ca="1">IF(  Y167=0,0,IF(OR(S168="KCAS",S168="INOP",S168="MEFE"),   ( (5*( (   (((1+0.2*(T168/661.4786)^2)^3.5 -1)  )/( (1-6.8755856*10^-6 *100*Y168)^5.2558797) +1)^(2/7) -1) )^0.5),IF(S168="MACH",T168, IF(S168="LRC",BicubicInterpolation( 'LRC Mach'!$C$4:$AL$21, Y168,U168),  IF(S168="MRC",BicubicInterpolation( 'MRC Mach'!$C$3:$T$18, Y168,U168),  IF(S168="M0.84",0.84,  IF(S168="CI52",BicubicInterpolation('CI=52 Mach'!$C$3:$T$18, Y168,U168),  IF(S168="HOLDING",BicubicInterpolation(  'Holding Mach'!$C$4:$M$13, Y168,U168),                         IF(S168="LRCINOP", BicubicInterpolation('LRC INOP Mach'!$C$4:$AA$21,Y168,U168), IF(S168="HOLDINGINOP",  BicubicInterpolation('Holding INOP Mach'!$N$4:$U$13,Y168,U168),         "XXX" )))))))   )))</f>
        <v>#NAME?</v>
      </c>
      <c r="AD168" s="313" t="e">
        <f t="shared" ca="1" si="129"/>
        <v>#NAME?</v>
      </c>
      <c r="AE168" s="314" t="e">
        <f t="shared" ca="1" si="116"/>
        <v>#NAME?</v>
      </c>
      <c r="AF168" s="313" t="e">
        <f t="shared" ca="1" si="130"/>
        <v>#NAME?</v>
      </c>
      <c r="AG168" s="314" t="e">
        <f t="shared" ca="1" si="117"/>
        <v>#NAME?</v>
      </c>
      <c r="AH168" s="313" t="e">
        <f t="shared" ca="1" si="131"/>
        <v>#NAME?</v>
      </c>
      <c r="AI168" s="314" t="e">
        <f t="shared" ca="1" si="118"/>
        <v>#NAME?</v>
      </c>
      <c r="AJ168" s="315" t="e">
        <f t="shared" ca="1" si="119"/>
        <v>#NAME?</v>
      </c>
      <c r="AK168" s="568" t="e">
        <f t="shared" ca="1" si="132"/>
        <v>#NAME?</v>
      </c>
      <c r="AL168" s="313" t="e">
        <f t="shared" ca="1" si="133"/>
        <v>#NAME?</v>
      </c>
      <c r="AM168" s="313" t="e">
        <f t="shared" ca="1" si="120"/>
        <v>#NAME?</v>
      </c>
      <c r="AN168" s="313" t="e">
        <f t="shared" ca="1" si="121"/>
        <v>#NAME?</v>
      </c>
      <c r="AO168" s="316" t="e">
        <f t="shared" ca="1" si="134"/>
        <v>#NAME?</v>
      </c>
      <c r="AP168" s="313" t="e">
        <f t="shared" ca="1" si="135"/>
        <v>#NAME?</v>
      </c>
      <c r="AQ168" s="314" t="e">
        <f t="shared" ca="1" si="122"/>
        <v>#NAME?</v>
      </c>
      <c r="AR168" s="315" t="e">
        <f t="shared" ca="1" si="136"/>
        <v>#NAME?</v>
      </c>
      <c r="AS168" s="316" t="e">
        <f t="shared" ca="1" si="137"/>
        <v>#NAME?</v>
      </c>
      <c r="AT168" s="315" t="e">
        <f t="shared" ca="1" si="138"/>
        <v>#NAME?</v>
      </c>
      <c r="AU168" s="317">
        <v>427.8</v>
      </c>
      <c r="AV168" s="315" t="e">
        <f t="shared" ca="1" si="139"/>
        <v>#NAME?</v>
      </c>
      <c r="AW168" s="318" t="e">
        <f ca="1">0.0001*BicubicInterpolation('Drag Coef Table'!$B$4:$L$28,AV168,AC168)</f>
        <v>#NAME?</v>
      </c>
      <c r="AX168" s="319" t="e">
        <f t="shared" ca="1" si="140"/>
        <v>#NAME?</v>
      </c>
      <c r="AY168" s="318" t="e">
        <f t="shared" ca="1" si="141"/>
        <v>#NAME?</v>
      </c>
      <c r="AZ168" s="320" t="e">
        <f t="shared" ca="1" si="142"/>
        <v>#NAME?</v>
      </c>
      <c r="BA168" s="321" t="e">
        <f t="shared" ca="1" si="143"/>
        <v>#NAME?</v>
      </c>
      <c r="BB168" s="322" t="e">
        <f t="shared" ca="1" si="144"/>
        <v>#NAME?</v>
      </c>
      <c r="BC168" s="323">
        <v>75.196700000000007</v>
      </c>
      <c r="BD168" s="324" t="e">
        <f t="shared" ca="1" si="145"/>
        <v>#NAME?</v>
      </c>
      <c r="BE168" s="325" t="e">
        <f t="shared" ca="1" si="146"/>
        <v>#NAME?</v>
      </c>
      <c r="BF168" s="324" t="e">
        <f ca="1">BicubicInterpolation('TSFC Eff Table'!$B$4:$E$69,2,BB168)</f>
        <v>#NAME?</v>
      </c>
      <c r="BG168" s="326" t="e">
        <f t="shared" ca="1" si="147"/>
        <v>#NAME?</v>
      </c>
      <c r="BH168" s="694" t="e">
        <f ca="1">IF( S168="LRCINOP",   (1+(0.03/10)*Z168*(1+0.2*AC168^2) )*BicubicInterpolation( 'LRC INOP FF'!$C$4:$AA$21, Y168, U168 )-200, IF(S168 ="HOLDINGINOP", (1+(0.03/10)*Z168*(1+0.2*AC168^2) )*BicubicInterpolation( 'Holding INOP FF'!$C$4:$J$13,  Y168,  U168)/1.05-200,   BA168*BG168))</f>
        <v>#NAME?</v>
      </c>
      <c r="BI168" s="344" t="e">
        <f t="shared" ca="1" si="104"/>
        <v>#NAME?</v>
      </c>
      <c r="BJ168" s="322" t="e">
        <f t="shared" ca="1" si="148"/>
        <v>#NAME?</v>
      </c>
      <c r="BK168" s="338" t="e">
        <f t="shared" ca="1" si="105"/>
        <v>#NAME?</v>
      </c>
      <c r="BL168" s="327" t="e">
        <f t="shared" ca="1" si="149"/>
        <v>#NAME?</v>
      </c>
      <c r="BM168" s="328">
        <f t="shared" si="150"/>
        <v>200</v>
      </c>
      <c r="BN168" s="329" t="e">
        <f t="shared" ca="1" si="151"/>
        <v>#NAME?</v>
      </c>
      <c r="BO168" s="344" t="e">
        <f t="shared" ca="1" si="106"/>
        <v>#NAME?</v>
      </c>
      <c r="BP168" s="320" t="e">
        <f t="shared" ca="1" si="152"/>
        <v>#NAME?</v>
      </c>
      <c r="BQ168" s="344" t="e">
        <f t="shared" ca="1" si="107"/>
        <v>#NAME?</v>
      </c>
      <c r="BR168" s="347" t="e">
        <f t="shared" ca="1" si="108"/>
        <v>#NAME?</v>
      </c>
      <c r="BS168" s="326" t="e">
        <f t="shared" ca="1" si="153"/>
        <v>#NAME?</v>
      </c>
      <c r="BT168" s="437" t="e">
        <f t="shared" ca="1" si="123"/>
        <v>#NAME?</v>
      </c>
      <c r="BU168" s="437" t="e">
        <f t="shared" ca="1" si="124"/>
        <v>#NAME?</v>
      </c>
      <c r="BV168" s="441" t="e">
        <f t="shared" ca="1" si="125"/>
        <v>#NAME?</v>
      </c>
      <c r="BW168" s="442" t="e">
        <f t="shared" ca="1" si="126"/>
        <v>#NAME?</v>
      </c>
      <c r="BX168" s="470" t="e">
        <f t="shared" ca="1" si="96"/>
        <v>#NAME?</v>
      </c>
      <c r="BY168" s="484" t="e">
        <f t="shared" ca="1" si="109"/>
        <v>#NAME?</v>
      </c>
    </row>
    <row r="169" spans="9:77" s="212" customFormat="1" ht="17.75" customHeight="1" x14ac:dyDescent="0.2">
      <c r="I169" s="366">
        <v>85</v>
      </c>
      <c r="J169" s="414">
        <f t="shared" si="110"/>
        <v>41705.771527777972</v>
      </c>
      <c r="K169" s="435" t="e">
        <f t="shared" ca="1" si="111"/>
        <v>#NAME?</v>
      </c>
      <c r="L169" s="435" t="e">
        <f t="shared" ca="1" si="97"/>
        <v>#NAME?</v>
      </c>
      <c r="M169" s="664" t="e">
        <f t="shared" ref="M169:M232" ca="1" si="154">IF(  AND(OR(S168="LRCINOP",S168="HOLDINGINOP"),NOT(S168=S167), $C$35="L"), 0,   IF(  AND(OR(S168="LRCINOP",S168="HOLDINGINOP"),NOT(S168=S167), $C$35="R"),  MAX(M168-K168/1000+N168,0),MAX(M168-K168/1000,0)   ))</f>
        <v>#NAME?</v>
      </c>
      <c r="N169" s="664" t="e">
        <f t="shared" ref="N169:N232" ca="1" si="155">IF(  AND(OR(S168="LRCINOP",S168="HOLDINGINOP"),NOT(S168=S167), $C$35="R"), 0,   IF(  AND(OR(S168="LRCINOP",S168="HOLDINGINOP"),NOT(S168=S167), $C$35="L"),  MAX(N168-L168/1000+M168,0),MAX(N168-L168/1000,0)   ))</f>
        <v>#NAME?</v>
      </c>
      <c r="O169" s="140" t="e">
        <f t="shared" ca="1" si="98"/>
        <v>#NAME?</v>
      </c>
      <c r="P169" s="352" t="e">
        <f t="shared" ca="1" si="114"/>
        <v>#NAME?</v>
      </c>
      <c r="Q169" s="665" t="e">
        <f t="shared" ca="1" si="99"/>
        <v>#NAME?</v>
      </c>
      <c r="R169" s="352" t="e">
        <f t="shared" ca="1" si="127"/>
        <v>#NAME?</v>
      </c>
      <c r="S169" s="662" t="e">
        <f t="shared" ca="1" si="100"/>
        <v>#NAME?</v>
      </c>
      <c r="T169" s="443" t="e">
        <f t="shared" ca="1" si="92"/>
        <v>#NAME?</v>
      </c>
      <c r="U169" s="369" t="e">
        <f t="shared" ca="1" si="93"/>
        <v>#NAME?</v>
      </c>
      <c r="V169" s="454" t="e">
        <f t="shared" ca="1" si="101"/>
        <v>#NAME?</v>
      </c>
      <c r="W169" s="457">
        <f t="shared" si="102"/>
        <v>1000</v>
      </c>
      <c r="X169" s="463" t="e">
        <f t="shared" ca="1" si="103"/>
        <v>#NAME?</v>
      </c>
      <c r="Y169" s="455" t="e">
        <f t="shared" ca="1" si="115"/>
        <v>#NAME?</v>
      </c>
      <c r="Z169" s="699">
        <f t="shared" si="94"/>
        <v>8.5</v>
      </c>
      <c r="AA169" s="355" t="str">
        <f t="shared" si="95"/>
        <v>ON</v>
      </c>
      <c r="AB169" s="357">
        <f t="shared" si="128"/>
        <v>1.4999999999999999E-2</v>
      </c>
      <c r="AC169" s="356" t="e">
        <f ca="1">IF(  Y168=0,0,IF(OR(S169="KCAS",S169="INOP",S169="MEFE"),   ( (5*( (   (((1+0.2*(T169/661.4786)^2)^3.5 -1)  )/( (1-6.8755856*10^-6 *100*Y169)^5.2558797) +1)^(2/7) -1) )^0.5),IF(S169="MACH",T169, IF(S169="LRC",BicubicInterpolation( 'LRC Mach'!$C$4:$AL$21, Y169,U169),  IF(S169="MRC",BicubicInterpolation( 'MRC Mach'!$C$3:$T$18, Y169,U169),  IF(S169="M0.84",0.84,  IF(S169="CI52",BicubicInterpolation('CI=52 Mach'!$C$3:$T$18, Y169,U169),  IF(S169="HOLDING",BicubicInterpolation(  'Holding Mach'!$C$4:$M$13, Y169,U169),                         IF(S169="LRCINOP", BicubicInterpolation('LRC INOP Mach'!$C$4:$AA$21,Y169,U169), IF(S169="HOLDINGINOP",  BicubicInterpolation('Holding INOP Mach'!$N$4:$U$13,Y169,U169),         "XXX" )))))))   )))</f>
        <v>#NAME?</v>
      </c>
      <c r="AD169" s="313" t="e">
        <f t="shared" ca="1" si="129"/>
        <v>#NAME?</v>
      </c>
      <c r="AE169" s="314" t="e">
        <f t="shared" ca="1" si="116"/>
        <v>#NAME?</v>
      </c>
      <c r="AF169" s="313" t="e">
        <f t="shared" ca="1" si="130"/>
        <v>#NAME?</v>
      </c>
      <c r="AG169" s="314" t="e">
        <f t="shared" ca="1" si="117"/>
        <v>#NAME?</v>
      </c>
      <c r="AH169" s="313" t="e">
        <f t="shared" ca="1" si="131"/>
        <v>#NAME?</v>
      </c>
      <c r="AI169" s="314" t="e">
        <f t="shared" ca="1" si="118"/>
        <v>#NAME?</v>
      </c>
      <c r="AJ169" s="315" t="e">
        <f t="shared" ca="1" si="119"/>
        <v>#NAME?</v>
      </c>
      <c r="AK169" s="568" t="e">
        <f t="shared" ca="1" si="132"/>
        <v>#NAME?</v>
      </c>
      <c r="AL169" s="313" t="e">
        <f t="shared" ca="1" si="133"/>
        <v>#NAME?</v>
      </c>
      <c r="AM169" s="313" t="e">
        <f t="shared" ca="1" si="120"/>
        <v>#NAME?</v>
      </c>
      <c r="AN169" s="313" t="e">
        <f t="shared" ca="1" si="121"/>
        <v>#NAME?</v>
      </c>
      <c r="AO169" s="316" t="e">
        <f t="shared" ca="1" si="134"/>
        <v>#NAME?</v>
      </c>
      <c r="AP169" s="313" t="e">
        <f t="shared" ca="1" si="135"/>
        <v>#NAME?</v>
      </c>
      <c r="AQ169" s="314" t="e">
        <f t="shared" ca="1" si="122"/>
        <v>#NAME?</v>
      </c>
      <c r="AR169" s="315" t="e">
        <f t="shared" ca="1" si="136"/>
        <v>#NAME?</v>
      </c>
      <c r="AS169" s="316" t="e">
        <f t="shared" ca="1" si="137"/>
        <v>#NAME?</v>
      </c>
      <c r="AT169" s="315" t="e">
        <f t="shared" ca="1" si="138"/>
        <v>#NAME?</v>
      </c>
      <c r="AU169" s="317">
        <v>427.8</v>
      </c>
      <c r="AV169" s="315" t="e">
        <f t="shared" ca="1" si="139"/>
        <v>#NAME?</v>
      </c>
      <c r="AW169" s="318" t="e">
        <f ca="1">0.0001*BicubicInterpolation('Drag Coef Table'!$B$4:$L$28,AV169,AC169)</f>
        <v>#NAME?</v>
      </c>
      <c r="AX169" s="319" t="e">
        <f t="shared" ca="1" si="140"/>
        <v>#NAME?</v>
      </c>
      <c r="AY169" s="318" t="e">
        <f t="shared" ca="1" si="141"/>
        <v>#NAME?</v>
      </c>
      <c r="AZ169" s="320" t="e">
        <f t="shared" ca="1" si="142"/>
        <v>#NAME?</v>
      </c>
      <c r="BA169" s="321" t="e">
        <f t="shared" ca="1" si="143"/>
        <v>#NAME?</v>
      </c>
      <c r="BB169" s="322" t="e">
        <f t="shared" ca="1" si="144"/>
        <v>#NAME?</v>
      </c>
      <c r="BC169" s="323">
        <v>75.196700000000007</v>
      </c>
      <c r="BD169" s="324" t="e">
        <f t="shared" ca="1" si="145"/>
        <v>#NAME?</v>
      </c>
      <c r="BE169" s="325" t="e">
        <f t="shared" ca="1" si="146"/>
        <v>#NAME?</v>
      </c>
      <c r="BF169" s="324" t="e">
        <f ca="1">BicubicInterpolation('TSFC Eff Table'!$B$4:$E$69,2,BB169)</f>
        <v>#NAME?</v>
      </c>
      <c r="BG169" s="326" t="e">
        <f t="shared" ca="1" si="147"/>
        <v>#NAME?</v>
      </c>
      <c r="BH169" s="694" t="e">
        <f ca="1">IF( S169="LRCINOP",   (1+(0.03/10)*Z169*(1+0.2*AC169^2) )*BicubicInterpolation( 'LRC INOP FF'!$C$4:$AA$21, Y169, U169 )-200, IF(S169 ="HOLDINGINOP", (1+(0.03/10)*Z169*(1+0.2*AC169^2) )*BicubicInterpolation( 'Holding INOP FF'!$C$4:$J$13,  Y169,  U169)/1.05-200,   BA169*BG169))</f>
        <v>#NAME?</v>
      </c>
      <c r="BI169" s="344" t="e">
        <f t="shared" ca="1" si="104"/>
        <v>#NAME?</v>
      </c>
      <c r="BJ169" s="322" t="e">
        <f t="shared" ca="1" si="148"/>
        <v>#NAME?</v>
      </c>
      <c r="BK169" s="338" t="e">
        <f t="shared" ca="1" si="105"/>
        <v>#NAME?</v>
      </c>
      <c r="BL169" s="327" t="e">
        <f t="shared" ca="1" si="149"/>
        <v>#NAME?</v>
      </c>
      <c r="BM169" s="328">
        <f t="shared" si="150"/>
        <v>200</v>
      </c>
      <c r="BN169" s="329" t="e">
        <f t="shared" ca="1" si="151"/>
        <v>#NAME?</v>
      </c>
      <c r="BO169" s="344" t="e">
        <f t="shared" ca="1" si="106"/>
        <v>#NAME?</v>
      </c>
      <c r="BP169" s="320" t="e">
        <f t="shared" ca="1" si="152"/>
        <v>#NAME?</v>
      </c>
      <c r="BQ169" s="344" t="e">
        <f t="shared" ca="1" si="107"/>
        <v>#NAME?</v>
      </c>
      <c r="BR169" s="347" t="e">
        <f t="shared" ca="1" si="108"/>
        <v>#NAME?</v>
      </c>
      <c r="BS169" s="326" t="e">
        <f t="shared" ca="1" si="153"/>
        <v>#NAME?</v>
      </c>
      <c r="BT169" s="437" t="e">
        <f t="shared" ca="1" si="123"/>
        <v>#NAME?</v>
      </c>
      <c r="BU169" s="437" t="e">
        <f t="shared" ca="1" si="124"/>
        <v>#NAME?</v>
      </c>
      <c r="BV169" s="441" t="e">
        <f t="shared" ca="1" si="125"/>
        <v>#NAME?</v>
      </c>
      <c r="BW169" s="442" t="e">
        <f t="shared" ca="1" si="126"/>
        <v>#NAME?</v>
      </c>
      <c r="BX169" s="470" t="e">
        <f t="shared" ca="1" si="96"/>
        <v>#NAME?</v>
      </c>
      <c r="BY169" s="484" t="e">
        <f t="shared" ca="1" si="109"/>
        <v>#NAME?</v>
      </c>
    </row>
    <row r="170" spans="9:77" s="212" customFormat="1" ht="17.75" customHeight="1" x14ac:dyDescent="0.2">
      <c r="I170" s="366">
        <v>86</v>
      </c>
      <c r="J170" s="414">
        <f t="shared" si="110"/>
        <v>41705.772222222418</v>
      </c>
      <c r="K170" s="435" t="e">
        <f t="shared" ca="1" si="111"/>
        <v>#NAME?</v>
      </c>
      <c r="L170" s="435" t="e">
        <f t="shared" ca="1" si="97"/>
        <v>#NAME?</v>
      </c>
      <c r="M170" s="664" t="e">
        <f t="shared" ca="1" si="154"/>
        <v>#NAME?</v>
      </c>
      <c r="N170" s="664" t="e">
        <f t="shared" ca="1" si="155"/>
        <v>#NAME?</v>
      </c>
      <c r="O170" s="140" t="e">
        <f t="shared" ca="1" si="98"/>
        <v>#NAME?</v>
      </c>
      <c r="P170" s="352" t="e">
        <f t="shared" ca="1" si="114"/>
        <v>#NAME?</v>
      </c>
      <c r="Q170" s="665" t="e">
        <f t="shared" ca="1" si="99"/>
        <v>#NAME?</v>
      </c>
      <c r="R170" s="352" t="e">
        <f t="shared" ca="1" si="127"/>
        <v>#NAME?</v>
      </c>
      <c r="S170" s="662" t="e">
        <f t="shared" ca="1" si="100"/>
        <v>#NAME?</v>
      </c>
      <c r="T170" s="443" t="e">
        <f t="shared" ca="1" si="92"/>
        <v>#NAME?</v>
      </c>
      <c r="U170" s="369" t="e">
        <f t="shared" ca="1" si="93"/>
        <v>#NAME?</v>
      </c>
      <c r="V170" s="454" t="e">
        <f t="shared" ca="1" si="101"/>
        <v>#NAME?</v>
      </c>
      <c r="W170" s="457">
        <f t="shared" si="102"/>
        <v>1000</v>
      </c>
      <c r="X170" s="463" t="e">
        <f t="shared" ca="1" si="103"/>
        <v>#NAME?</v>
      </c>
      <c r="Y170" s="455" t="e">
        <f t="shared" ca="1" si="115"/>
        <v>#NAME?</v>
      </c>
      <c r="Z170" s="699">
        <f t="shared" si="94"/>
        <v>8.5</v>
      </c>
      <c r="AA170" s="355" t="str">
        <f t="shared" si="95"/>
        <v>ON</v>
      </c>
      <c r="AB170" s="357">
        <f t="shared" si="128"/>
        <v>1.4999999999999999E-2</v>
      </c>
      <c r="AC170" s="356" t="e">
        <f ca="1">IF(  Y169=0,0,IF(OR(S170="KCAS",S170="INOP",S170="MEFE"),   ( (5*( (   (((1+0.2*(T170/661.4786)^2)^3.5 -1)  )/( (1-6.8755856*10^-6 *100*Y170)^5.2558797) +1)^(2/7) -1) )^0.5),IF(S170="MACH",T170, IF(S170="LRC",BicubicInterpolation( 'LRC Mach'!$C$4:$AL$21, Y170,U170),  IF(S170="MRC",BicubicInterpolation( 'MRC Mach'!$C$3:$T$18, Y170,U170),  IF(S170="M0.84",0.84,  IF(S170="CI52",BicubicInterpolation('CI=52 Mach'!$C$3:$T$18, Y170,U170),  IF(S170="HOLDING",BicubicInterpolation(  'Holding Mach'!$C$4:$M$13, Y170,U170),                         IF(S170="LRCINOP", BicubicInterpolation('LRC INOP Mach'!$C$4:$AA$21,Y170,U170), IF(S170="HOLDINGINOP",  BicubicInterpolation('Holding INOP Mach'!$N$4:$U$13,Y170,U170),         "XXX" )))))))   )))</f>
        <v>#NAME?</v>
      </c>
      <c r="AD170" s="313" t="e">
        <f t="shared" ca="1" si="129"/>
        <v>#NAME?</v>
      </c>
      <c r="AE170" s="314" t="e">
        <f t="shared" ca="1" si="116"/>
        <v>#NAME?</v>
      </c>
      <c r="AF170" s="313" t="e">
        <f t="shared" ca="1" si="130"/>
        <v>#NAME?</v>
      </c>
      <c r="AG170" s="314" t="e">
        <f t="shared" ca="1" si="117"/>
        <v>#NAME?</v>
      </c>
      <c r="AH170" s="313" t="e">
        <f t="shared" ca="1" si="131"/>
        <v>#NAME?</v>
      </c>
      <c r="AI170" s="314" t="e">
        <f t="shared" ca="1" si="118"/>
        <v>#NAME?</v>
      </c>
      <c r="AJ170" s="315" t="e">
        <f t="shared" ca="1" si="119"/>
        <v>#NAME?</v>
      </c>
      <c r="AK170" s="568" t="e">
        <f t="shared" ca="1" si="132"/>
        <v>#NAME?</v>
      </c>
      <c r="AL170" s="313" t="e">
        <f t="shared" ca="1" si="133"/>
        <v>#NAME?</v>
      </c>
      <c r="AM170" s="313" t="e">
        <f t="shared" ca="1" si="120"/>
        <v>#NAME?</v>
      </c>
      <c r="AN170" s="313" t="e">
        <f t="shared" ca="1" si="121"/>
        <v>#NAME?</v>
      </c>
      <c r="AO170" s="316" t="e">
        <f t="shared" ca="1" si="134"/>
        <v>#NAME?</v>
      </c>
      <c r="AP170" s="313" t="e">
        <f t="shared" ca="1" si="135"/>
        <v>#NAME?</v>
      </c>
      <c r="AQ170" s="314" t="e">
        <f t="shared" ca="1" si="122"/>
        <v>#NAME?</v>
      </c>
      <c r="AR170" s="315" t="e">
        <f t="shared" ca="1" si="136"/>
        <v>#NAME?</v>
      </c>
      <c r="AS170" s="316" t="e">
        <f t="shared" ca="1" si="137"/>
        <v>#NAME?</v>
      </c>
      <c r="AT170" s="315" t="e">
        <f t="shared" ca="1" si="138"/>
        <v>#NAME?</v>
      </c>
      <c r="AU170" s="317">
        <v>427.8</v>
      </c>
      <c r="AV170" s="315" t="e">
        <f t="shared" ca="1" si="139"/>
        <v>#NAME?</v>
      </c>
      <c r="AW170" s="318" t="e">
        <f ca="1">0.0001*BicubicInterpolation('Drag Coef Table'!$B$4:$L$28,AV170,AC170)</f>
        <v>#NAME?</v>
      </c>
      <c r="AX170" s="319" t="e">
        <f t="shared" ca="1" si="140"/>
        <v>#NAME?</v>
      </c>
      <c r="AY170" s="318" t="e">
        <f t="shared" ca="1" si="141"/>
        <v>#NAME?</v>
      </c>
      <c r="AZ170" s="320" t="e">
        <f t="shared" ca="1" si="142"/>
        <v>#NAME?</v>
      </c>
      <c r="BA170" s="321" t="e">
        <f t="shared" ca="1" si="143"/>
        <v>#NAME?</v>
      </c>
      <c r="BB170" s="322" t="e">
        <f t="shared" ca="1" si="144"/>
        <v>#NAME?</v>
      </c>
      <c r="BC170" s="323">
        <v>75.196700000000007</v>
      </c>
      <c r="BD170" s="324" t="e">
        <f t="shared" ca="1" si="145"/>
        <v>#NAME?</v>
      </c>
      <c r="BE170" s="325" t="e">
        <f t="shared" ca="1" si="146"/>
        <v>#NAME?</v>
      </c>
      <c r="BF170" s="324" t="e">
        <f ca="1">BicubicInterpolation('TSFC Eff Table'!$B$4:$E$69,2,BB170)</f>
        <v>#NAME?</v>
      </c>
      <c r="BG170" s="326" t="e">
        <f t="shared" ca="1" si="147"/>
        <v>#NAME?</v>
      </c>
      <c r="BH170" s="694" t="e">
        <f ca="1">IF( S170="LRCINOP",   (1+(0.03/10)*Z170*(1+0.2*AC170^2) )*BicubicInterpolation( 'LRC INOP FF'!$C$4:$AA$21, Y170, U170 )-200, IF(S170 ="HOLDINGINOP", (1+(0.03/10)*Z170*(1+0.2*AC170^2) )*BicubicInterpolation( 'Holding INOP FF'!$C$4:$J$13,  Y170,  U170)/1.05-200,   BA170*BG170))</f>
        <v>#NAME?</v>
      </c>
      <c r="BI170" s="344" t="e">
        <f t="shared" ca="1" si="104"/>
        <v>#NAME?</v>
      </c>
      <c r="BJ170" s="322" t="e">
        <f t="shared" ca="1" si="148"/>
        <v>#NAME?</v>
      </c>
      <c r="BK170" s="338" t="e">
        <f t="shared" ca="1" si="105"/>
        <v>#NAME?</v>
      </c>
      <c r="BL170" s="327" t="e">
        <f t="shared" ca="1" si="149"/>
        <v>#NAME?</v>
      </c>
      <c r="BM170" s="328">
        <f t="shared" si="150"/>
        <v>200</v>
      </c>
      <c r="BN170" s="329" t="e">
        <f t="shared" ca="1" si="151"/>
        <v>#NAME?</v>
      </c>
      <c r="BO170" s="344" t="e">
        <f t="shared" ca="1" si="106"/>
        <v>#NAME?</v>
      </c>
      <c r="BP170" s="320" t="e">
        <f t="shared" ca="1" si="152"/>
        <v>#NAME?</v>
      </c>
      <c r="BQ170" s="344" t="e">
        <f t="shared" ca="1" si="107"/>
        <v>#NAME?</v>
      </c>
      <c r="BR170" s="347" t="e">
        <f t="shared" ca="1" si="108"/>
        <v>#NAME?</v>
      </c>
      <c r="BS170" s="326" t="e">
        <f t="shared" ca="1" si="153"/>
        <v>#NAME?</v>
      </c>
      <c r="BT170" s="437" t="e">
        <f t="shared" ca="1" si="123"/>
        <v>#NAME?</v>
      </c>
      <c r="BU170" s="437" t="e">
        <f t="shared" ca="1" si="124"/>
        <v>#NAME?</v>
      </c>
      <c r="BV170" s="441" t="e">
        <f t="shared" ca="1" si="125"/>
        <v>#NAME?</v>
      </c>
      <c r="BW170" s="442" t="e">
        <f t="shared" ca="1" si="126"/>
        <v>#NAME?</v>
      </c>
      <c r="BX170" s="470" t="e">
        <f t="shared" ca="1" si="96"/>
        <v>#NAME?</v>
      </c>
      <c r="BY170" s="484" t="e">
        <f t="shared" ca="1" si="109"/>
        <v>#NAME?</v>
      </c>
    </row>
    <row r="171" spans="9:77" s="212" customFormat="1" ht="17.75" customHeight="1" x14ac:dyDescent="0.2">
      <c r="I171" s="366">
        <v>87</v>
      </c>
      <c r="J171" s="414">
        <f t="shared" si="110"/>
        <v>41705.772916666865</v>
      </c>
      <c r="K171" s="435" t="e">
        <f t="shared" ca="1" si="111"/>
        <v>#NAME?</v>
      </c>
      <c r="L171" s="435" t="e">
        <f t="shared" ca="1" si="97"/>
        <v>#NAME?</v>
      </c>
      <c r="M171" s="664" t="e">
        <f t="shared" ca="1" si="154"/>
        <v>#NAME?</v>
      </c>
      <c r="N171" s="664" t="e">
        <f t="shared" ca="1" si="155"/>
        <v>#NAME?</v>
      </c>
      <c r="O171" s="140" t="e">
        <f t="shared" ca="1" si="98"/>
        <v>#NAME?</v>
      </c>
      <c r="P171" s="352" t="e">
        <f t="shared" ca="1" si="114"/>
        <v>#NAME?</v>
      </c>
      <c r="Q171" s="665" t="e">
        <f t="shared" ca="1" si="99"/>
        <v>#NAME?</v>
      </c>
      <c r="R171" s="352" t="e">
        <f t="shared" ca="1" si="127"/>
        <v>#NAME?</v>
      </c>
      <c r="S171" s="662" t="e">
        <f t="shared" ca="1" si="100"/>
        <v>#NAME?</v>
      </c>
      <c r="T171" s="443" t="e">
        <f t="shared" ca="1" si="92"/>
        <v>#NAME?</v>
      </c>
      <c r="U171" s="369" t="e">
        <f t="shared" ca="1" si="93"/>
        <v>#NAME?</v>
      </c>
      <c r="V171" s="454" t="e">
        <f t="shared" ca="1" si="101"/>
        <v>#NAME?</v>
      </c>
      <c r="W171" s="457">
        <f t="shared" si="102"/>
        <v>1000</v>
      </c>
      <c r="X171" s="463" t="e">
        <f t="shared" ca="1" si="103"/>
        <v>#NAME?</v>
      </c>
      <c r="Y171" s="455" t="e">
        <f t="shared" ca="1" si="115"/>
        <v>#NAME?</v>
      </c>
      <c r="Z171" s="699">
        <f t="shared" si="94"/>
        <v>8.5</v>
      </c>
      <c r="AA171" s="355" t="str">
        <f t="shared" si="95"/>
        <v>ON</v>
      </c>
      <c r="AB171" s="357">
        <f t="shared" si="128"/>
        <v>1.4999999999999999E-2</v>
      </c>
      <c r="AC171" s="356" t="e">
        <f ca="1">IF(  Y170=0,0,IF(OR(S171="KCAS",S171="INOP",S171="MEFE"),   ( (5*( (   (((1+0.2*(T171/661.4786)^2)^3.5 -1)  )/( (1-6.8755856*10^-6 *100*Y171)^5.2558797) +1)^(2/7) -1) )^0.5),IF(S171="MACH",T171, IF(S171="LRC",BicubicInterpolation( 'LRC Mach'!$C$4:$AL$21, Y171,U171),  IF(S171="MRC",BicubicInterpolation( 'MRC Mach'!$C$3:$T$18, Y171,U171),  IF(S171="M0.84",0.84,  IF(S171="CI52",BicubicInterpolation('CI=52 Mach'!$C$3:$T$18, Y171,U171),  IF(S171="HOLDING",BicubicInterpolation(  'Holding Mach'!$C$4:$M$13, Y171,U171),                         IF(S171="LRCINOP", BicubicInterpolation('LRC INOP Mach'!$C$4:$AA$21,Y171,U171), IF(S171="HOLDINGINOP",  BicubicInterpolation('Holding INOP Mach'!$N$4:$U$13,Y171,U171),         "XXX" )))))))   )))</f>
        <v>#NAME?</v>
      </c>
      <c r="AD171" s="313" t="e">
        <f t="shared" ca="1" si="129"/>
        <v>#NAME?</v>
      </c>
      <c r="AE171" s="314" t="e">
        <f t="shared" ca="1" si="116"/>
        <v>#NAME?</v>
      </c>
      <c r="AF171" s="313" t="e">
        <f t="shared" ca="1" si="130"/>
        <v>#NAME?</v>
      </c>
      <c r="AG171" s="314" t="e">
        <f t="shared" ca="1" si="117"/>
        <v>#NAME?</v>
      </c>
      <c r="AH171" s="313" t="e">
        <f t="shared" ca="1" si="131"/>
        <v>#NAME?</v>
      </c>
      <c r="AI171" s="314" t="e">
        <f t="shared" ca="1" si="118"/>
        <v>#NAME?</v>
      </c>
      <c r="AJ171" s="315" t="e">
        <f t="shared" ca="1" si="119"/>
        <v>#NAME?</v>
      </c>
      <c r="AK171" s="568" t="e">
        <f t="shared" ca="1" si="132"/>
        <v>#NAME?</v>
      </c>
      <c r="AL171" s="313" t="e">
        <f t="shared" ca="1" si="133"/>
        <v>#NAME?</v>
      </c>
      <c r="AM171" s="313" t="e">
        <f t="shared" ca="1" si="120"/>
        <v>#NAME?</v>
      </c>
      <c r="AN171" s="313" t="e">
        <f t="shared" ca="1" si="121"/>
        <v>#NAME?</v>
      </c>
      <c r="AO171" s="316" t="e">
        <f t="shared" ca="1" si="134"/>
        <v>#NAME?</v>
      </c>
      <c r="AP171" s="313" t="e">
        <f t="shared" ca="1" si="135"/>
        <v>#NAME?</v>
      </c>
      <c r="AQ171" s="314" t="e">
        <f t="shared" ca="1" si="122"/>
        <v>#NAME?</v>
      </c>
      <c r="AR171" s="315" t="e">
        <f t="shared" ca="1" si="136"/>
        <v>#NAME?</v>
      </c>
      <c r="AS171" s="316" t="e">
        <f t="shared" ca="1" si="137"/>
        <v>#NAME?</v>
      </c>
      <c r="AT171" s="315" t="e">
        <f t="shared" ca="1" si="138"/>
        <v>#NAME?</v>
      </c>
      <c r="AU171" s="317">
        <v>427.8</v>
      </c>
      <c r="AV171" s="315" t="e">
        <f t="shared" ca="1" si="139"/>
        <v>#NAME?</v>
      </c>
      <c r="AW171" s="318" t="e">
        <f ca="1">0.0001*BicubicInterpolation('Drag Coef Table'!$B$4:$L$28,AV171,AC171)</f>
        <v>#NAME?</v>
      </c>
      <c r="AX171" s="319" t="e">
        <f t="shared" ca="1" si="140"/>
        <v>#NAME?</v>
      </c>
      <c r="AY171" s="318" t="e">
        <f t="shared" ca="1" si="141"/>
        <v>#NAME?</v>
      </c>
      <c r="AZ171" s="320" t="e">
        <f t="shared" ca="1" si="142"/>
        <v>#NAME?</v>
      </c>
      <c r="BA171" s="321" t="e">
        <f t="shared" ca="1" si="143"/>
        <v>#NAME?</v>
      </c>
      <c r="BB171" s="322" t="e">
        <f t="shared" ca="1" si="144"/>
        <v>#NAME?</v>
      </c>
      <c r="BC171" s="323">
        <v>75.196700000000007</v>
      </c>
      <c r="BD171" s="324" t="e">
        <f t="shared" ca="1" si="145"/>
        <v>#NAME?</v>
      </c>
      <c r="BE171" s="325" t="e">
        <f t="shared" ca="1" si="146"/>
        <v>#NAME?</v>
      </c>
      <c r="BF171" s="324" t="e">
        <f ca="1">BicubicInterpolation('TSFC Eff Table'!$B$4:$E$69,2,BB171)</f>
        <v>#NAME?</v>
      </c>
      <c r="BG171" s="326" t="e">
        <f t="shared" ca="1" si="147"/>
        <v>#NAME?</v>
      </c>
      <c r="BH171" s="694" t="e">
        <f ca="1">IF( S171="LRCINOP",   (1+(0.03/10)*Z171*(1+0.2*AC171^2) )*BicubicInterpolation( 'LRC INOP FF'!$C$4:$AA$21, Y171, U171 )-200, IF(S171 ="HOLDINGINOP", (1+(0.03/10)*Z171*(1+0.2*AC171^2) )*BicubicInterpolation( 'Holding INOP FF'!$C$4:$J$13,  Y171,  U171)/1.05-200,   BA171*BG171))</f>
        <v>#NAME?</v>
      </c>
      <c r="BI171" s="344" t="e">
        <f t="shared" ca="1" si="104"/>
        <v>#NAME?</v>
      </c>
      <c r="BJ171" s="322" t="e">
        <f t="shared" ca="1" si="148"/>
        <v>#NAME?</v>
      </c>
      <c r="BK171" s="338" t="e">
        <f t="shared" ca="1" si="105"/>
        <v>#NAME?</v>
      </c>
      <c r="BL171" s="327" t="e">
        <f t="shared" ca="1" si="149"/>
        <v>#NAME?</v>
      </c>
      <c r="BM171" s="328">
        <f t="shared" si="150"/>
        <v>200</v>
      </c>
      <c r="BN171" s="329" t="e">
        <f t="shared" ca="1" si="151"/>
        <v>#NAME?</v>
      </c>
      <c r="BO171" s="344" t="e">
        <f t="shared" ca="1" si="106"/>
        <v>#NAME?</v>
      </c>
      <c r="BP171" s="320" t="e">
        <f t="shared" ca="1" si="152"/>
        <v>#NAME?</v>
      </c>
      <c r="BQ171" s="344" t="e">
        <f t="shared" ca="1" si="107"/>
        <v>#NAME?</v>
      </c>
      <c r="BR171" s="347" t="e">
        <f t="shared" ca="1" si="108"/>
        <v>#NAME?</v>
      </c>
      <c r="BS171" s="326" t="e">
        <f t="shared" ca="1" si="153"/>
        <v>#NAME?</v>
      </c>
      <c r="BT171" s="437" t="e">
        <f t="shared" ca="1" si="123"/>
        <v>#NAME?</v>
      </c>
      <c r="BU171" s="437" t="e">
        <f t="shared" ca="1" si="124"/>
        <v>#NAME?</v>
      </c>
      <c r="BV171" s="441" t="e">
        <f t="shared" ca="1" si="125"/>
        <v>#NAME?</v>
      </c>
      <c r="BW171" s="442" t="e">
        <f t="shared" ca="1" si="126"/>
        <v>#NAME?</v>
      </c>
      <c r="BX171" s="470" t="e">
        <f t="shared" ca="1" si="96"/>
        <v>#NAME?</v>
      </c>
      <c r="BY171" s="484" t="e">
        <f t="shared" ca="1" si="109"/>
        <v>#NAME?</v>
      </c>
    </row>
    <row r="172" spans="9:77" s="212" customFormat="1" ht="17.75" customHeight="1" x14ac:dyDescent="0.2">
      <c r="I172" s="366">
        <v>88</v>
      </c>
      <c r="J172" s="414">
        <f t="shared" si="110"/>
        <v>41705.773611111312</v>
      </c>
      <c r="K172" s="435" t="e">
        <f t="shared" ca="1" si="111"/>
        <v>#NAME?</v>
      </c>
      <c r="L172" s="435" t="e">
        <f t="shared" ca="1" si="97"/>
        <v>#NAME?</v>
      </c>
      <c r="M172" s="664" t="e">
        <f t="shared" ca="1" si="154"/>
        <v>#NAME?</v>
      </c>
      <c r="N172" s="664" t="e">
        <f t="shared" ca="1" si="155"/>
        <v>#NAME?</v>
      </c>
      <c r="O172" s="140" t="e">
        <f t="shared" ca="1" si="98"/>
        <v>#NAME?</v>
      </c>
      <c r="P172" s="352" t="e">
        <f t="shared" ca="1" si="114"/>
        <v>#NAME?</v>
      </c>
      <c r="Q172" s="665" t="e">
        <f t="shared" ca="1" si="99"/>
        <v>#NAME?</v>
      </c>
      <c r="R172" s="352" t="e">
        <f t="shared" ca="1" si="127"/>
        <v>#NAME?</v>
      </c>
      <c r="S172" s="662" t="e">
        <f t="shared" ca="1" si="100"/>
        <v>#NAME?</v>
      </c>
      <c r="T172" s="443" t="e">
        <f t="shared" ca="1" si="92"/>
        <v>#NAME?</v>
      </c>
      <c r="U172" s="369" t="e">
        <f t="shared" ca="1" si="93"/>
        <v>#NAME?</v>
      </c>
      <c r="V172" s="454" t="e">
        <f t="shared" ca="1" si="101"/>
        <v>#NAME?</v>
      </c>
      <c r="W172" s="457">
        <f t="shared" si="102"/>
        <v>1000</v>
      </c>
      <c r="X172" s="463" t="e">
        <f t="shared" ca="1" si="103"/>
        <v>#NAME?</v>
      </c>
      <c r="Y172" s="455" t="e">
        <f t="shared" ca="1" si="115"/>
        <v>#NAME?</v>
      </c>
      <c r="Z172" s="699">
        <f t="shared" si="94"/>
        <v>8.5</v>
      </c>
      <c r="AA172" s="355" t="str">
        <f t="shared" si="95"/>
        <v>ON</v>
      </c>
      <c r="AB172" s="357">
        <f t="shared" si="128"/>
        <v>1.4999999999999999E-2</v>
      </c>
      <c r="AC172" s="356" t="e">
        <f ca="1">IF(  Y171=0,0,IF(OR(S172="KCAS",S172="INOP",S172="MEFE"),   ( (5*( (   (((1+0.2*(T172/661.4786)^2)^3.5 -1)  )/( (1-6.8755856*10^-6 *100*Y172)^5.2558797) +1)^(2/7) -1) )^0.5),IF(S172="MACH",T172, IF(S172="LRC",BicubicInterpolation( 'LRC Mach'!$C$4:$AL$21, Y172,U172),  IF(S172="MRC",BicubicInterpolation( 'MRC Mach'!$C$3:$T$18, Y172,U172),  IF(S172="M0.84",0.84,  IF(S172="CI52",BicubicInterpolation('CI=52 Mach'!$C$3:$T$18, Y172,U172),  IF(S172="HOLDING",BicubicInterpolation(  'Holding Mach'!$C$4:$M$13, Y172,U172),                         IF(S172="LRCINOP", BicubicInterpolation('LRC INOP Mach'!$C$4:$AA$21,Y172,U172), IF(S172="HOLDINGINOP",  BicubicInterpolation('Holding INOP Mach'!$N$4:$U$13,Y172,U172),         "XXX" )))))))   )))</f>
        <v>#NAME?</v>
      </c>
      <c r="AD172" s="313" t="e">
        <f t="shared" ca="1" si="129"/>
        <v>#NAME?</v>
      </c>
      <c r="AE172" s="314" t="e">
        <f t="shared" ca="1" si="116"/>
        <v>#NAME?</v>
      </c>
      <c r="AF172" s="313" t="e">
        <f t="shared" ca="1" si="130"/>
        <v>#NAME?</v>
      </c>
      <c r="AG172" s="314" t="e">
        <f t="shared" ca="1" si="117"/>
        <v>#NAME?</v>
      </c>
      <c r="AH172" s="313" t="e">
        <f t="shared" ca="1" si="131"/>
        <v>#NAME?</v>
      </c>
      <c r="AI172" s="314" t="e">
        <f t="shared" ca="1" si="118"/>
        <v>#NAME?</v>
      </c>
      <c r="AJ172" s="315" t="e">
        <f t="shared" ca="1" si="119"/>
        <v>#NAME?</v>
      </c>
      <c r="AK172" s="568" t="e">
        <f t="shared" ca="1" si="132"/>
        <v>#NAME?</v>
      </c>
      <c r="AL172" s="313" t="e">
        <f t="shared" ca="1" si="133"/>
        <v>#NAME?</v>
      </c>
      <c r="AM172" s="313" t="e">
        <f t="shared" ca="1" si="120"/>
        <v>#NAME?</v>
      </c>
      <c r="AN172" s="313" t="e">
        <f t="shared" ca="1" si="121"/>
        <v>#NAME?</v>
      </c>
      <c r="AO172" s="316" t="e">
        <f t="shared" ca="1" si="134"/>
        <v>#NAME?</v>
      </c>
      <c r="AP172" s="313" t="e">
        <f t="shared" ca="1" si="135"/>
        <v>#NAME?</v>
      </c>
      <c r="AQ172" s="314" t="e">
        <f t="shared" ca="1" si="122"/>
        <v>#NAME?</v>
      </c>
      <c r="AR172" s="315" t="e">
        <f t="shared" ca="1" si="136"/>
        <v>#NAME?</v>
      </c>
      <c r="AS172" s="316" t="e">
        <f t="shared" ca="1" si="137"/>
        <v>#NAME?</v>
      </c>
      <c r="AT172" s="315" t="e">
        <f t="shared" ca="1" si="138"/>
        <v>#NAME?</v>
      </c>
      <c r="AU172" s="317">
        <v>427.8</v>
      </c>
      <c r="AV172" s="315" t="e">
        <f t="shared" ca="1" si="139"/>
        <v>#NAME?</v>
      </c>
      <c r="AW172" s="318" t="e">
        <f ca="1">0.0001*BicubicInterpolation('Drag Coef Table'!$B$4:$L$28,AV172,AC172)</f>
        <v>#NAME?</v>
      </c>
      <c r="AX172" s="319" t="e">
        <f t="shared" ca="1" si="140"/>
        <v>#NAME?</v>
      </c>
      <c r="AY172" s="318" t="e">
        <f t="shared" ca="1" si="141"/>
        <v>#NAME?</v>
      </c>
      <c r="AZ172" s="320" t="e">
        <f t="shared" ca="1" si="142"/>
        <v>#NAME?</v>
      </c>
      <c r="BA172" s="321" t="e">
        <f t="shared" ca="1" si="143"/>
        <v>#NAME?</v>
      </c>
      <c r="BB172" s="322" t="e">
        <f t="shared" ca="1" si="144"/>
        <v>#NAME?</v>
      </c>
      <c r="BC172" s="323">
        <v>75.196700000000007</v>
      </c>
      <c r="BD172" s="324" t="e">
        <f t="shared" ca="1" si="145"/>
        <v>#NAME?</v>
      </c>
      <c r="BE172" s="325" t="e">
        <f t="shared" ca="1" si="146"/>
        <v>#NAME?</v>
      </c>
      <c r="BF172" s="324" t="e">
        <f ca="1">BicubicInterpolation('TSFC Eff Table'!$B$4:$E$69,2,BB172)</f>
        <v>#NAME?</v>
      </c>
      <c r="BG172" s="326" t="e">
        <f t="shared" ca="1" si="147"/>
        <v>#NAME?</v>
      </c>
      <c r="BH172" s="694" t="e">
        <f ca="1">IF( S172="LRCINOP",   (1+(0.03/10)*Z172*(1+0.2*AC172^2) )*BicubicInterpolation( 'LRC INOP FF'!$C$4:$AA$21, Y172, U172 )-200, IF(S172 ="HOLDINGINOP", (1+(0.03/10)*Z172*(1+0.2*AC172^2) )*BicubicInterpolation( 'Holding INOP FF'!$C$4:$J$13,  Y172,  U172)/1.05-200,   BA172*BG172))</f>
        <v>#NAME?</v>
      </c>
      <c r="BI172" s="344" t="e">
        <f t="shared" ca="1" si="104"/>
        <v>#NAME?</v>
      </c>
      <c r="BJ172" s="322" t="e">
        <f t="shared" ca="1" si="148"/>
        <v>#NAME?</v>
      </c>
      <c r="BK172" s="338" t="e">
        <f t="shared" ca="1" si="105"/>
        <v>#NAME?</v>
      </c>
      <c r="BL172" s="327" t="e">
        <f t="shared" ca="1" si="149"/>
        <v>#NAME?</v>
      </c>
      <c r="BM172" s="328">
        <f t="shared" si="150"/>
        <v>200</v>
      </c>
      <c r="BN172" s="329" t="e">
        <f t="shared" ca="1" si="151"/>
        <v>#NAME?</v>
      </c>
      <c r="BO172" s="344" t="e">
        <f t="shared" ca="1" si="106"/>
        <v>#NAME?</v>
      </c>
      <c r="BP172" s="320" t="e">
        <f t="shared" ca="1" si="152"/>
        <v>#NAME?</v>
      </c>
      <c r="BQ172" s="344" t="e">
        <f t="shared" ca="1" si="107"/>
        <v>#NAME?</v>
      </c>
      <c r="BR172" s="347" t="e">
        <f t="shared" ca="1" si="108"/>
        <v>#NAME?</v>
      </c>
      <c r="BS172" s="326" t="e">
        <f t="shared" ca="1" si="153"/>
        <v>#NAME?</v>
      </c>
      <c r="BT172" s="437" t="e">
        <f t="shared" ca="1" si="123"/>
        <v>#NAME?</v>
      </c>
      <c r="BU172" s="437" t="e">
        <f t="shared" ca="1" si="124"/>
        <v>#NAME?</v>
      </c>
      <c r="BV172" s="441" t="e">
        <f t="shared" ca="1" si="125"/>
        <v>#NAME?</v>
      </c>
      <c r="BW172" s="442" t="e">
        <f t="shared" ca="1" si="126"/>
        <v>#NAME?</v>
      </c>
      <c r="BX172" s="470" t="e">
        <f t="shared" ca="1" si="96"/>
        <v>#NAME?</v>
      </c>
      <c r="BY172" s="484" t="e">
        <f t="shared" ca="1" si="109"/>
        <v>#NAME?</v>
      </c>
    </row>
    <row r="173" spans="9:77" s="212" customFormat="1" ht="17.75" customHeight="1" x14ac:dyDescent="0.2">
      <c r="I173" s="366">
        <v>89</v>
      </c>
      <c r="J173" s="414">
        <f t="shared" si="110"/>
        <v>41705.774305555758</v>
      </c>
      <c r="K173" s="435" t="e">
        <f t="shared" ca="1" si="111"/>
        <v>#NAME?</v>
      </c>
      <c r="L173" s="435" t="e">
        <f t="shared" ca="1" si="97"/>
        <v>#NAME?</v>
      </c>
      <c r="M173" s="664" t="e">
        <f t="shared" ca="1" si="154"/>
        <v>#NAME?</v>
      </c>
      <c r="N173" s="664" t="e">
        <f t="shared" ca="1" si="155"/>
        <v>#NAME?</v>
      </c>
      <c r="O173" s="140" t="e">
        <f t="shared" ca="1" si="98"/>
        <v>#NAME?</v>
      </c>
      <c r="P173" s="352" t="e">
        <f t="shared" ca="1" si="114"/>
        <v>#NAME?</v>
      </c>
      <c r="Q173" s="665" t="e">
        <f t="shared" ca="1" si="99"/>
        <v>#NAME?</v>
      </c>
      <c r="R173" s="352" t="e">
        <f t="shared" ca="1" si="127"/>
        <v>#NAME?</v>
      </c>
      <c r="S173" s="662" t="e">
        <f t="shared" ca="1" si="100"/>
        <v>#NAME?</v>
      </c>
      <c r="T173" s="443" t="e">
        <f t="shared" ca="1" si="92"/>
        <v>#NAME?</v>
      </c>
      <c r="U173" s="369" t="e">
        <f t="shared" ca="1" si="93"/>
        <v>#NAME?</v>
      </c>
      <c r="V173" s="454" t="e">
        <f t="shared" ca="1" si="101"/>
        <v>#NAME?</v>
      </c>
      <c r="W173" s="457">
        <f t="shared" si="102"/>
        <v>1000</v>
      </c>
      <c r="X173" s="463" t="e">
        <f t="shared" ca="1" si="103"/>
        <v>#NAME?</v>
      </c>
      <c r="Y173" s="455" t="e">
        <f t="shared" ca="1" si="115"/>
        <v>#NAME?</v>
      </c>
      <c r="Z173" s="699">
        <f t="shared" si="94"/>
        <v>8.5</v>
      </c>
      <c r="AA173" s="355" t="str">
        <f t="shared" si="95"/>
        <v>ON</v>
      </c>
      <c r="AB173" s="357">
        <f t="shared" si="128"/>
        <v>1.4999999999999999E-2</v>
      </c>
      <c r="AC173" s="356" t="e">
        <f ca="1">IF(  Y172=0,0,IF(OR(S173="KCAS",S173="INOP",S173="MEFE"),   ( (5*( (   (((1+0.2*(T173/661.4786)^2)^3.5 -1)  )/( (1-6.8755856*10^-6 *100*Y173)^5.2558797) +1)^(2/7) -1) )^0.5),IF(S173="MACH",T173, IF(S173="LRC",BicubicInterpolation( 'LRC Mach'!$C$4:$AL$21, Y173,U173),  IF(S173="MRC",BicubicInterpolation( 'MRC Mach'!$C$3:$T$18, Y173,U173),  IF(S173="M0.84",0.84,  IF(S173="CI52",BicubicInterpolation('CI=52 Mach'!$C$3:$T$18, Y173,U173),  IF(S173="HOLDING",BicubicInterpolation(  'Holding Mach'!$C$4:$M$13, Y173,U173),                         IF(S173="LRCINOP", BicubicInterpolation('LRC INOP Mach'!$C$4:$AA$21,Y173,U173), IF(S173="HOLDINGINOP",  BicubicInterpolation('Holding INOP Mach'!$N$4:$U$13,Y173,U173),         "XXX" )))))))   )))</f>
        <v>#NAME?</v>
      </c>
      <c r="AD173" s="313" t="e">
        <f t="shared" ca="1" si="129"/>
        <v>#NAME?</v>
      </c>
      <c r="AE173" s="314" t="e">
        <f t="shared" ca="1" si="116"/>
        <v>#NAME?</v>
      </c>
      <c r="AF173" s="313" t="e">
        <f t="shared" ca="1" si="130"/>
        <v>#NAME?</v>
      </c>
      <c r="AG173" s="314" t="e">
        <f t="shared" ca="1" si="117"/>
        <v>#NAME?</v>
      </c>
      <c r="AH173" s="313" t="e">
        <f t="shared" ca="1" si="131"/>
        <v>#NAME?</v>
      </c>
      <c r="AI173" s="314" t="e">
        <f t="shared" ca="1" si="118"/>
        <v>#NAME?</v>
      </c>
      <c r="AJ173" s="315" t="e">
        <f t="shared" ca="1" si="119"/>
        <v>#NAME?</v>
      </c>
      <c r="AK173" s="568" t="e">
        <f t="shared" ca="1" si="132"/>
        <v>#NAME?</v>
      </c>
      <c r="AL173" s="313" t="e">
        <f t="shared" ca="1" si="133"/>
        <v>#NAME?</v>
      </c>
      <c r="AM173" s="313" t="e">
        <f t="shared" ca="1" si="120"/>
        <v>#NAME?</v>
      </c>
      <c r="AN173" s="313" t="e">
        <f t="shared" ca="1" si="121"/>
        <v>#NAME?</v>
      </c>
      <c r="AO173" s="316" t="e">
        <f t="shared" ca="1" si="134"/>
        <v>#NAME?</v>
      </c>
      <c r="AP173" s="313" t="e">
        <f t="shared" ca="1" si="135"/>
        <v>#NAME?</v>
      </c>
      <c r="AQ173" s="314" t="e">
        <f t="shared" ca="1" si="122"/>
        <v>#NAME?</v>
      </c>
      <c r="AR173" s="315" t="e">
        <f t="shared" ca="1" si="136"/>
        <v>#NAME?</v>
      </c>
      <c r="AS173" s="316" t="e">
        <f t="shared" ca="1" si="137"/>
        <v>#NAME?</v>
      </c>
      <c r="AT173" s="315" t="e">
        <f t="shared" ca="1" si="138"/>
        <v>#NAME?</v>
      </c>
      <c r="AU173" s="317">
        <v>427.8</v>
      </c>
      <c r="AV173" s="315" t="e">
        <f t="shared" ca="1" si="139"/>
        <v>#NAME?</v>
      </c>
      <c r="AW173" s="318" t="e">
        <f ca="1">0.0001*BicubicInterpolation('Drag Coef Table'!$B$4:$L$28,AV173,AC173)</f>
        <v>#NAME?</v>
      </c>
      <c r="AX173" s="319" t="e">
        <f t="shared" ca="1" si="140"/>
        <v>#NAME?</v>
      </c>
      <c r="AY173" s="318" t="e">
        <f t="shared" ca="1" si="141"/>
        <v>#NAME?</v>
      </c>
      <c r="AZ173" s="320" t="e">
        <f t="shared" ca="1" si="142"/>
        <v>#NAME?</v>
      </c>
      <c r="BA173" s="321" t="e">
        <f t="shared" ca="1" si="143"/>
        <v>#NAME?</v>
      </c>
      <c r="BB173" s="322" t="e">
        <f t="shared" ca="1" si="144"/>
        <v>#NAME?</v>
      </c>
      <c r="BC173" s="323">
        <v>75.196700000000007</v>
      </c>
      <c r="BD173" s="324" t="e">
        <f t="shared" ca="1" si="145"/>
        <v>#NAME?</v>
      </c>
      <c r="BE173" s="325" t="e">
        <f t="shared" ca="1" si="146"/>
        <v>#NAME?</v>
      </c>
      <c r="BF173" s="324" t="e">
        <f ca="1">BicubicInterpolation('TSFC Eff Table'!$B$4:$E$69,2,BB173)</f>
        <v>#NAME?</v>
      </c>
      <c r="BG173" s="326" t="e">
        <f t="shared" ca="1" si="147"/>
        <v>#NAME?</v>
      </c>
      <c r="BH173" s="694" t="e">
        <f ca="1">IF( S173="LRCINOP",   (1+(0.03/10)*Z173*(1+0.2*AC173^2) )*BicubicInterpolation( 'LRC INOP FF'!$C$4:$AA$21, Y173, U173 )-200, IF(S173 ="HOLDINGINOP", (1+(0.03/10)*Z173*(1+0.2*AC173^2) )*BicubicInterpolation( 'Holding INOP FF'!$C$4:$J$13,  Y173,  U173)/1.05-200,   BA173*BG173))</f>
        <v>#NAME?</v>
      </c>
      <c r="BI173" s="344" t="e">
        <f t="shared" ca="1" si="104"/>
        <v>#NAME?</v>
      </c>
      <c r="BJ173" s="322" t="e">
        <f t="shared" ca="1" si="148"/>
        <v>#NAME?</v>
      </c>
      <c r="BK173" s="338" t="e">
        <f t="shared" ca="1" si="105"/>
        <v>#NAME?</v>
      </c>
      <c r="BL173" s="327" t="e">
        <f t="shared" ca="1" si="149"/>
        <v>#NAME?</v>
      </c>
      <c r="BM173" s="328">
        <f t="shared" si="150"/>
        <v>200</v>
      </c>
      <c r="BN173" s="329" t="e">
        <f t="shared" ca="1" si="151"/>
        <v>#NAME?</v>
      </c>
      <c r="BO173" s="344" t="e">
        <f t="shared" ca="1" si="106"/>
        <v>#NAME?</v>
      </c>
      <c r="BP173" s="320" t="e">
        <f t="shared" ca="1" si="152"/>
        <v>#NAME?</v>
      </c>
      <c r="BQ173" s="344" t="e">
        <f t="shared" ca="1" si="107"/>
        <v>#NAME?</v>
      </c>
      <c r="BR173" s="347" t="e">
        <f t="shared" ca="1" si="108"/>
        <v>#NAME?</v>
      </c>
      <c r="BS173" s="326" t="e">
        <f t="shared" ca="1" si="153"/>
        <v>#NAME?</v>
      </c>
      <c r="BT173" s="437" t="e">
        <f t="shared" ca="1" si="123"/>
        <v>#NAME?</v>
      </c>
      <c r="BU173" s="437" t="e">
        <f t="shared" ca="1" si="124"/>
        <v>#NAME?</v>
      </c>
      <c r="BV173" s="441" t="e">
        <f t="shared" ca="1" si="125"/>
        <v>#NAME?</v>
      </c>
      <c r="BW173" s="442" t="e">
        <f t="shared" ca="1" si="126"/>
        <v>#NAME?</v>
      </c>
      <c r="BX173" s="470" t="e">
        <f t="shared" ca="1" si="96"/>
        <v>#NAME?</v>
      </c>
      <c r="BY173" s="484" t="e">
        <f t="shared" ca="1" si="109"/>
        <v>#NAME?</v>
      </c>
    </row>
    <row r="174" spans="9:77" s="212" customFormat="1" ht="17.75" customHeight="1" x14ac:dyDescent="0.2">
      <c r="I174" s="366">
        <v>90</v>
      </c>
      <c r="J174" s="414">
        <f t="shared" si="110"/>
        <v>41705.775000000205</v>
      </c>
      <c r="K174" s="435" t="e">
        <f t="shared" ca="1" si="111"/>
        <v>#NAME?</v>
      </c>
      <c r="L174" s="435" t="e">
        <f t="shared" ca="1" si="97"/>
        <v>#NAME?</v>
      </c>
      <c r="M174" s="664" t="e">
        <f t="shared" ca="1" si="154"/>
        <v>#NAME?</v>
      </c>
      <c r="N174" s="664" t="e">
        <f t="shared" ca="1" si="155"/>
        <v>#NAME?</v>
      </c>
      <c r="O174" s="140" t="e">
        <f t="shared" ca="1" si="98"/>
        <v>#NAME?</v>
      </c>
      <c r="P174" s="352" t="e">
        <f t="shared" ca="1" si="114"/>
        <v>#NAME?</v>
      </c>
      <c r="Q174" s="665" t="e">
        <f t="shared" ca="1" si="99"/>
        <v>#NAME?</v>
      </c>
      <c r="R174" s="352" t="e">
        <f t="shared" ca="1" si="127"/>
        <v>#NAME?</v>
      </c>
      <c r="S174" s="662" t="e">
        <f t="shared" ca="1" si="100"/>
        <v>#NAME?</v>
      </c>
      <c r="T174" s="443" t="e">
        <f t="shared" ca="1" si="92"/>
        <v>#NAME?</v>
      </c>
      <c r="U174" s="369" t="e">
        <f t="shared" ca="1" si="93"/>
        <v>#NAME?</v>
      </c>
      <c r="V174" s="454" t="e">
        <f t="shared" ca="1" si="101"/>
        <v>#NAME?</v>
      </c>
      <c r="W174" s="457">
        <f t="shared" si="102"/>
        <v>1000</v>
      </c>
      <c r="X174" s="463" t="e">
        <f t="shared" ca="1" si="103"/>
        <v>#NAME?</v>
      </c>
      <c r="Y174" s="455" t="e">
        <f t="shared" ca="1" si="115"/>
        <v>#NAME?</v>
      </c>
      <c r="Z174" s="699">
        <f t="shared" si="94"/>
        <v>8.5</v>
      </c>
      <c r="AA174" s="355" t="str">
        <f t="shared" si="95"/>
        <v>ON</v>
      </c>
      <c r="AB174" s="357">
        <f t="shared" si="128"/>
        <v>1.4999999999999999E-2</v>
      </c>
      <c r="AC174" s="356" t="e">
        <f ca="1">IF(  Y173=0,0,IF(OR(S174="KCAS",S174="INOP",S174="MEFE"),   ( (5*( (   (((1+0.2*(T174/661.4786)^2)^3.5 -1)  )/( (1-6.8755856*10^-6 *100*Y174)^5.2558797) +1)^(2/7) -1) )^0.5),IF(S174="MACH",T174, IF(S174="LRC",BicubicInterpolation( 'LRC Mach'!$C$4:$AL$21, Y174,U174),  IF(S174="MRC",BicubicInterpolation( 'MRC Mach'!$C$3:$T$18, Y174,U174),  IF(S174="M0.84",0.84,  IF(S174="CI52",BicubicInterpolation('CI=52 Mach'!$C$3:$T$18, Y174,U174),  IF(S174="HOLDING",BicubicInterpolation(  'Holding Mach'!$C$4:$M$13, Y174,U174),                         IF(S174="LRCINOP", BicubicInterpolation('LRC INOP Mach'!$C$4:$AA$21,Y174,U174), IF(S174="HOLDINGINOP",  BicubicInterpolation('Holding INOP Mach'!$N$4:$U$13,Y174,U174),         "XXX" )))))))   )))</f>
        <v>#NAME?</v>
      </c>
      <c r="AD174" s="313" t="e">
        <f t="shared" ca="1" si="129"/>
        <v>#NAME?</v>
      </c>
      <c r="AE174" s="314" t="e">
        <f t="shared" ca="1" si="116"/>
        <v>#NAME?</v>
      </c>
      <c r="AF174" s="313" t="e">
        <f t="shared" ca="1" si="130"/>
        <v>#NAME?</v>
      </c>
      <c r="AG174" s="314" t="e">
        <f t="shared" ca="1" si="117"/>
        <v>#NAME?</v>
      </c>
      <c r="AH174" s="313" t="e">
        <f t="shared" ca="1" si="131"/>
        <v>#NAME?</v>
      </c>
      <c r="AI174" s="314" t="e">
        <f t="shared" ca="1" si="118"/>
        <v>#NAME?</v>
      </c>
      <c r="AJ174" s="315" t="e">
        <f t="shared" ca="1" si="119"/>
        <v>#NAME?</v>
      </c>
      <c r="AK174" s="568" t="e">
        <f t="shared" ca="1" si="132"/>
        <v>#NAME?</v>
      </c>
      <c r="AL174" s="313" t="e">
        <f t="shared" ca="1" si="133"/>
        <v>#NAME?</v>
      </c>
      <c r="AM174" s="313" t="e">
        <f t="shared" ca="1" si="120"/>
        <v>#NAME?</v>
      </c>
      <c r="AN174" s="313" t="e">
        <f t="shared" ca="1" si="121"/>
        <v>#NAME?</v>
      </c>
      <c r="AO174" s="316" t="e">
        <f t="shared" ca="1" si="134"/>
        <v>#NAME?</v>
      </c>
      <c r="AP174" s="313" t="e">
        <f t="shared" ca="1" si="135"/>
        <v>#NAME?</v>
      </c>
      <c r="AQ174" s="314" t="e">
        <f t="shared" ca="1" si="122"/>
        <v>#NAME?</v>
      </c>
      <c r="AR174" s="315" t="e">
        <f t="shared" ca="1" si="136"/>
        <v>#NAME?</v>
      </c>
      <c r="AS174" s="316" t="e">
        <f t="shared" ca="1" si="137"/>
        <v>#NAME?</v>
      </c>
      <c r="AT174" s="315" t="e">
        <f t="shared" ca="1" si="138"/>
        <v>#NAME?</v>
      </c>
      <c r="AU174" s="317">
        <v>427.8</v>
      </c>
      <c r="AV174" s="315" t="e">
        <f t="shared" ca="1" si="139"/>
        <v>#NAME?</v>
      </c>
      <c r="AW174" s="318" t="e">
        <f ca="1">0.0001*BicubicInterpolation('Drag Coef Table'!$B$4:$L$28,AV174,AC174)</f>
        <v>#NAME?</v>
      </c>
      <c r="AX174" s="319" t="e">
        <f t="shared" ca="1" si="140"/>
        <v>#NAME?</v>
      </c>
      <c r="AY174" s="318" t="e">
        <f t="shared" ca="1" si="141"/>
        <v>#NAME?</v>
      </c>
      <c r="AZ174" s="320" t="e">
        <f t="shared" ca="1" si="142"/>
        <v>#NAME?</v>
      </c>
      <c r="BA174" s="321" t="e">
        <f t="shared" ca="1" si="143"/>
        <v>#NAME?</v>
      </c>
      <c r="BB174" s="322" t="e">
        <f t="shared" ca="1" si="144"/>
        <v>#NAME?</v>
      </c>
      <c r="BC174" s="323">
        <v>75.196700000000007</v>
      </c>
      <c r="BD174" s="324" t="e">
        <f t="shared" ca="1" si="145"/>
        <v>#NAME?</v>
      </c>
      <c r="BE174" s="325" t="e">
        <f t="shared" ca="1" si="146"/>
        <v>#NAME?</v>
      </c>
      <c r="BF174" s="324" t="e">
        <f ca="1">BicubicInterpolation('TSFC Eff Table'!$B$4:$E$69,2,BB174)</f>
        <v>#NAME?</v>
      </c>
      <c r="BG174" s="326" t="e">
        <f t="shared" ca="1" si="147"/>
        <v>#NAME?</v>
      </c>
      <c r="BH174" s="694" t="e">
        <f ca="1">IF( S174="LRCINOP",   (1+(0.03/10)*Z174*(1+0.2*AC174^2) )*BicubicInterpolation( 'LRC INOP FF'!$C$4:$AA$21, Y174, U174 )-200, IF(S174 ="HOLDINGINOP", (1+(0.03/10)*Z174*(1+0.2*AC174^2) )*BicubicInterpolation( 'Holding INOP FF'!$C$4:$J$13,  Y174,  U174)/1.05-200,   BA174*BG174))</f>
        <v>#NAME?</v>
      </c>
      <c r="BI174" s="344" t="e">
        <f t="shared" ca="1" si="104"/>
        <v>#NAME?</v>
      </c>
      <c r="BJ174" s="322" t="e">
        <f t="shared" ca="1" si="148"/>
        <v>#NAME?</v>
      </c>
      <c r="BK174" s="338" t="e">
        <f t="shared" ca="1" si="105"/>
        <v>#NAME?</v>
      </c>
      <c r="BL174" s="327" t="e">
        <f t="shared" ca="1" si="149"/>
        <v>#NAME?</v>
      </c>
      <c r="BM174" s="328">
        <f t="shared" si="150"/>
        <v>200</v>
      </c>
      <c r="BN174" s="329" t="e">
        <f t="shared" ca="1" si="151"/>
        <v>#NAME?</v>
      </c>
      <c r="BO174" s="344" t="e">
        <f t="shared" ca="1" si="106"/>
        <v>#NAME?</v>
      </c>
      <c r="BP174" s="320" t="e">
        <f t="shared" ca="1" si="152"/>
        <v>#NAME?</v>
      </c>
      <c r="BQ174" s="344" t="e">
        <f t="shared" ca="1" si="107"/>
        <v>#NAME?</v>
      </c>
      <c r="BR174" s="347" t="e">
        <f t="shared" ca="1" si="108"/>
        <v>#NAME?</v>
      </c>
      <c r="BS174" s="326" t="e">
        <f t="shared" ca="1" si="153"/>
        <v>#NAME?</v>
      </c>
      <c r="BT174" s="437" t="e">
        <f t="shared" ca="1" si="123"/>
        <v>#NAME?</v>
      </c>
      <c r="BU174" s="437" t="e">
        <f t="shared" ca="1" si="124"/>
        <v>#NAME?</v>
      </c>
      <c r="BV174" s="441" t="e">
        <f t="shared" ca="1" si="125"/>
        <v>#NAME?</v>
      </c>
      <c r="BW174" s="442" t="e">
        <f t="shared" ca="1" si="126"/>
        <v>#NAME?</v>
      </c>
      <c r="BX174" s="470" t="e">
        <f t="shared" ca="1" si="96"/>
        <v>#NAME?</v>
      </c>
      <c r="BY174" s="484" t="e">
        <f t="shared" ca="1" si="109"/>
        <v>#NAME?</v>
      </c>
    </row>
    <row r="175" spans="9:77" s="212" customFormat="1" ht="17.75" customHeight="1" x14ac:dyDescent="0.2">
      <c r="I175" s="366">
        <v>91</v>
      </c>
      <c r="J175" s="414">
        <f t="shared" si="110"/>
        <v>41705.775694444652</v>
      </c>
      <c r="K175" s="435" t="e">
        <f t="shared" ca="1" si="111"/>
        <v>#NAME?</v>
      </c>
      <c r="L175" s="435" t="e">
        <f t="shared" ca="1" si="97"/>
        <v>#NAME?</v>
      </c>
      <c r="M175" s="664" t="e">
        <f t="shared" ca="1" si="154"/>
        <v>#NAME?</v>
      </c>
      <c r="N175" s="664" t="e">
        <f t="shared" ca="1" si="155"/>
        <v>#NAME?</v>
      </c>
      <c r="O175" s="140" t="e">
        <f t="shared" ca="1" si="98"/>
        <v>#NAME?</v>
      </c>
      <c r="P175" s="352" t="e">
        <f t="shared" ca="1" si="114"/>
        <v>#NAME?</v>
      </c>
      <c r="Q175" s="665" t="e">
        <f t="shared" ca="1" si="99"/>
        <v>#NAME?</v>
      </c>
      <c r="R175" s="352" t="e">
        <f t="shared" ca="1" si="127"/>
        <v>#NAME?</v>
      </c>
      <c r="S175" s="662" t="e">
        <f t="shared" ca="1" si="100"/>
        <v>#NAME?</v>
      </c>
      <c r="T175" s="443" t="e">
        <f t="shared" ca="1" si="92"/>
        <v>#NAME?</v>
      </c>
      <c r="U175" s="369" t="e">
        <f t="shared" ca="1" si="93"/>
        <v>#NAME?</v>
      </c>
      <c r="V175" s="454" t="e">
        <f t="shared" ca="1" si="101"/>
        <v>#NAME?</v>
      </c>
      <c r="W175" s="457">
        <f t="shared" si="102"/>
        <v>1000</v>
      </c>
      <c r="X175" s="463" t="e">
        <f t="shared" ca="1" si="103"/>
        <v>#NAME?</v>
      </c>
      <c r="Y175" s="455" t="e">
        <f t="shared" ca="1" si="115"/>
        <v>#NAME?</v>
      </c>
      <c r="Z175" s="699">
        <f t="shared" si="94"/>
        <v>8.5</v>
      </c>
      <c r="AA175" s="355" t="str">
        <f t="shared" si="95"/>
        <v>ON</v>
      </c>
      <c r="AB175" s="357">
        <f t="shared" si="128"/>
        <v>1.4999999999999999E-2</v>
      </c>
      <c r="AC175" s="356" t="e">
        <f ca="1">IF(  Y174=0,0,IF(OR(S175="KCAS",S175="INOP",S175="MEFE"),   ( (5*( (   (((1+0.2*(T175/661.4786)^2)^3.5 -1)  )/( (1-6.8755856*10^-6 *100*Y175)^5.2558797) +1)^(2/7) -1) )^0.5),IF(S175="MACH",T175, IF(S175="LRC",BicubicInterpolation( 'LRC Mach'!$C$4:$AL$21, Y175,U175),  IF(S175="MRC",BicubicInterpolation( 'MRC Mach'!$C$3:$T$18, Y175,U175),  IF(S175="M0.84",0.84,  IF(S175="CI52",BicubicInterpolation('CI=52 Mach'!$C$3:$T$18, Y175,U175),  IF(S175="HOLDING",BicubicInterpolation(  'Holding Mach'!$C$4:$M$13, Y175,U175),                         IF(S175="LRCINOP", BicubicInterpolation('LRC INOP Mach'!$C$4:$AA$21,Y175,U175), IF(S175="HOLDINGINOP",  BicubicInterpolation('Holding INOP Mach'!$N$4:$U$13,Y175,U175),         "XXX" )))))))   )))</f>
        <v>#NAME?</v>
      </c>
      <c r="AD175" s="313" t="e">
        <f t="shared" ca="1" si="129"/>
        <v>#NAME?</v>
      </c>
      <c r="AE175" s="314" t="e">
        <f t="shared" ca="1" si="116"/>
        <v>#NAME?</v>
      </c>
      <c r="AF175" s="313" t="e">
        <f t="shared" ca="1" si="130"/>
        <v>#NAME?</v>
      </c>
      <c r="AG175" s="314" t="e">
        <f t="shared" ca="1" si="117"/>
        <v>#NAME?</v>
      </c>
      <c r="AH175" s="313" t="e">
        <f t="shared" ca="1" si="131"/>
        <v>#NAME?</v>
      </c>
      <c r="AI175" s="314" t="e">
        <f t="shared" ca="1" si="118"/>
        <v>#NAME?</v>
      </c>
      <c r="AJ175" s="315" t="e">
        <f t="shared" ca="1" si="119"/>
        <v>#NAME?</v>
      </c>
      <c r="AK175" s="568" t="e">
        <f t="shared" ca="1" si="132"/>
        <v>#NAME?</v>
      </c>
      <c r="AL175" s="313" t="e">
        <f t="shared" ca="1" si="133"/>
        <v>#NAME?</v>
      </c>
      <c r="AM175" s="313" t="e">
        <f t="shared" ca="1" si="120"/>
        <v>#NAME?</v>
      </c>
      <c r="AN175" s="313" t="e">
        <f t="shared" ca="1" si="121"/>
        <v>#NAME?</v>
      </c>
      <c r="AO175" s="316" t="e">
        <f t="shared" ca="1" si="134"/>
        <v>#NAME?</v>
      </c>
      <c r="AP175" s="313" t="e">
        <f t="shared" ca="1" si="135"/>
        <v>#NAME?</v>
      </c>
      <c r="AQ175" s="314" t="e">
        <f t="shared" ca="1" si="122"/>
        <v>#NAME?</v>
      </c>
      <c r="AR175" s="315" t="e">
        <f t="shared" ca="1" si="136"/>
        <v>#NAME?</v>
      </c>
      <c r="AS175" s="316" t="e">
        <f t="shared" ca="1" si="137"/>
        <v>#NAME?</v>
      </c>
      <c r="AT175" s="315" t="e">
        <f t="shared" ca="1" si="138"/>
        <v>#NAME?</v>
      </c>
      <c r="AU175" s="317">
        <v>427.8</v>
      </c>
      <c r="AV175" s="315" t="e">
        <f t="shared" ca="1" si="139"/>
        <v>#NAME?</v>
      </c>
      <c r="AW175" s="318" t="e">
        <f ca="1">0.0001*BicubicInterpolation('Drag Coef Table'!$B$4:$L$28,AV175,AC175)</f>
        <v>#NAME?</v>
      </c>
      <c r="AX175" s="319" t="e">
        <f t="shared" ca="1" si="140"/>
        <v>#NAME?</v>
      </c>
      <c r="AY175" s="318" t="e">
        <f t="shared" ca="1" si="141"/>
        <v>#NAME?</v>
      </c>
      <c r="AZ175" s="320" t="e">
        <f t="shared" ca="1" si="142"/>
        <v>#NAME?</v>
      </c>
      <c r="BA175" s="321" t="e">
        <f t="shared" ca="1" si="143"/>
        <v>#NAME?</v>
      </c>
      <c r="BB175" s="322" t="e">
        <f t="shared" ca="1" si="144"/>
        <v>#NAME?</v>
      </c>
      <c r="BC175" s="323">
        <v>75.196700000000007</v>
      </c>
      <c r="BD175" s="324" t="e">
        <f t="shared" ca="1" si="145"/>
        <v>#NAME?</v>
      </c>
      <c r="BE175" s="325" t="e">
        <f t="shared" ca="1" si="146"/>
        <v>#NAME?</v>
      </c>
      <c r="BF175" s="324" t="e">
        <f ca="1">BicubicInterpolation('TSFC Eff Table'!$B$4:$E$69,2,BB175)</f>
        <v>#NAME?</v>
      </c>
      <c r="BG175" s="326" t="e">
        <f t="shared" ca="1" si="147"/>
        <v>#NAME?</v>
      </c>
      <c r="BH175" s="694" t="e">
        <f ca="1">IF( S175="LRCINOP",   (1+(0.03/10)*Z175*(1+0.2*AC175^2) )*BicubicInterpolation( 'LRC INOP FF'!$C$4:$AA$21, Y175, U175 )-200, IF(S175 ="HOLDINGINOP", (1+(0.03/10)*Z175*(1+0.2*AC175^2) )*BicubicInterpolation( 'Holding INOP FF'!$C$4:$J$13,  Y175,  U175)/1.05-200,   BA175*BG175))</f>
        <v>#NAME?</v>
      </c>
      <c r="BI175" s="344" t="e">
        <f t="shared" ca="1" si="104"/>
        <v>#NAME?</v>
      </c>
      <c r="BJ175" s="322" t="e">
        <f t="shared" ca="1" si="148"/>
        <v>#NAME?</v>
      </c>
      <c r="BK175" s="338" t="e">
        <f t="shared" ca="1" si="105"/>
        <v>#NAME?</v>
      </c>
      <c r="BL175" s="327" t="e">
        <f t="shared" ca="1" si="149"/>
        <v>#NAME?</v>
      </c>
      <c r="BM175" s="328">
        <f t="shared" si="150"/>
        <v>200</v>
      </c>
      <c r="BN175" s="329" t="e">
        <f t="shared" ca="1" si="151"/>
        <v>#NAME?</v>
      </c>
      <c r="BO175" s="344" t="e">
        <f t="shared" ca="1" si="106"/>
        <v>#NAME?</v>
      </c>
      <c r="BP175" s="320" t="e">
        <f t="shared" ca="1" si="152"/>
        <v>#NAME?</v>
      </c>
      <c r="BQ175" s="344" t="e">
        <f t="shared" ca="1" si="107"/>
        <v>#NAME?</v>
      </c>
      <c r="BR175" s="347" t="e">
        <f t="shared" ca="1" si="108"/>
        <v>#NAME?</v>
      </c>
      <c r="BS175" s="326" t="e">
        <f t="shared" ca="1" si="153"/>
        <v>#NAME?</v>
      </c>
      <c r="BT175" s="437" t="e">
        <f t="shared" ca="1" si="123"/>
        <v>#NAME?</v>
      </c>
      <c r="BU175" s="437" t="e">
        <f t="shared" ca="1" si="124"/>
        <v>#NAME?</v>
      </c>
      <c r="BV175" s="441" t="e">
        <f t="shared" ca="1" si="125"/>
        <v>#NAME?</v>
      </c>
      <c r="BW175" s="442" t="e">
        <f t="shared" ca="1" si="126"/>
        <v>#NAME?</v>
      </c>
      <c r="BX175" s="470" t="e">
        <f t="shared" ca="1" si="96"/>
        <v>#NAME?</v>
      </c>
      <c r="BY175" s="484" t="e">
        <f t="shared" ca="1" si="109"/>
        <v>#NAME?</v>
      </c>
    </row>
    <row r="176" spans="9:77" s="212" customFormat="1" ht="17.75" customHeight="1" x14ac:dyDescent="0.2">
      <c r="I176" s="366">
        <v>92</v>
      </c>
      <c r="J176" s="414">
        <f t="shared" si="110"/>
        <v>41705.776388889099</v>
      </c>
      <c r="K176" s="435" t="e">
        <f t="shared" ca="1" si="111"/>
        <v>#NAME?</v>
      </c>
      <c r="L176" s="435" t="e">
        <f t="shared" ca="1" si="97"/>
        <v>#NAME?</v>
      </c>
      <c r="M176" s="664" t="e">
        <f t="shared" ca="1" si="154"/>
        <v>#NAME?</v>
      </c>
      <c r="N176" s="664" t="e">
        <f t="shared" ca="1" si="155"/>
        <v>#NAME?</v>
      </c>
      <c r="O176" s="140" t="e">
        <f t="shared" ca="1" si="98"/>
        <v>#NAME?</v>
      </c>
      <c r="P176" s="352" t="e">
        <f t="shared" ca="1" si="114"/>
        <v>#NAME?</v>
      </c>
      <c r="Q176" s="665" t="e">
        <f t="shared" ca="1" si="99"/>
        <v>#NAME?</v>
      </c>
      <c r="R176" s="352" t="e">
        <f t="shared" ca="1" si="127"/>
        <v>#NAME?</v>
      </c>
      <c r="S176" s="662" t="e">
        <f t="shared" ca="1" si="100"/>
        <v>#NAME?</v>
      </c>
      <c r="T176" s="443" t="e">
        <f t="shared" ca="1" si="92"/>
        <v>#NAME?</v>
      </c>
      <c r="U176" s="369" t="e">
        <f t="shared" ca="1" si="93"/>
        <v>#NAME?</v>
      </c>
      <c r="V176" s="454" t="e">
        <f t="shared" ca="1" si="101"/>
        <v>#NAME?</v>
      </c>
      <c r="W176" s="457">
        <f t="shared" si="102"/>
        <v>1000</v>
      </c>
      <c r="X176" s="463" t="e">
        <f t="shared" ca="1" si="103"/>
        <v>#NAME?</v>
      </c>
      <c r="Y176" s="455" t="e">
        <f t="shared" ca="1" si="115"/>
        <v>#NAME?</v>
      </c>
      <c r="Z176" s="699">
        <f t="shared" si="94"/>
        <v>8.5</v>
      </c>
      <c r="AA176" s="355" t="str">
        <f t="shared" si="95"/>
        <v>ON</v>
      </c>
      <c r="AB176" s="357">
        <f t="shared" si="128"/>
        <v>1.4999999999999999E-2</v>
      </c>
      <c r="AC176" s="356" t="e">
        <f ca="1">IF(  Y175=0,0,IF(OR(S176="KCAS",S176="INOP",S176="MEFE"),   ( (5*( (   (((1+0.2*(T176/661.4786)^2)^3.5 -1)  )/( (1-6.8755856*10^-6 *100*Y176)^5.2558797) +1)^(2/7) -1) )^0.5),IF(S176="MACH",T176, IF(S176="LRC",BicubicInterpolation( 'LRC Mach'!$C$4:$AL$21, Y176,U176),  IF(S176="MRC",BicubicInterpolation( 'MRC Mach'!$C$3:$T$18, Y176,U176),  IF(S176="M0.84",0.84,  IF(S176="CI52",BicubicInterpolation('CI=52 Mach'!$C$3:$T$18, Y176,U176),  IF(S176="HOLDING",BicubicInterpolation(  'Holding Mach'!$C$4:$M$13, Y176,U176),                         IF(S176="LRCINOP", BicubicInterpolation('LRC INOP Mach'!$C$4:$AA$21,Y176,U176), IF(S176="HOLDINGINOP",  BicubicInterpolation('Holding INOP Mach'!$N$4:$U$13,Y176,U176),         "XXX" )))))))   )))</f>
        <v>#NAME?</v>
      </c>
      <c r="AD176" s="313" t="e">
        <f t="shared" ca="1" si="129"/>
        <v>#NAME?</v>
      </c>
      <c r="AE176" s="314" t="e">
        <f t="shared" ca="1" si="116"/>
        <v>#NAME?</v>
      </c>
      <c r="AF176" s="313" t="e">
        <f t="shared" ca="1" si="130"/>
        <v>#NAME?</v>
      </c>
      <c r="AG176" s="314" t="e">
        <f t="shared" ca="1" si="117"/>
        <v>#NAME?</v>
      </c>
      <c r="AH176" s="313" t="e">
        <f t="shared" ca="1" si="131"/>
        <v>#NAME?</v>
      </c>
      <c r="AI176" s="314" t="e">
        <f t="shared" ca="1" si="118"/>
        <v>#NAME?</v>
      </c>
      <c r="AJ176" s="315" t="e">
        <f t="shared" ca="1" si="119"/>
        <v>#NAME?</v>
      </c>
      <c r="AK176" s="568" t="e">
        <f t="shared" ca="1" si="132"/>
        <v>#NAME?</v>
      </c>
      <c r="AL176" s="313" t="e">
        <f t="shared" ca="1" si="133"/>
        <v>#NAME?</v>
      </c>
      <c r="AM176" s="313" t="e">
        <f t="shared" ca="1" si="120"/>
        <v>#NAME?</v>
      </c>
      <c r="AN176" s="313" t="e">
        <f t="shared" ca="1" si="121"/>
        <v>#NAME?</v>
      </c>
      <c r="AO176" s="316" t="e">
        <f t="shared" ca="1" si="134"/>
        <v>#NAME?</v>
      </c>
      <c r="AP176" s="313" t="e">
        <f t="shared" ca="1" si="135"/>
        <v>#NAME?</v>
      </c>
      <c r="AQ176" s="314" t="e">
        <f t="shared" ca="1" si="122"/>
        <v>#NAME?</v>
      </c>
      <c r="AR176" s="315" t="e">
        <f t="shared" ca="1" si="136"/>
        <v>#NAME?</v>
      </c>
      <c r="AS176" s="316" t="e">
        <f t="shared" ca="1" si="137"/>
        <v>#NAME?</v>
      </c>
      <c r="AT176" s="315" t="e">
        <f t="shared" ca="1" si="138"/>
        <v>#NAME?</v>
      </c>
      <c r="AU176" s="317">
        <v>427.8</v>
      </c>
      <c r="AV176" s="315" t="e">
        <f t="shared" ca="1" si="139"/>
        <v>#NAME?</v>
      </c>
      <c r="AW176" s="318" t="e">
        <f ca="1">0.0001*BicubicInterpolation('Drag Coef Table'!$B$4:$L$28,AV176,AC176)</f>
        <v>#NAME?</v>
      </c>
      <c r="AX176" s="319" t="e">
        <f t="shared" ca="1" si="140"/>
        <v>#NAME?</v>
      </c>
      <c r="AY176" s="318" t="e">
        <f t="shared" ca="1" si="141"/>
        <v>#NAME?</v>
      </c>
      <c r="AZ176" s="320" t="e">
        <f t="shared" ca="1" si="142"/>
        <v>#NAME?</v>
      </c>
      <c r="BA176" s="321" t="e">
        <f t="shared" ca="1" si="143"/>
        <v>#NAME?</v>
      </c>
      <c r="BB176" s="322" t="e">
        <f t="shared" ca="1" si="144"/>
        <v>#NAME?</v>
      </c>
      <c r="BC176" s="323">
        <v>75.196700000000007</v>
      </c>
      <c r="BD176" s="324" t="e">
        <f t="shared" ca="1" si="145"/>
        <v>#NAME?</v>
      </c>
      <c r="BE176" s="325" t="e">
        <f t="shared" ca="1" si="146"/>
        <v>#NAME?</v>
      </c>
      <c r="BF176" s="324" t="e">
        <f ca="1">BicubicInterpolation('TSFC Eff Table'!$B$4:$E$69,2,BB176)</f>
        <v>#NAME?</v>
      </c>
      <c r="BG176" s="326" t="e">
        <f t="shared" ca="1" si="147"/>
        <v>#NAME?</v>
      </c>
      <c r="BH176" s="694" t="e">
        <f ca="1">IF( S176="LRCINOP",   (1+(0.03/10)*Z176*(1+0.2*AC176^2) )*BicubicInterpolation( 'LRC INOP FF'!$C$4:$AA$21, Y176, U176 )-200, IF(S176 ="HOLDINGINOP", (1+(0.03/10)*Z176*(1+0.2*AC176^2) )*BicubicInterpolation( 'Holding INOP FF'!$C$4:$J$13,  Y176,  U176)/1.05-200,   BA176*BG176))</f>
        <v>#NAME?</v>
      </c>
      <c r="BI176" s="344" t="e">
        <f t="shared" ca="1" si="104"/>
        <v>#NAME?</v>
      </c>
      <c r="BJ176" s="322" t="e">
        <f t="shared" ca="1" si="148"/>
        <v>#NAME?</v>
      </c>
      <c r="BK176" s="338" t="e">
        <f t="shared" ca="1" si="105"/>
        <v>#NAME?</v>
      </c>
      <c r="BL176" s="327" t="e">
        <f t="shared" ca="1" si="149"/>
        <v>#NAME?</v>
      </c>
      <c r="BM176" s="328">
        <f t="shared" si="150"/>
        <v>200</v>
      </c>
      <c r="BN176" s="329" t="e">
        <f t="shared" ca="1" si="151"/>
        <v>#NAME?</v>
      </c>
      <c r="BO176" s="344" t="e">
        <f t="shared" ca="1" si="106"/>
        <v>#NAME?</v>
      </c>
      <c r="BP176" s="320" t="e">
        <f t="shared" ca="1" si="152"/>
        <v>#NAME?</v>
      </c>
      <c r="BQ176" s="344" t="e">
        <f t="shared" ca="1" si="107"/>
        <v>#NAME?</v>
      </c>
      <c r="BR176" s="347" t="e">
        <f t="shared" ca="1" si="108"/>
        <v>#NAME?</v>
      </c>
      <c r="BS176" s="326" t="e">
        <f t="shared" ca="1" si="153"/>
        <v>#NAME?</v>
      </c>
      <c r="BT176" s="437" t="e">
        <f t="shared" ca="1" si="123"/>
        <v>#NAME?</v>
      </c>
      <c r="BU176" s="437" t="e">
        <f t="shared" ca="1" si="124"/>
        <v>#NAME?</v>
      </c>
      <c r="BV176" s="441" t="e">
        <f t="shared" ca="1" si="125"/>
        <v>#NAME?</v>
      </c>
      <c r="BW176" s="442" t="e">
        <f t="shared" ca="1" si="126"/>
        <v>#NAME?</v>
      </c>
      <c r="BX176" s="470" t="e">
        <f t="shared" ca="1" si="96"/>
        <v>#NAME?</v>
      </c>
      <c r="BY176" s="484" t="e">
        <f t="shared" ca="1" si="109"/>
        <v>#NAME?</v>
      </c>
    </row>
    <row r="177" spans="9:77" s="212" customFormat="1" ht="17.75" customHeight="1" x14ac:dyDescent="0.2">
      <c r="I177" s="366">
        <v>93</v>
      </c>
      <c r="J177" s="414">
        <f t="shared" si="110"/>
        <v>41705.777083333545</v>
      </c>
      <c r="K177" s="435" t="e">
        <f t="shared" ca="1" si="111"/>
        <v>#NAME?</v>
      </c>
      <c r="L177" s="435" t="e">
        <f t="shared" ca="1" si="97"/>
        <v>#NAME?</v>
      </c>
      <c r="M177" s="664" t="e">
        <f t="shared" ca="1" si="154"/>
        <v>#NAME?</v>
      </c>
      <c r="N177" s="664" t="e">
        <f t="shared" ca="1" si="155"/>
        <v>#NAME?</v>
      </c>
      <c r="O177" s="140" t="e">
        <f t="shared" ca="1" si="98"/>
        <v>#NAME?</v>
      </c>
      <c r="P177" s="352" t="e">
        <f t="shared" ca="1" si="114"/>
        <v>#NAME?</v>
      </c>
      <c r="Q177" s="665" t="e">
        <f t="shared" ca="1" si="99"/>
        <v>#NAME?</v>
      </c>
      <c r="R177" s="352" t="e">
        <f t="shared" ca="1" si="127"/>
        <v>#NAME?</v>
      </c>
      <c r="S177" s="662" t="e">
        <f t="shared" ca="1" si="100"/>
        <v>#NAME?</v>
      </c>
      <c r="T177" s="443" t="e">
        <f t="shared" ca="1" si="92"/>
        <v>#NAME?</v>
      </c>
      <c r="U177" s="369" t="e">
        <f t="shared" ca="1" si="93"/>
        <v>#NAME?</v>
      </c>
      <c r="V177" s="454" t="e">
        <f t="shared" ca="1" si="101"/>
        <v>#NAME?</v>
      </c>
      <c r="W177" s="457">
        <f t="shared" si="102"/>
        <v>1000</v>
      </c>
      <c r="X177" s="463" t="e">
        <f t="shared" ca="1" si="103"/>
        <v>#NAME?</v>
      </c>
      <c r="Y177" s="455" t="e">
        <f t="shared" ca="1" si="115"/>
        <v>#NAME?</v>
      </c>
      <c r="Z177" s="699">
        <f t="shared" si="94"/>
        <v>8.5</v>
      </c>
      <c r="AA177" s="355" t="str">
        <f t="shared" si="95"/>
        <v>ON</v>
      </c>
      <c r="AB177" s="357">
        <f t="shared" si="128"/>
        <v>1.4999999999999999E-2</v>
      </c>
      <c r="AC177" s="356" t="e">
        <f ca="1">IF(  Y176=0,0,IF(OR(S177="KCAS",S177="INOP",S177="MEFE"),   ( (5*( (   (((1+0.2*(T177/661.4786)^2)^3.5 -1)  )/( (1-6.8755856*10^-6 *100*Y177)^5.2558797) +1)^(2/7) -1) )^0.5),IF(S177="MACH",T177, IF(S177="LRC",BicubicInterpolation( 'LRC Mach'!$C$4:$AL$21, Y177,U177),  IF(S177="MRC",BicubicInterpolation( 'MRC Mach'!$C$3:$T$18, Y177,U177),  IF(S177="M0.84",0.84,  IF(S177="CI52",BicubicInterpolation('CI=52 Mach'!$C$3:$T$18, Y177,U177),  IF(S177="HOLDING",BicubicInterpolation(  'Holding Mach'!$C$4:$M$13, Y177,U177),                         IF(S177="LRCINOP", BicubicInterpolation('LRC INOP Mach'!$C$4:$AA$21,Y177,U177), IF(S177="HOLDINGINOP",  BicubicInterpolation('Holding INOP Mach'!$N$4:$U$13,Y177,U177),         "XXX" )))))))   )))</f>
        <v>#NAME?</v>
      </c>
      <c r="AD177" s="313" t="e">
        <f t="shared" ca="1" si="129"/>
        <v>#NAME?</v>
      </c>
      <c r="AE177" s="314" t="e">
        <f t="shared" ca="1" si="116"/>
        <v>#NAME?</v>
      </c>
      <c r="AF177" s="313" t="e">
        <f t="shared" ca="1" si="130"/>
        <v>#NAME?</v>
      </c>
      <c r="AG177" s="314" t="e">
        <f t="shared" ca="1" si="117"/>
        <v>#NAME?</v>
      </c>
      <c r="AH177" s="313" t="e">
        <f t="shared" ca="1" si="131"/>
        <v>#NAME?</v>
      </c>
      <c r="AI177" s="314" t="e">
        <f t="shared" ca="1" si="118"/>
        <v>#NAME?</v>
      </c>
      <c r="AJ177" s="315" t="e">
        <f t="shared" ca="1" si="119"/>
        <v>#NAME?</v>
      </c>
      <c r="AK177" s="568" t="e">
        <f t="shared" ca="1" si="132"/>
        <v>#NAME?</v>
      </c>
      <c r="AL177" s="313" t="e">
        <f t="shared" ca="1" si="133"/>
        <v>#NAME?</v>
      </c>
      <c r="AM177" s="313" t="e">
        <f t="shared" ca="1" si="120"/>
        <v>#NAME?</v>
      </c>
      <c r="AN177" s="313" t="e">
        <f t="shared" ca="1" si="121"/>
        <v>#NAME?</v>
      </c>
      <c r="AO177" s="316" t="e">
        <f t="shared" ca="1" si="134"/>
        <v>#NAME?</v>
      </c>
      <c r="AP177" s="313" t="e">
        <f t="shared" ca="1" si="135"/>
        <v>#NAME?</v>
      </c>
      <c r="AQ177" s="314" t="e">
        <f t="shared" ca="1" si="122"/>
        <v>#NAME?</v>
      </c>
      <c r="AR177" s="315" t="e">
        <f t="shared" ca="1" si="136"/>
        <v>#NAME?</v>
      </c>
      <c r="AS177" s="316" t="e">
        <f t="shared" ca="1" si="137"/>
        <v>#NAME?</v>
      </c>
      <c r="AT177" s="315" t="e">
        <f t="shared" ca="1" si="138"/>
        <v>#NAME?</v>
      </c>
      <c r="AU177" s="317">
        <v>427.8</v>
      </c>
      <c r="AV177" s="315" t="e">
        <f t="shared" ca="1" si="139"/>
        <v>#NAME?</v>
      </c>
      <c r="AW177" s="318" t="e">
        <f ca="1">0.0001*BicubicInterpolation('Drag Coef Table'!$B$4:$L$28,AV177,AC177)</f>
        <v>#NAME?</v>
      </c>
      <c r="AX177" s="319" t="e">
        <f t="shared" ca="1" si="140"/>
        <v>#NAME?</v>
      </c>
      <c r="AY177" s="318" t="e">
        <f t="shared" ca="1" si="141"/>
        <v>#NAME?</v>
      </c>
      <c r="AZ177" s="320" t="e">
        <f t="shared" ca="1" si="142"/>
        <v>#NAME?</v>
      </c>
      <c r="BA177" s="321" t="e">
        <f t="shared" ca="1" si="143"/>
        <v>#NAME?</v>
      </c>
      <c r="BB177" s="322" t="e">
        <f t="shared" ca="1" si="144"/>
        <v>#NAME?</v>
      </c>
      <c r="BC177" s="323">
        <v>75.196700000000007</v>
      </c>
      <c r="BD177" s="324" t="e">
        <f t="shared" ca="1" si="145"/>
        <v>#NAME?</v>
      </c>
      <c r="BE177" s="325" t="e">
        <f t="shared" ca="1" si="146"/>
        <v>#NAME?</v>
      </c>
      <c r="BF177" s="324" t="e">
        <f ca="1">BicubicInterpolation('TSFC Eff Table'!$B$4:$E$69,2,BB177)</f>
        <v>#NAME?</v>
      </c>
      <c r="BG177" s="326" t="e">
        <f t="shared" ca="1" si="147"/>
        <v>#NAME?</v>
      </c>
      <c r="BH177" s="694" t="e">
        <f ca="1">IF( S177="LRCINOP",   (1+(0.03/10)*Z177*(1+0.2*AC177^2) )*BicubicInterpolation( 'LRC INOP FF'!$C$4:$AA$21, Y177, U177 )-200, IF(S177 ="HOLDINGINOP", (1+(0.03/10)*Z177*(1+0.2*AC177^2) )*BicubicInterpolation( 'Holding INOP FF'!$C$4:$J$13,  Y177,  U177)/1.05-200,   BA177*BG177))</f>
        <v>#NAME?</v>
      </c>
      <c r="BI177" s="344" t="e">
        <f t="shared" ca="1" si="104"/>
        <v>#NAME?</v>
      </c>
      <c r="BJ177" s="322" t="e">
        <f t="shared" ca="1" si="148"/>
        <v>#NAME?</v>
      </c>
      <c r="BK177" s="338" t="e">
        <f t="shared" ca="1" si="105"/>
        <v>#NAME?</v>
      </c>
      <c r="BL177" s="327" t="e">
        <f t="shared" ca="1" si="149"/>
        <v>#NAME?</v>
      </c>
      <c r="BM177" s="328">
        <f t="shared" si="150"/>
        <v>200</v>
      </c>
      <c r="BN177" s="329" t="e">
        <f t="shared" ca="1" si="151"/>
        <v>#NAME?</v>
      </c>
      <c r="BO177" s="344" t="e">
        <f t="shared" ca="1" si="106"/>
        <v>#NAME?</v>
      </c>
      <c r="BP177" s="320" t="e">
        <f t="shared" ca="1" si="152"/>
        <v>#NAME?</v>
      </c>
      <c r="BQ177" s="344" t="e">
        <f t="shared" ca="1" si="107"/>
        <v>#NAME?</v>
      </c>
      <c r="BR177" s="347" t="e">
        <f t="shared" ca="1" si="108"/>
        <v>#NAME?</v>
      </c>
      <c r="BS177" s="326" t="e">
        <f t="shared" ca="1" si="153"/>
        <v>#NAME?</v>
      </c>
      <c r="BT177" s="437" t="e">
        <f t="shared" ca="1" si="123"/>
        <v>#NAME?</v>
      </c>
      <c r="BU177" s="437" t="e">
        <f t="shared" ca="1" si="124"/>
        <v>#NAME?</v>
      </c>
      <c r="BV177" s="441" t="e">
        <f t="shared" ca="1" si="125"/>
        <v>#NAME?</v>
      </c>
      <c r="BW177" s="442" t="e">
        <f t="shared" ca="1" si="126"/>
        <v>#NAME?</v>
      </c>
      <c r="BX177" s="470" t="e">
        <f t="shared" ca="1" si="96"/>
        <v>#NAME?</v>
      </c>
      <c r="BY177" s="484" t="e">
        <f t="shared" ca="1" si="109"/>
        <v>#NAME?</v>
      </c>
    </row>
    <row r="178" spans="9:77" s="212" customFormat="1" ht="17.75" customHeight="1" x14ac:dyDescent="0.2">
      <c r="I178" s="366">
        <v>94</v>
      </c>
      <c r="J178" s="414">
        <f t="shared" si="110"/>
        <v>41705.777777777992</v>
      </c>
      <c r="K178" s="435" t="e">
        <f t="shared" ca="1" si="111"/>
        <v>#NAME?</v>
      </c>
      <c r="L178" s="435" t="e">
        <f t="shared" ca="1" si="97"/>
        <v>#NAME?</v>
      </c>
      <c r="M178" s="664" t="e">
        <f t="shared" ca="1" si="154"/>
        <v>#NAME?</v>
      </c>
      <c r="N178" s="664" t="e">
        <f t="shared" ca="1" si="155"/>
        <v>#NAME?</v>
      </c>
      <c r="O178" s="140" t="e">
        <f t="shared" ca="1" si="98"/>
        <v>#NAME?</v>
      </c>
      <c r="P178" s="352" t="e">
        <f t="shared" ca="1" si="114"/>
        <v>#NAME?</v>
      </c>
      <c r="Q178" s="665" t="e">
        <f t="shared" ca="1" si="99"/>
        <v>#NAME?</v>
      </c>
      <c r="R178" s="352" t="e">
        <f t="shared" ca="1" si="127"/>
        <v>#NAME?</v>
      </c>
      <c r="S178" s="662" t="e">
        <f t="shared" ca="1" si="100"/>
        <v>#NAME?</v>
      </c>
      <c r="T178" s="443" t="e">
        <f t="shared" ca="1" si="92"/>
        <v>#NAME?</v>
      </c>
      <c r="U178" s="369" t="e">
        <f t="shared" ca="1" si="93"/>
        <v>#NAME?</v>
      </c>
      <c r="V178" s="454" t="e">
        <f t="shared" ca="1" si="101"/>
        <v>#NAME?</v>
      </c>
      <c r="W178" s="457">
        <f t="shared" si="102"/>
        <v>1000</v>
      </c>
      <c r="X178" s="463" t="e">
        <f t="shared" ca="1" si="103"/>
        <v>#NAME?</v>
      </c>
      <c r="Y178" s="455" t="e">
        <f t="shared" ca="1" si="115"/>
        <v>#NAME?</v>
      </c>
      <c r="Z178" s="699">
        <f t="shared" si="94"/>
        <v>8.5</v>
      </c>
      <c r="AA178" s="355" t="str">
        <f t="shared" si="95"/>
        <v>ON</v>
      </c>
      <c r="AB178" s="357">
        <f t="shared" si="128"/>
        <v>1.4999999999999999E-2</v>
      </c>
      <c r="AC178" s="356" t="e">
        <f ca="1">IF(  Y177=0,0,IF(OR(S178="KCAS",S178="INOP",S178="MEFE"),   ( (5*( (   (((1+0.2*(T178/661.4786)^2)^3.5 -1)  )/( (1-6.8755856*10^-6 *100*Y178)^5.2558797) +1)^(2/7) -1) )^0.5),IF(S178="MACH",T178, IF(S178="LRC",BicubicInterpolation( 'LRC Mach'!$C$4:$AL$21, Y178,U178),  IF(S178="MRC",BicubicInterpolation( 'MRC Mach'!$C$3:$T$18, Y178,U178),  IF(S178="M0.84",0.84,  IF(S178="CI52",BicubicInterpolation('CI=52 Mach'!$C$3:$T$18, Y178,U178),  IF(S178="HOLDING",BicubicInterpolation(  'Holding Mach'!$C$4:$M$13, Y178,U178),                         IF(S178="LRCINOP", BicubicInterpolation('LRC INOP Mach'!$C$4:$AA$21,Y178,U178), IF(S178="HOLDINGINOP",  BicubicInterpolation('Holding INOP Mach'!$N$4:$U$13,Y178,U178),         "XXX" )))))))   )))</f>
        <v>#NAME?</v>
      </c>
      <c r="AD178" s="313" t="e">
        <f t="shared" ca="1" si="129"/>
        <v>#NAME?</v>
      </c>
      <c r="AE178" s="314" t="e">
        <f t="shared" ca="1" si="116"/>
        <v>#NAME?</v>
      </c>
      <c r="AF178" s="313" t="e">
        <f t="shared" ca="1" si="130"/>
        <v>#NAME?</v>
      </c>
      <c r="AG178" s="314" t="e">
        <f t="shared" ca="1" si="117"/>
        <v>#NAME?</v>
      </c>
      <c r="AH178" s="313" t="e">
        <f t="shared" ca="1" si="131"/>
        <v>#NAME?</v>
      </c>
      <c r="AI178" s="314" t="e">
        <f t="shared" ca="1" si="118"/>
        <v>#NAME?</v>
      </c>
      <c r="AJ178" s="315" t="e">
        <f t="shared" ca="1" si="119"/>
        <v>#NAME?</v>
      </c>
      <c r="AK178" s="568" t="e">
        <f t="shared" ca="1" si="132"/>
        <v>#NAME?</v>
      </c>
      <c r="AL178" s="313" t="e">
        <f t="shared" ca="1" si="133"/>
        <v>#NAME?</v>
      </c>
      <c r="AM178" s="313" t="e">
        <f t="shared" ca="1" si="120"/>
        <v>#NAME?</v>
      </c>
      <c r="AN178" s="313" t="e">
        <f t="shared" ca="1" si="121"/>
        <v>#NAME?</v>
      </c>
      <c r="AO178" s="316" t="e">
        <f t="shared" ca="1" si="134"/>
        <v>#NAME?</v>
      </c>
      <c r="AP178" s="313" t="e">
        <f t="shared" ca="1" si="135"/>
        <v>#NAME?</v>
      </c>
      <c r="AQ178" s="314" t="e">
        <f t="shared" ca="1" si="122"/>
        <v>#NAME?</v>
      </c>
      <c r="AR178" s="315" t="e">
        <f t="shared" ca="1" si="136"/>
        <v>#NAME?</v>
      </c>
      <c r="AS178" s="316" t="e">
        <f t="shared" ca="1" si="137"/>
        <v>#NAME?</v>
      </c>
      <c r="AT178" s="315" t="e">
        <f t="shared" ca="1" si="138"/>
        <v>#NAME?</v>
      </c>
      <c r="AU178" s="317">
        <v>427.8</v>
      </c>
      <c r="AV178" s="315" t="e">
        <f t="shared" ca="1" si="139"/>
        <v>#NAME?</v>
      </c>
      <c r="AW178" s="318" t="e">
        <f ca="1">0.0001*BicubicInterpolation('Drag Coef Table'!$B$4:$L$28,AV178,AC178)</f>
        <v>#NAME?</v>
      </c>
      <c r="AX178" s="319" t="e">
        <f t="shared" ca="1" si="140"/>
        <v>#NAME?</v>
      </c>
      <c r="AY178" s="318" t="e">
        <f t="shared" ca="1" si="141"/>
        <v>#NAME?</v>
      </c>
      <c r="AZ178" s="320" t="e">
        <f t="shared" ca="1" si="142"/>
        <v>#NAME?</v>
      </c>
      <c r="BA178" s="321" t="e">
        <f t="shared" ca="1" si="143"/>
        <v>#NAME?</v>
      </c>
      <c r="BB178" s="322" t="e">
        <f t="shared" ca="1" si="144"/>
        <v>#NAME?</v>
      </c>
      <c r="BC178" s="323">
        <v>75.196700000000007</v>
      </c>
      <c r="BD178" s="324" t="e">
        <f t="shared" ca="1" si="145"/>
        <v>#NAME?</v>
      </c>
      <c r="BE178" s="325" t="e">
        <f t="shared" ca="1" si="146"/>
        <v>#NAME?</v>
      </c>
      <c r="BF178" s="324" t="e">
        <f ca="1">BicubicInterpolation('TSFC Eff Table'!$B$4:$E$69,2,BB178)</f>
        <v>#NAME?</v>
      </c>
      <c r="BG178" s="326" t="e">
        <f t="shared" ca="1" si="147"/>
        <v>#NAME?</v>
      </c>
      <c r="BH178" s="694" t="e">
        <f ca="1">IF( S178="LRCINOP",   (1+(0.03/10)*Z178*(1+0.2*AC178^2) )*BicubicInterpolation( 'LRC INOP FF'!$C$4:$AA$21, Y178, U178 )-200, IF(S178 ="HOLDINGINOP", (1+(0.03/10)*Z178*(1+0.2*AC178^2) )*BicubicInterpolation( 'Holding INOP FF'!$C$4:$J$13,  Y178,  U178)/1.05-200,   BA178*BG178))</f>
        <v>#NAME?</v>
      </c>
      <c r="BI178" s="344" t="e">
        <f t="shared" ca="1" si="104"/>
        <v>#NAME?</v>
      </c>
      <c r="BJ178" s="322" t="e">
        <f t="shared" ca="1" si="148"/>
        <v>#NAME?</v>
      </c>
      <c r="BK178" s="338" t="e">
        <f t="shared" ca="1" si="105"/>
        <v>#NAME?</v>
      </c>
      <c r="BL178" s="327" t="e">
        <f t="shared" ca="1" si="149"/>
        <v>#NAME?</v>
      </c>
      <c r="BM178" s="328">
        <f t="shared" si="150"/>
        <v>200</v>
      </c>
      <c r="BN178" s="329" t="e">
        <f t="shared" ca="1" si="151"/>
        <v>#NAME?</v>
      </c>
      <c r="BO178" s="344" t="e">
        <f t="shared" ca="1" si="106"/>
        <v>#NAME?</v>
      </c>
      <c r="BP178" s="320" t="e">
        <f t="shared" ca="1" si="152"/>
        <v>#NAME?</v>
      </c>
      <c r="BQ178" s="344" t="e">
        <f t="shared" ca="1" si="107"/>
        <v>#NAME?</v>
      </c>
      <c r="BR178" s="347" t="e">
        <f t="shared" ca="1" si="108"/>
        <v>#NAME?</v>
      </c>
      <c r="BS178" s="326" t="e">
        <f t="shared" ca="1" si="153"/>
        <v>#NAME?</v>
      </c>
      <c r="BT178" s="437" t="e">
        <f t="shared" ca="1" si="123"/>
        <v>#NAME?</v>
      </c>
      <c r="BU178" s="437" t="e">
        <f t="shared" ca="1" si="124"/>
        <v>#NAME?</v>
      </c>
      <c r="BV178" s="441" t="e">
        <f t="shared" ca="1" si="125"/>
        <v>#NAME?</v>
      </c>
      <c r="BW178" s="442" t="e">
        <f t="shared" ca="1" si="126"/>
        <v>#NAME?</v>
      </c>
      <c r="BX178" s="470" t="e">
        <f t="shared" ca="1" si="96"/>
        <v>#NAME?</v>
      </c>
      <c r="BY178" s="484" t="e">
        <f t="shared" ca="1" si="109"/>
        <v>#NAME?</v>
      </c>
    </row>
    <row r="179" spans="9:77" s="212" customFormat="1" ht="17.75" customHeight="1" x14ac:dyDescent="0.2">
      <c r="I179" s="366">
        <v>95</v>
      </c>
      <c r="J179" s="414">
        <f t="shared" si="110"/>
        <v>41705.778472222439</v>
      </c>
      <c r="K179" s="435" t="e">
        <f t="shared" ca="1" si="111"/>
        <v>#NAME?</v>
      </c>
      <c r="L179" s="435" t="e">
        <f t="shared" ca="1" si="97"/>
        <v>#NAME?</v>
      </c>
      <c r="M179" s="664" t="e">
        <f t="shared" ca="1" si="154"/>
        <v>#NAME?</v>
      </c>
      <c r="N179" s="664" t="e">
        <f t="shared" ca="1" si="155"/>
        <v>#NAME?</v>
      </c>
      <c r="O179" s="140" t="e">
        <f t="shared" ca="1" si="98"/>
        <v>#NAME?</v>
      </c>
      <c r="P179" s="352" t="e">
        <f t="shared" ca="1" si="114"/>
        <v>#NAME?</v>
      </c>
      <c r="Q179" s="665" t="e">
        <f t="shared" ca="1" si="99"/>
        <v>#NAME?</v>
      </c>
      <c r="R179" s="352" t="e">
        <f t="shared" ca="1" si="127"/>
        <v>#NAME?</v>
      </c>
      <c r="S179" s="662" t="e">
        <f t="shared" ca="1" si="100"/>
        <v>#NAME?</v>
      </c>
      <c r="T179" s="443" t="e">
        <f t="shared" ca="1" si="92"/>
        <v>#NAME?</v>
      </c>
      <c r="U179" s="369" t="e">
        <f t="shared" ca="1" si="93"/>
        <v>#NAME?</v>
      </c>
      <c r="V179" s="454" t="e">
        <f t="shared" ca="1" si="101"/>
        <v>#NAME?</v>
      </c>
      <c r="W179" s="457">
        <f t="shared" si="102"/>
        <v>1000</v>
      </c>
      <c r="X179" s="463" t="e">
        <f t="shared" ca="1" si="103"/>
        <v>#NAME?</v>
      </c>
      <c r="Y179" s="455" t="e">
        <f t="shared" ca="1" si="115"/>
        <v>#NAME?</v>
      </c>
      <c r="Z179" s="699">
        <f t="shared" si="94"/>
        <v>8.5</v>
      </c>
      <c r="AA179" s="355" t="str">
        <f t="shared" si="95"/>
        <v>ON</v>
      </c>
      <c r="AB179" s="357">
        <f t="shared" si="128"/>
        <v>1.4999999999999999E-2</v>
      </c>
      <c r="AC179" s="356" t="e">
        <f ca="1">IF(  Y178=0,0,IF(OR(S179="KCAS",S179="INOP",S179="MEFE"),   ( (5*( (   (((1+0.2*(T179/661.4786)^2)^3.5 -1)  )/( (1-6.8755856*10^-6 *100*Y179)^5.2558797) +1)^(2/7) -1) )^0.5),IF(S179="MACH",T179, IF(S179="LRC",BicubicInterpolation( 'LRC Mach'!$C$4:$AL$21, Y179,U179),  IF(S179="MRC",BicubicInterpolation( 'MRC Mach'!$C$3:$T$18, Y179,U179),  IF(S179="M0.84",0.84,  IF(S179="CI52",BicubicInterpolation('CI=52 Mach'!$C$3:$T$18, Y179,U179),  IF(S179="HOLDING",BicubicInterpolation(  'Holding Mach'!$C$4:$M$13, Y179,U179),                         IF(S179="LRCINOP", BicubicInterpolation('LRC INOP Mach'!$C$4:$AA$21,Y179,U179), IF(S179="HOLDINGINOP",  BicubicInterpolation('Holding INOP Mach'!$N$4:$U$13,Y179,U179),         "XXX" )))))))   )))</f>
        <v>#NAME?</v>
      </c>
      <c r="AD179" s="313" t="e">
        <f t="shared" ca="1" si="129"/>
        <v>#NAME?</v>
      </c>
      <c r="AE179" s="314" t="e">
        <f t="shared" ca="1" si="116"/>
        <v>#NAME?</v>
      </c>
      <c r="AF179" s="313" t="e">
        <f t="shared" ca="1" si="130"/>
        <v>#NAME?</v>
      </c>
      <c r="AG179" s="314" t="e">
        <f t="shared" ca="1" si="117"/>
        <v>#NAME?</v>
      </c>
      <c r="AH179" s="313" t="e">
        <f t="shared" ca="1" si="131"/>
        <v>#NAME?</v>
      </c>
      <c r="AI179" s="314" t="e">
        <f t="shared" ca="1" si="118"/>
        <v>#NAME?</v>
      </c>
      <c r="AJ179" s="315" t="e">
        <f t="shared" ca="1" si="119"/>
        <v>#NAME?</v>
      </c>
      <c r="AK179" s="568" t="e">
        <f t="shared" ca="1" si="132"/>
        <v>#NAME?</v>
      </c>
      <c r="AL179" s="313" t="e">
        <f t="shared" ca="1" si="133"/>
        <v>#NAME?</v>
      </c>
      <c r="AM179" s="313" t="e">
        <f t="shared" ca="1" si="120"/>
        <v>#NAME?</v>
      </c>
      <c r="AN179" s="313" t="e">
        <f t="shared" ca="1" si="121"/>
        <v>#NAME?</v>
      </c>
      <c r="AO179" s="316" t="e">
        <f t="shared" ca="1" si="134"/>
        <v>#NAME?</v>
      </c>
      <c r="AP179" s="313" t="e">
        <f t="shared" ca="1" si="135"/>
        <v>#NAME?</v>
      </c>
      <c r="AQ179" s="314" t="e">
        <f t="shared" ca="1" si="122"/>
        <v>#NAME?</v>
      </c>
      <c r="AR179" s="315" t="e">
        <f t="shared" ca="1" si="136"/>
        <v>#NAME?</v>
      </c>
      <c r="AS179" s="316" t="e">
        <f t="shared" ca="1" si="137"/>
        <v>#NAME?</v>
      </c>
      <c r="AT179" s="315" t="e">
        <f t="shared" ca="1" si="138"/>
        <v>#NAME?</v>
      </c>
      <c r="AU179" s="317">
        <v>427.8</v>
      </c>
      <c r="AV179" s="315" t="e">
        <f t="shared" ca="1" si="139"/>
        <v>#NAME?</v>
      </c>
      <c r="AW179" s="318" t="e">
        <f ca="1">0.0001*BicubicInterpolation('Drag Coef Table'!$B$4:$L$28,AV179,AC179)</f>
        <v>#NAME?</v>
      </c>
      <c r="AX179" s="319" t="e">
        <f t="shared" ca="1" si="140"/>
        <v>#NAME?</v>
      </c>
      <c r="AY179" s="318" t="e">
        <f t="shared" ca="1" si="141"/>
        <v>#NAME?</v>
      </c>
      <c r="AZ179" s="320" t="e">
        <f t="shared" ca="1" si="142"/>
        <v>#NAME?</v>
      </c>
      <c r="BA179" s="321" t="e">
        <f t="shared" ca="1" si="143"/>
        <v>#NAME?</v>
      </c>
      <c r="BB179" s="322" t="e">
        <f t="shared" ca="1" si="144"/>
        <v>#NAME?</v>
      </c>
      <c r="BC179" s="323">
        <v>75.196700000000007</v>
      </c>
      <c r="BD179" s="324" t="e">
        <f t="shared" ca="1" si="145"/>
        <v>#NAME?</v>
      </c>
      <c r="BE179" s="325" t="e">
        <f t="shared" ca="1" si="146"/>
        <v>#NAME?</v>
      </c>
      <c r="BF179" s="324" t="e">
        <f ca="1">BicubicInterpolation('TSFC Eff Table'!$B$4:$E$69,2,BB179)</f>
        <v>#NAME?</v>
      </c>
      <c r="BG179" s="326" t="e">
        <f t="shared" ca="1" si="147"/>
        <v>#NAME?</v>
      </c>
      <c r="BH179" s="694" t="e">
        <f ca="1">IF( S179="LRCINOP",   (1+(0.03/10)*Z179*(1+0.2*AC179^2) )*BicubicInterpolation( 'LRC INOP FF'!$C$4:$AA$21, Y179, U179 )-200, IF(S179 ="HOLDINGINOP", (1+(0.03/10)*Z179*(1+0.2*AC179^2) )*BicubicInterpolation( 'Holding INOP FF'!$C$4:$J$13,  Y179,  U179)/1.05-200,   BA179*BG179))</f>
        <v>#NAME?</v>
      </c>
      <c r="BI179" s="344" t="e">
        <f t="shared" ca="1" si="104"/>
        <v>#NAME?</v>
      </c>
      <c r="BJ179" s="322" t="e">
        <f t="shared" ca="1" si="148"/>
        <v>#NAME?</v>
      </c>
      <c r="BK179" s="338" t="e">
        <f t="shared" ca="1" si="105"/>
        <v>#NAME?</v>
      </c>
      <c r="BL179" s="327" t="e">
        <f t="shared" ca="1" si="149"/>
        <v>#NAME?</v>
      </c>
      <c r="BM179" s="328">
        <f t="shared" si="150"/>
        <v>200</v>
      </c>
      <c r="BN179" s="329" t="e">
        <f t="shared" ca="1" si="151"/>
        <v>#NAME?</v>
      </c>
      <c r="BO179" s="344" t="e">
        <f t="shared" ca="1" si="106"/>
        <v>#NAME?</v>
      </c>
      <c r="BP179" s="320" t="e">
        <f t="shared" ca="1" si="152"/>
        <v>#NAME?</v>
      </c>
      <c r="BQ179" s="344" t="e">
        <f t="shared" ca="1" si="107"/>
        <v>#NAME?</v>
      </c>
      <c r="BR179" s="347" t="e">
        <f t="shared" ca="1" si="108"/>
        <v>#NAME?</v>
      </c>
      <c r="BS179" s="326" t="e">
        <f t="shared" ca="1" si="153"/>
        <v>#NAME?</v>
      </c>
      <c r="BT179" s="437" t="e">
        <f t="shared" ca="1" si="123"/>
        <v>#NAME?</v>
      </c>
      <c r="BU179" s="437" t="e">
        <f t="shared" ca="1" si="124"/>
        <v>#NAME?</v>
      </c>
      <c r="BV179" s="441" t="e">
        <f t="shared" ca="1" si="125"/>
        <v>#NAME?</v>
      </c>
      <c r="BW179" s="442" t="e">
        <f t="shared" ca="1" si="126"/>
        <v>#NAME?</v>
      </c>
      <c r="BX179" s="470" t="e">
        <f t="shared" ca="1" si="96"/>
        <v>#NAME?</v>
      </c>
      <c r="BY179" s="484" t="e">
        <f t="shared" ca="1" si="109"/>
        <v>#NAME?</v>
      </c>
    </row>
    <row r="180" spans="9:77" s="212" customFormat="1" ht="17.75" customHeight="1" x14ac:dyDescent="0.2">
      <c r="I180" s="366">
        <v>96</v>
      </c>
      <c r="J180" s="414">
        <f t="shared" si="110"/>
        <v>41705.779166666885</v>
      </c>
      <c r="K180" s="435" t="e">
        <f t="shared" ca="1" si="111"/>
        <v>#NAME?</v>
      </c>
      <c r="L180" s="435" t="e">
        <f t="shared" ca="1" si="97"/>
        <v>#NAME?</v>
      </c>
      <c r="M180" s="664" t="e">
        <f t="shared" ca="1" si="154"/>
        <v>#NAME?</v>
      </c>
      <c r="N180" s="664" t="e">
        <f t="shared" ca="1" si="155"/>
        <v>#NAME?</v>
      </c>
      <c r="O180" s="140" t="e">
        <f t="shared" ca="1" si="98"/>
        <v>#NAME?</v>
      </c>
      <c r="P180" s="352" t="e">
        <f t="shared" ca="1" si="114"/>
        <v>#NAME?</v>
      </c>
      <c r="Q180" s="665" t="e">
        <f t="shared" ca="1" si="99"/>
        <v>#NAME?</v>
      </c>
      <c r="R180" s="352" t="e">
        <f t="shared" ca="1" si="127"/>
        <v>#NAME?</v>
      </c>
      <c r="S180" s="662" t="e">
        <f t="shared" ca="1" si="100"/>
        <v>#NAME?</v>
      </c>
      <c r="T180" s="443" t="e">
        <f t="shared" ca="1" si="92"/>
        <v>#NAME?</v>
      </c>
      <c r="U180" s="369" t="e">
        <f t="shared" ca="1" si="93"/>
        <v>#NAME?</v>
      </c>
      <c r="V180" s="454" t="e">
        <f t="shared" ca="1" si="101"/>
        <v>#NAME?</v>
      </c>
      <c r="W180" s="457">
        <f t="shared" si="102"/>
        <v>1000</v>
      </c>
      <c r="X180" s="463" t="e">
        <f t="shared" ca="1" si="103"/>
        <v>#NAME?</v>
      </c>
      <c r="Y180" s="455" t="e">
        <f t="shared" ca="1" si="115"/>
        <v>#NAME?</v>
      </c>
      <c r="Z180" s="699">
        <f t="shared" si="94"/>
        <v>8.5</v>
      </c>
      <c r="AA180" s="355" t="str">
        <f t="shared" si="95"/>
        <v>ON</v>
      </c>
      <c r="AB180" s="357">
        <f t="shared" si="128"/>
        <v>1.4999999999999999E-2</v>
      </c>
      <c r="AC180" s="356" t="e">
        <f ca="1">IF(  Y179=0,0,IF(OR(S180="KCAS",S180="INOP",S180="MEFE"),   ( (5*( (   (((1+0.2*(T180/661.4786)^2)^3.5 -1)  )/( (1-6.8755856*10^-6 *100*Y180)^5.2558797) +1)^(2/7) -1) )^0.5),IF(S180="MACH",T180, IF(S180="LRC",BicubicInterpolation( 'LRC Mach'!$C$4:$AL$21, Y180,U180),  IF(S180="MRC",BicubicInterpolation( 'MRC Mach'!$C$3:$T$18, Y180,U180),  IF(S180="M0.84",0.84,  IF(S180="CI52",BicubicInterpolation('CI=52 Mach'!$C$3:$T$18, Y180,U180),  IF(S180="HOLDING",BicubicInterpolation(  'Holding Mach'!$C$4:$M$13, Y180,U180),                         IF(S180="LRCINOP", BicubicInterpolation('LRC INOP Mach'!$C$4:$AA$21,Y180,U180), IF(S180="HOLDINGINOP",  BicubicInterpolation('Holding INOP Mach'!$N$4:$U$13,Y180,U180),         "XXX" )))))))   )))</f>
        <v>#NAME?</v>
      </c>
      <c r="AD180" s="313" t="e">
        <f t="shared" ca="1" si="129"/>
        <v>#NAME?</v>
      </c>
      <c r="AE180" s="314" t="e">
        <f t="shared" ca="1" si="116"/>
        <v>#NAME?</v>
      </c>
      <c r="AF180" s="313" t="e">
        <f t="shared" ca="1" si="130"/>
        <v>#NAME?</v>
      </c>
      <c r="AG180" s="314" t="e">
        <f t="shared" ca="1" si="117"/>
        <v>#NAME?</v>
      </c>
      <c r="AH180" s="313" t="e">
        <f t="shared" ca="1" si="131"/>
        <v>#NAME?</v>
      </c>
      <c r="AI180" s="314" t="e">
        <f t="shared" ca="1" si="118"/>
        <v>#NAME?</v>
      </c>
      <c r="AJ180" s="315" t="e">
        <f t="shared" ca="1" si="119"/>
        <v>#NAME?</v>
      </c>
      <c r="AK180" s="568" t="e">
        <f t="shared" ca="1" si="132"/>
        <v>#NAME?</v>
      </c>
      <c r="AL180" s="313" t="e">
        <f t="shared" ca="1" si="133"/>
        <v>#NAME?</v>
      </c>
      <c r="AM180" s="313" t="e">
        <f t="shared" ca="1" si="120"/>
        <v>#NAME?</v>
      </c>
      <c r="AN180" s="313" t="e">
        <f t="shared" ca="1" si="121"/>
        <v>#NAME?</v>
      </c>
      <c r="AO180" s="316" t="e">
        <f t="shared" ca="1" si="134"/>
        <v>#NAME?</v>
      </c>
      <c r="AP180" s="313" t="e">
        <f t="shared" ca="1" si="135"/>
        <v>#NAME?</v>
      </c>
      <c r="AQ180" s="314" t="e">
        <f t="shared" ca="1" si="122"/>
        <v>#NAME?</v>
      </c>
      <c r="AR180" s="315" t="e">
        <f t="shared" ca="1" si="136"/>
        <v>#NAME?</v>
      </c>
      <c r="AS180" s="316" t="e">
        <f t="shared" ca="1" si="137"/>
        <v>#NAME?</v>
      </c>
      <c r="AT180" s="315" t="e">
        <f t="shared" ca="1" si="138"/>
        <v>#NAME?</v>
      </c>
      <c r="AU180" s="317">
        <v>427.8</v>
      </c>
      <c r="AV180" s="315" t="e">
        <f t="shared" ca="1" si="139"/>
        <v>#NAME?</v>
      </c>
      <c r="AW180" s="318" t="e">
        <f ca="1">0.0001*BicubicInterpolation('Drag Coef Table'!$B$4:$L$28,AV180,AC180)</f>
        <v>#NAME?</v>
      </c>
      <c r="AX180" s="319" t="e">
        <f t="shared" ca="1" si="140"/>
        <v>#NAME?</v>
      </c>
      <c r="AY180" s="318" t="e">
        <f t="shared" ca="1" si="141"/>
        <v>#NAME?</v>
      </c>
      <c r="AZ180" s="320" t="e">
        <f t="shared" ca="1" si="142"/>
        <v>#NAME?</v>
      </c>
      <c r="BA180" s="321" t="e">
        <f t="shared" ca="1" si="143"/>
        <v>#NAME?</v>
      </c>
      <c r="BB180" s="322" t="e">
        <f t="shared" ca="1" si="144"/>
        <v>#NAME?</v>
      </c>
      <c r="BC180" s="323">
        <v>75.196700000000007</v>
      </c>
      <c r="BD180" s="324" t="e">
        <f t="shared" ca="1" si="145"/>
        <v>#NAME?</v>
      </c>
      <c r="BE180" s="325" t="e">
        <f t="shared" ca="1" si="146"/>
        <v>#NAME?</v>
      </c>
      <c r="BF180" s="324" t="e">
        <f ca="1">BicubicInterpolation('TSFC Eff Table'!$B$4:$E$69,2,BB180)</f>
        <v>#NAME?</v>
      </c>
      <c r="BG180" s="326" t="e">
        <f t="shared" ca="1" si="147"/>
        <v>#NAME?</v>
      </c>
      <c r="BH180" s="694" t="e">
        <f ca="1">IF( S180="LRCINOP",   (1+(0.03/10)*Z180*(1+0.2*AC180^2) )*BicubicInterpolation( 'LRC INOP FF'!$C$4:$AA$21, Y180, U180 )-200, IF(S180 ="HOLDINGINOP", (1+(0.03/10)*Z180*(1+0.2*AC180^2) )*BicubicInterpolation( 'Holding INOP FF'!$C$4:$J$13,  Y180,  U180)/1.05-200,   BA180*BG180))</f>
        <v>#NAME?</v>
      </c>
      <c r="BI180" s="344" t="e">
        <f t="shared" ca="1" si="104"/>
        <v>#NAME?</v>
      </c>
      <c r="BJ180" s="322" t="e">
        <f t="shared" ca="1" si="148"/>
        <v>#NAME?</v>
      </c>
      <c r="BK180" s="338" t="e">
        <f t="shared" ca="1" si="105"/>
        <v>#NAME?</v>
      </c>
      <c r="BL180" s="327" t="e">
        <f t="shared" ca="1" si="149"/>
        <v>#NAME?</v>
      </c>
      <c r="BM180" s="328">
        <f t="shared" si="150"/>
        <v>200</v>
      </c>
      <c r="BN180" s="329" t="e">
        <f t="shared" ca="1" si="151"/>
        <v>#NAME?</v>
      </c>
      <c r="BO180" s="344" t="e">
        <f t="shared" ca="1" si="106"/>
        <v>#NAME?</v>
      </c>
      <c r="BP180" s="320" t="e">
        <f t="shared" ca="1" si="152"/>
        <v>#NAME?</v>
      </c>
      <c r="BQ180" s="344" t="e">
        <f t="shared" ca="1" si="107"/>
        <v>#NAME?</v>
      </c>
      <c r="BR180" s="347" t="e">
        <f t="shared" ca="1" si="108"/>
        <v>#NAME?</v>
      </c>
      <c r="BS180" s="326" t="e">
        <f t="shared" ca="1" si="153"/>
        <v>#NAME?</v>
      </c>
      <c r="BT180" s="437" t="e">
        <f t="shared" ca="1" si="123"/>
        <v>#NAME?</v>
      </c>
      <c r="BU180" s="437" t="e">
        <f t="shared" ca="1" si="124"/>
        <v>#NAME?</v>
      </c>
      <c r="BV180" s="441" t="e">
        <f t="shared" ca="1" si="125"/>
        <v>#NAME?</v>
      </c>
      <c r="BW180" s="442" t="e">
        <f t="shared" ca="1" si="126"/>
        <v>#NAME?</v>
      </c>
      <c r="BX180" s="470" t="e">
        <f t="shared" ca="1" si="96"/>
        <v>#NAME?</v>
      </c>
      <c r="BY180" s="484" t="e">
        <f t="shared" ca="1" si="109"/>
        <v>#NAME?</v>
      </c>
    </row>
    <row r="181" spans="9:77" s="212" customFormat="1" ht="17.75" customHeight="1" x14ac:dyDescent="0.2">
      <c r="I181" s="366">
        <v>97</v>
      </c>
      <c r="J181" s="414">
        <f t="shared" si="110"/>
        <v>41705.779861111332</v>
      </c>
      <c r="K181" s="435" t="e">
        <f t="shared" ca="1" si="111"/>
        <v>#NAME?</v>
      </c>
      <c r="L181" s="435" t="e">
        <f t="shared" ca="1" si="97"/>
        <v>#NAME?</v>
      </c>
      <c r="M181" s="664" t="e">
        <f t="shared" ca="1" si="154"/>
        <v>#NAME?</v>
      </c>
      <c r="N181" s="664" t="e">
        <f t="shared" ca="1" si="155"/>
        <v>#NAME?</v>
      </c>
      <c r="O181" s="140" t="e">
        <f t="shared" ca="1" si="98"/>
        <v>#NAME?</v>
      </c>
      <c r="P181" s="352" t="e">
        <f t="shared" ca="1" si="114"/>
        <v>#NAME?</v>
      </c>
      <c r="Q181" s="665" t="e">
        <f t="shared" ca="1" si="99"/>
        <v>#NAME?</v>
      </c>
      <c r="R181" s="352" t="e">
        <f t="shared" ca="1" si="127"/>
        <v>#NAME?</v>
      </c>
      <c r="S181" s="662" t="e">
        <f t="shared" ca="1" si="100"/>
        <v>#NAME?</v>
      </c>
      <c r="T181" s="443" t="e">
        <f t="shared" ca="1" si="92"/>
        <v>#NAME?</v>
      </c>
      <c r="U181" s="369" t="e">
        <f t="shared" ca="1" si="93"/>
        <v>#NAME?</v>
      </c>
      <c r="V181" s="454" t="e">
        <f t="shared" ca="1" si="101"/>
        <v>#NAME?</v>
      </c>
      <c r="W181" s="457">
        <f t="shared" si="102"/>
        <v>1000</v>
      </c>
      <c r="X181" s="463" t="e">
        <f t="shared" ca="1" si="103"/>
        <v>#NAME?</v>
      </c>
      <c r="Y181" s="455" t="e">
        <f t="shared" ca="1" si="115"/>
        <v>#NAME?</v>
      </c>
      <c r="Z181" s="699">
        <f t="shared" si="94"/>
        <v>8.5</v>
      </c>
      <c r="AA181" s="355" t="str">
        <f t="shared" si="95"/>
        <v>ON</v>
      </c>
      <c r="AB181" s="357">
        <f t="shared" si="128"/>
        <v>1.4999999999999999E-2</v>
      </c>
      <c r="AC181" s="356" t="e">
        <f ca="1">IF(  Y180=0,0,IF(OR(S181="KCAS",S181="INOP",S181="MEFE"),   ( (5*( (   (((1+0.2*(T181/661.4786)^2)^3.5 -1)  )/( (1-6.8755856*10^-6 *100*Y181)^5.2558797) +1)^(2/7) -1) )^0.5),IF(S181="MACH",T181, IF(S181="LRC",BicubicInterpolation( 'LRC Mach'!$C$4:$AL$21, Y181,U181),  IF(S181="MRC",BicubicInterpolation( 'MRC Mach'!$C$3:$T$18, Y181,U181),  IF(S181="M0.84",0.84,  IF(S181="CI52",BicubicInterpolation('CI=52 Mach'!$C$3:$T$18, Y181,U181),  IF(S181="HOLDING",BicubicInterpolation(  'Holding Mach'!$C$4:$M$13, Y181,U181),                         IF(S181="LRCINOP", BicubicInterpolation('LRC INOP Mach'!$C$4:$AA$21,Y181,U181), IF(S181="HOLDINGINOP",  BicubicInterpolation('Holding INOP Mach'!$N$4:$U$13,Y181,U181),         "XXX" )))))))   )))</f>
        <v>#NAME?</v>
      </c>
      <c r="AD181" s="313" t="e">
        <f t="shared" ca="1" si="129"/>
        <v>#NAME?</v>
      </c>
      <c r="AE181" s="314" t="e">
        <f t="shared" ca="1" si="116"/>
        <v>#NAME?</v>
      </c>
      <c r="AF181" s="313" t="e">
        <f t="shared" ca="1" si="130"/>
        <v>#NAME?</v>
      </c>
      <c r="AG181" s="314" t="e">
        <f t="shared" ca="1" si="117"/>
        <v>#NAME?</v>
      </c>
      <c r="AH181" s="313" t="e">
        <f t="shared" ca="1" si="131"/>
        <v>#NAME?</v>
      </c>
      <c r="AI181" s="314" t="e">
        <f t="shared" ca="1" si="118"/>
        <v>#NAME?</v>
      </c>
      <c r="AJ181" s="315" t="e">
        <f t="shared" ca="1" si="119"/>
        <v>#NAME?</v>
      </c>
      <c r="AK181" s="568" t="e">
        <f t="shared" ca="1" si="132"/>
        <v>#NAME?</v>
      </c>
      <c r="AL181" s="313" t="e">
        <f t="shared" ca="1" si="133"/>
        <v>#NAME?</v>
      </c>
      <c r="AM181" s="313" t="e">
        <f t="shared" ca="1" si="120"/>
        <v>#NAME?</v>
      </c>
      <c r="AN181" s="313" t="e">
        <f t="shared" ca="1" si="121"/>
        <v>#NAME?</v>
      </c>
      <c r="AO181" s="316" t="e">
        <f t="shared" ca="1" si="134"/>
        <v>#NAME?</v>
      </c>
      <c r="AP181" s="313" t="e">
        <f t="shared" ca="1" si="135"/>
        <v>#NAME?</v>
      </c>
      <c r="AQ181" s="314" t="e">
        <f t="shared" ca="1" si="122"/>
        <v>#NAME?</v>
      </c>
      <c r="AR181" s="315" t="e">
        <f t="shared" ca="1" si="136"/>
        <v>#NAME?</v>
      </c>
      <c r="AS181" s="316" t="e">
        <f t="shared" ca="1" si="137"/>
        <v>#NAME?</v>
      </c>
      <c r="AT181" s="315" t="e">
        <f t="shared" ca="1" si="138"/>
        <v>#NAME?</v>
      </c>
      <c r="AU181" s="317">
        <v>427.8</v>
      </c>
      <c r="AV181" s="315" t="e">
        <f t="shared" ca="1" si="139"/>
        <v>#NAME?</v>
      </c>
      <c r="AW181" s="318" t="e">
        <f ca="1">0.0001*BicubicInterpolation('Drag Coef Table'!$B$4:$L$28,AV181,AC181)</f>
        <v>#NAME?</v>
      </c>
      <c r="AX181" s="319" t="e">
        <f t="shared" ca="1" si="140"/>
        <v>#NAME?</v>
      </c>
      <c r="AY181" s="318" t="e">
        <f t="shared" ca="1" si="141"/>
        <v>#NAME?</v>
      </c>
      <c r="AZ181" s="320" t="e">
        <f t="shared" ca="1" si="142"/>
        <v>#NAME?</v>
      </c>
      <c r="BA181" s="321" t="e">
        <f t="shared" ca="1" si="143"/>
        <v>#NAME?</v>
      </c>
      <c r="BB181" s="322" t="e">
        <f t="shared" ca="1" si="144"/>
        <v>#NAME?</v>
      </c>
      <c r="BC181" s="323">
        <v>75.196700000000007</v>
      </c>
      <c r="BD181" s="324" t="e">
        <f t="shared" ca="1" si="145"/>
        <v>#NAME?</v>
      </c>
      <c r="BE181" s="325" t="e">
        <f t="shared" ca="1" si="146"/>
        <v>#NAME?</v>
      </c>
      <c r="BF181" s="324" t="e">
        <f ca="1">BicubicInterpolation('TSFC Eff Table'!$B$4:$E$69,2,BB181)</f>
        <v>#NAME?</v>
      </c>
      <c r="BG181" s="326" t="e">
        <f t="shared" ca="1" si="147"/>
        <v>#NAME?</v>
      </c>
      <c r="BH181" s="694" t="e">
        <f ca="1">IF( S181="LRCINOP",   (1+(0.03/10)*Z181*(1+0.2*AC181^2) )*BicubicInterpolation( 'LRC INOP FF'!$C$4:$AA$21, Y181, U181 )-200, IF(S181 ="HOLDINGINOP", (1+(0.03/10)*Z181*(1+0.2*AC181^2) )*BicubicInterpolation( 'Holding INOP FF'!$C$4:$J$13,  Y181,  U181)/1.05-200,   BA181*BG181))</f>
        <v>#NAME?</v>
      </c>
      <c r="BI181" s="344" t="e">
        <f t="shared" ca="1" si="104"/>
        <v>#NAME?</v>
      </c>
      <c r="BJ181" s="322" t="e">
        <f t="shared" ca="1" si="148"/>
        <v>#NAME?</v>
      </c>
      <c r="BK181" s="338" t="e">
        <f t="shared" ca="1" si="105"/>
        <v>#NAME?</v>
      </c>
      <c r="BL181" s="327" t="e">
        <f t="shared" ca="1" si="149"/>
        <v>#NAME?</v>
      </c>
      <c r="BM181" s="328">
        <f t="shared" si="150"/>
        <v>200</v>
      </c>
      <c r="BN181" s="329" t="e">
        <f t="shared" ca="1" si="151"/>
        <v>#NAME?</v>
      </c>
      <c r="BO181" s="344" t="e">
        <f t="shared" ca="1" si="106"/>
        <v>#NAME?</v>
      </c>
      <c r="BP181" s="320" t="e">
        <f t="shared" ca="1" si="152"/>
        <v>#NAME?</v>
      </c>
      <c r="BQ181" s="344" t="e">
        <f t="shared" ca="1" si="107"/>
        <v>#NAME?</v>
      </c>
      <c r="BR181" s="347" t="e">
        <f t="shared" ca="1" si="108"/>
        <v>#NAME?</v>
      </c>
      <c r="BS181" s="326" t="e">
        <f t="shared" ca="1" si="153"/>
        <v>#NAME?</v>
      </c>
      <c r="BT181" s="437" t="e">
        <f t="shared" ca="1" si="123"/>
        <v>#NAME?</v>
      </c>
      <c r="BU181" s="437" t="e">
        <f t="shared" ca="1" si="124"/>
        <v>#NAME?</v>
      </c>
      <c r="BV181" s="441" t="e">
        <f t="shared" ca="1" si="125"/>
        <v>#NAME?</v>
      </c>
      <c r="BW181" s="442" t="e">
        <f t="shared" ca="1" si="126"/>
        <v>#NAME?</v>
      </c>
      <c r="BX181" s="470" t="e">
        <f t="shared" ca="1" si="96"/>
        <v>#NAME?</v>
      </c>
      <c r="BY181" s="484" t="e">
        <f t="shared" ca="1" si="109"/>
        <v>#NAME?</v>
      </c>
    </row>
    <row r="182" spans="9:77" s="212" customFormat="1" ht="17.75" customHeight="1" x14ac:dyDescent="0.2">
      <c r="I182" s="366">
        <v>98</v>
      </c>
      <c r="J182" s="414">
        <f t="shared" si="110"/>
        <v>41705.780555555779</v>
      </c>
      <c r="K182" s="435" t="e">
        <f t="shared" ca="1" si="111"/>
        <v>#NAME?</v>
      </c>
      <c r="L182" s="435" t="e">
        <f t="shared" ca="1" si="97"/>
        <v>#NAME?</v>
      </c>
      <c r="M182" s="664" t="e">
        <f t="shared" ca="1" si="154"/>
        <v>#NAME?</v>
      </c>
      <c r="N182" s="664" t="e">
        <f t="shared" ca="1" si="155"/>
        <v>#NAME?</v>
      </c>
      <c r="O182" s="140" t="e">
        <f t="shared" ca="1" si="98"/>
        <v>#NAME?</v>
      </c>
      <c r="P182" s="352" t="e">
        <f t="shared" ca="1" si="114"/>
        <v>#NAME?</v>
      </c>
      <c r="Q182" s="665" t="e">
        <f t="shared" ca="1" si="99"/>
        <v>#NAME?</v>
      </c>
      <c r="R182" s="352" t="e">
        <f t="shared" ca="1" si="127"/>
        <v>#NAME?</v>
      </c>
      <c r="S182" s="662" t="e">
        <f t="shared" ca="1" si="100"/>
        <v>#NAME?</v>
      </c>
      <c r="T182" s="443" t="e">
        <f t="shared" ca="1" si="92"/>
        <v>#NAME?</v>
      </c>
      <c r="U182" s="369" t="e">
        <f t="shared" ca="1" si="93"/>
        <v>#NAME?</v>
      </c>
      <c r="V182" s="454" t="e">
        <f t="shared" ca="1" si="101"/>
        <v>#NAME?</v>
      </c>
      <c r="W182" s="457">
        <f t="shared" si="102"/>
        <v>1000</v>
      </c>
      <c r="X182" s="463" t="e">
        <f t="shared" ca="1" si="103"/>
        <v>#NAME?</v>
      </c>
      <c r="Y182" s="455" t="e">
        <f t="shared" ca="1" si="115"/>
        <v>#NAME?</v>
      </c>
      <c r="Z182" s="699">
        <f t="shared" si="94"/>
        <v>8.5</v>
      </c>
      <c r="AA182" s="355" t="str">
        <f t="shared" si="95"/>
        <v>ON</v>
      </c>
      <c r="AB182" s="357">
        <f t="shared" si="128"/>
        <v>1.4999999999999999E-2</v>
      </c>
      <c r="AC182" s="356" t="e">
        <f ca="1">IF(  Y181=0,0,IF(OR(S182="KCAS",S182="INOP",S182="MEFE"),   ( (5*( (   (((1+0.2*(T182/661.4786)^2)^3.5 -1)  )/( (1-6.8755856*10^-6 *100*Y182)^5.2558797) +1)^(2/7) -1) )^0.5),IF(S182="MACH",T182, IF(S182="LRC",BicubicInterpolation( 'LRC Mach'!$C$4:$AL$21, Y182,U182),  IF(S182="MRC",BicubicInterpolation( 'MRC Mach'!$C$3:$T$18, Y182,U182),  IF(S182="M0.84",0.84,  IF(S182="CI52",BicubicInterpolation('CI=52 Mach'!$C$3:$T$18, Y182,U182),  IF(S182="HOLDING",BicubicInterpolation(  'Holding Mach'!$C$4:$M$13, Y182,U182),                         IF(S182="LRCINOP", BicubicInterpolation('LRC INOP Mach'!$C$4:$AA$21,Y182,U182), IF(S182="HOLDINGINOP",  BicubicInterpolation('Holding INOP Mach'!$N$4:$U$13,Y182,U182),         "XXX" )))))))   )))</f>
        <v>#NAME?</v>
      </c>
      <c r="AD182" s="313" t="e">
        <f t="shared" ca="1" si="129"/>
        <v>#NAME?</v>
      </c>
      <c r="AE182" s="314" t="e">
        <f t="shared" ca="1" si="116"/>
        <v>#NAME?</v>
      </c>
      <c r="AF182" s="313" t="e">
        <f t="shared" ca="1" si="130"/>
        <v>#NAME?</v>
      </c>
      <c r="AG182" s="314" t="e">
        <f t="shared" ca="1" si="117"/>
        <v>#NAME?</v>
      </c>
      <c r="AH182" s="313" t="e">
        <f t="shared" ca="1" si="131"/>
        <v>#NAME?</v>
      </c>
      <c r="AI182" s="314" t="e">
        <f t="shared" ca="1" si="118"/>
        <v>#NAME?</v>
      </c>
      <c r="AJ182" s="315" t="e">
        <f t="shared" ca="1" si="119"/>
        <v>#NAME?</v>
      </c>
      <c r="AK182" s="568" t="e">
        <f t="shared" ca="1" si="132"/>
        <v>#NAME?</v>
      </c>
      <c r="AL182" s="313" t="e">
        <f t="shared" ca="1" si="133"/>
        <v>#NAME?</v>
      </c>
      <c r="AM182" s="313" t="e">
        <f t="shared" ca="1" si="120"/>
        <v>#NAME?</v>
      </c>
      <c r="AN182" s="313" t="e">
        <f t="shared" ca="1" si="121"/>
        <v>#NAME?</v>
      </c>
      <c r="AO182" s="316" t="e">
        <f t="shared" ca="1" si="134"/>
        <v>#NAME?</v>
      </c>
      <c r="AP182" s="313" t="e">
        <f t="shared" ca="1" si="135"/>
        <v>#NAME?</v>
      </c>
      <c r="AQ182" s="314" t="e">
        <f t="shared" ca="1" si="122"/>
        <v>#NAME?</v>
      </c>
      <c r="AR182" s="315" t="e">
        <f t="shared" ca="1" si="136"/>
        <v>#NAME?</v>
      </c>
      <c r="AS182" s="316" t="e">
        <f t="shared" ca="1" si="137"/>
        <v>#NAME?</v>
      </c>
      <c r="AT182" s="315" t="e">
        <f t="shared" ca="1" si="138"/>
        <v>#NAME?</v>
      </c>
      <c r="AU182" s="317">
        <v>427.8</v>
      </c>
      <c r="AV182" s="315" t="e">
        <f t="shared" ca="1" si="139"/>
        <v>#NAME?</v>
      </c>
      <c r="AW182" s="318" t="e">
        <f ca="1">0.0001*BicubicInterpolation('Drag Coef Table'!$B$4:$L$28,AV182,AC182)</f>
        <v>#NAME?</v>
      </c>
      <c r="AX182" s="319" t="e">
        <f t="shared" ca="1" si="140"/>
        <v>#NAME?</v>
      </c>
      <c r="AY182" s="318" t="e">
        <f t="shared" ca="1" si="141"/>
        <v>#NAME?</v>
      </c>
      <c r="AZ182" s="320" t="e">
        <f t="shared" ca="1" si="142"/>
        <v>#NAME?</v>
      </c>
      <c r="BA182" s="321" t="e">
        <f t="shared" ca="1" si="143"/>
        <v>#NAME?</v>
      </c>
      <c r="BB182" s="322" t="e">
        <f t="shared" ca="1" si="144"/>
        <v>#NAME?</v>
      </c>
      <c r="BC182" s="323">
        <v>75.196700000000007</v>
      </c>
      <c r="BD182" s="324" t="e">
        <f t="shared" ca="1" si="145"/>
        <v>#NAME?</v>
      </c>
      <c r="BE182" s="325" t="e">
        <f t="shared" ca="1" si="146"/>
        <v>#NAME?</v>
      </c>
      <c r="BF182" s="324" t="e">
        <f ca="1">BicubicInterpolation('TSFC Eff Table'!$B$4:$E$69,2,BB182)</f>
        <v>#NAME?</v>
      </c>
      <c r="BG182" s="326" t="e">
        <f t="shared" ca="1" si="147"/>
        <v>#NAME?</v>
      </c>
      <c r="BH182" s="694" t="e">
        <f ca="1">IF( S182="LRCINOP",   (1+(0.03/10)*Z182*(1+0.2*AC182^2) )*BicubicInterpolation( 'LRC INOP FF'!$C$4:$AA$21, Y182, U182 )-200, IF(S182 ="HOLDINGINOP", (1+(0.03/10)*Z182*(1+0.2*AC182^2) )*BicubicInterpolation( 'Holding INOP FF'!$C$4:$J$13,  Y182,  U182)/1.05-200,   BA182*BG182))</f>
        <v>#NAME?</v>
      </c>
      <c r="BI182" s="344" t="e">
        <f t="shared" ca="1" si="104"/>
        <v>#NAME?</v>
      </c>
      <c r="BJ182" s="322" t="e">
        <f t="shared" ca="1" si="148"/>
        <v>#NAME?</v>
      </c>
      <c r="BK182" s="338" t="e">
        <f t="shared" ca="1" si="105"/>
        <v>#NAME?</v>
      </c>
      <c r="BL182" s="327" t="e">
        <f t="shared" ca="1" si="149"/>
        <v>#NAME?</v>
      </c>
      <c r="BM182" s="328">
        <f t="shared" si="150"/>
        <v>200</v>
      </c>
      <c r="BN182" s="329" t="e">
        <f t="shared" ca="1" si="151"/>
        <v>#NAME?</v>
      </c>
      <c r="BO182" s="344" t="e">
        <f t="shared" ca="1" si="106"/>
        <v>#NAME?</v>
      </c>
      <c r="BP182" s="320" t="e">
        <f t="shared" ca="1" si="152"/>
        <v>#NAME?</v>
      </c>
      <c r="BQ182" s="344" t="e">
        <f t="shared" ca="1" si="107"/>
        <v>#NAME?</v>
      </c>
      <c r="BR182" s="347" t="e">
        <f t="shared" ca="1" si="108"/>
        <v>#NAME?</v>
      </c>
      <c r="BS182" s="326" t="e">
        <f t="shared" ca="1" si="153"/>
        <v>#NAME?</v>
      </c>
      <c r="BT182" s="437" t="e">
        <f t="shared" ca="1" si="123"/>
        <v>#NAME?</v>
      </c>
      <c r="BU182" s="437" t="e">
        <f t="shared" ca="1" si="124"/>
        <v>#NAME?</v>
      </c>
      <c r="BV182" s="441" t="e">
        <f t="shared" ca="1" si="125"/>
        <v>#NAME?</v>
      </c>
      <c r="BW182" s="442" t="e">
        <f t="shared" ca="1" si="126"/>
        <v>#NAME?</v>
      </c>
      <c r="BX182" s="470" t="e">
        <f t="shared" ca="1" si="96"/>
        <v>#NAME?</v>
      </c>
      <c r="BY182" s="484" t="e">
        <f t="shared" ca="1" si="109"/>
        <v>#NAME?</v>
      </c>
    </row>
    <row r="183" spans="9:77" s="212" customFormat="1" ht="17.75" customHeight="1" x14ac:dyDescent="0.2">
      <c r="I183" s="366">
        <v>99</v>
      </c>
      <c r="J183" s="414">
        <f t="shared" si="110"/>
        <v>41705.781250000226</v>
      </c>
      <c r="K183" s="435" t="e">
        <f t="shared" ca="1" si="111"/>
        <v>#NAME?</v>
      </c>
      <c r="L183" s="435" t="e">
        <f t="shared" ca="1" si="97"/>
        <v>#NAME?</v>
      </c>
      <c r="M183" s="664" t="e">
        <f t="shared" ca="1" si="154"/>
        <v>#NAME?</v>
      </c>
      <c r="N183" s="664" t="e">
        <f t="shared" ca="1" si="155"/>
        <v>#NAME?</v>
      </c>
      <c r="O183" s="140" t="e">
        <f t="shared" ca="1" si="98"/>
        <v>#NAME?</v>
      </c>
      <c r="P183" s="352" t="e">
        <f t="shared" ca="1" si="114"/>
        <v>#NAME?</v>
      </c>
      <c r="Q183" s="665" t="e">
        <f t="shared" ca="1" si="99"/>
        <v>#NAME?</v>
      </c>
      <c r="R183" s="352" t="e">
        <f t="shared" ca="1" si="127"/>
        <v>#NAME?</v>
      </c>
      <c r="S183" s="662" t="e">
        <f t="shared" ca="1" si="100"/>
        <v>#NAME?</v>
      </c>
      <c r="T183" s="443" t="e">
        <f t="shared" ca="1" si="92"/>
        <v>#NAME?</v>
      </c>
      <c r="U183" s="369" t="e">
        <f t="shared" ca="1" si="93"/>
        <v>#NAME?</v>
      </c>
      <c r="V183" s="454" t="e">
        <f t="shared" ca="1" si="101"/>
        <v>#NAME?</v>
      </c>
      <c r="W183" s="457">
        <f t="shared" si="102"/>
        <v>1000</v>
      </c>
      <c r="X183" s="463" t="e">
        <f t="shared" ca="1" si="103"/>
        <v>#NAME?</v>
      </c>
      <c r="Y183" s="455" t="e">
        <f t="shared" ca="1" si="115"/>
        <v>#NAME?</v>
      </c>
      <c r="Z183" s="699">
        <f t="shared" si="94"/>
        <v>8.5</v>
      </c>
      <c r="AA183" s="355" t="str">
        <f t="shared" si="95"/>
        <v>ON</v>
      </c>
      <c r="AB183" s="357">
        <f t="shared" si="128"/>
        <v>1.4999999999999999E-2</v>
      </c>
      <c r="AC183" s="356" t="e">
        <f ca="1">IF(  Y182=0,0,IF(OR(S183="KCAS",S183="INOP",S183="MEFE"),   ( (5*( (   (((1+0.2*(T183/661.4786)^2)^3.5 -1)  )/( (1-6.8755856*10^-6 *100*Y183)^5.2558797) +1)^(2/7) -1) )^0.5),IF(S183="MACH",T183, IF(S183="LRC",BicubicInterpolation( 'LRC Mach'!$C$4:$AL$21, Y183,U183),  IF(S183="MRC",BicubicInterpolation( 'MRC Mach'!$C$3:$T$18, Y183,U183),  IF(S183="M0.84",0.84,  IF(S183="CI52",BicubicInterpolation('CI=52 Mach'!$C$3:$T$18, Y183,U183),  IF(S183="HOLDING",BicubicInterpolation(  'Holding Mach'!$C$4:$M$13, Y183,U183),                         IF(S183="LRCINOP", BicubicInterpolation('LRC INOP Mach'!$C$4:$AA$21,Y183,U183), IF(S183="HOLDINGINOP",  BicubicInterpolation('Holding INOP Mach'!$N$4:$U$13,Y183,U183),         "XXX" )))))))   )))</f>
        <v>#NAME?</v>
      </c>
      <c r="AD183" s="313" t="e">
        <f t="shared" ca="1" si="129"/>
        <v>#NAME?</v>
      </c>
      <c r="AE183" s="314" t="e">
        <f t="shared" ca="1" si="116"/>
        <v>#NAME?</v>
      </c>
      <c r="AF183" s="313" t="e">
        <f t="shared" ca="1" si="130"/>
        <v>#NAME?</v>
      </c>
      <c r="AG183" s="314" t="e">
        <f t="shared" ca="1" si="117"/>
        <v>#NAME?</v>
      </c>
      <c r="AH183" s="313" t="e">
        <f t="shared" ca="1" si="131"/>
        <v>#NAME?</v>
      </c>
      <c r="AI183" s="314" t="e">
        <f t="shared" ca="1" si="118"/>
        <v>#NAME?</v>
      </c>
      <c r="AJ183" s="315" t="e">
        <f t="shared" ca="1" si="119"/>
        <v>#NAME?</v>
      </c>
      <c r="AK183" s="568" t="e">
        <f t="shared" ca="1" si="132"/>
        <v>#NAME?</v>
      </c>
      <c r="AL183" s="313" t="e">
        <f t="shared" ca="1" si="133"/>
        <v>#NAME?</v>
      </c>
      <c r="AM183" s="313" t="e">
        <f t="shared" ca="1" si="120"/>
        <v>#NAME?</v>
      </c>
      <c r="AN183" s="313" t="e">
        <f t="shared" ca="1" si="121"/>
        <v>#NAME?</v>
      </c>
      <c r="AO183" s="316" t="e">
        <f t="shared" ca="1" si="134"/>
        <v>#NAME?</v>
      </c>
      <c r="AP183" s="313" t="e">
        <f t="shared" ca="1" si="135"/>
        <v>#NAME?</v>
      </c>
      <c r="AQ183" s="314" t="e">
        <f t="shared" ca="1" si="122"/>
        <v>#NAME?</v>
      </c>
      <c r="AR183" s="315" t="e">
        <f t="shared" ca="1" si="136"/>
        <v>#NAME?</v>
      </c>
      <c r="AS183" s="316" t="e">
        <f t="shared" ca="1" si="137"/>
        <v>#NAME?</v>
      </c>
      <c r="AT183" s="315" t="e">
        <f t="shared" ca="1" si="138"/>
        <v>#NAME?</v>
      </c>
      <c r="AU183" s="317">
        <v>427.8</v>
      </c>
      <c r="AV183" s="315" t="e">
        <f t="shared" ca="1" si="139"/>
        <v>#NAME?</v>
      </c>
      <c r="AW183" s="318" t="e">
        <f ca="1">0.0001*BicubicInterpolation('Drag Coef Table'!$B$4:$L$28,AV183,AC183)</f>
        <v>#NAME?</v>
      </c>
      <c r="AX183" s="319" t="e">
        <f t="shared" ca="1" si="140"/>
        <v>#NAME?</v>
      </c>
      <c r="AY183" s="318" t="e">
        <f t="shared" ca="1" si="141"/>
        <v>#NAME?</v>
      </c>
      <c r="AZ183" s="320" t="e">
        <f t="shared" ca="1" si="142"/>
        <v>#NAME?</v>
      </c>
      <c r="BA183" s="321" t="e">
        <f t="shared" ca="1" si="143"/>
        <v>#NAME?</v>
      </c>
      <c r="BB183" s="322" t="e">
        <f t="shared" ca="1" si="144"/>
        <v>#NAME?</v>
      </c>
      <c r="BC183" s="323">
        <v>75.196700000000007</v>
      </c>
      <c r="BD183" s="324" t="e">
        <f t="shared" ca="1" si="145"/>
        <v>#NAME?</v>
      </c>
      <c r="BE183" s="325" t="e">
        <f t="shared" ca="1" si="146"/>
        <v>#NAME?</v>
      </c>
      <c r="BF183" s="324" t="e">
        <f ca="1">BicubicInterpolation('TSFC Eff Table'!$B$4:$E$69,2,BB183)</f>
        <v>#NAME?</v>
      </c>
      <c r="BG183" s="326" t="e">
        <f t="shared" ca="1" si="147"/>
        <v>#NAME?</v>
      </c>
      <c r="BH183" s="694" t="e">
        <f ca="1">IF( S183="LRCINOP",   (1+(0.03/10)*Z183*(1+0.2*AC183^2) )*BicubicInterpolation( 'LRC INOP FF'!$C$4:$AA$21, Y183, U183 )-200, IF(S183 ="HOLDINGINOP", (1+(0.03/10)*Z183*(1+0.2*AC183^2) )*BicubicInterpolation( 'Holding INOP FF'!$C$4:$J$13,  Y183,  U183)/1.05-200,   BA183*BG183))</f>
        <v>#NAME?</v>
      </c>
      <c r="BI183" s="344" t="e">
        <f t="shared" ca="1" si="104"/>
        <v>#NAME?</v>
      </c>
      <c r="BJ183" s="322" t="e">
        <f t="shared" ca="1" si="148"/>
        <v>#NAME?</v>
      </c>
      <c r="BK183" s="338" t="e">
        <f t="shared" ca="1" si="105"/>
        <v>#NAME?</v>
      </c>
      <c r="BL183" s="327" t="e">
        <f t="shared" ca="1" si="149"/>
        <v>#NAME?</v>
      </c>
      <c r="BM183" s="328">
        <f t="shared" si="150"/>
        <v>200</v>
      </c>
      <c r="BN183" s="329" t="e">
        <f t="shared" ca="1" si="151"/>
        <v>#NAME?</v>
      </c>
      <c r="BO183" s="344" t="e">
        <f t="shared" ca="1" si="106"/>
        <v>#NAME?</v>
      </c>
      <c r="BP183" s="320" t="e">
        <f t="shared" ca="1" si="152"/>
        <v>#NAME?</v>
      </c>
      <c r="BQ183" s="344" t="e">
        <f t="shared" ca="1" si="107"/>
        <v>#NAME?</v>
      </c>
      <c r="BR183" s="347" t="e">
        <f t="shared" ca="1" si="108"/>
        <v>#NAME?</v>
      </c>
      <c r="BS183" s="326" t="e">
        <f t="shared" ca="1" si="153"/>
        <v>#NAME?</v>
      </c>
      <c r="BT183" s="437" t="e">
        <f t="shared" ca="1" si="123"/>
        <v>#NAME?</v>
      </c>
      <c r="BU183" s="437" t="e">
        <f t="shared" ca="1" si="124"/>
        <v>#NAME?</v>
      </c>
      <c r="BV183" s="441" t="e">
        <f t="shared" ca="1" si="125"/>
        <v>#NAME?</v>
      </c>
      <c r="BW183" s="442" t="e">
        <f t="shared" ca="1" si="126"/>
        <v>#NAME?</v>
      </c>
      <c r="BX183" s="470" t="e">
        <f t="shared" ca="1" si="96"/>
        <v>#NAME?</v>
      </c>
      <c r="BY183" s="484" t="e">
        <f t="shared" ca="1" si="109"/>
        <v>#NAME?</v>
      </c>
    </row>
    <row r="184" spans="9:77" s="212" customFormat="1" ht="17.75" customHeight="1" x14ac:dyDescent="0.2">
      <c r="I184" s="366">
        <v>100</v>
      </c>
      <c r="J184" s="414">
        <f t="shared" si="110"/>
        <v>41705.781944444672</v>
      </c>
      <c r="K184" s="435" t="e">
        <f t="shared" ca="1" si="111"/>
        <v>#NAME?</v>
      </c>
      <c r="L184" s="435" t="e">
        <f t="shared" ca="1" si="97"/>
        <v>#NAME?</v>
      </c>
      <c r="M184" s="664" t="e">
        <f t="shared" ca="1" si="154"/>
        <v>#NAME?</v>
      </c>
      <c r="N184" s="664" t="e">
        <f t="shared" ca="1" si="155"/>
        <v>#NAME?</v>
      </c>
      <c r="O184" s="140" t="e">
        <f t="shared" ca="1" si="98"/>
        <v>#NAME?</v>
      </c>
      <c r="P184" s="352" t="e">
        <f t="shared" ca="1" si="114"/>
        <v>#NAME?</v>
      </c>
      <c r="Q184" s="665" t="e">
        <f t="shared" ca="1" si="99"/>
        <v>#NAME?</v>
      </c>
      <c r="R184" s="352" t="e">
        <f t="shared" ca="1" si="127"/>
        <v>#NAME?</v>
      </c>
      <c r="S184" s="662" t="e">
        <f t="shared" ca="1" si="100"/>
        <v>#NAME?</v>
      </c>
      <c r="T184" s="443" t="e">
        <f t="shared" ca="1" si="92"/>
        <v>#NAME?</v>
      </c>
      <c r="U184" s="369" t="e">
        <f t="shared" ca="1" si="93"/>
        <v>#NAME?</v>
      </c>
      <c r="V184" s="454" t="e">
        <f t="shared" ca="1" si="101"/>
        <v>#NAME?</v>
      </c>
      <c r="W184" s="457">
        <f t="shared" si="102"/>
        <v>1000</v>
      </c>
      <c r="X184" s="463" t="e">
        <f t="shared" ca="1" si="103"/>
        <v>#NAME?</v>
      </c>
      <c r="Y184" s="455" t="e">
        <f t="shared" ca="1" si="115"/>
        <v>#NAME?</v>
      </c>
      <c r="Z184" s="699">
        <f t="shared" si="94"/>
        <v>8.5</v>
      </c>
      <c r="AA184" s="355" t="str">
        <f t="shared" si="95"/>
        <v>ON</v>
      </c>
      <c r="AB184" s="357">
        <f t="shared" si="128"/>
        <v>1.4999999999999999E-2</v>
      </c>
      <c r="AC184" s="356" t="e">
        <f ca="1">IF(  Y183=0,0,IF(OR(S184="KCAS",S184="INOP",S184="MEFE"),   ( (5*( (   (((1+0.2*(T184/661.4786)^2)^3.5 -1)  )/( (1-6.8755856*10^-6 *100*Y184)^5.2558797) +1)^(2/7) -1) )^0.5),IF(S184="MACH",T184, IF(S184="LRC",BicubicInterpolation( 'LRC Mach'!$C$4:$AL$21, Y184,U184),  IF(S184="MRC",BicubicInterpolation( 'MRC Mach'!$C$3:$T$18, Y184,U184),  IF(S184="M0.84",0.84,  IF(S184="CI52",BicubicInterpolation('CI=52 Mach'!$C$3:$T$18, Y184,U184),  IF(S184="HOLDING",BicubicInterpolation(  'Holding Mach'!$C$4:$M$13, Y184,U184),                         IF(S184="LRCINOP", BicubicInterpolation('LRC INOP Mach'!$C$4:$AA$21,Y184,U184), IF(S184="HOLDINGINOP",  BicubicInterpolation('Holding INOP Mach'!$N$4:$U$13,Y184,U184),         "XXX" )))))))   )))</f>
        <v>#NAME?</v>
      </c>
      <c r="AD184" s="313" t="e">
        <f t="shared" ca="1" si="129"/>
        <v>#NAME?</v>
      </c>
      <c r="AE184" s="314" t="e">
        <f t="shared" ca="1" si="116"/>
        <v>#NAME?</v>
      </c>
      <c r="AF184" s="313" t="e">
        <f t="shared" ca="1" si="130"/>
        <v>#NAME?</v>
      </c>
      <c r="AG184" s="314" t="e">
        <f t="shared" ca="1" si="117"/>
        <v>#NAME?</v>
      </c>
      <c r="AH184" s="313" t="e">
        <f t="shared" ca="1" si="131"/>
        <v>#NAME?</v>
      </c>
      <c r="AI184" s="314" t="e">
        <f t="shared" ca="1" si="118"/>
        <v>#NAME?</v>
      </c>
      <c r="AJ184" s="315" t="e">
        <f t="shared" ca="1" si="119"/>
        <v>#NAME?</v>
      </c>
      <c r="AK184" s="568" t="e">
        <f t="shared" ca="1" si="132"/>
        <v>#NAME?</v>
      </c>
      <c r="AL184" s="313" t="e">
        <f t="shared" ca="1" si="133"/>
        <v>#NAME?</v>
      </c>
      <c r="AM184" s="313" t="e">
        <f t="shared" ca="1" si="120"/>
        <v>#NAME?</v>
      </c>
      <c r="AN184" s="313" t="e">
        <f t="shared" ca="1" si="121"/>
        <v>#NAME?</v>
      </c>
      <c r="AO184" s="316" t="e">
        <f t="shared" ca="1" si="134"/>
        <v>#NAME?</v>
      </c>
      <c r="AP184" s="313" t="e">
        <f t="shared" ca="1" si="135"/>
        <v>#NAME?</v>
      </c>
      <c r="AQ184" s="314" t="e">
        <f t="shared" ca="1" si="122"/>
        <v>#NAME?</v>
      </c>
      <c r="AR184" s="315" t="e">
        <f t="shared" ca="1" si="136"/>
        <v>#NAME?</v>
      </c>
      <c r="AS184" s="316" t="e">
        <f t="shared" ca="1" si="137"/>
        <v>#NAME?</v>
      </c>
      <c r="AT184" s="315" t="e">
        <f t="shared" ca="1" si="138"/>
        <v>#NAME?</v>
      </c>
      <c r="AU184" s="317">
        <v>427.8</v>
      </c>
      <c r="AV184" s="315" t="e">
        <f t="shared" ca="1" si="139"/>
        <v>#NAME?</v>
      </c>
      <c r="AW184" s="318" t="e">
        <f ca="1">0.0001*BicubicInterpolation('Drag Coef Table'!$B$4:$L$28,AV184,AC184)</f>
        <v>#NAME?</v>
      </c>
      <c r="AX184" s="319" t="e">
        <f t="shared" ca="1" si="140"/>
        <v>#NAME?</v>
      </c>
      <c r="AY184" s="318" t="e">
        <f t="shared" ca="1" si="141"/>
        <v>#NAME?</v>
      </c>
      <c r="AZ184" s="320" t="e">
        <f t="shared" ca="1" si="142"/>
        <v>#NAME?</v>
      </c>
      <c r="BA184" s="321" t="e">
        <f t="shared" ca="1" si="143"/>
        <v>#NAME?</v>
      </c>
      <c r="BB184" s="322" t="e">
        <f t="shared" ca="1" si="144"/>
        <v>#NAME?</v>
      </c>
      <c r="BC184" s="323">
        <v>75.196700000000007</v>
      </c>
      <c r="BD184" s="324" t="e">
        <f t="shared" ca="1" si="145"/>
        <v>#NAME?</v>
      </c>
      <c r="BE184" s="325" t="e">
        <f t="shared" ca="1" si="146"/>
        <v>#NAME?</v>
      </c>
      <c r="BF184" s="324" t="e">
        <f ca="1">BicubicInterpolation('TSFC Eff Table'!$B$4:$E$69,2,BB184)</f>
        <v>#NAME?</v>
      </c>
      <c r="BG184" s="326" t="e">
        <f t="shared" ca="1" si="147"/>
        <v>#NAME?</v>
      </c>
      <c r="BH184" s="694" t="e">
        <f ca="1">IF( S184="LRCINOP",   (1+(0.03/10)*Z184*(1+0.2*AC184^2) )*BicubicInterpolation( 'LRC INOP FF'!$C$4:$AA$21, Y184, U184 )-200, IF(S184 ="HOLDINGINOP", (1+(0.03/10)*Z184*(1+0.2*AC184^2) )*BicubicInterpolation( 'Holding INOP FF'!$C$4:$J$13,  Y184,  U184)/1.05-200,   BA184*BG184))</f>
        <v>#NAME?</v>
      </c>
      <c r="BI184" s="344" t="e">
        <f t="shared" ca="1" si="104"/>
        <v>#NAME?</v>
      </c>
      <c r="BJ184" s="322" t="e">
        <f t="shared" ca="1" si="148"/>
        <v>#NAME?</v>
      </c>
      <c r="BK184" s="338" t="e">
        <f t="shared" ca="1" si="105"/>
        <v>#NAME?</v>
      </c>
      <c r="BL184" s="327" t="e">
        <f t="shared" ca="1" si="149"/>
        <v>#NAME?</v>
      </c>
      <c r="BM184" s="328">
        <f t="shared" si="150"/>
        <v>200</v>
      </c>
      <c r="BN184" s="329" t="e">
        <f t="shared" ca="1" si="151"/>
        <v>#NAME?</v>
      </c>
      <c r="BO184" s="344" t="e">
        <f t="shared" ca="1" si="106"/>
        <v>#NAME?</v>
      </c>
      <c r="BP184" s="320" t="e">
        <f t="shared" ca="1" si="152"/>
        <v>#NAME?</v>
      </c>
      <c r="BQ184" s="344" t="e">
        <f t="shared" ca="1" si="107"/>
        <v>#NAME?</v>
      </c>
      <c r="BR184" s="347" t="e">
        <f t="shared" ca="1" si="108"/>
        <v>#NAME?</v>
      </c>
      <c r="BS184" s="326" t="e">
        <f t="shared" ca="1" si="153"/>
        <v>#NAME?</v>
      </c>
      <c r="BT184" s="437" t="e">
        <f t="shared" ca="1" si="123"/>
        <v>#NAME?</v>
      </c>
      <c r="BU184" s="437" t="e">
        <f t="shared" ca="1" si="124"/>
        <v>#NAME?</v>
      </c>
      <c r="BV184" s="441" t="e">
        <f t="shared" ca="1" si="125"/>
        <v>#NAME?</v>
      </c>
      <c r="BW184" s="442" t="e">
        <f t="shared" ca="1" si="126"/>
        <v>#NAME?</v>
      </c>
      <c r="BX184" s="470" t="e">
        <f t="shared" ca="1" si="96"/>
        <v>#NAME?</v>
      </c>
      <c r="BY184" s="484" t="e">
        <f t="shared" ca="1" si="109"/>
        <v>#NAME?</v>
      </c>
    </row>
    <row r="185" spans="9:77" s="212" customFormat="1" ht="17.75" customHeight="1" x14ac:dyDescent="0.2">
      <c r="I185" s="366">
        <v>101</v>
      </c>
      <c r="J185" s="414">
        <f t="shared" si="110"/>
        <v>41705.782638889119</v>
      </c>
      <c r="K185" s="435" t="e">
        <f t="shared" ca="1" si="111"/>
        <v>#NAME?</v>
      </c>
      <c r="L185" s="435" t="e">
        <f t="shared" ca="1" si="97"/>
        <v>#NAME?</v>
      </c>
      <c r="M185" s="664" t="e">
        <f t="shared" ca="1" si="154"/>
        <v>#NAME?</v>
      </c>
      <c r="N185" s="664" t="e">
        <f t="shared" ca="1" si="155"/>
        <v>#NAME?</v>
      </c>
      <c r="O185" s="140" t="e">
        <f t="shared" ca="1" si="98"/>
        <v>#NAME?</v>
      </c>
      <c r="P185" s="352" t="e">
        <f t="shared" ca="1" si="114"/>
        <v>#NAME?</v>
      </c>
      <c r="Q185" s="665" t="e">
        <f t="shared" ca="1" si="99"/>
        <v>#NAME?</v>
      </c>
      <c r="R185" s="352" t="e">
        <f t="shared" ca="1" si="127"/>
        <v>#NAME?</v>
      </c>
      <c r="S185" s="662" t="e">
        <f t="shared" ca="1" si="100"/>
        <v>#NAME?</v>
      </c>
      <c r="T185" s="443" t="e">
        <f t="shared" ca="1" si="92"/>
        <v>#NAME?</v>
      </c>
      <c r="U185" s="369" t="e">
        <f t="shared" ca="1" si="93"/>
        <v>#NAME?</v>
      </c>
      <c r="V185" s="454" t="e">
        <f t="shared" ca="1" si="101"/>
        <v>#NAME?</v>
      </c>
      <c r="W185" s="457">
        <f t="shared" si="102"/>
        <v>1000</v>
      </c>
      <c r="X185" s="463" t="e">
        <f t="shared" ca="1" si="103"/>
        <v>#NAME?</v>
      </c>
      <c r="Y185" s="455" t="e">
        <f t="shared" ca="1" si="115"/>
        <v>#NAME?</v>
      </c>
      <c r="Z185" s="699">
        <f t="shared" si="94"/>
        <v>8.5</v>
      </c>
      <c r="AA185" s="355" t="str">
        <f t="shared" si="95"/>
        <v>ON</v>
      </c>
      <c r="AB185" s="357">
        <f t="shared" si="128"/>
        <v>1.4999999999999999E-2</v>
      </c>
      <c r="AC185" s="356" t="e">
        <f ca="1">IF(  Y184=0,0,IF(OR(S185="KCAS",S185="INOP",S185="MEFE"),   ( (5*( (   (((1+0.2*(T185/661.4786)^2)^3.5 -1)  )/( (1-6.8755856*10^-6 *100*Y185)^5.2558797) +1)^(2/7) -1) )^0.5),IF(S185="MACH",T185, IF(S185="LRC",BicubicInterpolation( 'LRC Mach'!$C$4:$AL$21, Y185,U185),  IF(S185="MRC",BicubicInterpolation( 'MRC Mach'!$C$3:$T$18, Y185,U185),  IF(S185="M0.84",0.84,  IF(S185="CI52",BicubicInterpolation('CI=52 Mach'!$C$3:$T$18, Y185,U185),  IF(S185="HOLDING",BicubicInterpolation(  'Holding Mach'!$C$4:$M$13, Y185,U185),                         IF(S185="LRCINOP", BicubicInterpolation('LRC INOP Mach'!$C$4:$AA$21,Y185,U185), IF(S185="HOLDINGINOP",  BicubicInterpolation('Holding INOP Mach'!$N$4:$U$13,Y185,U185),         "XXX" )))))))   )))</f>
        <v>#NAME?</v>
      </c>
      <c r="AD185" s="313" t="e">
        <f t="shared" ca="1" si="129"/>
        <v>#NAME?</v>
      </c>
      <c r="AE185" s="314" t="e">
        <f t="shared" ca="1" si="116"/>
        <v>#NAME?</v>
      </c>
      <c r="AF185" s="313" t="e">
        <f t="shared" ca="1" si="130"/>
        <v>#NAME?</v>
      </c>
      <c r="AG185" s="314" t="e">
        <f t="shared" ca="1" si="117"/>
        <v>#NAME?</v>
      </c>
      <c r="AH185" s="313" t="e">
        <f t="shared" ca="1" si="131"/>
        <v>#NAME?</v>
      </c>
      <c r="AI185" s="314" t="e">
        <f t="shared" ca="1" si="118"/>
        <v>#NAME?</v>
      </c>
      <c r="AJ185" s="315" t="e">
        <f t="shared" ca="1" si="119"/>
        <v>#NAME?</v>
      </c>
      <c r="AK185" s="568" t="e">
        <f t="shared" ca="1" si="132"/>
        <v>#NAME?</v>
      </c>
      <c r="AL185" s="313" t="e">
        <f t="shared" ca="1" si="133"/>
        <v>#NAME?</v>
      </c>
      <c r="AM185" s="313" t="e">
        <f t="shared" ca="1" si="120"/>
        <v>#NAME?</v>
      </c>
      <c r="AN185" s="313" t="e">
        <f t="shared" ca="1" si="121"/>
        <v>#NAME?</v>
      </c>
      <c r="AO185" s="316" t="e">
        <f t="shared" ca="1" si="134"/>
        <v>#NAME?</v>
      </c>
      <c r="AP185" s="313" t="e">
        <f t="shared" ca="1" si="135"/>
        <v>#NAME?</v>
      </c>
      <c r="AQ185" s="314" t="e">
        <f t="shared" ca="1" si="122"/>
        <v>#NAME?</v>
      </c>
      <c r="AR185" s="315" t="e">
        <f t="shared" ca="1" si="136"/>
        <v>#NAME?</v>
      </c>
      <c r="AS185" s="316" t="e">
        <f t="shared" ca="1" si="137"/>
        <v>#NAME?</v>
      </c>
      <c r="AT185" s="315" t="e">
        <f t="shared" ca="1" si="138"/>
        <v>#NAME?</v>
      </c>
      <c r="AU185" s="317">
        <v>427.8</v>
      </c>
      <c r="AV185" s="315" t="e">
        <f t="shared" ca="1" si="139"/>
        <v>#NAME?</v>
      </c>
      <c r="AW185" s="318" t="e">
        <f ca="1">0.0001*BicubicInterpolation('Drag Coef Table'!$B$4:$L$28,AV185,AC185)</f>
        <v>#NAME?</v>
      </c>
      <c r="AX185" s="319" t="e">
        <f t="shared" ca="1" si="140"/>
        <v>#NAME?</v>
      </c>
      <c r="AY185" s="318" t="e">
        <f t="shared" ca="1" si="141"/>
        <v>#NAME?</v>
      </c>
      <c r="AZ185" s="320" t="e">
        <f t="shared" ca="1" si="142"/>
        <v>#NAME?</v>
      </c>
      <c r="BA185" s="321" t="e">
        <f t="shared" ca="1" si="143"/>
        <v>#NAME?</v>
      </c>
      <c r="BB185" s="322" t="e">
        <f t="shared" ca="1" si="144"/>
        <v>#NAME?</v>
      </c>
      <c r="BC185" s="323">
        <v>75.196700000000007</v>
      </c>
      <c r="BD185" s="324" t="e">
        <f t="shared" ca="1" si="145"/>
        <v>#NAME?</v>
      </c>
      <c r="BE185" s="325" t="e">
        <f t="shared" ca="1" si="146"/>
        <v>#NAME?</v>
      </c>
      <c r="BF185" s="324" t="e">
        <f ca="1">BicubicInterpolation('TSFC Eff Table'!$B$4:$E$69,2,BB185)</f>
        <v>#NAME?</v>
      </c>
      <c r="BG185" s="326" t="e">
        <f t="shared" ca="1" si="147"/>
        <v>#NAME?</v>
      </c>
      <c r="BH185" s="694" t="e">
        <f ca="1">IF( S185="LRCINOP",   (1+(0.03/10)*Z185*(1+0.2*AC185^2) )*BicubicInterpolation( 'LRC INOP FF'!$C$4:$AA$21, Y185, U185 )-200, IF(S185 ="HOLDINGINOP", (1+(0.03/10)*Z185*(1+0.2*AC185^2) )*BicubicInterpolation( 'Holding INOP FF'!$C$4:$J$13,  Y185,  U185)/1.05-200,   BA185*BG185))</f>
        <v>#NAME?</v>
      </c>
      <c r="BI185" s="344" t="e">
        <f t="shared" ca="1" si="104"/>
        <v>#NAME?</v>
      </c>
      <c r="BJ185" s="322" t="e">
        <f t="shared" ca="1" si="148"/>
        <v>#NAME?</v>
      </c>
      <c r="BK185" s="338" t="e">
        <f t="shared" ca="1" si="105"/>
        <v>#NAME?</v>
      </c>
      <c r="BL185" s="327" t="e">
        <f t="shared" ca="1" si="149"/>
        <v>#NAME?</v>
      </c>
      <c r="BM185" s="328">
        <f t="shared" si="150"/>
        <v>200</v>
      </c>
      <c r="BN185" s="329" t="e">
        <f t="shared" ca="1" si="151"/>
        <v>#NAME?</v>
      </c>
      <c r="BO185" s="344" t="e">
        <f t="shared" ca="1" si="106"/>
        <v>#NAME?</v>
      </c>
      <c r="BP185" s="320" t="e">
        <f t="shared" ca="1" si="152"/>
        <v>#NAME?</v>
      </c>
      <c r="BQ185" s="344" t="e">
        <f t="shared" ca="1" si="107"/>
        <v>#NAME?</v>
      </c>
      <c r="BR185" s="347" t="e">
        <f t="shared" ca="1" si="108"/>
        <v>#NAME?</v>
      </c>
      <c r="BS185" s="326" t="e">
        <f t="shared" ca="1" si="153"/>
        <v>#NAME?</v>
      </c>
      <c r="BT185" s="437" t="e">
        <f t="shared" ca="1" si="123"/>
        <v>#NAME?</v>
      </c>
      <c r="BU185" s="437" t="e">
        <f t="shared" ca="1" si="124"/>
        <v>#NAME?</v>
      </c>
      <c r="BV185" s="441" t="e">
        <f t="shared" ca="1" si="125"/>
        <v>#NAME?</v>
      </c>
      <c r="BW185" s="442" t="e">
        <f t="shared" ca="1" si="126"/>
        <v>#NAME?</v>
      </c>
      <c r="BX185" s="470" t="e">
        <f t="shared" ca="1" si="96"/>
        <v>#NAME?</v>
      </c>
      <c r="BY185" s="484" t="e">
        <f t="shared" ca="1" si="109"/>
        <v>#NAME?</v>
      </c>
    </row>
    <row r="186" spans="9:77" s="212" customFormat="1" ht="17.75" customHeight="1" x14ac:dyDescent="0.2">
      <c r="I186" s="366">
        <v>102</v>
      </c>
      <c r="J186" s="414">
        <f t="shared" si="110"/>
        <v>41705.783333333566</v>
      </c>
      <c r="K186" s="435" t="e">
        <f t="shared" ca="1" si="111"/>
        <v>#NAME?</v>
      </c>
      <c r="L186" s="435" t="e">
        <f t="shared" ca="1" si="97"/>
        <v>#NAME?</v>
      </c>
      <c r="M186" s="664" t="e">
        <f t="shared" ca="1" si="154"/>
        <v>#NAME?</v>
      </c>
      <c r="N186" s="664" t="e">
        <f t="shared" ca="1" si="155"/>
        <v>#NAME?</v>
      </c>
      <c r="O186" s="140" t="e">
        <f t="shared" ca="1" si="98"/>
        <v>#NAME?</v>
      </c>
      <c r="P186" s="352" t="e">
        <f t="shared" ca="1" si="114"/>
        <v>#NAME?</v>
      </c>
      <c r="Q186" s="665" t="e">
        <f t="shared" ca="1" si="99"/>
        <v>#NAME?</v>
      </c>
      <c r="R186" s="352" t="e">
        <f t="shared" ca="1" si="127"/>
        <v>#NAME?</v>
      </c>
      <c r="S186" s="662" t="e">
        <f t="shared" ca="1" si="100"/>
        <v>#NAME?</v>
      </c>
      <c r="T186" s="443" t="e">
        <f t="shared" ca="1" si="92"/>
        <v>#NAME?</v>
      </c>
      <c r="U186" s="369" t="e">
        <f t="shared" ca="1" si="93"/>
        <v>#NAME?</v>
      </c>
      <c r="V186" s="454" t="e">
        <f t="shared" ca="1" si="101"/>
        <v>#NAME?</v>
      </c>
      <c r="W186" s="457">
        <f t="shared" si="102"/>
        <v>1000</v>
      </c>
      <c r="X186" s="463" t="e">
        <f t="shared" ca="1" si="103"/>
        <v>#NAME?</v>
      </c>
      <c r="Y186" s="455" t="e">
        <f t="shared" ca="1" si="115"/>
        <v>#NAME?</v>
      </c>
      <c r="Z186" s="699">
        <f t="shared" si="94"/>
        <v>8.5</v>
      </c>
      <c r="AA186" s="355" t="str">
        <f t="shared" si="95"/>
        <v>ON</v>
      </c>
      <c r="AB186" s="357">
        <f t="shared" si="128"/>
        <v>1.4999999999999999E-2</v>
      </c>
      <c r="AC186" s="356" t="e">
        <f ca="1">IF(  Y185=0,0,IF(OR(S186="KCAS",S186="INOP",S186="MEFE"),   ( (5*( (   (((1+0.2*(T186/661.4786)^2)^3.5 -1)  )/( (1-6.8755856*10^-6 *100*Y186)^5.2558797) +1)^(2/7) -1) )^0.5),IF(S186="MACH",T186, IF(S186="LRC",BicubicInterpolation( 'LRC Mach'!$C$4:$AL$21, Y186,U186),  IF(S186="MRC",BicubicInterpolation( 'MRC Mach'!$C$3:$T$18, Y186,U186),  IF(S186="M0.84",0.84,  IF(S186="CI52",BicubicInterpolation('CI=52 Mach'!$C$3:$T$18, Y186,U186),  IF(S186="HOLDING",BicubicInterpolation(  'Holding Mach'!$C$4:$M$13, Y186,U186),                         IF(S186="LRCINOP", BicubicInterpolation('LRC INOP Mach'!$C$4:$AA$21,Y186,U186), IF(S186="HOLDINGINOP",  BicubicInterpolation('Holding INOP Mach'!$N$4:$U$13,Y186,U186),         "XXX" )))))))   )))</f>
        <v>#NAME?</v>
      </c>
      <c r="AD186" s="313" t="e">
        <f t="shared" ca="1" si="129"/>
        <v>#NAME?</v>
      </c>
      <c r="AE186" s="314" t="e">
        <f t="shared" ca="1" si="116"/>
        <v>#NAME?</v>
      </c>
      <c r="AF186" s="313" t="e">
        <f t="shared" ca="1" si="130"/>
        <v>#NAME?</v>
      </c>
      <c r="AG186" s="314" t="e">
        <f t="shared" ca="1" si="117"/>
        <v>#NAME?</v>
      </c>
      <c r="AH186" s="313" t="e">
        <f t="shared" ca="1" si="131"/>
        <v>#NAME?</v>
      </c>
      <c r="AI186" s="314" t="e">
        <f t="shared" ca="1" si="118"/>
        <v>#NAME?</v>
      </c>
      <c r="AJ186" s="315" t="e">
        <f t="shared" ca="1" si="119"/>
        <v>#NAME?</v>
      </c>
      <c r="AK186" s="568" t="e">
        <f t="shared" ca="1" si="132"/>
        <v>#NAME?</v>
      </c>
      <c r="AL186" s="313" t="e">
        <f t="shared" ca="1" si="133"/>
        <v>#NAME?</v>
      </c>
      <c r="AM186" s="313" t="e">
        <f t="shared" ca="1" si="120"/>
        <v>#NAME?</v>
      </c>
      <c r="AN186" s="313" t="e">
        <f t="shared" ca="1" si="121"/>
        <v>#NAME?</v>
      </c>
      <c r="AO186" s="316" t="e">
        <f t="shared" ca="1" si="134"/>
        <v>#NAME?</v>
      </c>
      <c r="AP186" s="313" t="e">
        <f t="shared" ca="1" si="135"/>
        <v>#NAME?</v>
      </c>
      <c r="AQ186" s="314" t="e">
        <f t="shared" ca="1" si="122"/>
        <v>#NAME?</v>
      </c>
      <c r="AR186" s="315" t="e">
        <f t="shared" ca="1" si="136"/>
        <v>#NAME?</v>
      </c>
      <c r="AS186" s="316" t="e">
        <f t="shared" ca="1" si="137"/>
        <v>#NAME?</v>
      </c>
      <c r="AT186" s="315" t="e">
        <f t="shared" ca="1" si="138"/>
        <v>#NAME?</v>
      </c>
      <c r="AU186" s="317">
        <v>427.8</v>
      </c>
      <c r="AV186" s="315" t="e">
        <f t="shared" ca="1" si="139"/>
        <v>#NAME?</v>
      </c>
      <c r="AW186" s="318" t="e">
        <f ca="1">0.0001*BicubicInterpolation('Drag Coef Table'!$B$4:$L$28,AV186,AC186)</f>
        <v>#NAME?</v>
      </c>
      <c r="AX186" s="319" t="e">
        <f t="shared" ca="1" si="140"/>
        <v>#NAME?</v>
      </c>
      <c r="AY186" s="318" t="e">
        <f t="shared" ca="1" si="141"/>
        <v>#NAME?</v>
      </c>
      <c r="AZ186" s="320" t="e">
        <f t="shared" ca="1" si="142"/>
        <v>#NAME?</v>
      </c>
      <c r="BA186" s="321" t="e">
        <f t="shared" ca="1" si="143"/>
        <v>#NAME?</v>
      </c>
      <c r="BB186" s="322" t="e">
        <f t="shared" ca="1" si="144"/>
        <v>#NAME?</v>
      </c>
      <c r="BC186" s="323">
        <v>75.196700000000007</v>
      </c>
      <c r="BD186" s="324" t="e">
        <f t="shared" ca="1" si="145"/>
        <v>#NAME?</v>
      </c>
      <c r="BE186" s="325" t="e">
        <f t="shared" ca="1" si="146"/>
        <v>#NAME?</v>
      </c>
      <c r="BF186" s="324" t="e">
        <f ca="1">BicubicInterpolation('TSFC Eff Table'!$B$4:$E$69,2,BB186)</f>
        <v>#NAME?</v>
      </c>
      <c r="BG186" s="326" t="e">
        <f t="shared" ca="1" si="147"/>
        <v>#NAME?</v>
      </c>
      <c r="BH186" s="694" t="e">
        <f ca="1">IF( S186="LRCINOP",   (1+(0.03/10)*Z186*(1+0.2*AC186^2) )*BicubicInterpolation( 'LRC INOP FF'!$C$4:$AA$21, Y186, U186 )-200, IF(S186 ="HOLDINGINOP", (1+(0.03/10)*Z186*(1+0.2*AC186^2) )*BicubicInterpolation( 'Holding INOP FF'!$C$4:$J$13,  Y186,  U186)/1.05-200,   BA186*BG186))</f>
        <v>#NAME?</v>
      </c>
      <c r="BI186" s="344" t="e">
        <f t="shared" ca="1" si="104"/>
        <v>#NAME?</v>
      </c>
      <c r="BJ186" s="322" t="e">
        <f t="shared" ca="1" si="148"/>
        <v>#NAME?</v>
      </c>
      <c r="BK186" s="338" t="e">
        <f t="shared" ca="1" si="105"/>
        <v>#NAME?</v>
      </c>
      <c r="BL186" s="327" t="e">
        <f t="shared" ca="1" si="149"/>
        <v>#NAME?</v>
      </c>
      <c r="BM186" s="328">
        <f t="shared" si="150"/>
        <v>200</v>
      </c>
      <c r="BN186" s="329" t="e">
        <f t="shared" ca="1" si="151"/>
        <v>#NAME?</v>
      </c>
      <c r="BO186" s="344" t="e">
        <f t="shared" ca="1" si="106"/>
        <v>#NAME?</v>
      </c>
      <c r="BP186" s="320" t="e">
        <f t="shared" ca="1" si="152"/>
        <v>#NAME?</v>
      </c>
      <c r="BQ186" s="344" t="e">
        <f t="shared" ca="1" si="107"/>
        <v>#NAME?</v>
      </c>
      <c r="BR186" s="347" t="e">
        <f t="shared" ca="1" si="108"/>
        <v>#NAME?</v>
      </c>
      <c r="BS186" s="326" t="e">
        <f t="shared" ca="1" si="153"/>
        <v>#NAME?</v>
      </c>
      <c r="BT186" s="437" t="e">
        <f t="shared" ca="1" si="123"/>
        <v>#NAME?</v>
      </c>
      <c r="BU186" s="437" t="e">
        <f t="shared" ca="1" si="124"/>
        <v>#NAME?</v>
      </c>
      <c r="BV186" s="441" t="e">
        <f t="shared" ca="1" si="125"/>
        <v>#NAME?</v>
      </c>
      <c r="BW186" s="442" t="e">
        <f t="shared" ca="1" si="126"/>
        <v>#NAME?</v>
      </c>
      <c r="BX186" s="470" t="e">
        <f t="shared" ca="1" si="96"/>
        <v>#NAME?</v>
      </c>
      <c r="BY186" s="484" t="e">
        <f t="shared" ca="1" si="109"/>
        <v>#NAME?</v>
      </c>
    </row>
    <row r="187" spans="9:77" s="212" customFormat="1" ht="17.75" customHeight="1" x14ac:dyDescent="0.2">
      <c r="I187" s="366">
        <v>103</v>
      </c>
      <c r="J187" s="414">
        <f t="shared" si="110"/>
        <v>41705.784027778012</v>
      </c>
      <c r="K187" s="435" t="e">
        <f t="shared" ca="1" si="111"/>
        <v>#NAME?</v>
      </c>
      <c r="L187" s="435" t="e">
        <f t="shared" ca="1" si="97"/>
        <v>#NAME?</v>
      </c>
      <c r="M187" s="664" t="e">
        <f t="shared" ca="1" si="154"/>
        <v>#NAME?</v>
      </c>
      <c r="N187" s="664" t="e">
        <f t="shared" ca="1" si="155"/>
        <v>#NAME?</v>
      </c>
      <c r="O187" s="140" t="e">
        <f t="shared" ca="1" si="98"/>
        <v>#NAME?</v>
      </c>
      <c r="P187" s="352" t="e">
        <f t="shared" ca="1" si="114"/>
        <v>#NAME?</v>
      </c>
      <c r="Q187" s="665" t="e">
        <f t="shared" ca="1" si="99"/>
        <v>#NAME?</v>
      </c>
      <c r="R187" s="352" t="e">
        <f t="shared" ca="1" si="127"/>
        <v>#NAME?</v>
      </c>
      <c r="S187" s="662" t="e">
        <f t="shared" ca="1" si="100"/>
        <v>#NAME?</v>
      </c>
      <c r="T187" s="443" t="e">
        <f t="shared" ca="1" si="92"/>
        <v>#NAME?</v>
      </c>
      <c r="U187" s="369" t="e">
        <f t="shared" ca="1" si="93"/>
        <v>#NAME?</v>
      </c>
      <c r="V187" s="454" t="e">
        <f t="shared" ca="1" si="101"/>
        <v>#NAME?</v>
      </c>
      <c r="W187" s="457">
        <f t="shared" si="102"/>
        <v>1000</v>
      </c>
      <c r="X187" s="463" t="e">
        <f t="shared" ca="1" si="103"/>
        <v>#NAME?</v>
      </c>
      <c r="Y187" s="455" t="e">
        <f t="shared" ca="1" si="115"/>
        <v>#NAME?</v>
      </c>
      <c r="Z187" s="699">
        <f t="shared" si="94"/>
        <v>8.5</v>
      </c>
      <c r="AA187" s="355" t="str">
        <f t="shared" si="95"/>
        <v>ON</v>
      </c>
      <c r="AB187" s="357">
        <f t="shared" si="128"/>
        <v>1.4999999999999999E-2</v>
      </c>
      <c r="AC187" s="356" t="e">
        <f ca="1">IF(  Y186=0,0,IF(OR(S187="KCAS",S187="INOP",S187="MEFE"),   ( (5*( (   (((1+0.2*(T187/661.4786)^2)^3.5 -1)  )/( (1-6.8755856*10^-6 *100*Y187)^5.2558797) +1)^(2/7) -1) )^0.5),IF(S187="MACH",T187, IF(S187="LRC",BicubicInterpolation( 'LRC Mach'!$C$4:$AL$21, Y187,U187),  IF(S187="MRC",BicubicInterpolation( 'MRC Mach'!$C$3:$T$18, Y187,U187),  IF(S187="M0.84",0.84,  IF(S187="CI52",BicubicInterpolation('CI=52 Mach'!$C$3:$T$18, Y187,U187),  IF(S187="HOLDING",BicubicInterpolation(  'Holding Mach'!$C$4:$M$13, Y187,U187),                         IF(S187="LRCINOP", BicubicInterpolation('LRC INOP Mach'!$C$4:$AA$21,Y187,U187), IF(S187="HOLDINGINOP",  BicubicInterpolation('Holding INOP Mach'!$N$4:$U$13,Y187,U187),         "XXX" )))))))   )))</f>
        <v>#NAME?</v>
      </c>
      <c r="AD187" s="313" t="e">
        <f t="shared" ca="1" si="129"/>
        <v>#NAME?</v>
      </c>
      <c r="AE187" s="314" t="e">
        <f t="shared" ca="1" si="116"/>
        <v>#NAME?</v>
      </c>
      <c r="AF187" s="313" t="e">
        <f t="shared" ca="1" si="130"/>
        <v>#NAME?</v>
      </c>
      <c r="AG187" s="314" t="e">
        <f t="shared" ca="1" si="117"/>
        <v>#NAME?</v>
      </c>
      <c r="AH187" s="313" t="e">
        <f t="shared" ca="1" si="131"/>
        <v>#NAME?</v>
      </c>
      <c r="AI187" s="314" t="e">
        <f t="shared" ca="1" si="118"/>
        <v>#NAME?</v>
      </c>
      <c r="AJ187" s="315" t="e">
        <f t="shared" ca="1" si="119"/>
        <v>#NAME?</v>
      </c>
      <c r="AK187" s="568" t="e">
        <f t="shared" ca="1" si="132"/>
        <v>#NAME?</v>
      </c>
      <c r="AL187" s="313" t="e">
        <f t="shared" ca="1" si="133"/>
        <v>#NAME?</v>
      </c>
      <c r="AM187" s="313" t="e">
        <f t="shared" ca="1" si="120"/>
        <v>#NAME?</v>
      </c>
      <c r="AN187" s="313" t="e">
        <f t="shared" ca="1" si="121"/>
        <v>#NAME?</v>
      </c>
      <c r="AO187" s="316" t="e">
        <f t="shared" ca="1" si="134"/>
        <v>#NAME?</v>
      </c>
      <c r="AP187" s="313" t="e">
        <f t="shared" ca="1" si="135"/>
        <v>#NAME?</v>
      </c>
      <c r="AQ187" s="314" t="e">
        <f t="shared" ca="1" si="122"/>
        <v>#NAME?</v>
      </c>
      <c r="AR187" s="315" t="e">
        <f t="shared" ca="1" si="136"/>
        <v>#NAME?</v>
      </c>
      <c r="AS187" s="316" t="e">
        <f t="shared" ca="1" si="137"/>
        <v>#NAME?</v>
      </c>
      <c r="AT187" s="315" t="e">
        <f t="shared" ca="1" si="138"/>
        <v>#NAME?</v>
      </c>
      <c r="AU187" s="317">
        <v>427.8</v>
      </c>
      <c r="AV187" s="315" t="e">
        <f t="shared" ca="1" si="139"/>
        <v>#NAME?</v>
      </c>
      <c r="AW187" s="318" t="e">
        <f ca="1">0.0001*BicubicInterpolation('Drag Coef Table'!$B$4:$L$28,AV187,AC187)</f>
        <v>#NAME?</v>
      </c>
      <c r="AX187" s="319" t="e">
        <f t="shared" ca="1" si="140"/>
        <v>#NAME?</v>
      </c>
      <c r="AY187" s="318" t="e">
        <f t="shared" ca="1" si="141"/>
        <v>#NAME?</v>
      </c>
      <c r="AZ187" s="320" t="e">
        <f t="shared" ca="1" si="142"/>
        <v>#NAME?</v>
      </c>
      <c r="BA187" s="321" t="e">
        <f t="shared" ca="1" si="143"/>
        <v>#NAME?</v>
      </c>
      <c r="BB187" s="322" t="e">
        <f t="shared" ca="1" si="144"/>
        <v>#NAME?</v>
      </c>
      <c r="BC187" s="323">
        <v>75.196700000000007</v>
      </c>
      <c r="BD187" s="324" t="e">
        <f t="shared" ca="1" si="145"/>
        <v>#NAME?</v>
      </c>
      <c r="BE187" s="325" t="e">
        <f t="shared" ca="1" si="146"/>
        <v>#NAME?</v>
      </c>
      <c r="BF187" s="324" t="e">
        <f ca="1">BicubicInterpolation('TSFC Eff Table'!$B$4:$E$69,2,BB187)</f>
        <v>#NAME?</v>
      </c>
      <c r="BG187" s="326" t="e">
        <f t="shared" ca="1" si="147"/>
        <v>#NAME?</v>
      </c>
      <c r="BH187" s="694" t="e">
        <f ca="1">IF( S187="LRCINOP",   (1+(0.03/10)*Z187*(1+0.2*AC187^2) )*BicubicInterpolation( 'LRC INOP FF'!$C$4:$AA$21, Y187, U187 )-200, IF(S187 ="HOLDINGINOP", (1+(0.03/10)*Z187*(1+0.2*AC187^2) )*BicubicInterpolation( 'Holding INOP FF'!$C$4:$J$13,  Y187,  U187)/1.05-200,   BA187*BG187))</f>
        <v>#NAME?</v>
      </c>
      <c r="BI187" s="344" t="e">
        <f t="shared" ca="1" si="104"/>
        <v>#NAME?</v>
      </c>
      <c r="BJ187" s="322" t="e">
        <f t="shared" ca="1" si="148"/>
        <v>#NAME?</v>
      </c>
      <c r="BK187" s="338" t="e">
        <f t="shared" ca="1" si="105"/>
        <v>#NAME?</v>
      </c>
      <c r="BL187" s="327" t="e">
        <f t="shared" ca="1" si="149"/>
        <v>#NAME?</v>
      </c>
      <c r="BM187" s="328">
        <f t="shared" si="150"/>
        <v>200</v>
      </c>
      <c r="BN187" s="329" t="e">
        <f t="shared" ca="1" si="151"/>
        <v>#NAME?</v>
      </c>
      <c r="BO187" s="344" t="e">
        <f t="shared" ca="1" si="106"/>
        <v>#NAME?</v>
      </c>
      <c r="BP187" s="320" t="e">
        <f t="shared" ca="1" si="152"/>
        <v>#NAME?</v>
      </c>
      <c r="BQ187" s="344" t="e">
        <f t="shared" ca="1" si="107"/>
        <v>#NAME?</v>
      </c>
      <c r="BR187" s="347" t="e">
        <f t="shared" ca="1" si="108"/>
        <v>#NAME?</v>
      </c>
      <c r="BS187" s="326" t="e">
        <f t="shared" ca="1" si="153"/>
        <v>#NAME?</v>
      </c>
      <c r="BT187" s="437" t="e">
        <f t="shared" ca="1" si="123"/>
        <v>#NAME?</v>
      </c>
      <c r="BU187" s="437" t="e">
        <f t="shared" ca="1" si="124"/>
        <v>#NAME?</v>
      </c>
      <c r="BV187" s="441" t="e">
        <f t="shared" ca="1" si="125"/>
        <v>#NAME?</v>
      </c>
      <c r="BW187" s="442" t="e">
        <f t="shared" ca="1" si="126"/>
        <v>#NAME?</v>
      </c>
      <c r="BX187" s="470" t="e">
        <f t="shared" ca="1" si="96"/>
        <v>#NAME?</v>
      </c>
      <c r="BY187" s="484" t="e">
        <f t="shared" ca="1" si="109"/>
        <v>#NAME?</v>
      </c>
    </row>
    <row r="188" spans="9:77" s="212" customFormat="1" ht="17.75" customHeight="1" x14ac:dyDescent="0.2">
      <c r="I188" s="366">
        <v>104</v>
      </c>
      <c r="J188" s="414">
        <f t="shared" si="110"/>
        <v>41705.784722222459</v>
      </c>
      <c r="K188" s="435" t="e">
        <f t="shared" ca="1" si="111"/>
        <v>#NAME?</v>
      </c>
      <c r="L188" s="435" t="e">
        <f t="shared" ca="1" si="97"/>
        <v>#NAME?</v>
      </c>
      <c r="M188" s="664" t="e">
        <f t="shared" ca="1" si="154"/>
        <v>#NAME?</v>
      </c>
      <c r="N188" s="664" t="e">
        <f t="shared" ca="1" si="155"/>
        <v>#NAME?</v>
      </c>
      <c r="O188" s="140" t="e">
        <f t="shared" ca="1" si="98"/>
        <v>#NAME?</v>
      </c>
      <c r="P188" s="352" t="e">
        <f t="shared" ca="1" si="114"/>
        <v>#NAME?</v>
      </c>
      <c r="Q188" s="665" t="e">
        <f t="shared" ca="1" si="99"/>
        <v>#NAME?</v>
      </c>
      <c r="R188" s="352" t="e">
        <f t="shared" ca="1" si="127"/>
        <v>#NAME?</v>
      </c>
      <c r="S188" s="662" t="e">
        <f t="shared" ca="1" si="100"/>
        <v>#NAME?</v>
      </c>
      <c r="T188" s="443" t="e">
        <f t="shared" ca="1" si="92"/>
        <v>#NAME?</v>
      </c>
      <c r="U188" s="369" t="e">
        <f t="shared" ca="1" si="93"/>
        <v>#NAME?</v>
      </c>
      <c r="V188" s="454" t="e">
        <f t="shared" ca="1" si="101"/>
        <v>#NAME?</v>
      </c>
      <c r="W188" s="457">
        <f t="shared" si="102"/>
        <v>1000</v>
      </c>
      <c r="X188" s="463" t="e">
        <f t="shared" ca="1" si="103"/>
        <v>#NAME?</v>
      </c>
      <c r="Y188" s="455" t="e">
        <f t="shared" ca="1" si="115"/>
        <v>#NAME?</v>
      </c>
      <c r="Z188" s="699">
        <f t="shared" si="94"/>
        <v>8.5</v>
      </c>
      <c r="AA188" s="355" t="str">
        <f t="shared" si="95"/>
        <v>ON</v>
      </c>
      <c r="AB188" s="357">
        <f t="shared" si="128"/>
        <v>1.4999999999999999E-2</v>
      </c>
      <c r="AC188" s="356" t="e">
        <f ca="1">IF(  Y187=0,0,IF(OR(S188="KCAS",S188="INOP",S188="MEFE"),   ( (5*( (   (((1+0.2*(T188/661.4786)^2)^3.5 -1)  )/( (1-6.8755856*10^-6 *100*Y188)^5.2558797) +1)^(2/7) -1) )^0.5),IF(S188="MACH",T188, IF(S188="LRC",BicubicInterpolation( 'LRC Mach'!$C$4:$AL$21, Y188,U188),  IF(S188="MRC",BicubicInterpolation( 'MRC Mach'!$C$3:$T$18, Y188,U188),  IF(S188="M0.84",0.84,  IF(S188="CI52",BicubicInterpolation('CI=52 Mach'!$C$3:$T$18, Y188,U188),  IF(S188="HOLDING",BicubicInterpolation(  'Holding Mach'!$C$4:$M$13, Y188,U188),                         IF(S188="LRCINOP", BicubicInterpolation('LRC INOP Mach'!$C$4:$AA$21,Y188,U188), IF(S188="HOLDINGINOP",  BicubicInterpolation('Holding INOP Mach'!$N$4:$U$13,Y188,U188),         "XXX" )))))))   )))</f>
        <v>#NAME?</v>
      </c>
      <c r="AD188" s="313" t="e">
        <f t="shared" ca="1" si="129"/>
        <v>#NAME?</v>
      </c>
      <c r="AE188" s="314" t="e">
        <f t="shared" ca="1" si="116"/>
        <v>#NAME?</v>
      </c>
      <c r="AF188" s="313" t="e">
        <f t="shared" ca="1" si="130"/>
        <v>#NAME?</v>
      </c>
      <c r="AG188" s="314" t="e">
        <f t="shared" ca="1" si="117"/>
        <v>#NAME?</v>
      </c>
      <c r="AH188" s="313" t="e">
        <f t="shared" ca="1" si="131"/>
        <v>#NAME?</v>
      </c>
      <c r="AI188" s="314" t="e">
        <f t="shared" ca="1" si="118"/>
        <v>#NAME?</v>
      </c>
      <c r="AJ188" s="315" t="e">
        <f t="shared" ca="1" si="119"/>
        <v>#NAME?</v>
      </c>
      <c r="AK188" s="568" t="e">
        <f t="shared" ca="1" si="132"/>
        <v>#NAME?</v>
      </c>
      <c r="AL188" s="313" t="e">
        <f t="shared" ca="1" si="133"/>
        <v>#NAME?</v>
      </c>
      <c r="AM188" s="313" t="e">
        <f t="shared" ca="1" si="120"/>
        <v>#NAME?</v>
      </c>
      <c r="AN188" s="313" t="e">
        <f t="shared" ca="1" si="121"/>
        <v>#NAME?</v>
      </c>
      <c r="AO188" s="316" t="e">
        <f t="shared" ca="1" si="134"/>
        <v>#NAME?</v>
      </c>
      <c r="AP188" s="313" t="e">
        <f t="shared" ca="1" si="135"/>
        <v>#NAME?</v>
      </c>
      <c r="AQ188" s="314" t="e">
        <f t="shared" ca="1" si="122"/>
        <v>#NAME?</v>
      </c>
      <c r="AR188" s="315" t="e">
        <f t="shared" ca="1" si="136"/>
        <v>#NAME?</v>
      </c>
      <c r="AS188" s="316" t="e">
        <f t="shared" ca="1" si="137"/>
        <v>#NAME?</v>
      </c>
      <c r="AT188" s="315" t="e">
        <f t="shared" ca="1" si="138"/>
        <v>#NAME?</v>
      </c>
      <c r="AU188" s="317">
        <v>427.8</v>
      </c>
      <c r="AV188" s="315" t="e">
        <f t="shared" ca="1" si="139"/>
        <v>#NAME?</v>
      </c>
      <c r="AW188" s="318" t="e">
        <f ca="1">0.0001*BicubicInterpolation('Drag Coef Table'!$B$4:$L$28,AV188,AC188)</f>
        <v>#NAME?</v>
      </c>
      <c r="AX188" s="319" t="e">
        <f t="shared" ca="1" si="140"/>
        <v>#NAME?</v>
      </c>
      <c r="AY188" s="318" t="e">
        <f t="shared" ca="1" si="141"/>
        <v>#NAME?</v>
      </c>
      <c r="AZ188" s="320" t="e">
        <f t="shared" ca="1" si="142"/>
        <v>#NAME?</v>
      </c>
      <c r="BA188" s="321" t="e">
        <f t="shared" ca="1" si="143"/>
        <v>#NAME?</v>
      </c>
      <c r="BB188" s="322" t="e">
        <f t="shared" ca="1" si="144"/>
        <v>#NAME?</v>
      </c>
      <c r="BC188" s="323">
        <v>75.196700000000007</v>
      </c>
      <c r="BD188" s="324" t="e">
        <f t="shared" ca="1" si="145"/>
        <v>#NAME?</v>
      </c>
      <c r="BE188" s="325" t="e">
        <f t="shared" ca="1" si="146"/>
        <v>#NAME?</v>
      </c>
      <c r="BF188" s="324" t="e">
        <f ca="1">BicubicInterpolation('TSFC Eff Table'!$B$4:$E$69,2,BB188)</f>
        <v>#NAME?</v>
      </c>
      <c r="BG188" s="326" t="e">
        <f t="shared" ca="1" si="147"/>
        <v>#NAME?</v>
      </c>
      <c r="BH188" s="694" t="e">
        <f ca="1">IF( S188="LRCINOP",   (1+(0.03/10)*Z188*(1+0.2*AC188^2) )*BicubicInterpolation( 'LRC INOP FF'!$C$4:$AA$21, Y188, U188 )-200, IF(S188 ="HOLDINGINOP", (1+(0.03/10)*Z188*(1+0.2*AC188^2) )*BicubicInterpolation( 'Holding INOP FF'!$C$4:$J$13,  Y188,  U188)/1.05-200,   BA188*BG188))</f>
        <v>#NAME?</v>
      </c>
      <c r="BI188" s="344" t="e">
        <f t="shared" ca="1" si="104"/>
        <v>#NAME?</v>
      </c>
      <c r="BJ188" s="322" t="e">
        <f t="shared" ca="1" si="148"/>
        <v>#NAME?</v>
      </c>
      <c r="BK188" s="338" t="e">
        <f t="shared" ca="1" si="105"/>
        <v>#NAME?</v>
      </c>
      <c r="BL188" s="327" t="e">
        <f t="shared" ca="1" si="149"/>
        <v>#NAME?</v>
      </c>
      <c r="BM188" s="328">
        <f t="shared" si="150"/>
        <v>200</v>
      </c>
      <c r="BN188" s="329" t="e">
        <f t="shared" ca="1" si="151"/>
        <v>#NAME?</v>
      </c>
      <c r="BO188" s="344" t="e">
        <f t="shared" ca="1" si="106"/>
        <v>#NAME?</v>
      </c>
      <c r="BP188" s="320" t="e">
        <f t="shared" ca="1" si="152"/>
        <v>#NAME?</v>
      </c>
      <c r="BQ188" s="344" t="e">
        <f t="shared" ca="1" si="107"/>
        <v>#NAME?</v>
      </c>
      <c r="BR188" s="347" t="e">
        <f t="shared" ca="1" si="108"/>
        <v>#NAME?</v>
      </c>
      <c r="BS188" s="326" t="e">
        <f t="shared" ca="1" si="153"/>
        <v>#NAME?</v>
      </c>
      <c r="BT188" s="437" t="e">
        <f t="shared" ca="1" si="123"/>
        <v>#NAME?</v>
      </c>
      <c r="BU188" s="437" t="e">
        <f t="shared" ca="1" si="124"/>
        <v>#NAME?</v>
      </c>
      <c r="BV188" s="441" t="e">
        <f t="shared" ca="1" si="125"/>
        <v>#NAME?</v>
      </c>
      <c r="BW188" s="442" t="e">
        <f t="shared" ca="1" si="126"/>
        <v>#NAME?</v>
      </c>
      <c r="BX188" s="470" t="e">
        <f t="shared" ca="1" si="96"/>
        <v>#NAME?</v>
      </c>
      <c r="BY188" s="484" t="e">
        <f t="shared" ca="1" si="109"/>
        <v>#NAME?</v>
      </c>
    </row>
    <row r="189" spans="9:77" s="212" customFormat="1" ht="17.75" customHeight="1" x14ac:dyDescent="0.2">
      <c r="I189" s="366">
        <v>105</v>
      </c>
      <c r="J189" s="414">
        <f t="shared" si="110"/>
        <v>41705.785416666906</v>
      </c>
      <c r="K189" s="435" t="e">
        <f t="shared" ca="1" si="111"/>
        <v>#NAME?</v>
      </c>
      <c r="L189" s="435" t="e">
        <f t="shared" ca="1" si="97"/>
        <v>#NAME?</v>
      </c>
      <c r="M189" s="664" t="e">
        <f t="shared" ca="1" si="154"/>
        <v>#NAME?</v>
      </c>
      <c r="N189" s="664" t="e">
        <f t="shared" ca="1" si="155"/>
        <v>#NAME?</v>
      </c>
      <c r="O189" s="140" t="e">
        <f t="shared" ca="1" si="98"/>
        <v>#NAME?</v>
      </c>
      <c r="P189" s="352" t="e">
        <f t="shared" ca="1" si="114"/>
        <v>#NAME?</v>
      </c>
      <c r="Q189" s="665" t="e">
        <f t="shared" ca="1" si="99"/>
        <v>#NAME?</v>
      </c>
      <c r="R189" s="352" t="e">
        <f t="shared" ca="1" si="127"/>
        <v>#NAME?</v>
      </c>
      <c r="S189" s="662" t="e">
        <f t="shared" ca="1" si="100"/>
        <v>#NAME?</v>
      </c>
      <c r="T189" s="443" t="e">
        <f t="shared" ca="1" si="92"/>
        <v>#NAME?</v>
      </c>
      <c r="U189" s="369" t="e">
        <f t="shared" ca="1" si="93"/>
        <v>#NAME?</v>
      </c>
      <c r="V189" s="454" t="e">
        <f t="shared" ca="1" si="101"/>
        <v>#NAME?</v>
      </c>
      <c r="W189" s="457">
        <f t="shared" si="102"/>
        <v>1000</v>
      </c>
      <c r="X189" s="463" t="e">
        <f t="shared" ca="1" si="103"/>
        <v>#NAME?</v>
      </c>
      <c r="Y189" s="455" t="e">
        <f t="shared" ca="1" si="115"/>
        <v>#NAME?</v>
      </c>
      <c r="Z189" s="699">
        <f t="shared" si="94"/>
        <v>8.5</v>
      </c>
      <c r="AA189" s="355" t="str">
        <f t="shared" si="95"/>
        <v>ON</v>
      </c>
      <c r="AB189" s="357">
        <f t="shared" si="128"/>
        <v>1.4999999999999999E-2</v>
      </c>
      <c r="AC189" s="356" t="e">
        <f ca="1">IF(  Y188=0,0,IF(OR(S189="KCAS",S189="INOP",S189="MEFE"),   ( (5*( (   (((1+0.2*(T189/661.4786)^2)^3.5 -1)  )/( (1-6.8755856*10^-6 *100*Y189)^5.2558797) +1)^(2/7) -1) )^0.5),IF(S189="MACH",T189, IF(S189="LRC",BicubicInterpolation( 'LRC Mach'!$C$4:$AL$21, Y189,U189),  IF(S189="MRC",BicubicInterpolation( 'MRC Mach'!$C$3:$T$18, Y189,U189),  IF(S189="M0.84",0.84,  IF(S189="CI52",BicubicInterpolation('CI=52 Mach'!$C$3:$T$18, Y189,U189),  IF(S189="HOLDING",BicubicInterpolation(  'Holding Mach'!$C$4:$M$13, Y189,U189),                         IF(S189="LRCINOP", BicubicInterpolation('LRC INOP Mach'!$C$4:$AA$21,Y189,U189), IF(S189="HOLDINGINOP",  BicubicInterpolation('Holding INOP Mach'!$N$4:$U$13,Y189,U189),         "XXX" )))))))   )))</f>
        <v>#NAME?</v>
      </c>
      <c r="AD189" s="313" t="e">
        <f t="shared" ca="1" si="129"/>
        <v>#NAME?</v>
      </c>
      <c r="AE189" s="314" t="e">
        <f t="shared" ca="1" si="116"/>
        <v>#NAME?</v>
      </c>
      <c r="AF189" s="313" t="e">
        <f t="shared" ca="1" si="130"/>
        <v>#NAME?</v>
      </c>
      <c r="AG189" s="314" t="e">
        <f t="shared" ca="1" si="117"/>
        <v>#NAME?</v>
      </c>
      <c r="AH189" s="313" t="e">
        <f t="shared" ca="1" si="131"/>
        <v>#NAME?</v>
      </c>
      <c r="AI189" s="314" t="e">
        <f t="shared" ca="1" si="118"/>
        <v>#NAME?</v>
      </c>
      <c r="AJ189" s="315" t="e">
        <f t="shared" ca="1" si="119"/>
        <v>#NAME?</v>
      </c>
      <c r="AK189" s="568" t="e">
        <f t="shared" ca="1" si="132"/>
        <v>#NAME?</v>
      </c>
      <c r="AL189" s="313" t="e">
        <f t="shared" ca="1" si="133"/>
        <v>#NAME?</v>
      </c>
      <c r="AM189" s="313" t="e">
        <f t="shared" ca="1" si="120"/>
        <v>#NAME?</v>
      </c>
      <c r="AN189" s="313" t="e">
        <f t="shared" ca="1" si="121"/>
        <v>#NAME?</v>
      </c>
      <c r="AO189" s="316" t="e">
        <f t="shared" ca="1" si="134"/>
        <v>#NAME?</v>
      </c>
      <c r="AP189" s="313" t="e">
        <f t="shared" ca="1" si="135"/>
        <v>#NAME?</v>
      </c>
      <c r="AQ189" s="314" t="e">
        <f t="shared" ca="1" si="122"/>
        <v>#NAME?</v>
      </c>
      <c r="AR189" s="315" t="e">
        <f t="shared" ca="1" si="136"/>
        <v>#NAME?</v>
      </c>
      <c r="AS189" s="316" t="e">
        <f t="shared" ca="1" si="137"/>
        <v>#NAME?</v>
      </c>
      <c r="AT189" s="315" t="e">
        <f t="shared" ca="1" si="138"/>
        <v>#NAME?</v>
      </c>
      <c r="AU189" s="317">
        <v>427.8</v>
      </c>
      <c r="AV189" s="315" t="e">
        <f t="shared" ca="1" si="139"/>
        <v>#NAME?</v>
      </c>
      <c r="AW189" s="318" t="e">
        <f ca="1">0.0001*BicubicInterpolation('Drag Coef Table'!$B$4:$L$28,AV189,AC189)</f>
        <v>#NAME?</v>
      </c>
      <c r="AX189" s="319" t="e">
        <f t="shared" ca="1" si="140"/>
        <v>#NAME?</v>
      </c>
      <c r="AY189" s="318" t="e">
        <f t="shared" ca="1" si="141"/>
        <v>#NAME?</v>
      </c>
      <c r="AZ189" s="320" t="e">
        <f t="shared" ca="1" si="142"/>
        <v>#NAME?</v>
      </c>
      <c r="BA189" s="321" t="e">
        <f t="shared" ca="1" si="143"/>
        <v>#NAME?</v>
      </c>
      <c r="BB189" s="322" t="e">
        <f t="shared" ca="1" si="144"/>
        <v>#NAME?</v>
      </c>
      <c r="BC189" s="323">
        <v>75.196700000000007</v>
      </c>
      <c r="BD189" s="324" t="e">
        <f t="shared" ca="1" si="145"/>
        <v>#NAME?</v>
      </c>
      <c r="BE189" s="325" t="e">
        <f t="shared" ca="1" si="146"/>
        <v>#NAME?</v>
      </c>
      <c r="BF189" s="324" t="e">
        <f ca="1">BicubicInterpolation('TSFC Eff Table'!$B$4:$E$69,2,BB189)</f>
        <v>#NAME?</v>
      </c>
      <c r="BG189" s="326" t="e">
        <f t="shared" ca="1" si="147"/>
        <v>#NAME?</v>
      </c>
      <c r="BH189" s="694" t="e">
        <f ca="1">IF( S189="LRCINOP",   (1+(0.03/10)*Z189*(1+0.2*AC189^2) )*BicubicInterpolation( 'LRC INOP FF'!$C$4:$AA$21, Y189, U189 )-200, IF(S189 ="HOLDINGINOP", (1+(0.03/10)*Z189*(1+0.2*AC189^2) )*BicubicInterpolation( 'Holding INOP FF'!$C$4:$J$13,  Y189,  U189)/1.05-200,   BA189*BG189))</f>
        <v>#NAME?</v>
      </c>
      <c r="BI189" s="344" t="e">
        <f t="shared" ca="1" si="104"/>
        <v>#NAME?</v>
      </c>
      <c r="BJ189" s="322" t="e">
        <f t="shared" ca="1" si="148"/>
        <v>#NAME?</v>
      </c>
      <c r="BK189" s="338" t="e">
        <f t="shared" ca="1" si="105"/>
        <v>#NAME?</v>
      </c>
      <c r="BL189" s="327" t="e">
        <f t="shared" ca="1" si="149"/>
        <v>#NAME?</v>
      </c>
      <c r="BM189" s="328">
        <f t="shared" si="150"/>
        <v>200</v>
      </c>
      <c r="BN189" s="329" t="e">
        <f t="shared" ca="1" si="151"/>
        <v>#NAME?</v>
      </c>
      <c r="BO189" s="344" t="e">
        <f t="shared" ca="1" si="106"/>
        <v>#NAME?</v>
      </c>
      <c r="BP189" s="320" t="e">
        <f t="shared" ca="1" si="152"/>
        <v>#NAME?</v>
      </c>
      <c r="BQ189" s="344" t="e">
        <f t="shared" ca="1" si="107"/>
        <v>#NAME?</v>
      </c>
      <c r="BR189" s="347" t="e">
        <f t="shared" ca="1" si="108"/>
        <v>#NAME?</v>
      </c>
      <c r="BS189" s="326" t="e">
        <f t="shared" ca="1" si="153"/>
        <v>#NAME?</v>
      </c>
      <c r="BT189" s="437" t="e">
        <f t="shared" ca="1" si="123"/>
        <v>#NAME?</v>
      </c>
      <c r="BU189" s="437" t="e">
        <f t="shared" ca="1" si="124"/>
        <v>#NAME?</v>
      </c>
      <c r="BV189" s="441" t="e">
        <f t="shared" ca="1" si="125"/>
        <v>#NAME?</v>
      </c>
      <c r="BW189" s="442" t="e">
        <f t="shared" ca="1" si="126"/>
        <v>#NAME?</v>
      </c>
      <c r="BX189" s="470" t="e">
        <f t="shared" ca="1" si="96"/>
        <v>#NAME?</v>
      </c>
      <c r="BY189" s="484" t="e">
        <f t="shared" ca="1" si="109"/>
        <v>#NAME?</v>
      </c>
    </row>
    <row r="190" spans="9:77" s="212" customFormat="1" ht="17.75" customHeight="1" x14ac:dyDescent="0.2">
      <c r="I190" s="366">
        <v>106</v>
      </c>
      <c r="J190" s="414">
        <f t="shared" si="110"/>
        <v>41705.786111111353</v>
      </c>
      <c r="K190" s="435" t="e">
        <f t="shared" ca="1" si="111"/>
        <v>#NAME?</v>
      </c>
      <c r="L190" s="435" t="e">
        <f t="shared" ca="1" si="97"/>
        <v>#NAME?</v>
      </c>
      <c r="M190" s="664" t="e">
        <f t="shared" ca="1" si="154"/>
        <v>#NAME?</v>
      </c>
      <c r="N190" s="664" t="e">
        <f t="shared" ca="1" si="155"/>
        <v>#NAME?</v>
      </c>
      <c r="O190" s="140" t="e">
        <f t="shared" ca="1" si="98"/>
        <v>#NAME?</v>
      </c>
      <c r="P190" s="352" t="e">
        <f t="shared" ca="1" si="114"/>
        <v>#NAME?</v>
      </c>
      <c r="Q190" s="665" t="e">
        <f t="shared" ca="1" si="99"/>
        <v>#NAME?</v>
      </c>
      <c r="R190" s="352" t="e">
        <f t="shared" ca="1" si="127"/>
        <v>#NAME?</v>
      </c>
      <c r="S190" s="662" t="e">
        <f t="shared" ca="1" si="100"/>
        <v>#NAME?</v>
      </c>
      <c r="T190" s="443" t="e">
        <f t="shared" ca="1" si="92"/>
        <v>#NAME?</v>
      </c>
      <c r="U190" s="369" t="e">
        <f t="shared" ca="1" si="93"/>
        <v>#NAME?</v>
      </c>
      <c r="V190" s="454" t="e">
        <f t="shared" ca="1" si="101"/>
        <v>#NAME?</v>
      </c>
      <c r="W190" s="457">
        <f t="shared" si="102"/>
        <v>1000</v>
      </c>
      <c r="X190" s="463" t="e">
        <f t="shared" ca="1" si="103"/>
        <v>#NAME?</v>
      </c>
      <c r="Y190" s="455" t="e">
        <f t="shared" ca="1" si="115"/>
        <v>#NAME?</v>
      </c>
      <c r="Z190" s="699">
        <f t="shared" si="94"/>
        <v>8.5</v>
      </c>
      <c r="AA190" s="355" t="str">
        <f t="shared" si="95"/>
        <v>ON</v>
      </c>
      <c r="AB190" s="357">
        <f t="shared" si="128"/>
        <v>1.4999999999999999E-2</v>
      </c>
      <c r="AC190" s="356" t="e">
        <f ca="1">IF(  Y189=0,0,IF(OR(S190="KCAS",S190="INOP",S190="MEFE"),   ( (5*( (   (((1+0.2*(T190/661.4786)^2)^3.5 -1)  )/( (1-6.8755856*10^-6 *100*Y190)^5.2558797) +1)^(2/7) -1) )^0.5),IF(S190="MACH",T190, IF(S190="LRC",BicubicInterpolation( 'LRC Mach'!$C$4:$AL$21, Y190,U190),  IF(S190="MRC",BicubicInterpolation( 'MRC Mach'!$C$3:$T$18, Y190,U190),  IF(S190="M0.84",0.84,  IF(S190="CI52",BicubicInterpolation('CI=52 Mach'!$C$3:$T$18, Y190,U190),  IF(S190="HOLDING",BicubicInterpolation(  'Holding Mach'!$C$4:$M$13, Y190,U190),                         IF(S190="LRCINOP", BicubicInterpolation('LRC INOP Mach'!$C$4:$AA$21,Y190,U190), IF(S190="HOLDINGINOP",  BicubicInterpolation('Holding INOP Mach'!$N$4:$U$13,Y190,U190),         "XXX" )))))))   )))</f>
        <v>#NAME?</v>
      </c>
      <c r="AD190" s="313" t="e">
        <f t="shared" ca="1" si="129"/>
        <v>#NAME?</v>
      </c>
      <c r="AE190" s="314" t="e">
        <f t="shared" ca="1" si="116"/>
        <v>#NAME?</v>
      </c>
      <c r="AF190" s="313" t="e">
        <f t="shared" ca="1" si="130"/>
        <v>#NAME?</v>
      </c>
      <c r="AG190" s="314" t="e">
        <f t="shared" ca="1" si="117"/>
        <v>#NAME?</v>
      </c>
      <c r="AH190" s="313" t="e">
        <f t="shared" ca="1" si="131"/>
        <v>#NAME?</v>
      </c>
      <c r="AI190" s="314" t="e">
        <f t="shared" ca="1" si="118"/>
        <v>#NAME?</v>
      </c>
      <c r="AJ190" s="315" t="e">
        <f t="shared" ca="1" si="119"/>
        <v>#NAME?</v>
      </c>
      <c r="AK190" s="568" t="e">
        <f t="shared" ca="1" si="132"/>
        <v>#NAME?</v>
      </c>
      <c r="AL190" s="313" t="e">
        <f t="shared" ca="1" si="133"/>
        <v>#NAME?</v>
      </c>
      <c r="AM190" s="313" t="e">
        <f t="shared" ca="1" si="120"/>
        <v>#NAME?</v>
      </c>
      <c r="AN190" s="313" t="e">
        <f t="shared" ca="1" si="121"/>
        <v>#NAME?</v>
      </c>
      <c r="AO190" s="316" t="e">
        <f t="shared" ca="1" si="134"/>
        <v>#NAME?</v>
      </c>
      <c r="AP190" s="313" t="e">
        <f t="shared" ca="1" si="135"/>
        <v>#NAME?</v>
      </c>
      <c r="AQ190" s="314" t="e">
        <f t="shared" ca="1" si="122"/>
        <v>#NAME?</v>
      </c>
      <c r="AR190" s="315" t="e">
        <f t="shared" ca="1" si="136"/>
        <v>#NAME?</v>
      </c>
      <c r="AS190" s="316" t="e">
        <f t="shared" ca="1" si="137"/>
        <v>#NAME?</v>
      </c>
      <c r="AT190" s="315" t="e">
        <f t="shared" ca="1" si="138"/>
        <v>#NAME?</v>
      </c>
      <c r="AU190" s="317">
        <v>427.8</v>
      </c>
      <c r="AV190" s="315" t="e">
        <f t="shared" ca="1" si="139"/>
        <v>#NAME?</v>
      </c>
      <c r="AW190" s="318" t="e">
        <f ca="1">0.0001*BicubicInterpolation('Drag Coef Table'!$B$4:$L$28,AV190,AC190)</f>
        <v>#NAME?</v>
      </c>
      <c r="AX190" s="319" t="e">
        <f t="shared" ca="1" si="140"/>
        <v>#NAME?</v>
      </c>
      <c r="AY190" s="318" t="e">
        <f t="shared" ca="1" si="141"/>
        <v>#NAME?</v>
      </c>
      <c r="AZ190" s="320" t="e">
        <f t="shared" ca="1" si="142"/>
        <v>#NAME?</v>
      </c>
      <c r="BA190" s="321" t="e">
        <f t="shared" ca="1" si="143"/>
        <v>#NAME?</v>
      </c>
      <c r="BB190" s="322" t="e">
        <f t="shared" ca="1" si="144"/>
        <v>#NAME?</v>
      </c>
      <c r="BC190" s="323">
        <v>75.196700000000007</v>
      </c>
      <c r="BD190" s="324" t="e">
        <f t="shared" ca="1" si="145"/>
        <v>#NAME?</v>
      </c>
      <c r="BE190" s="325" t="e">
        <f t="shared" ca="1" si="146"/>
        <v>#NAME?</v>
      </c>
      <c r="BF190" s="324" t="e">
        <f ca="1">BicubicInterpolation('TSFC Eff Table'!$B$4:$E$69,2,BB190)</f>
        <v>#NAME?</v>
      </c>
      <c r="BG190" s="326" t="e">
        <f t="shared" ca="1" si="147"/>
        <v>#NAME?</v>
      </c>
      <c r="BH190" s="694" t="e">
        <f ca="1">IF( S190="LRCINOP",   (1+(0.03/10)*Z190*(1+0.2*AC190^2) )*BicubicInterpolation( 'LRC INOP FF'!$C$4:$AA$21, Y190, U190 )-200, IF(S190 ="HOLDINGINOP", (1+(0.03/10)*Z190*(1+0.2*AC190^2) )*BicubicInterpolation( 'Holding INOP FF'!$C$4:$J$13,  Y190,  U190)/1.05-200,   BA190*BG190))</f>
        <v>#NAME?</v>
      </c>
      <c r="BI190" s="344" t="e">
        <f t="shared" ca="1" si="104"/>
        <v>#NAME?</v>
      </c>
      <c r="BJ190" s="322" t="e">
        <f t="shared" ca="1" si="148"/>
        <v>#NAME?</v>
      </c>
      <c r="BK190" s="338" t="e">
        <f t="shared" ca="1" si="105"/>
        <v>#NAME?</v>
      </c>
      <c r="BL190" s="327" t="e">
        <f t="shared" ca="1" si="149"/>
        <v>#NAME?</v>
      </c>
      <c r="BM190" s="328">
        <f t="shared" si="150"/>
        <v>200</v>
      </c>
      <c r="BN190" s="329" t="e">
        <f t="shared" ca="1" si="151"/>
        <v>#NAME?</v>
      </c>
      <c r="BO190" s="344" t="e">
        <f t="shared" ca="1" si="106"/>
        <v>#NAME?</v>
      </c>
      <c r="BP190" s="320" t="e">
        <f t="shared" ca="1" si="152"/>
        <v>#NAME?</v>
      </c>
      <c r="BQ190" s="344" t="e">
        <f t="shared" ca="1" si="107"/>
        <v>#NAME?</v>
      </c>
      <c r="BR190" s="347" t="e">
        <f t="shared" ca="1" si="108"/>
        <v>#NAME?</v>
      </c>
      <c r="BS190" s="326" t="e">
        <f t="shared" ca="1" si="153"/>
        <v>#NAME?</v>
      </c>
      <c r="BT190" s="437" t="e">
        <f t="shared" ca="1" si="123"/>
        <v>#NAME?</v>
      </c>
      <c r="BU190" s="437" t="e">
        <f t="shared" ca="1" si="124"/>
        <v>#NAME?</v>
      </c>
      <c r="BV190" s="441" t="e">
        <f t="shared" ca="1" si="125"/>
        <v>#NAME?</v>
      </c>
      <c r="BW190" s="442" t="e">
        <f t="shared" ca="1" si="126"/>
        <v>#NAME?</v>
      </c>
      <c r="BX190" s="470" t="e">
        <f t="shared" ca="1" si="96"/>
        <v>#NAME?</v>
      </c>
      <c r="BY190" s="484" t="e">
        <f t="shared" ca="1" si="109"/>
        <v>#NAME?</v>
      </c>
    </row>
    <row r="191" spans="9:77" s="212" customFormat="1" ht="17.75" customHeight="1" x14ac:dyDescent="0.2">
      <c r="I191" s="366">
        <v>107</v>
      </c>
      <c r="J191" s="414">
        <f t="shared" si="110"/>
        <v>41705.786805555799</v>
      </c>
      <c r="K191" s="435" t="e">
        <f t="shared" ca="1" si="111"/>
        <v>#NAME?</v>
      </c>
      <c r="L191" s="435" t="e">
        <f t="shared" ca="1" si="97"/>
        <v>#NAME?</v>
      </c>
      <c r="M191" s="664" t="e">
        <f t="shared" ca="1" si="154"/>
        <v>#NAME?</v>
      </c>
      <c r="N191" s="664" t="e">
        <f t="shared" ca="1" si="155"/>
        <v>#NAME?</v>
      </c>
      <c r="O191" s="140" t="e">
        <f t="shared" ca="1" si="98"/>
        <v>#NAME?</v>
      </c>
      <c r="P191" s="352" t="e">
        <f t="shared" ca="1" si="114"/>
        <v>#NAME?</v>
      </c>
      <c r="Q191" s="665" t="e">
        <f t="shared" ca="1" si="99"/>
        <v>#NAME?</v>
      </c>
      <c r="R191" s="352" t="e">
        <f t="shared" ca="1" si="127"/>
        <v>#NAME?</v>
      </c>
      <c r="S191" s="662" t="e">
        <f t="shared" ca="1" si="100"/>
        <v>#NAME?</v>
      </c>
      <c r="T191" s="443" t="e">
        <f t="shared" ca="1" si="92"/>
        <v>#NAME?</v>
      </c>
      <c r="U191" s="369" t="e">
        <f t="shared" ca="1" si="93"/>
        <v>#NAME?</v>
      </c>
      <c r="V191" s="454" t="e">
        <f t="shared" ca="1" si="101"/>
        <v>#NAME?</v>
      </c>
      <c r="W191" s="457">
        <f t="shared" si="102"/>
        <v>1000</v>
      </c>
      <c r="X191" s="463" t="e">
        <f t="shared" ca="1" si="103"/>
        <v>#NAME?</v>
      </c>
      <c r="Y191" s="455" t="e">
        <f t="shared" ca="1" si="115"/>
        <v>#NAME?</v>
      </c>
      <c r="Z191" s="699">
        <f t="shared" si="94"/>
        <v>8.5</v>
      </c>
      <c r="AA191" s="355" t="str">
        <f t="shared" si="95"/>
        <v>ON</v>
      </c>
      <c r="AB191" s="357">
        <f t="shared" si="128"/>
        <v>1.4999999999999999E-2</v>
      </c>
      <c r="AC191" s="356" t="e">
        <f ca="1">IF(  Y190=0,0,IF(OR(S191="KCAS",S191="INOP",S191="MEFE"),   ( (5*( (   (((1+0.2*(T191/661.4786)^2)^3.5 -1)  )/( (1-6.8755856*10^-6 *100*Y191)^5.2558797) +1)^(2/7) -1) )^0.5),IF(S191="MACH",T191, IF(S191="LRC",BicubicInterpolation( 'LRC Mach'!$C$4:$AL$21, Y191,U191),  IF(S191="MRC",BicubicInterpolation( 'MRC Mach'!$C$3:$T$18, Y191,U191),  IF(S191="M0.84",0.84,  IF(S191="CI52",BicubicInterpolation('CI=52 Mach'!$C$3:$T$18, Y191,U191),  IF(S191="HOLDING",BicubicInterpolation(  'Holding Mach'!$C$4:$M$13, Y191,U191),                         IF(S191="LRCINOP", BicubicInterpolation('LRC INOP Mach'!$C$4:$AA$21,Y191,U191), IF(S191="HOLDINGINOP",  BicubicInterpolation('Holding INOP Mach'!$N$4:$U$13,Y191,U191),         "XXX" )))))))   )))</f>
        <v>#NAME?</v>
      </c>
      <c r="AD191" s="313" t="e">
        <f t="shared" ca="1" si="129"/>
        <v>#NAME?</v>
      </c>
      <c r="AE191" s="314" t="e">
        <f t="shared" ca="1" si="116"/>
        <v>#NAME?</v>
      </c>
      <c r="AF191" s="313" t="e">
        <f t="shared" ca="1" si="130"/>
        <v>#NAME?</v>
      </c>
      <c r="AG191" s="314" t="e">
        <f t="shared" ca="1" si="117"/>
        <v>#NAME?</v>
      </c>
      <c r="AH191" s="313" t="e">
        <f t="shared" ca="1" si="131"/>
        <v>#NAME?</v>
      </c>
      <c r="AI191" s="314" t="e">
        <f t="shared" ca="1" si="118"/>
        <v>#NAME?</v>
      </c>
      <c r="AJ191" s="315" t="e">
        <f t="shared" ca="1" si="119"/>
        <v>#NAME?</v>
      </c>
      <c r="AK191" s="568" t="e">
        <f t="shared" ca="1" si="132"/>
        <v>#NAME?</v>
      </c>
      <c r="AL191" s="313" t="e">
        <f t="shared" ca="1" si="133"/>
        <v>#NAME?</v>
      </c>
      <c r="AM191" s="313" t="e">
        <f t="shared" ca="1" si="120"/>
        <v>#NAME?</v>
      </c>
      <c r="AN191" s="313" t="e">
        <f t="shared" ca="1" si="121"/>
        <v>#NAME?</v>
      </c>
      <c r="AO191" s="316" t="e">
        <f t="shared" ca="1" si="134"/>
        <v>#NAME?</v>
      </c>
      <c r="AP191" s="313" t="e">
        <f t="shared" ca="1" si="135"/>
        <v>#NAME?</v>
      </c>
      <c r="AQ191" s="314" t="e">
        <f t="shared" ca="1" si="122"/>
        <v>#NAME?</v>
      </c>
      <c r="AR191" s="315" t="e">
        <f t="shared" ca="1" si="136"/>
        <v>#NAME?</v>
      </c>
      <c r="AS191" s="316" t="e">
        <f t="shared" ca="1" si="137"/>
        <v>#NAME?</v>
      </c>
      <c r="AT191" s="315" t="e">
        <f t="shared" ca="1" si="138"/>
        <v>#NAME?</v>
      </c>
      <c r="AU191" s="317">
        <v>427.8</v>
      </c>
      <c r="AV191" s="315" t="e">
        <f t="shared" ca="1" si="139"/>
        <v>#NAME?</v>
      </c>
      <c r="AW191" s="318" t="e">
        <f ca="1">0.0001*BicubicInterpolation('Drag Coef Table'!$B$4:$L$28,AV191,AC191)</f>
        <v>#NAME?</v>
      </c>
      <c r="AX191" s="319" t="e">
        <f t="shared" ca="1" si="140"/>
        <v>#NAME?</v>
      </c>
      <c r="AY191" s="318" t="e">
        <f t="shared" ca="1" si="141"/>
        <v>#NAME?</v>
      </c>
      <c r="AZ191" s="320" t="e">
        <f t="shared" ca="1" si="142"/>
        <v>#NAME?</v>
      </c>
      <c r="BA191" s="321" t="e">
        <f t="shared" ca="1" si="143"/>
        <v>#NAME?</v>
      </c>
      <c r="BB191" s="322" t="e">
        <f t="shared" ca="1" si="144"/>
        <v>#NAME?</v>
      </c>
      <c r="BC191" s="323">
        <v>75.196700000000007</v>
      </c>
      <c r="BD191" s="324" t="e">
        <f t="shared" ca="1" si="145"/>
        <v>#NAME?</v>
      </c>
      <c r="BE191" s="325" t="e">
        <f t="shared" ca="1" si="146"/>
        <v>#NAME?</v>
      </c>
      <c r="BF191" s="324" t="e">
        <f ca="1">BicubicInterpolation('TSFC Eff Table'!$B$4:$E$69,2,BB191)</f>
        <v>#NAME?</v>
      </c>
      <c r="BG191" s="326" t="e">
        <f t="shared" ca="1" si="147"/>
        <v>#NAME?</v>
      </c>
      <c r="BH191" s="694" t="e">
        <f ca="1">IF( S191="LRCINOP",   (1+(0.03/10)*Z191*(1+0.2*AC191^2) )*BicubicInterpolation( 'LRC INOP FF'!$C$4:$AA$21, Y191, U191 )-200, IF(S191 ="HOLDINGINOP", (1+(0.03/10)*Z191*(1+0.2*AC191^2) )*BicubicInterpolation( 'Holding INOP FF'!$C$4:$J$13,  Y191,  U191)/1.05-200,   BA191*BG191))</f>
        <v>#NAME?</v>
      </c>
      <c r="BI191" s="344" t="e">
        <f t="shared" ca="1" si="104"/>
        <v>#NAME?</v>
      </c>
      <c r="BJ191" s="322" t="e">
        <f t="shared" ca="1" si="148"/>
        <v>#NAME?</v>
      </c>
      <c r="BK191" s="338" t="e">
        <f t="shared" ca="1" si="105"/>
        <v>#NAME?</v>
      </c>
      <c r="BL191" s="327" t="e">
        <f t="shared" ca="1" si="149"/>
        <v>#NAME?</v>
      </c>
      <c r="BM191" s="328">
        <f t="shared" si="150"/>
        <v>200</v>
      </c>
      <c r="BN191" s="329" t="e">
        <f t="shared" ca="1" si="151"/>
        <v>#NAME?</v>
      </c>
      <c r="BO191" s="344" t="e">
        <f t="shared" ca="1" si="106"/>
        <v>#NAME?</v>
      </c>
      <c r="BP191" s="320" t="e">
        <f t="shared" ca="1" si="152"/>
        <v>#NAME?</v>
      </c>
      <c r="BQ191" s="344" t="e">
        <f t="shared" ca="1" si="107"/>
        <v>#NAME?</v>
      </c>
      <c r="BR191" s="347" t="e">
        <f t="shared" ca="1" si="108"/>
        <v>#NAME?</v>
      </c>
      <c r="BS191" s="326" t="e">
        <f t="shared" ca="1" si="153"/>
        <v>#NAME?</v>
      </c>
      <c r="BT191" s="437" t="e">
        <f t="shared" ca="1" si="123"/>
        <v>#NAME?</v>
      </c>
      <c r="BU191" s="437" t="e">
        <f t="shared" ca="1" si="124"/>
        <v>#NAME?</v>
      </c>
      <c r="BV191" s="441" t="e">
        <f t="shared" ca="1" si="125"/>
        <v>#NAME?</v>
      </c>
      <c r="BW191" s="442" t="e">
        <f t="shared" ca="1" si="126"/>
        <v>#NAME?</v>
      </c>
      <c r="BX191" s="470" t="e">
        <f t="shared" ca="1" si="96"/>
        <v>#NAME?</v>
      </c>
      <c r="BY191" s="484" t="e">
        <f t="shared" ca="1" si="109"/>
        <v>#NAME?</v>
      </c>
    </row>
    <row r="192" spans="9:77" s="212" customFormat="1" ht="17.75" customHeight="1" x14ac:dyDescent="0.2">
      <c r="I192" s="366">
        <v>108</v>
      </c>
      <c r="J192" s="414">
        <f t="shared" si="110"/>
        <v>41705.787500000246</v>
      </c>
      <c r="K192" s="435" t="e">
        <f t="shared" ca="1" si="111"/>
        <v>#NAME?</v>
      </c>
      <c r="L192" s="435" t="e">
        <f t="shared" ca="1" si="97"/>
        <v>#NAME?</v>
      </c>
      <c r="M192" s="664" t="e">
        <f t="shared" ca="1" si="154"/>
        <v>#NAME?</v>
      </c>
      <c r="N192" s="664" t="e">
        <f t="shared" ca="1" si="155"/>
        <v>#NAME?</v>
      </c>
      <c r="O192" s="140" t="e">
        <f t="shared" ca="1" si="98"/>
        <v>#NAME?</v>
      </c>
      <c r="P192" s="352" t="e">
        <f t="shared" ca="1" si="114"/>
        <v>#NAME?</v>
      </c>
      <c r="Q192" s="665" t="e">
        <f t="shared" ca="1" si="99"/>
        <v>#NAME?</v>
      </c>
      <c r="R192" s="352" t="e">
        <f t="shared" ca="1" si="127"/>
        <v>#NAME?</v>
      </c>
      <c r="S192" s="662" t="e">
        <f t="shared" ca="1" si="100"/>
        <v>#NAME?</v>
      </c>
      <c r="T192" s="443" t="e">
        <f t="shared" ca="1" si="92"/>
        <v>#NAME?</v>
      </c>
      <c r="U192" s="369" t="e">
        <f t="shared" ca="1" si="93"/>
        <v>#NAME?</v>
      </c>
      <c r="V192" s="454" t="e">
        <f t="shared" ca="1" si="101"/>
        <v>#NAME?</v>
      </c>
      <c r="W192" s="457">
        <f t="shared" si="102"/>
        <v>1000</v>
      </c>
      <c r="X192" s="463" t="e">
        <f t="shared" ca="1" si="103"/>
        <v>#NAME?</v>
      </c>
      <c r="Y192" s="455" t="e">
        <f t="shared" ca="1" si="115"/>
        <v>#NAME?</v>
      </c>
      <c r="Z192" s="699">
        <f t="shared" si="94"/>
        <v>8.5</v>
      </c>
      <c r="AA192" s="355" t="str">
        <f t="shared" si="95"/>
        <v>ON</v>
      </c>
      <c r="AB192" s="357">
        <f t="shared" si="128"/>
        <v>1.4999999999999999E-2</v>
      </c>
      <c r="AC192" s="356" t="e">
        <f ca="1">IF(  Y191=0,0,IF(OR(S192="KCAS",S192="INOP",S192="MEFE"),   ( (5*( (   (((1+0.2*(T192/661.4786)^2)^3.5 -1)  )/( (1-6.8755856*10^-6 *100*Y192)^5.2558797) +1)^(2/7) -1) )^0.5),IF(S192="MACH",T192, IF(S192="LRC",BicubicInterpolation( 'LRC Mach'!$C$4:$AL$21, Y192,U192),  IF(S192="MRC",BicubicInterpolation( 'MRC Mach'!$C$3:$T$18, Y192,U192),  IF(S192="M0.84",0.84,  IF(S192="CI52",BicubicInterpolation('CI=52 Mach'!$C$3:$T$18, Y192,U192),  IF(S192="HOLDING",BicubicInterpolation(  'Holding Mach'!$C$4:$M$13, Y192,U192),                         IF(S192="LRCINOP", BicubicInterpolation('LRC INOP Mach'!$C$4:$AA$21,Y192,U192), IF(S192="HOLDINGINOP",  BicubicInterpolation('Holding INOP Mach'!$N$4:$U$13,Y192,U192),         "XXX" )))))))   )))</f>
        <v>#NAME?</v>
      </c>
      <c r="AD192" s="313" t="e">
        <f t="shared" ca="1" si="129"/>
        <v>#NAME?</v>
      </c>
      <c r="AE192" s="314" t="e">
        <f t="shared" ca="1" si="116"/>
        <v>#NAME?</v>
      </c>
      <c r="AF192" s="313" t="e">
        <f t="shared" ca="1" si="130"/>
        <v>#NAME?</v>
      </c>
      <c r="AG192" s="314" t="e">
        <f t="shared" ca="1" si="117"/>
        <v>#NAME?</v>
      </c>
      <c r="AH192" s="313" t="e">
        <f t="shared" ca="1" si="131"/>
        <v>#NAME?</v>
      </c>
      <c r="AI192" s="314" t="e">
        <f t="shared" ca="1" si="118"/>
        <v>#NAME?</v>
      </c>
      <c r="AJ192" s="315" t="e">
        <f t="shared" ca="1" si="119"/>
        <v>#NAME?</v>
      </c>
      <c r="AK192" s="568" t="e">
        <f t="shared" ca="1" si="132"/>
        <v>#NAME?</v>
      </c>
      <c r="AL192" s="313" t="e">
        <f t="shared" ca="1" si="133"/>
        <v>#NAME?</v>
      </c>
      <c r="AM192" s="313" t="e">
        <f t="shared" ca="1" si="120"/>
        <v>#NAME?</v>
      </c>
      <c r="AN192" s="313" t="e">
        <f t="shared" ca="1" si="121"/>
        <v>#NAME?</v>
      </c>
      <c r="AO192" s="316" t="e">
        <f t="shared" ca="1" si="134"/>
        <v>#NAME?</v>
      </c>
      <c r="AP192" s="313" t="e">
        <f t="shared" ca="1" si="135"/>
        <v>#NAME?</v>
      </c>
      <c r="AQ192" s="314" t="e">
        <f t="shared" ca="1" si="122"/>
        <v>#NAME?</v>
      </c>
      <c r="AR192" s="315" t="e">
        <f t="shared" ca="1" si="136"/>
        <v>#NAME?</v>
      </c>
      <c r="AS192" s="316" t="e">
        <f t="shared" ca="1" si="137"/>
        <v>#NAME?</v>
      </c>
      <c r="AT192" s="315" t="e">
        <f t="shared" ca="1" si="138"/>
        <v>#NAME?</v>
      </c>
      <c r="AU192" s="317">
        <v>427.8</v>
      </c>
      <c r="AV192" s="315" t="e">
        <f t="shared" ca="1" si="139"/>
        <v>#NAME?</v>
      </c>
      <c r="AW192" s="318" t="e">
        <f ca="1">0.0001*BicubicInterpolation('Drag Coef Table'!$B$4:$L$28,AV192,AC192)</f>
        <v>#NAME?</v>
      </c>
      <c r="AX192" s="319" t="e">
        <f t="shared" ca="1" si="140"/>
        <v>#NAME?</v>
      </c>
      <c r="AY192" s="318" t="e">
        <f t="shared" ca="1" si="141"/>
        <v>#NAME?</v>
      </c>
      <c r="AZ192" s="320" t="e">
        <f t="shared" ca="1" si="142"/>
        <v>#NAME?</v>
      </c>
      <c r="BA192" s="321" t="e">
        <f t="shared" ca="1" si="143"/>
        <v>#NAME?</v>
      </c>
      <c r="BB192" s="322" t="e">
        <f t="shared" ca="1" si="144"/>
        <v>#NAME?</v>
      </c>
      <c r="BC192" s="323">
        <v>75.196700000000007</v>
      </c>
      <c r="BD192" s="324" t="e">
        <f t="shared" ca="1" si="145"/>
        <v>#NAME?</v>
      </c>
      <c r="BE192" s="325" t="e">
        <f t="shared" ca="1" si="146"/>
        <v>#NAME?</v>
      </c>
      <c r="BF192" s="324" t="e">
        <f ca="1">BicubicInterpolation('TSFC Eff Table'!$B$4:$E$69,2,BB192)</f>
        <v>#NAME?</v>
      </c>
      <c r="BG192" s="326" t="e">
        <f t="shared" ca="1" si="147"/>
        <v>#NAME?</v>
      </c>
      <c r="BH192" s="694" t="e">
        <f ca="1">IF( S192="LRCINOP",   (1+(0.03/10)*Z192*(1+0.2*AC192^2) )*BicubicInterpolation( 'LRC INOP FF'!$C$4:$AA$21, Y192, U192 )-200, IF(S192 ="HOLDINGINOP", (1+(0.03/10)*Z192*(1+0.2*AC192^2) )*BicubicInterpolation( 'Holding INOP FF'!$C$4:$J$13,  Y192,  U192)/1.05-200,   BA192*BG192))</f>
        <v>#NAME?</v>
      </c>
      <c r="BI192" s="344" t="e">
        <f t="shared" ca="1" si="104"/>
        <v>#NAME?</v>
      </c>
      <c r="BJ192" s="322" t="e">
        <f t="shared" ca="1" si="148"/>
        <v>#NAME?</v>
      </c>
      <c r="BK192" s="338" t="e">
        <f t="shared" ca="1" si="105"/>
        <v>#NAME?</v>
      </c>
      <c r="BL192" s="327" t="e">
        <f t="shared" ca="1" si="149"/>
        <v>#NAME?</v>
      </c>
      <c r="BM192" s="328">
        <f t="shared" si="150"/>
        <v>200</v>
      </c>
      <c r="BN192" s="329" t="e">
        <f t="shared" ca="1" si="151"/>
        <v>#NAME?</v>
      </c>
      <c r="BO192" s="344" t="e">
        <f t="shared" ca="1" si="106"/>
        <v>#NAME?</v>
      </c>
      <c r="BP192" s="320" t="e">
        <f t="shared" ca="1" si="152"/>
        <v>#NAME?</v>
      </c>
      <c r="BQ192" s="344" t="e">
        <f t="shared" ca="1" si="107"/>
        <v>#NAME?</v>
      </c>
      <c r="BR192" s="347" t="e">
        <f t="shared" ca="1" si="108"/>
        <v>#NAME?</v>
      </c>
      <c r="BS192" s="326" t="e">
        <f t="shared" ca="1" si="153"/>
        <v>#NAME?</v>
      </c>
      <c r="BT192" s="437" t="e">
        <f t="shared" ca="1" si="123"/>
        <v>#NAME?</v>
      </c>
      <c r="BU192" s="437" t="e">
        <f t="shared" ca="1" si="124"/>
        <v>#NAME?</v>
      </c>
      <c r="BV192" s="441" t="e">
        <f t="shared" ca="1" si="125"/>
        <v>#NAME?</v>
      </c>
      <c r="BW192" s="442" t="e">
        <f t="shared" ca="1" si="126"/>
        <v>#NAME?</v>
      </c>
      <c r="BX192" s="470" t="e">
        <f t="shared" ca="1" si="96"/>
        <v>#NAME?</v>
      </c>
      <c r="BY192" s="484" t="e">
        <f t="shared" ca="1" si="109"/>
        <v>#NAME?</v>
      </c>
    </row>
    <row r="193" spans="9:77" s="212" customFormat="1" ht="17.75" customHeight="1" x14ac:dyDescent="0.2">
      <c r="I193" s="366">
        <v>109</v>
      </c>
      <c r="J193" s="414">
        <f t="shared" si="110"/>
        <v>41705.788194444693</v>
      </c>
      <c r="K193" s="435" t="e">
        <f t="shared" ca="1" si="111"/>
        <v>#NAME?</v>
      </c>
      <c r="L193" s="435" t="e">
        <f t="shared" ca="1" si="97"/>
        <v>#NAME?</v>
      </c>
      <c r="M193" s="664" t="e">
        <f t="shared" ca="1" si="154"/>
        <v>#NAME?</v>
      </c>
      <c r="N193" s="664" t="e">
        <f t="shared" ca="1" si="155"/>
        <v>#NAME?</v>
      </c>
      <c r="O193" s="140" t="e">
        <f t="shared" ca="1" si="98"/>
        <v>#NAME?</v>
      </c>
      <c r="P193" s="352" t="e">
        <f t="shared" ca="1" si="114"/>
        <v>#NAME?</v>
      </c>
      <c r="Q193" s="665" t="e">
        <f t="shared" ca="1" si="99"/>
        <v>#NAME?</v>
      </c>
      <c r="R193" s="352" t="e">
        <f t="shared" ca="1" si="127"/>
        <v>#NAME?</v>
      </c>
      <c r="S193" s="662" t="e">
        <f t="shared" ca="1" si="100"/>
        <v>#NAME?</v>
      </c>
      <c r="T193" s="443" t="e">
        <f t="shared" ca="1" si="92"/>
        <v>#NAME?</v>
      </c>
      <c r="U193" s="369" t="e">
        <f t="shared" ca="1" si="93"/>
        <v>#NAME?</v>
      </c>
      <c r="V193" s="454" t="e">
        <f t="shared" ca="1" si="101"/>
        <v>#NAME?</v>
      </c>
      <c r="W193" s="457">
        <f t="shared" si="102"/>
        <v>1000</v>
      </c>
      <c r="X193" s="463" t="e">
        <f t="shared" ca="1" si="103"/>
        <v>#NAME?</v>
      </c>
      <c r="Y193" s="455" t="e">
        <f t="shared" ca="1" si="115"/>
        <v>#NAME?</v>
      </c>
      <c r="Z193" s="699">
        <f t="shared" si="94"/>
        <v>8.5</v>
      </c>
      <c r="AA193" s="355" t="str">
        <f t="shared" si="95"/>
        <v>ON</v>
      </c>
      <c r="AB193" s="357">
        <f t="shared" si="128"/>
        <v>1.4999999999999999E-2</v>
      </c>
      <c r="AC193" s="356" t="e">
        <f ca="1">IF(  Y192=0,0,IF(OR(S193="KCAS",S193="INOP",S193="MEFE"),   ( (5*( (   (((1+0.2*(T193/661.4786)^2)^3.5 -1)  )/( (1-6.8755856*10^-6 *100*Y193)^5.2558797) +1)^(2/7) -1) )^0.5),IF(S193="MACH",T193, IF(S193="LRC",BicubicInterpolation( 'LRC Mach'!$C$4:$AL$21, Y193,U193),  IF(S193="MRC",BicubicInterpolation( 'MRC Mach'!$C$3:$T$18, Y193,U193),  IF(S193="M0.84",0.84,  IF(S193="CI52",BicubicInterpolation('CI=52 Mach'!$C$3:$T$18, Y193,U193),  IF(S193="HOLDING",BicubicInterpolation(  'Holding Mach'!$C$4:$M$13, Y193,U193),                         IF(S193="LRCINOP", BicubicInterpolation('LRC INOP Mach'!$C$4:$AA$21,Y193,U193), IF(S193="HOLDINGINOP",  BicubicInterpolation('Holding INOP Mach'!$N$4:$U$13,Y193,U193),         "XXX" )))))))   )))</f>
        <v>#NAME?</v>
      </c>
      <c r="AD193" s="313" t="e">
        <f t="shared" ca="1" si="129"/>
        <v>#NAME?</v>
      </c>
      <c r="AE193" s="314" t="e">
        <f t="shared" ca="1" si="116"/>
        <v>#NAME?</v>
      </c>
      <c r="AF193" s="313" t="e">
        <f t="shared" ca="1" si="130"/>
        <v>#NAME?</v>
      </c>
      <c r="AG193" s="314" t="e">
        <f t="shared" ca="1" si="117"/>
        <v>#NAME?</v>
      </c>
      <c r="AH193" s="313" t="e">
        <f t="shared" ca="1" si="131"/>
        <v>#NAME?</v>
      </c>
      <c r="AI193" s="314" t="e">
        <f t="shared" ca="1" si="118"/>
        <v>#NAME?</v>
      </c>
      <c r="AJ193" s="315" t="e">
        <f t="shared" ca="1" si="119"/>
        <v>#NAME?</v>
      </c>
      <c r="AK193" s="568" t="e">
        <f t="shared" ca="1" si="132"/>
        <v>#NAME?</v>
      </c>
      <c r="AL193" s="313" t="e">
        <f t="shared" ca="1" si="133"/>
        <v>#NAME?</v>
      </c>
      <c r="AM193" s="313" t="e">
        <f t="shared" ca="1" si="120"/>
        <v>#NAME?</v>
      </c>
      <c r="AN193" s="313" t="e">
        <f t="shared" ca="1" si="121"/>
        <v>#NAME?</v>
      </c>
      <c r="AO193" s="316" t="e">
        <f t="shared" ca="1" si="134"/>
        <v>#NAME?</v>
      </c>
      <c r="AP193" s="313" t="e">
        <f t="shared" ca="1" si="135"/>
        <v>#NAME?</v>
      </c>
      <c r="AQ193" s="314" t="e">
        <f t="shared" ca="1" si="122"/>
        <v>#NAME?</v>
      </c>
      <c r="AR193" s="315" t="e">
        <f t="shared" ca="1" si="136"/>
        <v>#NAME?</v>
      </c>
      <c r="AS193" s="316" t="e">
        <f t="shared" ca="1" si="137"/>
        <v>#NAME?</v>
      </c>
      <c r="AT193" s="315" t="e">
        <f t="shared" ca="1" si="138"/>
        <v>#NAME?</v>
      </c>
      <c r="AU193" s="317">
        <v>427.8</v>
      </c>
      <c r="AV193" s="315" t="e">
        <f t="shared" ca="1" si="139"/>
        <v>#NAME?</v>
      </c>
      <c r="AW193" s="318" t="e">
        <f ca="1">0.0001*BicubicInterpolation('Drag Coef Table'!$B$4:$L$28,AV193,AC193)</f>
        <v>#NAME?</v>
      </c>
      <c r="AX193" s="319" t="e">
        <f t="shared" ca="1" si="140"/>
        <v>#NAME?</v>
      </c>
      <c r="AY193" s="318" t="e">
        <f t="shared" ca="1" si="141"/>
        <v>#NAME?</v>
      </c>
      <c r="AZ193" s="320" t="e">
        <f t="shared" ca="1" si="142"/>
        <v>#NAME?</v>
      </c>
      <c r="BA193" s="321" t="e">
        <f t="shared" ca="1" si="143"/>
        <v>#NAME?</v>
      </c>
      <c r="BB193" s="322" t="e">
        <f t="shared" ca="1" si="144"/>
        <v>#NAME?</v>
      </c>
      <c r="BC193" s="323">
        <v>75.196700000000007</v>
      </c>
      <c r="BD193" s="324" t="e">
        <f t="shared" ca="1" si="145"/>
        <v>#NAME?</v>
      </c>
      <c r="BE193" s="325" t="e">
        <f t="shared" ca="1" si="146"/>
        <v>#NAME?</v>
      </c>
      <c r="BF193" s="324" t="e">
        <f ca="1">BicubicInterpolation('TSFC Eff Table'!$B$4:$E$69,2,BB193)</f>
        <v>#NAME?</v>
      </c>
      <c r="BG193" s="326" t="e">
        <f t="shared" ca="1" si="147"/>
        <v>#NAME?</v>
      </c>
      <c r="BH193" s="694" t="e">
        <f ca="1">IF( S193="LRCINOP",   (1+(0.03/10)*Z193*(1+0.2*AC193^2) )*BicubicInterpolation( 'LRC INOP FF'!$C$4:$AA$21, Y193, U193 )-200, IF(S193 ="HOLDINGINOP", (1+(0.03/10)*Z193*(1+0.2*AC193^2) )*BicubicInterpolation( 'Holding INOP FF'!$C$4:$J$13,  Y193,  U193)/1.05-200,   BA193*BG193))</f>
        <v>#NAME?</v>
      </c>
      <c r="BI193" s="344" t="e">
        <f t="shared" ca="1" si="104"/>
        <v>#NAME?</v>
      </c>
      <c r="BJ193" s="322" t="e">
        <f t="shared" ca="1" si="148"/>
        <v>#NAME?</v>
      </c>
      <c r="BK193" s="338" t="e">
        <f t="shared" ca="1" si="105"/>
        <v>#NAME?</v>
      </c>
      <c r="BL193" s="327" t="e">
        <f t="shared" ca="1" si="149"/>
        <v>#NAME?</v>
      </c>
      <c r="BM193" s="328">
        <f t="shared" si="150"/>
        <v>200</v>
      </c>
      <c r="BN193" s="329" t="e">
        <f t="shared" ca="1" si="151"/>
        <v>#NAME?</v>
      </c>
      <c r="BO193" s="344" t="e">
        <f t="shared" ca="1" si="106"/>
        <v>#NAME?</v>
      </c>
      <c r="BP193" s="320" t="e">
        <f t="shared" ca="1" si="152"/>
        <v>#NAME?</v>
      </c>
      <c r="BQ193" s="344" t="e">
        <f t="shared" ca="1" si="107"/>
        <v>#NAME?</v>
      </c>
      <c r="BR193" s="347" t="e">
        <f t="shared" ca="1" si="108"/>
        <v>#NAME?</v>
      </c>
      <c r="BS193" s="326" t="e">
        <f t="shared" ca="1" si="153"/>
        <v>#NAME?</v>
      </c>
      <c r="BT193" s="437" t="e">
        <f t="shared" ca="1" si="123"/>
        <v>#NAME?</v>
      </c>
      <c r="BU193" s="437" t="e">
        <f t="shared" ca="1" si="124"/>
        <v>#NAME?</v>
      </c>
      <c r="BV193" s="441" t="e">
        <f t="shared" ca="1" si="125"/>
        <v>#NAME?</v>
      </c>
      <c r="BW193" s="442" t="e">
        <f t="shared" ca="1" si="126"/>
        <v>#NAME?</v>
      </c>
      <c r="BX193" s="470" t="e">
        <f t="shared" ca="1" si="96"/>
        <v>#NAME?</v>
      </c>
      <c r="BY193" s="484" t="e">
        <f t="shared" ca="1" si="109"/>
        <v>#NAME?</v>
      </c>
    </row>
    <row r="194" spans="9:77" s="212" customFormat="1" ht="17.75" customHeight="1" x14ac:dyDescent="0.2">
      <c r="I194" s="366">
        <v>110</v>
      </c>
      <c r="J194" s="414">
        <f t="shared" si="110"/>
        <v>41705.788888889139</v>
      </c>
      <c r="K194" s="435" t="e">
        <f t="shared" ca="1" si="111"/>
        <v>#NAME?</v>
      </c>
      <c r="L194" s="435" t="e">
        <f t="shared" ca="1" si="97"/>
        <v>#NAME?</v>
      </c>
      <c r="M194" s="664" t="e">
        <f t="shared" ca="1" si="154"/>
        <v>#NAME?</v>
      </c>
      <c r="N194" s="664" t="e">
        <f t="shared" ca="1" si="155"/>
        <v>#NAME?</v>
      </c>
      <c r="O194" s="140" t="e">
        <f t="shared" ca="1" si="98"/>
        <v>#NAME?</v>
      </c>
      <c r="P194" s="352" t="e">
        <f t="shared" ca="1" si="114"/>
        <v>#NAME?</v>
      </c>
      <c r="Q194" s="665" t="e">
        <f t="shared" ca="1" si="99"/>
        <v>#NAME?</v>
      </c>
      <c r="R194" s="352" t="e">
        <f t="shared" ca="1" si="127"/>
        <v>#NAME?</v>
      </c>
      <c r="S194" s="662" t="e">
        <f t="shared" ca="1" si="100"/>
        <v>#NAME?</v>
      </c>
      <c r="T194" s="443" t="e">
        <f t="shared" ca="1" si="92"/>
        <v>#NAME?</v>
      </c>
      <c r="U194" s="369" t="e">
        <f t="shared" ca="1" si="93"/>
        <v>#NAME?</v>
      </c>
      <c r="V194" s="454" t="e">
        <f t="shared" ca="1" si="101"/>
        <v>#NAME?</v>
      </c>
      <c r="W194" s="457">
        <f t="shared" si="102"/>
        <v>1000</v>
      </c>
      <c r="X194" s="463" t="e">
        <f t="shared" ca="1" si="103"/>
        <v>#NAME?</v>
      </c>
      <c r="Y194" s="455" t="e">
        <f t="shared" ca="1" si="115"/>
        <v>#NAME?</v>
      </c>
      <c r="Z194" s="699">
        <f t="shared" si="94"/>
        <v>8.5</v>
      </c>
      <c r="AA194" s="355" t="str">
        <f t="shared" si="95"/>
        <v>ON</v>
      </c>
      <c r="AB194" s="357">
        <f t="shared" si="128"/>
        <v>1.4999999999999999E-2</v>
      </c>
      <c r="AC194" s="356" t="e">
        <f ca="1">IF(  Y193=0,0,IF(OR(S194="KCAS",S194="INOP",S194="MEFE"),   ( (5*( (   (((1+0.2*(T194/661.4786)^2)^3.5 -1)  )/( (1-6.8755856*10^-6 *100*Y194)^5.2558797) +1)^(2/7) -1) )^0.5),IF(S194="MACH",T194, IF(S194="LRC",BicubicInterpolation( 'LRC Mach'!$C$4:$AL$21, Y194,U194),  IF(S194="MRC",BicubicInterpolation( 'MRC Mach'!$C$3:$T$18, Y194,U194),  IF(S194="M0.84",0.84,  IF(S194="CI52",BicubicInterpolation('CI=52 Mach'!$C$3:$T$18, Y194,U194),  IF(S194="HOLDING",BicubicInterpolation(  'Holding Mach'!$C$4:$M$13, Y194,U194),                         IF(S194="LRCINOP", BicubicInterpolation('LRC INOP Mach'!$C$4:$AA$21,Y194,U194), IF(S194="HOLDINGINOP",  BicubicInterpolation('Holding INOP Mach'!$N$4:$U$13,Y194,U194),         "XXX" )))))))   )))</f>
        <v>#NAME?</v>
      </c>
      <c r="AD194" s="313" t="e">
        <f t="shared" ca="1" si="129"/>
        <v>#NAME?</v>
      </c>
      <c r="AE194" s="314" t="e">
        <f t="shared" ca="1" si="116"/>
        <v>#NAME?</v>
      </c>
      <c r="AF194" s="313" t="e">
        <f t="shared" ca="1" si="130"/>
        <v>#NAME?</v>
      </c>
      <c r="AG194" s="314" t="e">
        <f t="shared" ca="1" si="117"/>
        <v>#NAME?</v>
      </c>
      <c r="AH194" s="313" t="e">
        <f t="shared" ca="1" si="131"/>
        <v>#NAME?</v>
      </c>
      <c r="AI194" s="314" t="e">
        <f t="shared" ca="1" si="118"/>
        <v>#NAME?</v>
      </c>
      <c r="AJ194" s="315" t="e">
        <f t="shared" ca="1" si="119"/>
        <v>#NAME?</v>
      </c>
      <c r="AK194" s="568" t="e">
        <f t="shared" ca="1" si="132"/>
        <v>#NAME?</v>
      </c>
      <c r="AL194" s="313" t="e">
        <f t="shared" ca="1" si="133"/>
        <v>#NAME?</v>
      </c>
      <c r="AM194" s="313" t="e">
        <f t="shared" ca="1" si="120"/>
        <v>#NAME?</v>
      </c>
      <c r="AN194" s="313" t="e">
        <f t="shared" ca="1" si="121"/>
        <v>#NAME?</v>
      </c>
      <c r="AO194" s="316" t="e">
        <f t="shared" ca="1" si="134"/>
        <v>#NAME?</v>
      </c>
      <c r="AP194" s="313" t="e">
        <f t="shared" ca="1" si="135"/>
        <v>#NAME?</v>
      </c>
      <c r="AQ194" s="314" t="e">
        <f t="shared" ca="1" si="122"/>
        <v>#NAME?</v>
      </c>
      <c r="AR194" s="315" t="e">
        <f t="shared" ca="1" si="136"/>
        <v>#NAME?</v>
      </c>
      <c r="AS194" s="316" t="e">
        <f t="shared" ca="1" si="137"/>
        <v>#NAME?</v>
      </c>
      <c r="AT194" s="315" t="e">
        <f t="shared" ca="1" si="138"/>
        <v>#NAME?</v>
      </c>
      <c r="AU194" s="317">
        <v>427.8</v>
      </c>
      <c r="AV194" s="315" t="e">
        <f t="shared" ca="1" si="139"/>
        <v>#NAME?</v>
      </c>
      <c r="AW194" s="318" t="e">
        <f ca="1">0.0001*BicubicInterpolation('Drag Coef Table'!$B$4:$L$28,AV194,AC194)</f>
        <v>#NAME?</v>
      </c>
      <c r="AX194" s="319" t="e">
        <f t="shared" ca="1" si="140"/>
        <v>#NAME?</v>
      </c>
      <c r="AY194" s="318" t="e">
        <f t="shared" ca="1" si="141"/>
        <v>#NAME?</v>
      </c>
      <c r="AZ194" s="320" t="e">
        <f t="shared" ca="1" si="142"/>
        <v>#NAME?</v>
      </c>
      <c r="BA194" s="321" t="e">
        <f t="shared" ca="1" si="143"/>
        <v>#NAME?</v>
      </c>
      <c r="BB194" s="322" t="e">
        <f t="shared" ca="1" si="144"/>
        <v>#NAME?</v>
      </c>
      <c r="BC194" s="323">
        <v>75.196700000000007</v>
      </c>
      <c r="BD194" s="324" t="e">
        <f t="shared" ca="1" si="145"/>
        <v>#NAME?</v>
      </c>
      <c r="BE194" s="325" t="e">
        <f t="shared" ca="1" si="146"/>
        <v>#NAME?</v>
      </c>
      <c r="BF194" s="324" t="e">
        <f ca="1">BicubicInterpolation('TSFC Eff Table'!$B$4:$E$69,2,BB194)</f>
        <v>#NAME?</v>
      </c>
      <c r="BG194" s="326" t="e">
        <f t="shared" ca="1" si="147"/>
        <v>#NAME?</v>
      </c>
      <c r="BH194" s="694" t="e">
        <f ca="1">IF( S194="LRCINOP",   (1+(0.03/10)*Z194*(1+0.2*AC194^2) )*BicubicInterpolation( 'LRC INOP FF'!$C$4:$AA$21, Y194, U194 )-200, IF(S194 ="HOLDINGINOP", (1+(0.03/10)*Z194*(1+0.2*AC194^2) )*BicubicInterpolation( 'Holding INOP FF'!$C$4:$J$13,  Y194,  U194)/1.05-200,   BA194*BG194))</f>
        <v>#NAME?</v>
      </c>
      <c r="BI194" s="344" t="e">
        <f t="shared" ca="1" si="104"/>
        <v>#NAME?</v>
      </c>
      <c r="BJ194" s="322" t="e">
        <f t="shared" ca="1" si="148"/>
        <v>#NAME?</v>
      </c>
      <c r="BK194" s="338" t="e">
        <f t="shared" ca="1" si="105"/>
        <v>#NAME?</v>
      </c>
      <c r="BL194" s="327" t="e">
        <f t="shared" ca="1" si="149"/>
        <v>#NAME?</v>
      </c>
      <c r="BM194" s="328">
        <f t="shared" si="150"/>
        <v>200</v>
      </c>
      <c r="BN194" s="329" t="e">
        <f t="shared" ca="1" si="151"/>
        <v>#NAME?</v>
      </c>
      <c r="BO194" s="344" t="e">
        <f t="shared" ca="1" si="106"/>
        <v>#NAME?</v>
      </c>
      <c r="BP194" s="320" t="e">
        <f t="shared" ca="1" si="152"/>
        <v>#NAME?</v>
      </c>
      <c r="BQ194" s="344" t="e">
        <f t="shared" ca="1" si="107"/>
        <v>#NAME?</v>
      </c>
      <c r="BR194" s="347" t="e">
        <f t="shared" ca="1" si="108"/>
        <v>#NAME?</v>
      </c>
      <c r="BS194" s="326" t="e">
        <f t="shared" ca="1" si="153"/>
        <v>#NAME?</v>
      </c>
      <c r="BT194" s="437" t="e">
        <f t="shared" ca="1" si="123"/>
        <v>#NAME?</v>
      </c>
      <c r="BU194" s="437" t="e">
        <f t="shared" ca="1" si="124"/>
        <v>#NAME?</v>
      </c>
      <c r="BV194" s="441" t="e">
        <f t="shared" ca="1" si="125"/>
        <v>#NAME?</v>
      </c>
      <c r="BW194" s="442" t="e">
        <f t="shared" ca="1" si="126"/>
        <v>#NAME?</v>
      </c>
      <c r="BX194" s="470" t="e">
        <f t="shared" ca="1" si="96"/>
        <v>#NAME?</v>
      </c>
      <c r="BY194" s="484" t="e">
        <f t="shared" ca="1" si="109"/>
        <v>#NAME?</v>
      </c>
    </row>
    <row r="195" spans="9:77" s="212" customFormat="1" ht="17.75" customHeight="1" x14ac:dyDescent="0.2">
      <c r="I195" s="366">
        <v>111</v>
      </c>
      <c r="J195" s="414">
        <f t="shared" si="110"/>
        <v>41705.789583333586</v>
      </c>
      <c r="K195" s="435" t="e">
        <f t="shared" ca="1" si="111"/>
        <v>#NAME?</v>
      </c>
      <c r="L195" s="435" t="e">
        <f t="shared" ca="1" si="97"/>
        <v>#NAME?</v>
      </c>
      <c r="M195" s="664" t="e">
        <f t="shared" ca="1" si="154"/>
        <v>#NAME?</v>
      </c>
      <c r="N195" s="664" t="e">
        <f t="shared" ca="1" si="155"/>
        <v>#NAME?</v>
      </c>
      <c r="O195" s="140" t="e">
        <f t="shared" ca="1" si="98"/>
        <v>#NAME?</v>
      </c>
      <c r="P195" s="352" t="e">
        <f t="shared" ca="1" si="114"/>
        <v>#NAME?</v>
      </c>
      <c r="Q195" s="665" t="e">
        <f t="shared" ca="1" si="99"/>
        <v>#NAME?</v>
      </c>
      <c r="R195" s="352" t="e">
        <f t="shared" ca="1" si="127"/>
        <v>#NAME?</v>
      </c>
      <c r="S195" s="662" t="e">
        <f t="shared" ca="1" si="100"/>
        <v>#NAME?</v>
      </c>
      <c r="T195" s="443" t="e">
        <f t="shared" ca="1" si="92"/>
        <v>#NAME?</v>
      </c>
      <c r="U195" s="369" t="e">
        <f t="shared" ca="1" si="93"/>
        <v>#NAME?</v>
      </c>
      <c r="V195" s="454" t="e">
        <f t="shared" ca="1" si="101"/>
        <v>#NAME?</v>
      </c>
      <c r="W195" s="457">
        <f t="shared" si="102"/>
        <v>1000</v>
      </c>
      <c r="X195" s="463" t="e">
        <f t="shared" ca="1" si="103"/>
        <v>#NAME?</v>
      </c>
      <c r="Y195" s="455" t="e">
        <f t="shared" ca="1" si="115"/>
        <v>#NAME?</v>
      </c>
      <c r="Z195" s="699">
        <f t="shared" si="94"/>
        <v>8.5</v>
      </c>
      <c r="AA195" s="355" t="str">
        <f t="shared" si="95"/>
        <v>ON</v>
      </c>
      <c r="AB195" s="357">
        <f t="shared" si="128"/>
        <v>1.4999999999999999E-2</v>
      </c>
      <c r="AC195" s="356" t="e">
        <f ca="1">IF(  Y194=0,0,IF(OR(S195="KCAS",S195="INOP",S195="MEFE"),   ( (5*( (   (((1+0.2*(T195/661.4786)^2)^3.5 -1)  )/( (1-6.8755856*10^-6 *100*Y195)^5.2558797) +1)^(2/7) -1) )^0.5),IF(S195="MACH",T195, IF(S195="LRC",BicubicInterpolation( 'LRC Mach'!$C$4:$AL$21, Y195,U195),  IF(S195="MRC",BicubicInterpolation( 'MRC Mach'!$C$3:$T$18, Y195,U195),  IF(S195="M0.84",0.84,  IF(S195="CI52",BicubicInterpolation('CI=52 Mach'!$C$3:$T$18, Y195,U195),  IF(S195="HOLDING",BicubicInterpolation(  'Holding Mach'!$C$4:$M$13, Y195,U195),                         IF(S195="LRCINOP", BicubicInterpolation('LRC INOP Mach'!$C$4:$AA$21,Y195,U195), IF(S195="HOLDINGINOP",  BicubicInterpolation('Holding INOP Mach'!$N$4:$U$13,Y195,U195),         "XXX" )))))))   )))</f>
        <v>#NAME?</v>
      </c>
      <c r="AD195" s="313" t="e">
        <f t="shared" ca="1" si="129"/>
        <v>#NAME?</v>
      </c>
      <c r="AE195" s="314" t="e">
        <f t="shared" ca="1" si="116"/>
        <v>#NAME?</v>
      </c>
      <c r="AF195" s="313" t="e">
        <f t="shared" ca="1" si="130"/>
        <v>#NAME?</v>
      </c>
      <c r="AG195" s="314" t="e">
        <f t="shared" ca="1" si="117"/>
        <v>#NAME?</v>
      </c>
      <c r="AH195" s="313" t="e">
        <f t="shared" ca="1" si="131"/>
        <v>#NAME?</v>
      </c>
      <c r="AI195" s="314" t="e">
        <f t="shared" ca="1" si="118"/>
        <v>#NAME?</v>
      </c>
      <c r="AJ195" s="315" t="e">
        <f t="shared" ca="1" si="119"/>
        <v>#NAME?</v>
      </c>
      <c r="AK195" s="568" t="e">
        <f t="shared" ca="1" si="132"/>
        <v>#NAME?</v>
      </c>
      <c r="AL195" s="313" t="e">
        <f t="shared" ca="1" si="133"/>
        <v>#NAME?</v>
      </c>
      <c r="AM195" s="313" t="e">
        <f t="shared" ca="1" si="120"/>
        <v>#NAME?</v>
      </c>
      <c r="AN195" s="313" t="e">
        <f t="shared" ca="1" si="121"/>
        <v>#NAME?</v>
      </c>
      <c r="AO195" s="316" t="e">
        <f t="shared" ca="1" si="134"/>
        <v>#NAME?</v>
      </c>
      <c r="AP195" s="313" t="e">
        <f t="shared" ca="1" si="135"/>
        <v>#NAME?</v>
      </c>
      <c r="AQ195" s="314" t="e">
        <f t="shared" ca="1" si="122"/>
        <v>#NAME?</v>
      </c>
      <c r="AR195" s="315" t="e">
        <f t="shared" ca="1" si="136"/>
        <v>#NAME?</v>
      </c>
      <c r="AS195" s="316" t="e">
        <f t="shared" ca="1" si="137"/>
        <v>#NAME?</v>
      </c>
      <c r="AT195" s="315" t="e">
        <f t="shared" ca="1" si="138"/>
        <v>#NAME?</v>
      </c>
      <c r="AU195" s="317">
        <v>427.8</v>
      </c>
      <c r="AV195" s="315" t="e">
        <f t="shared" ca="1" si="139"/>
        <v>#NAME?</v>
      </c>
      <c r="AW195" s="318" t="e">
        <f ca="1">0.0001*BicubicInterpolation('Drag Coef Table'!$B$4:$L$28,AV195,AC195)</f>
        <v>#NAME?</v>
      </c>
      <c r="AX195" s="319" t="e">
        <f t="shared" ca="1" si="140"/>
        <v>#NAME?</v>
      </c>
      <c r="AY195" s="318" t="e">
        <f t="shared" ca="1" si="141"/>
        <v>#NAME?</v>
      </c>
      <c r="AZ195" s="320" t="e">
        <f t="shared" ca="1" si="142"/>
        <v>#NAME?</v>
      </c>
      <c r="BA195" s="321" t="e">
        <f t="shared" ca="1" si="143"/>
        <v>#NAME?</v>
      </c>
      <c r="BB195" s="322" t="e">
        <f t="shared" ca="1" si="144"/>
        <v>#NAME?</v>
      </c>
      <c r="BC195" s="323">
        <v>75.196700000000007</v>
      </c>
      <c r="BD195" s="324" t="e">
        <f t="shared" ca="1" si="145"/>
        <v>#NAME?</v>
      </c>
      <c r="BE195" s="325" t="e">
        <f t="shared" ca="1" si="146"/>
        <v>#NAME?</v>
      </c>
      <c r="BF195" s="324" t="e">
        <f ca="1">BicubicInterpolation('TSFC Eff Table'!$B$4:$E$69,2,BB195)</f>
        <v>#NAME?</v>
      </c>
      <c r="BG195" s="326" t="e">
        <f t="shared" ca="1" si="147"/>
        <v>#NAME?</v>
      </c>
      <c r="BH195" s="694" t="e">
        <f ca="1">IF( S195="LRCINOP",   (1+(0.03/10)*Z195*(1+0.2*AC195^2) )*BicubicInterpolation( 'LRC INOP FF'!$C$4:$AA$21, Y195, U195 )-200, IF(S195 ="HOLDINGINOP", (1+(0.03/10)*Z195*(1+0.2*AC195^2) )*BicubicInterpolation( 'Holding INOP FF'!$C$4:$J$13,  Y195,  U195)/1.05-200,   BA195*BG195))</f>
        <v>#NAME?</v>
      </c>
      <c r="BI195" s="344" t="e">
        <f t="shared" ca="1" si="104"/>
        <v>#NAME?</v>
      </c>
      <c r="BJ195" s="322" t="e">
        <f t="shared" ca="1" si="148"/>
        <v>#NAME?</v>
      </c>
      <c r="BK195" s="338" t="e">
        <f t="shared" ca="1" si="105"/>
        <v>#NAME?</v>
      </c>
      <c r="BL195" s="327" t="e">
        <f t="shared" ca="1" si="149"/>
        <v>#NAME?</v>
      </c>
      <c r="BM195" s="328">
        <f t="shared" si="150"/>
        <v>200</v>
      </c>
      <c r="BN195" s="329" t="e">
        <f t="shared" ca="1" si="151"/>
        <v>#NAME?</v>
      </c>
      <c r="BO195" s="344" t="e">
        <f t="shared" ca="1" si="106"/>
        <v>#NAME?</v>
      </c>
      <c r="BP195" s="320" t="e">
        <f t="shared" ca="1" si="152"/>
        <v>#NAME?</v>
      </c>
      <c r="BQ195" s="344" t="e">
        <f t="shared" ca="1" si="107"/>
        <v>#NAME?</v>
      </c>
      <c r="BR195" s="347" t="e">
        <f t="shared" ca="1" si="108"/>
        <v>#NAME?</v>
      </c>
      <c r="BS195" s="326" t="e">
        <f t="shared" ca="1" si="153"/>
        <v>#NAME?</v>
      </c>
      <c r="BT195" s="437" t="e">
        <f t="shared" ca="1" si="123"/>
        <v>#NAME?</v>
      </c>
      <c r="BU195" s="437" t="e">
        <f t="shared" ca="1" si="124"/>
        <v>#NAME?</v>
      </c>
      <c r="BV195" s="441" t="e">
        <f t="shared" ca="1" si="125"/>
        <v>#NAME?</v>
      </c>
      <c r="BW195" s="442" t="e">
        <f t="shared" ca="1" si="126"/>
        <v>#NAME?</v>
      </c>
      <c r="BX195" s="470" t="e">
        <f t="shared" ca="1" si="96"/>
        <v>#NAME?</v>
      </c>
      <c r="BY195" s="484" t="e">
        <f t="shared" ca="1" si="109"/>
        <v>#NAME?</v>
      </c>
    </row>
    <row r="196" spans="9:77" s="212" customFormat="1" ht="17.75" customHeight="1" x14ac:dyDescent="0.2">
      <c r="I196" s="366">
        <v>112</v>
      </c>
      <c r="J196" s="414">
        <f t="shared" si="110"/>
        <v>41705.790277778033</v>
      </c>
      <c r="K196" s="435" t="e">
        <f t="shared" ca="1" si="111"/>
        <v>#NAME?</v>
      </c>
      <c r="L196" s="435" t="e">
        <f t="shared" ca="1" si="97"/>
        <v>#NAME?</v>
      </c>
      <c r="M196" s="664" t="e">
        <f t="shared" ca="1" si="154"/>
        <v>#NAME?</v>
      </c>
      <c r="N196" s="664" t="e">
        <f t="shared" ca="1" si="155"/>
        <v>#NAME?</v>
      </c>
      <c r="O196" s="140" t="e">
        <f t="shared" ca="1" si="98"/>
        <v>#NAME?</v>
      </c>
      <c r="P196" s="352" t="e">
        <f t="shared" ca="1" si="114"/>
        <v>#NAME?</v>
      </c>
      <c r="Q196" s="665" t="e">
        <f t="shared" ca="1" si="99"/>
        <v>#NAME?</v>
      </c>
      <c r="R196" s="352" t="e">
        <f t="shared" ca="1" si="127"/>
        <v>#NAME?</v>
      </c>
      <c r="S196" s="662" t="e">
        <f t="shared" ca="1" si="100"/>
        <v>#NAME?</v>
      </c>
      <c r="T196" s="443" t="e">
        <f t="shared" ca="1" si="92"/>
        <v>#NAME?</v>
      </c>
      <c r="U196" s="369" t="e">
        <f t="shared" ca="1" si="93"/>
        <v>#NAME?</v>
      </c>
      <c r="V196" s="454" t="e">
        <f t="shared" ca="1" si="101"/>
        <v>#NAME?</v>
      </c>
      <c r="W196" s="457">
        <f t="shared" si="102"/>
        <v>1000</v>
      </c>
      <c r="X196" s="463" t="e">
        <f t="shared" ca="1" si="103"/>
        <v>#NAME?</v>
      </c>
      <c r="Y196" s="455" t="e">
        <f t="shared" ca="1" si="115"/>
        <v>#NAME?</v>
      </c>
      <c r="Z196" s="699">
        <f t="shared" si="94"/>
        <v>8.5</v>
      </c>
      <c r="AA196" s="355" t="str">
        <f t="shared" si="95"/>
        <v>ON</v>
      </c>
      <c r="AB196" s="357">
        <f t="shared" si="128"/>
        <v>1.4999999999999999E-2</v>
      </c>
      <c r="AC196" s="356" t="e">
        <f ca="1">IF(  Y195=0,0,IF(OR(S196="KCAS",S196="INOP",S196="MEFE"),   ( (5*( (   (((1+0.2*(T196/661.4786)^2)^3.5 -1)  )/( (1-6.8755856*10^-6 *100*Y196)^5.2558797) +1)^(2/7) -1) )^0.5),IF(S196="MACH",T196, IF(S196="LRC",BicubicInterpolation( 'LRC Mach'!$C$4:$AL$21, Y196,U196),  IF(S196="MRC",BicubicInterpolation( 'MRC Mach'!$C$3:$T$18, Y196,U196),  IF(S196="M0.84",0.84,  IF(S196="CI52",BicubicInterpolation('CI=52 Mach'!$C$3:$T$18, Y196,U196),  IF(S196="HOLDING",BicubicInterpolation(  'Holding Mach'!$C$4:$M$13, Y196,U196),                         IF(S196="LRCINOP", BicubicInterpolation('LRC INOP Mach'!$C$4:$AA$21,Y196,U196), IF(S196="HOLDINGINOP",  BicubicInterpolation('Holding INOP Mach'!$N$4:$U$13,Y196,U196),         "XXX" )))))))   )))</f>
        <v>#NAME?</v>
      </c>
      <c r="AD196" s="313" t="e">
        <f t="shared" ca="1" si="129"/>
        <v>#NAME?</v>
      </c>
      <c r="AE196" s="314" t="e">
        <f t="shared" ca="1" si="116"/>
        <v>#NAME?</v>
      </c>
      <c r="AF196" s="313" t="e">
        <f t="shared" ca="1" si="130"/>
        <v>#NAME?</v>
      </c>
      <c r="AG196" s="314" t="e">
        <f t="shared" ca="1" si="117"/>
        <v>#NAME?</v>
      </c>
      <c r="AH196" s="313" t="e">
        <f t="shared" ca="1" si="131"/>
        <v>#NAME?</v>
      </c>
      <c r="AI196" s="314" t="e">
        <f t="shared" ca="1" si="118"/>
        <v>#NAME?</v>
      </c>
      <c r="AJ196" s="315" t="e">
        <f t="shared" ca="1" si="119"/>
        <v>#NAME?</v>
      </c>
      <c r="AK196" s="568" t="e">
        <f t="shared" ca="1" si="132"/>
        <v>#NAME?</v>
      </c>
      <c r="AL196" s="313" t="e">
        <f t="shared" ca="1" si="133"/>
        <v>#NAME?</v>
      </c>
      <c r="AM196" s="313" t="e">
        <f t="shared" ca="1" si="120"/>
        <v>#NAME?</v>
      </c>
      <c r="AN196" s="313" t="e">
        <f t="shared" ca="1" si="121"/>
        <v>#NAME?</v>
      </c>
      <c r="AO196" s="316" t="e">
        <f t="shared" ca="1" si="134"/>
        <v>#NAME?</v>
      </c>
      <c r="AP196" s="313" t="e">
        <f t="shared" ca="1" si="135"/>
        <v>#NAME?</v>
      </c>
      <c r="AQ196" s="314" t="e">
        <f t="shared" ca="1" si="122"/>
        <v>#NAME?</v>
      </c>
      <c r="AR196" s="315" t="e">
        <f t="shared" ca="1" si="136"/>
        <v>#NAME?</v>
      </c>
      <c r="AS196" s="316" t="e">
        <f t="shared" ca="1" si="137"/>
        <v>#NAME?</v>
      </c>
      <c r="AT196" s="315" t="e">
        <f t="shared" ca="1" si="138"/>
        <v>#NAME?</v>
      </c>
      <c r="AU196" s="317">
        <v>427.8</v>
      </c>
      <c r="AV196" s="315" t="e">
        <f t="shared" ca="1" si="139"/>
        <v>#NAME?</v>
      </c>
      <c r="AW196" s="318" t="e">
        <f ca="1">0.0001*BicubicInterpolation('Drag Coef Table'!$B$4:$L$28,AV196,AC196)</f>
        <v>#NAME?</v>
      </c>
      <c r="AX196" s="319" t="e">
        <f t="shared" ca="1" si="140"/>
        <v>#NAME?</v>
      </c>
      <c r="AY196" s="318" t="e">
        <f t="shared" ca="1" si="141"/>
        <v>#NAME?</v>
      </c>
      <c r="AZ196" s="320" t="e">
        <f t="shared" ca="1" si="142"/>
        <v>#NAME?</v>
      </c>
      <c r="BA196" s="321" t="e">
        <f t="shared" ca="1" si="143"/>
        <v>#NAME?</v>
      </c>
      <c r="BB196" s="322" t="e">
        <f t="shared" ca="1" si="144"/>
        <v>#NAME?</v>
      </c>
      <c r="BC196" s="323">
        <v>75.196700000000007</v>
      </c>
      <c r="BD196" s="324" t="e">
        <f t="shared" ca="1" si="145"/>
        <v>#NAME?</v>
      </c>
      <c r="BE196" s="325" t="e">
        <f t="shared" ca="1" si="146"/>
        <v>#NAME?</v>
      </c>
      <c r="BF196" s="324" t="e">
        <f ca="1">BicubicInterpolation('TSFC Eff Table'!$B$4:$E$69,2,BB196)</f>
        <v>#NAME?</v>
      </c>
      <c r="BG196" s="326" t="e">
        <f t="shared" ca="1" si="147"/>
        <v>#NAME?</v>
      </c>
      <c r="BH196" s="694" t="e">
        <f ca="1">IF( S196="LRCINOP",   (1+(0.03/10)*Z196*(1+0.2*AC196^2) )*BicubicInterpolation( 'LRC INOP FF'!$C$4:$AA$21, Y196, U196 )-200, IF(S196 ="HOLDINGINOP", (1+(0.03/10)*Z196*(1+0.2*AC196^2) )*BicubicInterpolation( 'Holding INOP FF'!$C$4:$J$13,  Y196,  U196)/1.05-200,   BA196*BG196))</f>
        <v>#NAME?</v>
      </c>
      <c r="BI196" s="344" t="e">
        <f t="shared" ca="1" si="104"/>
        <v>#NAME?</v>
      </c>
      <c r="BJ196" s="322" t="e">
        <f t="shared" ca="1" si="148"/>
        <v>#NAME?</v>
      </c>
      <c r="BK196" s="338" t="e">
        <f t="shared" ca="1" si="105"/>
        <v>#NAME?</v>
      </c>
      <c r="BL196" s="327" t="e">
        <f t="shared" ca="1" si="149"/>
        <v>#NAME?</v>
      </c>
      <c r="BM196" s="328">
        <f t="shared" si="150"/>
        <v>200</v>
      </c>
      <c r="BN196" s="329" t="e">
        <f t="shared" ca="1" si="151"/>
        <v>#NAME?</v>
      </c>
      <c r="BO196" s="344" t="e">
        <f t="shared" ca="1" si="106"/>
        <v>#NAME?</v>
      </c>
      <c r="BP196" s="320" t="e">
        <f t="shared" ca="1" si="152"/>
        <v>#NAME?</v>
      </c>
      <c r="BQ196" s="344" t="e">
        <f t="shared" ca="1" si="107"/>
        <v>#NAME?</v>
      </c>
      <c r="BR196" s="347" t="e">
        <f t="shared" ca="1" si="108"/>
        <v>#NAME?</v>
      </c>
      <c r="BS196" s="326" t="e">
        <f t="shared" ca="1" si="153"/>
        <v>#NAME?</v>
      </c>
      <c r="BT196" s="437" t="e">
        <f t="shared" ca="1" si="123"/>
        <v>#NAME?</v>
      </c>
      <c r="BU196" s="437" t="e">
        <f t="shared" ca="1" si="124"/>
        <v>#NAME?</v>
      </c>
      <c r="BV196" s="441" t="e">
        <f t="shared" ca="1" si="125"/>
        <v>#NAME?</v>
      </c>
      <c r="BW196" s="442" t="e">
        <f t="shared" ca="1" si="126"/>
        <v>#NAME?</v>
      </c>
      <c r="BX196" s="470" t="e">
        <f t="shared" ca="1" si="96"/>
        <v>#NAME?</v>
      </c>
      <c r="BY196" s="484" t="e">
        <f t="shared" ca="1" si="109"/>
        <v>#NAME?</v>
      </c>
    </row>
    <row r="197" spans="9:77" s="212" customFormat="1" ht="17.75" customHeight="1" x14ac:dyDescent="0.2">
      <c r="I197" s="366">
        <v>113</v>
      </c>
      <c r="J197" s="414">
        <f t="shared" si="110"/>
        <v>41705.790972222479</v>
      </c>
      <c r="K197" s="435" t="e">
        <f t="shared" ca="1" si="111"/>
        <v>#NAME?</v>
      </c>
      <c r="L197" s="435" t="e">
        <f t="shared" ca="1" si="97"/>
        <v>#NAME?</v>
      </c>
      <c r="M197" s="664" t="e">
        <f t="shared" ca="1" si="154"/>
        <v>#NAME?</v>
      </c>
      <c r="N197" s="664" t="e">
        <f t="shared" ca="1" si="155"/>
        <v>#NAME?</v>
      </c>
      <c r="O197" s="140" t="e">
        <f t="shared" ca="1" si="98"/>
        <v>#NAME?</v>
      </c>
      <c r="P197" s="352" t="e">
        <f t="shared" ca="1" si="114"/>
        <v>#NAME?</v>
      </c>
      <c r="Q197" s="665" t="e">
        <f t="shared" ca="1" si="99"/>
        <v>#NAME?</v>
      </c>
      <c r="R197" s="352" t="e">
        <f t="shared" ca="1" si="127"/>
        <v>#NAME?</v>
      </c>
      <c r="S197" s="662" t="e">
        <f t="shared" ca="1" si="100"/>
        <v>#NAME?</v>
      </c>
      <c r="T197" s="443" t="e">
        <f t="shared" ca="1" si="92"/>
        <v>#NAME?</v>
      </c>
      <c r="U197" s="369" t="e">
        <f t="shared" ca="1" si="93"/>
        <v>#NAME?</v>
      </c>
      <c r="V197" s="454" t="e">
        <f t="shared" ca="1" si="101"/>
        <v>#NAME?</v>
      </c>
      <c r="W197" s="457">
        <f t="shared" si="102"/>
        <v>1000</v>
      </c>
      <c r="X197" s="463" t="e">
        <f t="shared" ca="1" si="103"/>
        <v>#NAME?</v>
      </c>
      <c r="Y197" s="455" t="e">
        <f t="shared" ca="1" si="115"/>
        <v>#NAME?</v>
      </c>
      <c r="Z197" s="699">
        <f t="shared" si="94"/>
        <v>8.5</v>
      </c>
      <c r="AA197" s="355" t="str">
        <f t="shared" si="95"/>
        <v>ON</v>
      </c>
      <c r="AB197" s="357">
        <f t="shared" si="128"/>
        <v>1.4999999999999999E-2</v>
      </c>
      <c r="AC197" s="356" t="e">
        <f ca="1">IF(  Y196=0,0,IF(OR(S197="KCAS",S197="INOP",S197="MEFE"),   ( (5*( (   (((1+0.2*(T197/661.4786)^2)^3.5 -1)  )/( (1-6.8755856*10^-6 *100*Y197)^5.2558797) +1)^(2/7) -1) )^0.5),IF(S197="MACH",T197, IF(S197="LRC",BicubicInterpolation( 'LRC Mach'!$C$4:$AL$21, Y197,U197),  IF(S197="MRC",BicubicInterpolation( 'MRC Mach'!$C$3:$T$18, Y197,U197),  IF(S197="M0.84",0.84,  IF(S197="CI52",BicubicInterpolation('CI=52 Mach'!$C$3:$T$18, Y197,U197),  IF(S197="HOLDING",BicubicInterpolation(  'Holding Mach'!$C$4:$M$13, Y197,U197),                         IF(S197="LRCINOP", BicubicInterpolation('LRC INOP Mach'!$C$4:$AA$21,Y197,U197), IF(S197="HOLDINGINOP",  BicubicInterpolation('Holding INOP Mach'!$N$4:$U$13,Y197,U197),         "XXX" )))))))   )))</f>
        <v>#NAME?</v>
      </c>
      <c r="AD197" s="313" t="e">
        <f t="shared" ca="1" si="129"/>
        <v>#NAME?</v>
      </c>
      <c r="AE197" s="314" t="e">
        <f t="shared" ca="1" si="116"/>
        <v>#NAME?</v>
      </c>
      <c r="AF197" s="313" t="e">
        <f t="shared" ca="1" si="130"/>
        <v>#NAME?</v>
      </c>
      <c r="AG197" s="314" t="e">
        <f t="shared" ca="1" si="117"/>
        <v>#NAME?</v>
      </c>
      <c r="AH197" s="313" t="e">
        <f t="shared" ca="1" si="131"/>
        <v>#NAME?</v>
      </c>
      <c r="AI197" s="314" t="e">
        <f t="shared" ca="1" si="118"/>
        <v>#NAME?</v>
      </c>
      <c r="AJ197" s="315" t="e">
        <f t="shared" ca="1" si="119"/>
        <v>#NAME?</v>
      </c>
      <c r="AK197" s="568" t="e">
        <f t="shared" ca="1" si="132"/>
        <v>#NAME?</v>
      </c>
      <c r="AL197" s="313" t="e">
        <f t="shared" ca="1" si="133"/>
        <v>#NAME?</v>
      </c>
      <c r="AM197" s="313" t="e">
        <f t="shared" ca="1" si="120"/>
        <v>#NAME?</v>
      </c>
      <c r="AN197" s="313" t="e">
        <f t="shared" ca="1" si="121"/>
        <v>#NAME?</v>
      </c>
      <c r="AO197" s="316" t="e">
        <f t="shared" ca="1" si="134"/>
        <v>#NAME?</v>
      </c>
      <c r="AP197" s="313" t="e">
        <f t="shared" ca="1" si="135"/>
        <v>#NAME?</v>
      </c>
      <c r="AQ197" s="314" t="e">
        <f t="shared" ca="1" si="122"/>
        <v>#NAME?</v>
      </c>
      <c r="AR197" s="315" t="e">
        <f t="shared" ca="1" si="136"/>
        <v>#NAME?</v>
      </c>
      <c r="AS197" s="316" t="e">
        <f t="shared" ca="1" si="137"/>
        <v>#NAME?</v>
      </c>
      <c r="AT197" s="315" t="e">
        <f t="shared" ca="1" si="138"/>
        <v>#NAME?</v>
      </c>
      <c r="AU197" s="317">
        <v>427.8</v>
      </c>
      <c r="AV197" s="315" t="e">
        <f t="shared" ca="1" si="139"/>
        <v>#NAME?</v>
      </c>
      <c r="AW197" s="318" t="e">
        <f ca="1">0.0001*BicubicInterpolation('Drag Coef Table'!$B$4:$L$28,AV197,AC197)</f>
        <v>#NAME?</v>
      </c>
      <c r="AX197" s="319" t="e">
        <f t="shared" ca="1" si="140"/>
        <v>#NAME?</v>
      </c>
      <c r="AY197" s="318" t="e">
        <f t="shared" ca="1" si="141"/>
        <v>#NAME?</v>
      </c>
      <c r="AZ197" s="320" t="e">
        <f t="shared" ca="1" si="142"/>
        <v>#NAME?</v>
      </c>
      <c r="BA197" s="321" t="e">
        <f t="shared" ca="1" si="143"/>
        <v>#NAME?</v>
      </c>
      <c r="BB197" s="322" t="e">
        <f t="shared" ca="1" si="144"/>
        <v>#NAME?</v>
      </c>
      <c r="BC197" s="323">
        <v>75.196700000000007</v>
      </c>
      <c r="BD197" s="324" t="e">
        <f t="shared" ca="1" si="145"/>
        <v>#NAME?</v>
      </c>
      <c r="BE197" s="325" t="e">
        <f t="shared" ca="1" si="146"/>
        <v>#NAME?</v>
      </c>
      <c r="BF197" s="324" t="e">
        <f ca="1">BicubicInterpolation('TSFC Eff Table'!$B$4:$E$69,2,BB197)</f>
        <v>#NAME?</v>
      </c>
      <c r="BG197" s="326" t="e">
        <f t="shared" ca="1" si="147"/>
        <v>#NAME?</v>
      </c>
      <c r="BH197" s="694" t="e">
        <f ca="1">IF( S197="LRCINOP",   (1+(0.03/10)*Z197*(1+0.2*AC197^2) )*BicubicInterpolation( 'LRC INOP FF'!$C$4:$AA$21, Y197, U197 )-200, IF(S197 ="HOLDINGINOP", (1+(0.03/10)*Z197*(1+0.2*AC197^2) )*BicubicInterpolation( 'Holding INOP FF'!$C$4:$J$13,  Y197,  U197)/1.05-200,   BA197*BG197))</f>
        <v>#NAME?</v>
      </c>
      <c r="BI197" s="344" t="e">
        <f t="shared" ca="1" si="104"/>
        <v>#NAME?</v>
      </c>
      <c r="BJ197" s="322" t="e">
        <f t="shared" ca="1" si="148"/>
        <v>#NAME?</v>
      </c>
      <c r="BK197" s="338" t="e">
        <f t="shared" ca="1" si="105"/>
        <v>#NAME?</v>
      </c>
      <c r="BL197" s="327" t="e">
        <f t="shared" ca="1" si="149"/>
        <v>#NAME?</v>
      </c>
      <c r="BM197" s="328">
        <f t="shared" si="150"/>
        <v>200</v>
      </c>
      <c r="BN197" s="329" t="e">
        <f t="shared" ca="1" si="151"/>
        <v>#NAME?</v>
      </c>
      <c r="BO197" s="344" t="e">
        <f t="shared" ca="1" si="106"/>
        <v>#NAME?</v>
      </c>
      <c r="BP197" s="320" t="e">
        <f t="shared" ca="1" si="152"/>
        <v>#NAME?</v>
      </c>
      <c r="BQ197" s="344" t="e">
        <f t="shared" ca="1" si="107"/>
        <v>#NAME?</v>
      </c>
      <c r="BR197" s="347" t="e">
        <f t="shared" ca="1" si="108"/>
        <v>#NAME?</v>
      </c>
      <c r="BS197" s="326" t="e">
        <f t="shared" ca="1" si="153"/>
        <v>#NAME?</v>
      </c>
      <c r="BT197" s="437" t="e">
        <f t="shared" ca="1" si="123"/>
        <v>#NAME?</v>
      </c>
      <c r="BU197" s="437" t="e">
        <f t="shared" ca="1" si="124"/>
        <v>#NAME?</v>
      </c>
      <c r="BV197" s="441" t="e">
        <f t="shared" ca="1" si="125"/>
        <v>#NAME?</v>
      </c>
      <c r="BW197" s="442" t="e">
        <f t="shared" ca="1" si="126"/>
        <v>#NAME?</v>
      </c>
      <c r="BX197" s="470" t="e">
        <f t="shared" ca="1" si="96"/>
        <v>#NAME?</v>
      </c>
      <c r="BY197" s="484" t="e">
        <f t="shared" ca="1" si="109"/>
        <v>#NAME?</v>
      </c>
    </row>
    <row r="198" spans="9:77" s="212" customFormat="1" ht="17.75" customHeight="1" x14ac:dyDescent="0.2">
      <c r="I198" s="366">
        <v>114</v>
      </c>
      <c r="J198" s="414">
        <f t="shared" si="110"/>
        <v>41705.791666666926</v>
      </c>
      <c r="K198" s="435" t="e">
        <f t="shared" ca="1" si="111"/>
        <v>#NAME?</v>
      </c>
      <c r="L198" s="435" t="e">
        <f t="shared" ca="1" si="97"/>
        <v>#NAME?</v>
      </c>
      <c r="M198" s="664" t="e">
        <f t="shared" ca="1" si="154"/>
        <v>#NAME?</v>
      </c>
      <c r="N198" s="664" t="e">
        <f t="shared" ca="1" si="155"/>
        <v>#NAME?</v>
      </c>
      <c r="O198" s="140" t="e">
        <f t="shared" ca="1" si="98"/>
        <v>#NAME?</v>
      </c>
      <c r="P198" s="352" t="e">
        <f t="shared" ca="1" si="114"/>
        <v>#NAME?</v>
      </c>
      <c r="Q198" s="665" t="e">
        <f t="shared" ref="Q198:Q260" ca="1" si="156">IF(S198="MEFE",  0,    IF(S198="INOP",    $C$36*AQ198/0.2243,     IF(V198&lt;Y197,             IF(OR(S198="KCAS",S198="HOLDING",S198="HOLDINGINOP",S198="LRCINOP"),   $C$32,    (1+$C$30*ABS(X198)/1000)*BN198  ),      IF(V198&gt;Y197,   BN198*(1+$C$29*W198/1000),   IF(AND($C$34=1, OR(S198="HOLDING", S198="HOLDINGINOP")  ),1.05,1)*BN198    ))))</f>
        <v>#NAME?</v>
      </c>
      <c r="R198" s="352" t="e">
        <f t="shared" ca="1" si="127"/>
        <v>#NAME?</v>
      </c>
      <c r="S198" s="662" t="e">
        <f t="shared" ca="1" si="100"/>
        <v>#NAME?</v>
      </c>
      <c r="T198" s="443" t="e">
        <f t="shared" ca="1" si="92"/>
        <v>#NAME?</v>
      </c>
      <c r="U198" s="369" t="e">
        <f t="shared" ca="1" si="93"/>
        <v>#NAME?</v>
      </c>
      <c r="V198" s="454" t="e">
        <f t="shared" ca="1" si="101"/>
        <v>#NAME?</v>
      </c>
      <c r="W198" s="457">
        <f t="shared" si="102"/>
        <v>1000</v>
      </c>
      <c r="X198" s="463" t="e">
        <f t="shared" ca="1" si="103"/>
        <v>#NAME?</v>
      </c>
      <c r="Y198" s="455" t="e">
        <f t="shared" ca="1" si="115"/>
        <v>#NAME?</v>
      </c>
      <c r="Z198" s="699">
        <f t="shared" si="94"/>
        <v>8.5</v>
      </c>
      <c r="AA198" s="355" t="str">
        <f t="shared" si="95"/>
        <v>ON</v>
      </c>
      <c r="AB198" s="357">
        <f t="shared" si="128"/>
        <v>1.4999999999999999E-2</v>
      </c>
      <c r="AC198" s="356" t="e">
        <f ca="1">IF(  Y197=0,0,IF(OR(S198="KCAS",S198="INOP",S198="MEFE"),   ( (5*( (   (((1+0.2*(T198/661.4786)^2)^3.5 -1)  )/( (1-6.8755856*10^-6 *100*Y198)^5.2558797) +1)^(2/7) -1) )^0.5),IF(S198="MACH",T198, IF(S198="LRC",BicubicInterpolation( 'LRC Mach'!$C$4:$AL$21, Y198,U198),  IF(S198="MRC",BicubicInterpolation( 'MRC Mach'!$C$3:$T$18, Y198,U198),  IF(S198="M0.84",0.84,  IF(S198="CI52",BicubicInterpolation('CI=52 Mach'!$C$3:$T$18, Y198,U198),  IF(S198="HOLDING",BicubicInterpolation(  'Holding Mach'!$C$4:$M$13, Y198,U198),                         IF(S198="LRCINOP", BicubicInterpolation('LRC INOP Mach'!$C$4:$AA$21,Y198,U198), IF(S198="HOLDINGINOP",  BicubicInterpolation('Holding INOP Mach'!$N$4:$U$13,Y198,U198),         "XXX" )))))))   )))</f>
        <v>#NAME?</v>
      </c>
      <c r="AD198" s="313" t="e">
        <f t="shared" ca="1" si="129"/>
        <v>#NAME?</v>
      </c>
      <c r="AE198" s="314" t="e">
        <f t="shared" ca="1" si="116"/>
        <v>#NAME?</v>
      </c>
      <c r="AF198" s="313" t="e">
        <f t="shared" ca="1" si="130"/>
        <v>#NAME?</v>
      </c>
      <c r="AG198" s="314" t="e">
        <f t="shared" ca="1" si="117"/>
        <v>#NAME?</v>
      </c>
      <c r="AH198" s="313" t="e">
        <f t="shared" ca="1" si="131"/>
        <v>#NAME?</v>
      </c>
      <c r="AI198" s="314" t="e">
        <f t="shared" ca="1" si="118"/>
        <v>#NAME?</v>
      </c>
      <c r="AJ198" s="315" t="e">
        <f t="shared" ca="1" si="119"/>
        <v>#NAME?</v>
      </c>
      <c r="AK198" s="568" t="e">
        <f t="shared" ca="1" si="132"/>
        <v>#NAME?</v>
      </c>
      <c r="AL198" s="313" t="e">
        <f t="shared" ca="1" si="133"/>
        <v>#NAME?</v>
      </c>
      <c r="AM198" s="313" t="e">
        <f t="shared" ca="1" si="120"/>
        <v>#NAME?</v>
      </c>
      <c r="AN198" s="313" t="e">
        <f t="shared" ca="1" si="121"/>
        <v>#NAME?</v>
      </c>
      <c r="AO198" s="316" t="e">
        <f t="shared" ca="1" si="134"/>
        <v>#NAME?</v>
      </c>
      <c r="AP198" s="313" t="e">
        <f t="shared" ca="1" si="135"/>
        <v>#NAME?</v>
      </c>
      <c r="AQ198" s="314" t="e">
        <f t="shared" ca="1" si="122"/>
        <v>#NAME?</v>
      </c>
      <c r="AR198" s="315" t="e">
        <f t="shared" ca="1" si="136"/>
        <v>#NAME?</v>
      </c>
      <c r="AS198" s="316" t="e">
        <f t="shared" ca="1" si="137"/>
        <v>#NAME?</v>
      </c>
      <c r="AT198" s="315" t="e">
        <f t="shared" ca="1" si="138"/>
        <v>#NAME?</v>
      </c>
      <c r="AU198" s="317">
        <v>427.8</v>
      </c>
      <c r="AV198" s="315" t="e">
        <f t="shared" ca="1" si="139"/>
        <v>#NAME?</v>
      </c>
      <c r="AW198" s="318" t="e">
        <f ca="1">0.0001*BicubicInterpolation('Drag Coef Table'!$B$4:$L$28,AV198,AC198)</f>
        <v>#NAME?</v>
      </c>
      <c r="AX198" s="319" t="e">
        <f t="shared" ca="1" si="140"/>
        <v>#NAME?</v>
      </c>
      <c r="AY198" s="318" t="e">
        <f t="shared" ca="1" si="141"/>
        <v>#NAME?</v>
      </c>
      <c r="AZ198" s="320" t="e">
        <f t="shared" ca="1" si="142"/>
        <v>#NAME?</v>
      </c>
      <c r="BA198" s="321" t="e">
        <f t="shared" ca="1" si="143"/>
        <v>#NAME?</v>
      </c>
      <c r="BB198" s="322" t="e">
        <f t="shared" ca="1" si="144"/>
        <v>#NAME?</v>
      </c>
      <c r="BC198" s="323">
        <v>75.196700000000007</v>
      </c>
      <c r="BD198" s="324" t="e">
        <f t="shared" ca="1" si="145"/>
        <v>#NAME?</v>
      </c>
      <c r="BE198" s="325" t="e">
        <f t="shared" ca="1" si="146"/>
        <v>#NAME?</v>
      </c>
      <c r="BF198" s="324" t="e">
        <f ca="1">BicubicInterpolation('TSFC Eff Table'!$B$4:$E$69,2,BB198)</f>
        <v>#NAME?</v>
      </c>
      <c r="BG198" s="326" t="e">
        <f t="shared" ca="1" si="147"/>
        <v>#NAME?</v>
      </c>
      <c r="BH198" s="694" t="e">
        <f ca="1">IF( S198="LRCINOP",   (1+(0.03/10)*Z198*(1+0.2*AC198^2) )*BicubicInterpolation( 'LRC INOP FF'!$C$4:$AA$21, Y198, U198 )-200, IF(S198 ="HOLDINGINOP", (1+(0.03/10)*Z198*(1+0.2*AC198^2) )*BicubicInterpolation( 'Holding INOP FF'!$C$4:$J$13,  Y198,  U198)/1.05-200,   BA198*BG198))</f>
        <v>#NAME?</v>
      </c>
      <c r="BI198" s="344" t="e">
        <f t="shared" ca="1" si="104"/>
        <v>#NAME?</v>
      </c>
      <c r="BJ198" s="322" t="e">
        <f t="shared" ca="1" si="148"/>
        <v>#NAME?</v>
      </c>
      <c r="BK198" s="338" t="e">
        <f t="shared" ca="1" si="105"/>
        <v>#NAME?</v>
      </c>
      <c r="BL198" s="327" t="e">
        <f t="shared" ca="1" si="149"/>
        <v>#NAME?</v>
      </c>
      <c r="BM198" s="328">
        <f t="shared" si="150"/>
        <v>200</v>
      </c>
      <c r="BN198" s="329" t="e">
        <f t="shared" ca="1" si="151"/>
        <v>#NAME?</v>
      </c>
      <c r="BO198" s="344" t="e">
        <f t="shared" ca="1" si="106"/>
        <v>#NAME?</v>
      </c>
      <c r="BP198" s="320" t="e">
        <f t="shared" ca="1" si="152"/>
        <v>#NAME?</v>
      </c>
      <c r="BQ198" s="344" t="e">
        <f t="shared" ca="1" si="107"/>
        <v>#NAME?</v>
      </c>
      <c r="BR198" s="347" t="e">
        <f t="shared" ca="1" si="108"/>
        <v>#NAME?</v>
      </c>
      <c r="BS198" s="326" t="e">
        <f t="shared" ca="1" si="153"/>
        <v>#NAME?</v>
      </c>
      <c r="BT198" s="437" t="e">
        <f t="shared" ca="1" si="123"/>
        <v>#NAME?</v>
      </c>
      <c r="BU198" s="437" t="e">
        <f t="shared" ca="1" si="124"/>
        <v>#NAME?</v>
      </c>
      <c r="BV198" s="441" t="e">
        <f t="shared" ca="1" si="125"/>
        <v>#NAME?</v>
      </c>
      <c r="BW198" s="442" t="e">
        <f t="shared" ca="1" si="126"/>
        <v>#NAME?</v>
      </c>
      <c r="BX198" s="470" t="e">
        <f t="shared" ca="1" si="96"/>
        <v>#NAME?</v>
      </c>
      <c r="BY198" s="484" t="e">
        <f t="shared" ca="1" si="109"/>
        <v>#NAME?</v>
      </c>
    </row>
    <row r="199" spans="9:77" s="212" customFormat="1" ht="17.75" customHeight="1" x14ac:dyDescent="0.2">
      <c r="I199" s="366">
        <v>115</v>
      </c>
      <c r="J199" s="414">
        <f t="shared" si="110"/>
        <v>41705.792361111373</v>
      </c>
      <c r="K199" s="435" t="e">
        <f t="shared" ca="1" si="111"/>
        <v>#NAME?</v>
      </c>
      <c r="L199" s="435" t="e">
        <f t="shared" ca="1" si="97"/>
        <v>#NAME?</v>
      </c>
      <c r="M199" s="664" t="e">
        <f t="shared" ca="1" si="154"/>
        <v>#NAME?</v>
      </c>
      <c r="N199" s="664" t="e">
        <f t="shared" ca="1" si="155"/>
        <v>#NAME?</v>
      </c>
      <c r="O199" s="140" t="e">
        <f t="shared" ca="1" si="98"/>
        <v>#NAME?</v>
      </c>
      <c r="P199" s="352" t="e">
        <f t="shared" ca="1" si="114"/>
        <v>#NAME?</v>
      </c>
      <c r="Q199" s="665" t="e">
        <f t="shared" ca="1" si="156"/>
        <v>#NAME?</v>
      </c>
      <c r="R199" s="352" t="e">
        <f t="shared" ca="1" si="127"/>
        <v>#NAME?</v>
      </c>
      <c r="S199" s="662" t="e">
        <f t="shared" ca="1" si="100"/>
        <v>#NAME?</v>
      </c>
      <c r="T199" s="443" t="e">
        <f t="shared" ca="1" si="92"/>
        <v>#NAME?</v>
      </c>
      <c r="U199" s="369" t="e">
        <f t="shared" ca="1" si="93"/>
        <v>#NAME?</v>
      </c>
      <c r="V199" s="454" t="e">
        <f t="shared" ca="1" si="101"/>
        <v>#NAME?</v>
      </c>
      <c r="W199" s="457">
        <f t="shared" si="102"/>
        <v>1000</v>
      </c>
      <c r="X199" s="463" t="e">
        <f t="shared" ca="1" si="103"/>
        <v>#NAME?</v>
      </c>
      <c r="Y199" s="455" t="e">
        <f t="shared" ca="1" si="115"/>
        <v>#NAME?</v>
      </c>
      <c r="Z199" s="699">
        <f t="shared" si="94"/>
        <v>8.5</v>
      </c>
      <c r="AA199" s="355" t="str">
        <f t="shared" si="95"/>
        <v>ON</v>
      </c>
      <c r="AB199" s="357">
        <f t="shared" si="128"/>
        <v>1.4999999999999999E-2</v>
      </c>
      <c r="AC199" s="356" t="e">
        <f ca="1">IF(  Y198=0,0,IF(OR(S199="KCAS",S199="INOP",S199="MEFE"),   ( (5*( (   (((1+0.2*(T199/661.4786)^2)^3.5 -1)  )/( (1-6.8755856*10^-6 *100*Y199)^5.2558797) +1)^(2/7) -1) )^0.5),IF(S199="MACH",T199, IF(S199="LRC",BicubicInterpolation( 'LRC Mach'!$C$4:$AL$21, Y199,U199),  IF(S199="MRC",BicubicInterpolation( 'MRC Mach'!$C$3:$T$18, Y199,U199),  IF(S199="M0.84",0.84,  IF(S199="CI52",BicubicInterpolation('CI=52 Mach'!$C$3:$T$18, Y199,U199),  IF(S199="HOLDING",BicubicInterpolation(  'Holding Mach'!$C$4:$M$13, Y199,U199),                         IF(S199="LRCINOP", BicubicInterpolation('LRC INOP Mach'!$C$4:$AA$21,Y199,U199), IF(S199="HOLDINGINOP",  BicubicInterpolation('Holding INOP Mach'!$N$4:$U$13,Y199,U199),         "XXX" )))))))   )))</f>
        <v>#NAME?</v>
      </c>
      <c r="AD199" s="313" t="e">
        <f t="shared" ca="1" si="129"/>
        <v>#NAME?</v>
      </c>
      <c r="AE199" s="314" t="e">
        <f t="shared" ca="1" si="116"/>
        <v>#NAME?</v>
      </c>
      <c r="AF199" s="313" t="e">
        <f t="shared" ca="1" si="130"/>
        <v>#NAME?</v>
      </c>
      <c r="AG199" s="314" t="e">
        <f t="shared" ca="1" si="117"/>
        <v>#NAME?</v>
      </c>
      <c r="AH199" s="313" t="e">
        <f t="shared" ca="1" si="131"/>
        <v>#NAME?</v>
      </c>
      <c r="AI199" s="314" t="e">
        <f t="shared" ca="1" si="118"/>
        <v>#NAME?</v>
      </c>
      <c r="AJ199" s="315" t="e">
        <f t="shared" ca="1" si="119"/>
        <v>#NAME?</v>
      </c>
      <c r="AK199" s="568" t="e">
        <f t="shared" ca="1" si="132"/>
        <v>#NAME?</v>
      </c>
      <c r="AL199" s="313" t="e">
        <f t="shared" ca="1" si="133"/>
        <v>#NAME?</v>
      </c>
      <c r="AM199" s="313" t="e">
        <f t="shared" ca="1" si="120"/>
        <v>#NAME?</v>
      </c>
      <c r="AN199" s="313" t="e">
        <f t="shared" ca="1" si="121"/>
        <v>#NAME?</v>
      </c>
      <c r="AO199" s="316" t="e">
        <f t="shared" ca="1" si="134"/>
        <v>#NAME?</v>
      </c>
      <c r="AP199" s="313" t="e">
        <f t="shared" ca="1" si="135"/>
        <v>#NAME?</v>
      </c>
      <c r="AQ199" s="314" t="e">
        <f t="shared" ca="1" si="122"/>
        <v>#NAME?</v>
      </c>
      <c r="AR199" s="315" t="e">
        <f t="shared" ca="1" si="136"/>
        <v>#NAME?</v>
      </c>
      <c r="AS199" s="316" t="e">
        <f t="shared" ca="1" si="137"/>
        <v>#NAME?</v>
      </c>
      <c r="AT199" s="315" t="e">
        <f t="shared" ca="1" si="138"/>
        <v>#NAME?</v>
      </c>
      <c r="AU199" s="317">
        <v>427.8</v>
      </c>
      <c r="AV199" s="315" t="e">
        <f t="shared" ca="1" si="139"/>
        <v>#NAME?</v>
      </c>
      <c r="AW199" s="318" t="e">
        <f ca="1">0.0001*BicubicInterpolation('Drag Coef Table'!$B$4:$L$28,AV199,AC199)</f>
        <v>#NAME?</v>
      </c>
      <c r="AX199" s="319" t="e">
        <f t="shared" ca="1" si="140"/>
        <v>#NAME?</v>
      </c>
      <c r="AY199" s="318" t="e">
        <f t="shared" ca="1" si="141"/>
        <v>#NAME?</v>
      </c>
      <c r="AZ199" s="320" t="e">
        <f t="shared" ca="1" si="142"/>
        <v>#NAME?</v>
      </c>
      <c r="BA199" s="321" t="e">
        <f t="shared" ca="1" si="143"/>
        <v>#NAME?</v>
      </c>
      <c r="BB199" s="322" t="e">
        <f t="shared" ca="1" si="144"/>
        <v>#NAME?</v>
      </c>
      <c r="BC199" s="323">
        <v>75.196700000000007</v>
      </c>
      <c r="BD199" s="324" t="e">
        <f t="shared" ca="1" si="145"/>
        <v>#NAME?</v>
      </c>
      <c r="BE199" s="325" t="e">
        <f t="shared" ca="1" si="146"/>
        <v>#NAME?</v>
      </c>
      <c r="BF199" s="324" t="e">
        <f ca="1">BicubicInterpolation('TSFC Eff Table'!$B$4:$E$69,2,BB199)</f>
        <v>#NAME?</v>
      </c>
      <c r="BG199" s="326" t="e">
        <f t="shared" ca="1" si="147"/>
        <v>#NAME?</v>
      </c>
      <c r="BH199" s="694" t="e">
        <f ca="1">IF( S199="LRCINOP",   (1+(0.03/10)*Z199*(1+0.2*AC199^2) )*BicubicInterpolation( 'LRC INOP FF'!$C$4:$AA$21, Y199, U199 )-200, IF(S199 ="HOLDINGINOP", (1+(0.03/10)*Z199*(1+0.2*AC199^2) )*BicubicInterpolation( 'Holding INOP FF'!$C$4:$J$13,  Y199,  U199)/1.05-200,   BA199*BG199))</f>
        <v>#NAME?</v>
      </c>
      <c r="BI199" s="344" t="e">
        <f t="shared" ca="1" si="104"/>
        <v>#NAME?</v>
      </c>
      <c r="BJ199" s="322" t="e">
        <f t="shared" ca="1" si="148"/>
        <v>#NAME?</v>
      </c>
      <c r="BK199" s="338" t="e">
        <f t="shared" ca="1" si="105"/>
        <v>#NAME?</v>
      </c>
      <c r="BL199" s="327" t="e">
        <f t="shared" ca="1" si="149"/>
        <v>#NAME?</v>
      </c>
      <c r="BM199" s="328">
        <f t="shared" si="150"/>
        <v>200</v>
      </c>
      <c r="BN199" s="329" t="e">
        <f t="shared" ca="1" si="151"/>
        <v>#NAME?</v>
      </c>
      <c r="BO199" s="344" t="e">
        <f t="shared" ca="1" si="106"/>
        <v>#NAME?</v>
      </c>
      <c r="BP199" s="320" t="e">
        <f t="shared" ca="1" si="152"/>
        <v>#NAME?</v>
      </c>
      <c r="BQ199" s="344" t="e">
        <f t="shared" ca="1" si="107"/>
        <v>#NAME?</v>
      </c>
      <c r="BR199" s="347" t="e">
        <f t="shared" ca="1" si="108"/>
        <v>#NAME?</v>
      </c>
      <c r="BS199" s="326" t="e">
        <f t="shared" ca="1" si="153"/>
        <v>#NAME?</v>
      </c>
      <c r="BT199" s="437" t="e">
        <f t="shared" ca="1" si="123"/>
        <v>#NAME?</v>
      </c>
      <c r="BU199" s="437" t="e">
        <f t="shared" ca="1" si="124"/>
        <v>#NAME?</v>
      </c>
      <c r="BV199" s="441" t="e">
        <f t="shared" ca="1" si="125"/>
        <v>#NAME?</v>
      </c>
      <c r="BW199" s="442" t="e">
        <f t="shared" ca="1" si="126"/>
        <v>#NAME?</v>
      </c>
      <c r="BX199" s="470" t="e">
        <f t="shared" ca="1" si="96"/>
        <v>#NAME?</v>
      </c>
      <c r="BY199" s="484" t="e">
        <f t="shared" ca="1" si="109"/>
        <v>#NAME?</v>
      </c>
    </row>
    <row r="200" spans="9:77" s="212" customFormat="1" ht="17.75" customHeight="1" x14ac:dyDescent="0.2">
      <c r="I200" s="366">
        <v>116</v>
      </c>
      <c r="J200" s="414">
        <f t="shared" si="110"/>
        <v>41705.79305555582</v>
      </c>
      <c r="K200" s="435" t="e">
        <f t="shared" ca="1" si="111"/>
        <v>#NAME?</v>
      </c>
      <c r="L200" s="435" t="e">
        <f t="shared" ca="1" si="97"/>
        <v>#NAME?</v>
      </c>
      <c r="M200" s="664" t="e">
        <f t="shared" ca="1" si="154"/>
        <v>#NAME?</v>
      </c>
      <c r="N200" s="664" t="e">
        <f t="shared" ca="1" si="155"/>
        <v>#NAME?</v>
      </c>
      <c r="O200" s="140" t="e">
        <f t="shared" ca="1" si="98"/>
        <v>#NAME?</v>
      </c>
      <c r="P200" s="352" t="e">
        <f t="shared" ca="1" si="114"/>
        <v>#NAME?</v>
      </c>
      <c r="Q200" s="665" t="e">
        <f t="shared" ca="1" si="156"/>
        <v>#NAME?</v>
      </c>
      <c r="R200" s="352" t="e">
        <f t="shared" ca="1" si="127"/>
        <v>#NAME?</v>
      </c>
      <c r="S200" s="662" t="e">
        <f t="shared" ca="1" si="100"/>
        <v>#NAME?</v>
      </c>
      <c r="T200" s="443" t="e">
        <f t="shared" ca="1" si="92"/>
        <v>#NAME?</v>
      </c>
      <c r="U200" s="369" t="e">
        <f t="shared" ca="1" si="93"/>
        <v>#NAME?</v>
      </c>
      <c r="V200" s="454" t="e">
        <f t="shared" ca="1" si="101"/>
        <v>#NAME?</v>
      </c>
      <c r="W200" s="457">
        <f t="shared" si="102"/>
        <v>1000</v>
      </c>
      <c r="X200" s="463" t="e">
        <f t="shared" ca="1" si="103"/>
        <v>#NAME?</v>
      </c>
      <c r="Y200" s="455" t="e">
        <f t="shared" ca="1" si="115"/>
        <v>#NAME?</v>
      </c>
      <c r="Z200" s="699">
        <f t="shared" si="94"/>
        <v>8.5</v>
      </c>
      <c r="AA200" s="355" t="str">
        <f t="shared" si="95"/>
        <v>ON</v>
      </c>
      <c r="AB200" s="357">
        <f t="shared" si="128"/>
        <v>1.4999999999999999E-2</v>
      </c>
      <c r="AC200" s="356" t="e">
        <f ca="1">IF(  Y199=0,0,IF(OR(S200="KCAS",S200="INOP",S200="MEFE"),   ( (5*( (   (((1+0.2*(T200/661.4786)^2)^3.5 -1)  )/( (1-6.8755856*10^-6 *100*Y200)^5.2558797) +1)^(2/7) -1) )^0.5),IF(S200="MACH",T200, IF(S200="LRC",BicubicInterpolation( 'LRC Mach'!$C$4:$AL$21, Y200,U200),  IF(S200="MRC",BicubicInterpolation( 'MRC Mach'!$C$3:$T$18, Y200,U200),  IF(S200="M0.84",0.84,  IF(S200="CI52",BicubicInterpolation('CI=52 Mach'!$C$3:$T$18, Y200,U200),  IF(S200="HOLDING",BicubicInterpolation(  'Holding Mach'!$C$4:$M$13, Y200,U200),                         IF(S200="LRCINOP", BicubicInterpolation('LRC INOP Mach'!$C$4:$AA$21,Y200,U200), IF(S200="HOLDINGINOP",  BicubicInterpolation('Holding INOP Mach'!$N$4:$U$13,Y200,U200),         "XXX" )))))))   )))</f>
        <v>#NAME?</v>
      </c>
      <c r="AD200" s="313" t="e">
        <f t="shared" ca="1" si="129"/>
        <v>#NAME?</v>
      </c>
      <c r="AE200" s="314" t="e">
        <f t="shared" ca="1" si="116"/>
        <v>#NAME?</v>
      </c>
      <c r="AF200" s="313" t="e">
        <f t="shared" ca="1" si="130"/>
        <v>#NAME?</v>
      </c>
      <c r="AG200" s="314" t="e">
        <f t="shared" ca="1" si="117"/>
        <v>#NAME?</v>
      </c>
      <c r="AH200" s="313" t="e">
        <f t="shared" ca="1" si="131"/>
        <v>#NAME?</v>
      </c>
      <c r="AI200" s="314" t="e">
        <f t="shared" ca="1" si="118"/>
        <v>#NAME?</v>
      </c>
      <c r="AJ200" s="315" t="e">
        <f t="shared" ca="1" si="119"/>
        <v>#NAME?</v>
      </c>
      <c r="AK200" s="568" t="e">
        <f t="shared" ca="1" si="132"/>
        <v>#NAME?</v>
      </c>
      <c r="AL200" s="313" t="e">
        <f t="shared" ca="1" si="133"/>
        <v>#NAME?</v>
      </c>
      <c r="AM200" s="313" t="e">
        <f t="shared" ca="1" si="120"/>
        <v>#NAME?</v>
      </c>
      <c r="AN200" s="313" t="e">
        <f t="shared" ca="1" si="121"/>
        <v>#NAME?</v>
      </c>
      <c r="AO200" s="316" t="e">
        <f t="shared" ca="1" si="134"/>
        <v>#NAME?</v>
      </c>
      <c r="AP200" s="313" t="e">
        <f t="shared" ca="1" si="135"/>
        <v>#NAME?</v>
      </c>
      <c r="AQ200" s="314" t="e">
        <f t="shared" ca="1" si="122"/>
        <v>#NAME?</v>
      </c>
      <c r="AR200" s="315" t="e">
        <f t="shared" ca="1" si="136"/>
        <v>#NAME?</v>
      </c>
      <c r="AS200" s="316" t="e">
        <f t="shared" ca="1" si="137"/>
        <v>#NAME?</v>
      </c>
      <c r="AT200" s="315" t="e">
        <f t="shared" ca="1" si="138"/>
        <v>#NAME?</v>
      </c>
      <c r="AU200" s="317">
        <v>427.8</v>
      </c>
      <c r="AV200" s="315" t="e">
        <f t="shared" ca="1" si="139"/>
        <v>#NAME?</v>
      </c>
      <c r="AW200" s="318" t="e">
        <f ca="1">0.0001*BicubicInterpolation('Drag Coef Table'!$B$4:$L$28,AV200,AC200)</f>
        <v>#NAME?</v>
      </c>
      <c r="AX200" s="319" t="e">
        <f t="shared" ca="1" si="140"/>
        <v>#NAME?</v>
      </c>
      <c r="AY200" s="318" t="e">
        <f t="shared" ca="1" si="141"/>
        <v>#NAME?</v>
      </c>
      <c r="AZ200" s="320" t="e">
        <f t="shared" ca="1" si="142"/>
        <v>#NAME?</v>
      </c>
      <c r="BA200" s="321" t="e">
        <f t="shared" ca="1" si="143"/>
        <v>#NAME?</v>
      </c>
      <c r="BB200" s="322" t="e">
        <f t="shared" ca="1" si="144"/>
        <v>#NAME?</v>
      </c>
      <c r="BC200" s="323">
        <v>75.196700000000007</v>
      </c>
      <c r="BD200" s="324" t="e">
        <f t="shared" ca="1" si="145"/>
        <v>#NAME?</v>
      </c>
      <c r="BE200" s="325" t="e">
        <f t="shared" ca="1" si="146"/>
        <v>#NAME?</v>
      </c>
      <c r="BF200" s="324" t="e">
        <f ca="1">BicubicInterpolation('TSFC Eff Table'!$B$4:$E$69,2,BB200)</f>
        <v>#NAME?</v>
      </c>
      <c r="BG200" s="326" t="e">
        <f t="shared" ca="1" si="147"/>
        <v>#NAME?</v>
      </c>
      <c r="BH200" s="694" t="e">
        <f ca="1">IF( S200="LRCINOP",   (1+(0.03/10)*Z200*(1+0.2*AC200^2) )*BicubicInterpolation( 'LRC INOP FF'!$C$4:$AA$21, Y200, U200 )-200, IF(S200 ="HOLDINGINOP", (1+(0.03/10)*Z200*(1+0.2*AC200^2) )*BicubicInterpolation( 'Holding INOP FF'!$C$4:$J$13,  Y200,  U200)/1.05-200,   BA200*BG200))</f>
        <v>#NAME?</v>
      </c>
      <c r="BI200" s="344" t="e">
        <f t="shared" ca="1" si="104"/>
        <v>#NAME?</v>
      </c>
      <c r="BJ200" s="322" t="e">
        <f t="shared" ca="1" si="148"/>
        <v>#NAME?</v>
      </c>
      <c r="BK200" s="338" t="e">
        <f t="shared" ca="1" si="105"/>
        <v>#NAME?</v>
      </c>
      <c r="BL200" s="327" t="e">
        <f t="shared" ca="1" si="149"/>
        <v>#NAME?</v>
      </c>
      <c r="BM200" s="328">
        <f t="shared" si="150"/>
        <v>200</v>
      </c>
      <c r="BN200" s="329" t="e">
        <f t="shared" ca="1" si="151"/>
        <v>#NAME?</v>
      </c>
      <c r="BO200" s="344" t="e">
        <f t="shared" ca="1" si="106"/>
        <v>#NAME?</v>
      </c>
      <c r="BP200" s="320" t="e">
        <f t="shared" ca="1" si="152"/>
        <v>#NAME?</v>
      </c>
      <c r="BQ200" s="344" t="e">
        <f t="shared" ca="1" si="107"/>
        <v>#NAME?</v>
      </c>
      <c r="BR200" s="347" t="e">
        <f t="shared" ca="1" si="108"/>
        <v>#NAME?</v>
      </c>
      <c r="BS200" s="326" t="e">
        <f t="shared" ca="1" si="153"/>
        <v>#NAME?</v>
      </c>
      <c r="BT200" s="437" t="e">
        <f t="shared" ca="1" si="123"/>
        <v>#NAME?</v>
      </c>
      <c r="BU200" s="437" t="e">
        <f t="shared" ca="1" si="124"/>
        <v>#NAME?</v>
      </c>
      <c r="BV200" s="441" t="e">
        <f t="shared" ca="1" si="125"/>
        <v>#NAME?</v>
      </c>
      <c r="BW200" s="442" t="e">
        <f t="shared" ca="1" si="126"/>
        <v>#NAME?</v>
      </c>
      <c r="BX200" s="470" t="e">
        <f t="shared" ca="1" si="96"/>
        <v>#NAME?</v>
      </c>
      <c r="BY200" s="484" t="e">
        <f t="shared" ca="1" si="109"/>
        <v>#NAME?</v>
      </c>
    </row>
    <row r="201" spans="9:77" s="212" customFormat="1" ht="17.75" customHeight="1" x14ac:dyDescent="0.2">
      <c r="I201" s="366">
        <v>117</v>
      </c>
      <c r="J201" s="414">
        <f t="shared" si="110"/>
        <v>41705.793750000266</v>
      </c>
      <c r="K201" s="435" t="e">
        <f t="shared" ca="1" si="111"/>
        <v>#NAME?</v>
      </c>
      <c r="L201" s="435" t="e">
        <f t="shared" ca="1" si="97"/>
        <v>#NAME?</v>
      </c>
      <c r="M201" s="664" t="e">
        <f t="shared" ca="1" si="154"/>
        <v>#NAME?</v>
      </c>
      <c r="N201" s="664" t="e">
        <f t="shared" ca="1" si="155"/>
        <v>#NAME?</v>
      </c>
      <c r="O201" s="140" t="e">
        <f t="shared" ca="1" si="98"/>
        <v>#NAME?</v>
      </c>
      <c r="P201" s="352" t="e">
        <f t="shared" ca="1" si="114"/>
        <v>#NAME?</v>
      </c>
      <c r="Q201" s="665" t="e">
        <f t="shared" ca="1" si="156"/>
        <v>#NAME?</v>
      </c>
      <c r="R201" s="352" t="e">
        <f t="shared" ca="1" si="127"/>
        <v>#NAME?</v>
      </c>
      <c r="S201" s="662" t="e">
        <f t="shared" ca="1" si="100"/>
        <v>#NAME?</v>
      </c>
      <c r="T201" s="443" t="e">
        <f t="shared" ca="1" si="92"/>
        <v>#NAME?</v>
      </c>
      <c r="U201" s="369" t="e">
        <f t="shared" ca="1" si="93"/>
        <v>#NAME?</v>
      </c>
      <c r="V201" s="454" t="e">
        <f t="shared" ca="1" si="101"/>
        <v>#NAME?</v>
      </c>
      <c r="W201" s="457">
        <f t="shared" si="102"/>
        <v>1000</v>
      </c>
      <c r="X201" s="463" t="e">
        <f t="shared" ca="1" si="103"/>
        <v>#NAME?</v>
      </c>
      <c r="Y201" s="455" t="e">
        <f t="shared" ca="1" si="115"/>
        <v>#NAME?</v>
      </c>
      <c r="Z201" s="699">
        <f t="shared" si="94"/>
        <v>8.5</v>
      </c>
      <c r="AA201" s="355" t="str">
        <f t="shared" si="95"/>
        <v>ON</v>
      </c>
      <c r="AB201" s="357">
        <f t="shared" si="128"/>
        <v>1.4999999999999999E-2</v>
      </c>
      <c r="AC201" s="356" t="e">
        <f ca="1">IF(  Y200=0,0,IF(OR(S201="KCAS",S201="INOP",S201="MEFE"),   ( (5*( (   (((1+0.2*(T201/661.4786)^2)^3.5 -1)  )/( (1-6.8755856*10^-6 *100*Y201)^5.2558797) +1)^(2/7) -1) )^0.5),IF(S201="MACH",T201, IF(S201="LRC",BicubicInterpolation( 'LRC Mach'!$C$4:$AL$21, Y201,U201),  IF(S201="MRC",BicubicInterpolation( 'MRC Mach'!$C$3:$T$18, Y201,U201),  IF(S201="M0.84",0.84,  IF(S201="CI52",BicubicInterpolation('CI=52 Mach'!$C$3:$T$18, Y201,U201),  IF(S201="HOLDING",BicubicInterpolation(  'Holding Mach'!$C$4:$M$13, Y201,U201),                         IF(S201="LRCINOP", BicubicInterpolation('LRC INOP Mach'!$C$4:$AA$21,Y201,U201), IF(S201="HOLDINGINOP",  BicubicInterpolation('Holding INOP Mach'!$N$4:$U$13,Y201,U201),         "XXX" )))))))   )))</f>
        <v>#NAME?</v>
      </c>
      <c r="AD201" s="313" t="e">
        <f t="shared" ca="1" si="129"/>
        <v>#NAME?</v>
      </c>
      <c r="AE201" s="314" t="e">
        <f t="shared" ca="1" si="116"/>
        <v>#NAME?</v>
      </c>
      <c r="AF201" s="313" t="e">
        <f t="shared" ca="1" si="130"/>
        <v>#NAME?</v>
      </c>
      <c r="AG201" s="314" t="e">
        <f t="shared" ca="1" si="117"/>
        <v>#NAME?</v>
      </c>
      <c r="AH201" s="313" t="e">
        <f t="shared" ca="1" si="131"/>
        <v>#NAME?</v>
      </c>
      <c r="AI201" s="314" t="e">
        <f t="shared" ca="1" si="118"/>
        <v>#NAME?</v>
      </c>
      <c r="AJ201" s="315" t="e">
        <f t="shared" ca="1" si="119"/>
        <v>#NAME?</v>
      </c>
      <c r="AK201" s="568" t="e">
        <f t="shared" ca="1" si="132"/>
        <v>#NAME?</v>
      </c>
      <c r="AL201" s="313" t="e">
        <f t="shared" ca="1" si="133"/>
        <v>#NAME?</v>
      </c>
      <c r="AM201" s="313" t="e">
        <f t="shared" ca="1" si="120"/>
        <v>#NAME?</v>
      </c>
      <c r="AN201" s="313" t="e">
        <f t="shared" ca="1" si="121"/>
        <v>#NAME?</v>
      </c>
      <c r="AO201" s="316" t="e">
        <f t="shared" ca="1" si="134"/>
        <v>#NAME?</v>
      </c>
      <c r="AP201" s="313" t="e">
        <f t="shared" ca="1" si="135"/>
        <v>#NAME?</v>
      </c>
      <c r="AQ201" s="314" t="e">
        <f t="shared" ca="1" si="122"/>
        <v>#NAME?</v>
      </c>
      <c r="AR201" s="315" t="e">
        <f t="shared" ca="1" si="136"/>
        <v>#NAME?</v>
      </c>
      <c r="AS201" s="316" t="e">
        <f t="shared" ca="1" si="137"/>
        <v>#NAME?</v>
      </c>
      <c r="AT201" s="315" t="e">
        <f t="shared" ca="1" si="138"/>
        <v>#NAME?</v>
      </c>
      <c r="AU201" s="317">
        <v>427.8</v>
      </c>
      <c r="AV201" s="315" t="e">
        <f t="shared" ca="1" si="139"/>
        <v>#NAME?</v>
      </c>
      <c r="AW201" s="318" t="e">
        <f ca="1">0.0001*BicubicInterpolation('Drag Coef Table'!$B$4:$L$28,AV201,AC201)</f>
        <v>#NAME?</v>
      </c>
      <c r="AX201" s="319" t="e">
        <f t="shared" ca="1" si="140"/>
        <v>#NAME?</v>
      </c>
      <c r="AY201" s="318" t="e">
        <f t="shared" ca="1" si="141"/>
        <v>#NAME?</v>
      </c>
      <c r="AZ201" s="320" t="e">
        <f t="shared" ca="1" si="142"/>
        <v>#NAME?</v>
      </c>
      <c r="BA201" s="321" t="e">
        <f t="shared" ca="1" si="143"/>
        <v>#NAME?</v>
      </c>
      <c r="BB201" s="322" t="e">
        <f t="shared" ca="1" si="144"/>
        <v>#NAME?</v>
      </c>
      <c r="BC201" s="323">
        <v>75.196700000000007</v>
      </c>
      <c r="BD201" s="324" t="e">
        <f t="shared" ca="1" si="145"/>
        <v>#NAME?</v>
      </c>
      <c r="BE201" s="325" t="e">
        <f t="shared" ca="1" si="146"/>
        <v>#NAME?</v>
      </c>
      <c r="BF201" s="324" t="e">
        <f ca="1">BicubicInterpolation('TSFC Eff Table'!$B$4:$E$69,2,BB201)</f>
        <v>#NAME?</v>
      </c>
      <c r="BG201" s="326" t="e">
        <f t="shared" ca="1" si="147"/>
        <v>#NAME?</v>
      </c>
      <c r="BH201" s="694" t="e">
        <f ca="1">IF( S201="LRCINOP",   (1+(0.03/10)*Z201*(1+0.2*AC201^2) )*BicubicInterpolation( 'LRC INOP FF'!$C$4:$AA$21, Y201, U201 )-200, IF(S201 ="HOLDINGINOP", (1+(0.03/10)*Z201*(1+0.2*AC201^2) )*BicubicInterpolation( 'Holding INOP FF'!$C$4:$J$13,  Y201,  U201)/1.05-200,   BA201*BG201))</f>
        <v>#NAME?</v>
      </c>
      <c r="BI201" s="344" t="e">
        <f t="shared" ca="1" si="104"/>
        <v>#NAME?</v>
      </c>
      <c r="BJ201" s="322" t="e">
        <f t="shared" ca="1" si="148"/>
        <v>#NAME?</v>
      </c>
      <c r="BK201" s="338" t="e">
        <f t="shared" ca="1" si="105"/>
        <v>#NAME?</v>
      </c>
      <c r="BL201" s="327" t="e">
        <f t="shared" ca="1" si="149"/>
        <v>#NAME?</v>
      </c>
      <c r="BM201" s="328">
        <f t="shared" si="150"/>
        <v>200</v>
      </c>
      <c r="BN201" s="329" t="e">
        <f t="shared" ca="1" si="151"/>
        <v>#NAME?</v>
      </c>
      <c r="BO201" s="344" t="e">
        <f t="shared" ca="1" si="106"/>
        <v>#NAME?</v>
      </c>
      <c r="BP201" s="320" t="e">
        <f t="shared" ca="1" si="152"/>
        <v>#NAME?</v>
      </c>
      <c r="BQ201" s="344" t="e">
        <f t="shared" ca="1" si="107"/>
        <v>#NAME?</v>
      </c>
      <c r="BR201" s="347" t="e">
        <f t="shared" ca="1" si="108"/>
        <v>#NAME?</v>
      </c>
      <c r="BS201" s="326" t="e">
        <f t="shared" ca="1" si="153"/>
        <v>#NAME?</v>
      </c>
      <c r="BT201" s="437" t="e">
        <f t="shared" ca="1" si="123"/>
        <v>#NAME?</v>
      </c>
      <c r="BU201" s="437" t="e">
        <f t="shared" ca="1" si="124"/>
        <v>#NAME?</v>
      </c>
      <c r="BV201" s="441" t="e">
        <f t="shared" ca="1" si="125"/>
        <v>#NAME?</v>
      </c>
      <c r="BW201" s="442" t="e">
        <f t="shared" ca="1" si="126"/>
        <v>#NAME?</v>
      </c>
      <c r="BX201" s="470" t="e">
        <f t="shared" ca="1" si="96"/>
        <v>#NAME?</v>
      </c>
      <c r="BY201" s="484" t="e">
        <f t="shared" ca="1" si="109"/>
        <v>#NAME?</v>
      </c>
    </row>
    <row r="202" spans="9:77" s="212" customFormat="1" ht="17.75" customHeight="1" x14ac:dyDescent="0.2">
      <c r="I202" s="366">
        <v>118</v>
      </c>
      <c r="J202" s="414">
        <f t="shared" si="110"/>
        <v>41705.794444444713</v>
      </c>
      <c r="K202" s="435" t="e">
        <f t="shared" ca="1" si="111"/>
        <v>#NAME?</v>
      </c>
      <c r="L202" s="435" t="e">
        <f t="shared" ca="1" si="97"/>
        <v>#NAME?</v>
      </c>
      <c r="M202" s="664" t="e">
        <f t="shared" ca="1" si="154"/>
        <v>#NAME?</v>
      </c>
      <c r="N202" s="664" t="e">
        <f t="shared" ca="1" si="155"/>
        <v>#NAME?</v>
      </c>
      <c r="O202" s="140" t="e">
        <f t="shared" ca="1" si="98"/>
        <v>#NAME?</v>
      </c>
      <c r="P202" s="352" t="e">
        <f t="shared" ca="1" si="114"/>
        <v>#NAME?</v>
      </c>
      <c r="Q202" s="665" t="e">
        <f t="shared" ca="1" si="156"/>
        <v>#NAME?</v>
      </c>
      <c r="R202" s="352" t="e">
        <f t="shared" ca="1" si="127"/>
        <v>#NAME?</v>
      </c>
      <c r="S202" s="662" t="e">
        <f t="shared" ca="1" si="100"/>
        <v>#NAME?</v>
      </c>
      <c r="T202" s="443" t="e">
        <f t="shared" ca="1" si="92"/>
        <v>#NAME?</v>
      </c>
      <c r="U202" s="369" t="e">
        <f t="shared" ca="1" si="93"/>
        <v>#NAME?</v>
      </c>
      <c r="V202" s="454" t="e">
        <f t="shared" ca="1" si="101"/>
        <v>#NAME?</v>
      </c>
      <c r="W202" s="457">
        <f t="shared" si="102"/>
        <v>1000</v>
      </c>
      <c r="X202" s="463" t="e">
        <f t="shared" ca="1" si="103"/>
        <v>#NAME?</v>
      </c>
      <c r="Y202" s="455" t="e">
        <f t="shared" ca="1" si="115"/>
        <v>#NAME?</v>
      </c>
      <c r="Z202" s="699">
        <f t="shared" si="94"/>
        <v>8.5</v>
      </c>
      <c r="AA202" s="355" t="str">
        <f t="shared" si="95"/>
        <v>ON</v>
      </c>
      <c r="AB202" s="357">
        <f t="shared" si="128"/>
        <v>1.4999999999999999E-2</v>
      </c>
      <c r="AC202" s="356" t="e">
        <f ca="1">IF(  Y201=0,0,IF(OR(S202="KCAS",S202="INOP",S202="MEFE"),   ( (5*( (   (((1+0.2*(T202/661.4786)^2)^3.5 -1)  )/( (1-6.8755856*10^-6 *100*Y202)^5.2558797) +1)^(2/7) -1) )^0.5),IF(S202="MACH",T202, IF(S202="LRC",BicubicInterpolation( 'LRC Mach'!$C$4:$AL$21, Y202,U202),  IF(S202="MRC",BicubicInterpolation( 'MRC Mach'!$C$3:$T$18, Y202,U202),  IF(S202="M0.84",0.84,  IF(S202="CI52",BicubicInterpolation('CI=52 Mach'!$C$3:$T$18, Y202,U202),  IF(S202="HOLDING",BicubicInterpolation(  'Holding Mach'!$C$4:$M$13, Y202,U202),                         IF(S202="LRCINOP", BicubicInterpolation('LRC INOP Mach'!$C$4:$AA$21,Y202,U202), IF(S202="HOLDINGINOP",  BicubicInterpolation('Holding INOP Mach'!$N$4:$U$13,Y202,U202),         "XXX" )))))))   )))</f>
        <v>#NAME?</v>
      </c>
      <c r="AD202" s="313" t="e">
        <f t="shared" ca="1" si="129"/>
        <v>#NAME?</v>
      </c>
      <c r="AE202" s="314" t="e">
        <f t="shared" ca="1" si="116"/>
        <v>#NAME?</v>
      </c>
      <c r="AF202" s="313" t="e">
        <f t="shared" ca="1" si="130"/>
        <v>#NAME?</v>
      </c>
      <c r="AG202" s="314" t="e">
        <f t="shared" ca="1" si="117"/>
        <v>#NAME?</v>
      </c>
      <c r="AH202" s="313" t="e">
        <f t="shared" ca="1" si="131"/>
        <v>#NAME?</v>
      </c>
      <c r="AI202" s="314" t="e">
        <f t="shared" ca="1" si="118"/>
        <v>#NAME?</v>
      </c>
      <c r="AJ202" s="315" t="e">
        <f t="shared" ca="1" si="119"/>
        <v>#NAME?</v>
      </c>
      <c r="AK202" s="568" t="e">
        <f t="shared" ca="1" si="132"/>
        <v>#NAME?</v>
      </c>
      <c r="AL202" s="313" t="e">
        <f t="shared" ca="1" si="133"/>
        <v>#NAME?</v>
      </c>
      <c r="AM202" s="313" t="e">
        <f t="shared" ca="1" si="120"/>
        <v>#NAME?</v>
      </c>
      <c r="AN202" s="313" t="e">
        <f t="shared" ca="1" si="121"/>
        <v>#NAME?</v>
      </c>
      <c r="AO202" s="316" t="e">
        <f t="shared" ca="1" si="134"/>
        <v>#NAME?</v>
      </c>
      <c r="AP202" s="313" t="e">
        <f t="shared" ca="1" si="135"/>
        <v>#NAME?</v>
      </c>
      <c r="AQ202" s="314" t="e">
        <f t="shared" ca="1" si="122"/>
        <v>#NAME?</v>
      </c>
      <c r="AR202" s="315" t="e">
        <f t="shared" ca="1" si="136"/>
        <v>#NAME?</v>
      </c>
      <c r="AS202" s="316" t="e">
        <f t="shared" ca="1" si="137"/>
        <v>#NAME?</v>
      </c>
      <c r="AT202" s="315" t="e">
        <f t="shared" ca="1" si="138"/>
        <v>#NAME?</v>
      </c>
      <c r="AU202" s="317">
        <v>427.8</v>
      </c>
      <c r="AV202" s="315" t="e">
        <f t="shared" ca="1" si="139"/>
        <v>#NAME?</v>
      </c>
      <c r="AW202" s="318" t="e">
        <f ca="1">0.0001*BicubicInterpolation('Drag Coef Table'!$B$4:$L$28,AV202,AC202)</f>
        <v>#NAME?</v>
      </c>
      <c r="AX202" s="319" t="e">
        <f t="shared" ca="1" si="140"/>
        <v>#NAME?</v>
      </c>
      <c r="AY202" s="318" t="e">
        <f t="shared" ca="1" si="141"/>
        <v>#NAME?</v>
      </c>
      <c r="AZ202" s="320" t="e">
        <f t="shared" ca="1" si="142"/>
        <v>#NAME?</v>
      </c>
      <c r="BA202" s="321" t="e">
        <f t="shared" ca="1" si="143"/>
        <v>#NAME?</v>
      </c>
      <c r="BB202" s="322" t="e">
        <f t="shared" ca="1" si="144"/>
        <v>#NAME?</v>
      </c>
      <c r="BC202" s="323">
        <v>75.196700000000007</v>
      </c>
      <c r="BD202" s="324" t="e">
        <f t="shared" ca="1" si="145"/>
        <v>#NAME?</v>
      </c>
      <c r="BE202" s="325" t="e">
        <f t="shared" ca="1" si="146"/>
        <v>#NAME?</v>
      </c>
      <c r="BF202" s="324" t="e">
        <f ca="1">BicubicInterpolation('TSFC Eff Table'!$B$4:$E$69,2,BB202)</f>
        <v>#NAME?</v>
      </c>
      <c r="BG202" s="326" t="e">
        <f t="shared" ca="1" si="147"/>
        <v>#NAME?</v>
      </c>
      <c r="BH202" s="694" t="e">
        <f ca="1">IF( S202="LRCINOP",   (1+(0.03/10)*Z202*(1+0.2*AC202^2) )*BicubicInterpolation( 'LRC INOP FF'!$C$4:$AA$21, Y202, U202 )-200, IF(S202 ="HOLDINGINOP", (1+(0.03/10)*Z202*(1+0.2*AC202^2) )*BicubicInterpolation( 'Holding INOP FF'!$C$4:$J$13,  Y202,  U202)/1.05-200,   BA202*BG202))</f>
        <v>#NAME?</v>
      </c>
      <c r="BI202" s="344" t="e">
        <f t="shared" ca="1" si="104"/>
        <v>#NAME?</v>
      </c>
      <c r="BJ202" s="322" t="e">
        <f t="shared" ca="1" si="148"/>
        <v>#NAME?</v>
      </c>
      <c r="BK202" s="338" t="e">
        <f t="shared" ca="1" si="105"/>
        <v>#NAME?</v>
      </c>
      <c r="BL202" s="327" t="e">
        <f t="shared" ca="1" si="149"/>
        <v>#NAME?</v>
      </c>
      <c r="BM202" s="328">
        <f t="shared" si="150"/>
        <v>200</v>
      </c>
      <c r="BN202" s="329" t="e">
        <f t="shared" ca="1" si="151"/>
        <v>#NAME?</v>
      </c>
      <c r="BO202" s="344" t="e">
        <f t="shared" ca="1" si="106"/>
        <v>#NAME?</v>
      </c>
      <c r="BP202" s="320" t="e">
        <f t="shared" ca="1" si="152"/>
        <v>#NAME?</v>
      </c>
      <c r="BQ202" s="344" t="e">
        <f t="shared" ca="1" si="107"/>
        <v>#NAME?</v>
      </c>
      <c r="BR202" s="347" t="e">
        <f t="shared" ca="1" si="108"/>
        <v>#NAME?</v>
      </c>
      <c r="BS202" s="326" t="e">
        <f t="shared" ca="1" si="153"/>
        <v>#NAME?</v>
      </c>
      <c r="BT202" s="437" t="e">
        <f t="shared" ca="1" si="123"/>
        <v>#NAME?</v>
      </c>
      <c r="BU202" s="437" t="e">
        <f t="shared" ca="1" si="124"/>
        <v>#NAME?</v>
      </c>
      <c r="BV202" s="441" t="e">
        <f t="shared" ca="1" si="125"/>
        <v>#NAME?</v>
      </c>
      <c r="BW202" s="442" t="e">
        <f t="shared" ca="1" si="126"/>
        <v>#NAME?</v>
      </c>
      <c r="BX202" s="470" t="e">
        <f t="shared" ca="1" si="96"/>
        <v>#NAME?</v>
      </c>
      <c r="BY202" s="484" t="e">
        <f t="shared" ca="1" si="109"/>
        <v>#NAME?</v>
      </c>
    </row>
    <row r="203" spans="9:77" ht="17.75" customHeight="1" x14ac:dyDescent="0.2">
      <c r="I203" s="366">
        <v>119</v>
      </c>
      <c r="J203" s="414">
        <f t="shared" si="110"/>
        <v>41705.79513888916</v>
      </c>
      <c r="K203" s="435" t="e">
        <f t="shared" ca="1" si="111"/>
        <v>#NAME?</v>
      </c>
      <c r="L203" s="435" t="e">
        <f t="shared" ca="1" si="97"/>
        <v>#NAME?</v>
      </c>
      <c r="M203" s="664" t="e">
        <f t="shared" ca="1" si="154"/>
        <v>#NAME?</v>
      </c>
      <c r="N203" s="664" t="e">
        <f t="shared" ca="1" si="155"/>
        <v>#NAME?</v>
      </c>
      <c r="O203" s="140" t="e">
        <f t="shared" ca="1" si="98"/>
        <v>#NAME?</v>
      </c>
      <c r="P203" s="352" t="e">
        <f t="shared" ca="1" si="114"/>
        <v>#NAME?</v>
      </c>
      <c r="Q203" s="665" t="e">
        <f t="shared" ca="1" si="156"/>
        <v>#NAME?</v>
      </c>
      <c r="R203" s="352" t="e">
        <f t="shared" ca="1" si="127"/>
        <v>#NAME?</v>
      </c>
      <c r="S203" s="662" t="e">
        <f t="shared" ca="1" si="100"/>
        <v>#NAME?</v>
      </c>
      <c r="T203" s="443" t="e">
        <f t="shared" ca="1" si="92"/>
        <v>#NAME?</v>
      </c>
      <c r="U203" s="369" t="e">
        <f t="shared" ca="1" si="93"/>
        <v>#NAME?</v>
      </c>
      <c r="V203" s="454" t="e">
        <f t="shared" ca="1" si="101"/>
        <v>#NAME?</v>
      </c>
      <c r="W203" s="457">
        <f t="shared" si="102"/>
        <v>1000</v>
      </c>
      <c r="X203" s="463" t="e">
        <f t="shared" ca="1" si="103"/>
        <v>#NAME?</v>
      </c>
      <c r="Y203" s="455" t="e">
        <f t="shared" ca="1" si="115"/>
        <v>#NAME?</v>
      </c>
      <c r="Z203" s="699">
        <f t="shared" si="94"/>
        <v>8.5</v>
      </c>
      <c r="AA203" s="355" t="str">
        <f t="shared" si="95"/>
        <v>ON</v>
      </c>
      <c r="AB203" s="357">
        <f t="shared" si="128"/>
        <v>1.4999999999999999E-2</v>
      </c>
      <c r="AC203" s="356" t="e">
        <f ca="1">IF(  Y202=0,0,IF(OR(S203="KCAS",S203="INOP",S203="MEFE"),   ( (5*( (   (((1+0.2*(T203/661.4786)^2)^3.5 -1)  )/( (1-6.8755856*10^-6 *100*Y203)^5.2558797) +1)^(2/7) -1) )^0.5),IF(S203="MACH",T203, IF(S203="LRC",BicubicInterpolation( 'LRC Mach'!$C$4:$AL$21, Y203,U203),  IF(S203="MRC",BicubicInterpolation( 'MRC Mach'!$C$3:$T$18, Y203,U203),  IF(S203="M0.84",0.84,  IF(S203="CI52",BicubicInterpolation('CI=52 Mach'!$C$3:$T$18, Y203,U203),  IF(S203="HOLDING",BicubicInterpolation(  'Holding Mach'!$C$4:$M$13, Y203,U203),                         IF(S203="LRCINOP", BicubicInterpolation('LRC INOP Mach'!$C$4:$AA$21,Y203,U203), IF(S203="HOLDINGINOP",  BicubicInterpolation('Holding INOP Mach'!$N$4:$U$13,Y203,U203),         "XXX" )))))))   )))</f>
        <v>#NAME?</v>
      </c>
      <c r="AD203" s="313" t="e">
        <f t="shared" ca="1" si="129"/>
        <v>#NAME?</v>
      </c>
      <c r="AE203" s="314" t="e">
        <f t="shared" ca="1" si="116"/>
        <v>#NAME?</v>
      </c>
      <c r="AF203" s="313" t="e">
        <f t="shared" ca="1" si="130"/>
        <v>#NAME?</v>
      </c>
      <c r="AG203" s="314" t="e">
        <f t="shared" ca="1" si="117"/>
        <v>#NAME?</v>
      </c>
      <c r="AH203" s="313" t="e">
        <f t="shared" ca="1" si="131"/>
        <v>#NAME?</v>
      </c>
      <c r="AI203" s="314" t="e">
        <f t="shared" ca="1" si="118"/>
        <v>#NAME?</v>
      </c>
      <c r="AJ203" s="315" t="e">
        <f t="shared" ca="1" si="119"/>
        <v>#NAME?</v>
      </c>
      <c r="AK203" s="568" t="e">
        <f t="shared" ca="1" si="132"/>
        <v>#NAME?</v>
      </c>
      <c r="AL203" s="313" t="e">
        <f t="shared" ca="1" si="133"/>
        <v>#NAME?</v>
      </c>
      <c r="AM203" s="313" t="e">
        <f t="shared" ca="1" si="120"/>
        <v>#NAME?</v>
      </c>
      <c r="AN203" s="313" t="e">
        <f t="shared" ca="1" si="121"/>
        <v>#NAME?</v>
      </c>
      <c r="AO203" s="316" t="e">
        <f t="shared" ca="1" si="134"/>
        <v>#NAME?</v>
      </c>
      <c r="AP203" s="313" t="e">
        <f t="shared" ca="1" si="135"/>
        <v>#NAME?</v>
      </c>
      <c r="AQ203" s="314" t="e">
        <f t="shared" ca="1" si="122"/>
        <v>#NAME?</v>
      </c>
      <c r="AR203" s="315" t="e">
        <f t="shared" ca="1" si="136"/>
        <v>#NAME?</v>
      </c>
      <c r="AS203" s="316" t="e">
        <f t="shared" ca="1" si="137"/>
        <v>#NAME?</v>
      </c>
      <c r="AT203" s="315" t="e">
        <f t="shared" ca="1" si="138"/>
        <v>#NAME?</v>
      </c>
      <c r="AU203" s="317">
        <v>427.8</v>
      </c>
      <c r="AV203" s="315" t="e">
        <f t="shared" ca="1" si="139"/>
        <v>#NAME?</v>
      </c>
      <c r="AW203" s="318" t="e">
        <f ca="1">0.0001*BicubicInterpolation('Drag Coef Table'!$B$4:$L$28,AV203,AC203)</f>
        <v>#NAME?</v>
      </c>
      <c r="AX203" s="319" t="e">
        <f t="shared" ca="1" si="140"/>
        <v>#NAME?</v>
      </c>
      <c r="AY203" s="318" t="e">
        <f t="shared" ca="1" si="141"/>
        <v>#NAME?</v>
      </c>
      <c r="AZ203" s="320" t="e">
        <f t="shared" ca="1" si="142"/>
        <v>#NAME?</v>
      </c>
      <c r="BA203" s="321" t="e">
        <f t="shared" ca="1" si="143"/>
        <v>#NAME?</v>
      </c>
      <c r="BB203" s="322" t="e">
        <f t="shared" ca="1" si="144"/>
        <v>#NAME?</v>
      </c>
      <c r="BC203" s="323">
        <v>75.196700000000007</v>
      </c>
      <c r="BD203" s="324" t="e">
        <f t="shared" ca="1" si="145"/>
        <v>#NAME?</v>
      </c>
      <c r="BE203" s="325" t="e">
        <f t="shared" ca="1" si="146"/>
        <v>#NAME?</v>
      </c>
      <c r="BF203" s="324" t="e">
        <f ca="1">BicubicInterpolation('TSFC Eff Table'!$B$4:$E$69,2,BB203)</f>
        <v>#NAME?</v>
      </c>
      <c r="BG203" s="326" t="e">
        <f t="shared" ca="1" si="147"/>
        <v>#NAME?</v>
      </c>
      <c r="BH203" s="694" t="e">
        <f ca="1">IF( S203="LRCINOP",   (1+(0.03/10)*Z203*(1+0.2*AC203^2) )*BicubicInterpolation( 'LRC INOP FF'!$C$4:$AA$21, Y203, U203 )-200, IF(S203 ="HOLDINGINOP", (1+(0.03/10)*Z203*(1+0.2*AC203^2) )*BicubicInterpolation( 'Holding INOP FF'!$C$4:$J$13,  Y203,  U203)/1.05-200,   BA203*BG203))</f>
        <v>#NAME?</v>
      </c>
      <c r="BI203" s="344" t="e">
        <f t="shared" ca="1" si="104"/>
        <v>#NAME?</v>
      </c>
      <c r="BJ203" s="322" t="e">
        <f t="shared" ca="1" si="148"/>
        <v>#NAME?</v>
      </c>
      <c r="BK203" s="338" t="e">
        <f t="shared" ca="1" si="105"/>
        <v>#NAME?</v>
      </c>
      <c r="BL203" s="327" t="e">
        <f t="shared" ca="1" si="149"/>
        <v>#NAME?</v>
      </c>
      <c r="BM203" s="328">
        <f t="shared" si="150"/>
        <v>200</v>
      </c>
      <c r="BN203" s="329" t="e">
        <f t="shared" ca="1" si="151"/>
        <v>#NAME?</v>
      </c>
      <c r="BO203" s="344" t="e">
        <f t="shared" ca="1" si="106"/>
        <v>#NAME?</v>
      </c>
      <c r="BP203" s="320" t="e">
        <f t="shared" ca="1" si="152"/>
        <v>#NAME?</v>
      </c>
      <c r="BQ203" s="344" t="e">
        <f t="shared" ca="1" si="107"/>
        <v>#NAME?</v>
      </c>
      <c r="BR203" s="347" t="e">
        <f t="shared" ca="1" si="108"/>
        <v>#NAME?</v>
      </c>
      <c r="BS203" s="326" t="e">
        <f t="shared" ca="1" si="153"/>
        <v>#NAME?</v>
      </c>
      <c r="BT203" s="437" t="e">
        <f t="shared" ca="1" si="123"/>
        <v>#NAME?</v>
      </c>
      <c r="BU203" s="437" t="e">
        <f t="shared" ca="1" si="124"/>
        <v>#NAME?</v>
      </c>
      <c r="BV203" s="441" t="e">
        <f t="shared" ca="1" si="125"/>
        <v>#NAME?</v>
      </c>
      <c r="BW203" s="442" t="e">
        <f t="shared" ca="1" si="126"/>
        <v>#NAME?</v>
      </c>
      <c r="BX203" s="470" t="e">
        <f t="shared" ca="1" si="96"/>
        <v>#NAME?</v>
      </c>
      <c r="BY203" s="484" t="e">
        <f t="shared" ca="1" si="109"/>
        <v>#NAME?</v>
      </c>
    </row>
    <row r="204" spans="9:77" ht="17.75" customHeight="1" x14ac:dyDescent="0.2">
      <c r="I204" s="366">
        <v>120</v>
      </c>
      <c r="J204" s="414">
        <f t="shared" si="110"/>
        <v>41705.795833333606</v>
      </c>
      <c r="K204" s="435" t="e">
        <f t="shared" ca="1" si="111"/>
        <v>#NAME?</v>
      </c>
      <c r="L204" s="435" t="e">
        <f t="shared" ca="1" si="97"/>
        <v>#NAME?</v>
      </c>
      <c r="M204" s="664" t="e">
        <f t="shared" ca="1" si="154"/>
        <v>#NAME?</v>
      </c>
      <c r="N204" s="664" t="e">
        <f t="shared" ca="1" si="155"/>
        <v>#NAME?</v>
      </c>
      <c r="O204" s="140" t="e">
        <f t="shared" ca="1" si="98"/>
        <v>#NAME?</v>
      </c>
      <c r="P204" s="352" t="e">
        <f t="shared" ca="1" si="114"/>
        <v>#NAME?</v>
      </c>
      <c r="Q204" s="665" t="e">
        <f t="shared" ca="1" si="156"/>
        <v>#NAME?</v>
      </c>
      <c r="R204" s="352" t="e">
        <f t="shared" ca="1" si="127"/>
        <v>#NAME?</v>
      </c>
      <c r="S204" s="662" t="e">
        <f t="shared" ca="1" si="100"/>
        <v>#NAME?</v>
      </c>
      <c r="T204" s="443" t="e">
        <f t="shared" ca="1" si="92"/>
        <v>#NAME?</v>
      </c>
      <c r="U204" s="369" t="e">
        <f t="shared" ca="1" si="93"/>
        <v>#NAME?</v>
      </c>
      <c r="V204" s="454" t="e">
        <f t="shared" ca="1" si="101"/>
        <v>#NAME?</v>
      </c>
      <c r="W204" s="457">
        <f t="shared" si="102"/>
        <v>1000</v>
      </c>
      <c r="X204" s="463" t="e">
        <f t="shared" ca="1" si="103"/>
        <v>#NAME?</v>
      </c>
      <c r="Y204" s="455" t="e">
        <f t="shared" ca="1" si="115"/>
        <v>#NAME?</v>
      </c>
      <c r="Z204" s="699">
        <f t="shared" si="94"/>
        <v>8.5</v>
      </c>
      <c r="AA204" s="355" t="str">
        <f t="shared" si="95"/>
        <v>ON</v>
      </c>
      <c r="AB204" s="357">
        <f t="shared" si="128"/>
        <v>1.4999999999999999E-2</v>
      </c>
      <c r="AC204" s="356" t="e">
        <f ca="1">IF(  Y203=0,0,IF(OR(S204="KCAS",S204="INOP",S204="MEFE"),   ( (5*( (   (((1+0.2*(T204/661.4786)^2)^3.5 -1)  )/( (1-6.8755856*10^-6 *100*Y204)^5.2558797) +1)^(2/7) -1) )^0.5),IF(S204="MACH",T204, IF(S204="LRC",BicubicInterpolation( 'LRC Mach'!$C$4:$AL$21, Y204,U204),  IF(S204="MRC",BicubicInterpolation( 'MRC Mach'!$C$3:$T$18, Y204,U204),  IF(S204="M0.84",0.84,  IF(S204="CI52",BicubicInterpolation('CI=52 Mach'!$C$3:$T$18, Y204,U204),  IF(S204="HOLDING",BicubicInterpolation(  'Holding Mach'!$C$4:$M$13, Y204,U204),                         IF(S204="LRCINOP", BicubicInterpolation('LRC INOP Mach'!$C$4:$AA$21,Y204,U204), IF(S204="HOLDINGINOP",  BicubicInterpolation('Holding INOP Mach'!$N$4:$U$13,Y204,U204),         "XXX" )))))))   )))</f>
        <v>#NAME?</v>
      </c>
      <c r="AD204" s="313" t="e">
        <f t="shared" ca="1" si="129"/>
        <v>#NAME?</v>
      </c>
      <c r="AE204" s="314" t="e">
        <f t="shared" ca="1" si="116"/>
        <v>#NAME?</v>
      </c>
      <c r="AF204" s="313" t="e">
        <f t="shared" ca="1" si="130"/>
        <v>#NAME?</v>
      </c>
      <c r="AG204" s="314" t="e">
        <f t="shared" ca="1" si="117"/>
        <v>#NAME?</v>
      </c>
      <c r="AH204" s="313" t="e">
        <f t="shared" ca="1" si="131"/>
        <v>#NAME?</v>
      </c>
      <c r="AI204" s="314" t="e">
        <f t="shared" ca="1" si="118"/>
        <v>#NAME?</v>
      </c>
      <c r="AJ204" s="315" t="e">
        <f t="shared" ca="1" si="119"/>
        <v>#NAME?</v>
      </c>
      <c r="AK204" s="568" t="e">
        <f t="shared" ca="1" si="132"/>
        <v>#NAME?</v>
      </c>
      <c r="AL204" s="313" t="e">
        <f t="shared" ca="1" si="133"/>
        <v>#NAME?</v>
      </c>
      <c r="AM204" s="313" t="e">
        <f t="shared" ca="1" si="120"/>
        <v>#NAME?</v>
      </c>
      <c r="AN204" s="313" t="e">
        <f t="shared" ca="1" si="121"/>
        <v>#NAME?</v>
      </c>
      <c r="AO204" s="316" t="e">
        <f t="shared" ca="1" si="134"/>
        <v>#NAME?</v>
      </c>
      <c r="AP204" s="313" t="e">
        <f t="shared" ca="1" si="135"/>
        <v>#NAME?</v>
      </c>
      <c r="AQ204" s="314" t="e">
        <f t="shared" ca="1" si="122"/>
        <v>#NAME?</v>
      </c>
      <c r="AR204" s="315" t="e">
        <f t="shared" ca="1" si="136"/>
        <v>#NAME?</v>
      </c>
      <c r="AS204" s="316" t="e">
        <f t="shared" ca="1" si="137"/>
        <v>#NAME?</v>
      </c>
      <c r="AT204" s="315" t="e">
        <f t="shared" ca="1" si="138"/>
        <v>#NAME?</v>
      </c>
      <c r="AU204" s="317">
        <v>427.8</v>
      </c>
      <c r="AV204" s="315" t="e">
        <f t="shared" ca="1" si="139"/>
        <v>#NAME?</v>
      </c>
      <c r="AW204" s="318" t="e">
        <f ca="1">0.0001*BicubicInterpolation('Drag Coef Table'!$B$4:$L$28,AV204,AC204)</f>
        <v>#NAME?</v>
      </c>
      <c r="AX204" s="319" t="e">
        <f t="shared" ca="1" si="140"/>
        <v>#NAME?</v>
      </c>
      <c r="AY204" s="318" t="e">
        <f t="shared" ca="1" si="141"/>
        <v>#NAME?</v>
      </c>
      <c r="AZ204" s="320" t="e">
        <f t="shared" ca="1" si="142"/>
        <v>#NAME?</v>
      </c>
      <c r="BA204" s="321" t="e">
        <f t="shared" ca="1" si="143"/>
        <v>#NAME?</v>
      </c>
      <c r="BB204" s="322" t="e">
        <f t="shared" ca="1" si="144"/>
        <v>#NAME?</v>
      </c>
      <c r="BC204" s="323">
        <v>75.196700000000007</v>
      </c>
      <c r="BD204" s="324" t="e">
        <f t="shared" ca="1" si="145"/>
        <v>#NAME?</v>
      </c>
      <c r="BE204" s="325" t="e">
        <f t="shared" ca="1" si="146"/>
        <v>#NAME?</v>
      </c>
      <c r="BF204" s="324" t="e">
        <f ca="1">BicubicInterpolation('TSFC Eff Table'!$B$4:$E$69,2,BB204)</f>
        <v>#NAME?</v>
      </c>
      <c r="BG204" s="326" t="e">
        <f t="shared" ca="1" si="147"/>
        <v>#NAME?</v>
      </c>
      <c r="BH204" s="694" t="e">
        <f ca="1">IF( S204="LRCINOP",   (1+(0.03/10)*Z204*(1+0.2*AC204^2) )*BicubicInterpolation( 'LRC INOP FF'!$C$4:$AA$21, Y204, U204 )-200, IF(S204 ="HOLDINGINOP", (1+(0.03/10)*Z204*(1+0.2*AC204^2) )*BicubicInterpolation( 'Holding INOP FF'!$C$4:$J$13,  Y204,  U204)/1.05-200,   BA204*BG204))</f>
        <v>#NAME?</v>
      </c>
      <c r="BI204" s="344" t="e">
        <f t="shared" ca="1" si="104"/>
        <v>#NAME?</v>
      </c>
      <c r="BJ204" s="322" t="e">
        <f t="shared" ca="1" si="148"/>
        <v>#NAME?</v>
      </c>
      <c r="BK204" s="338" t="e">
        <f t="shared" ca="1" si="105"/>
        <v>#NAME?</v>
      </c>
      <c r="BL204" s="327" t="e">
        <f t="shared" ca="1" si="149"/>
        <v>#NAME?</v>
      </c>
      <c r="BM204" s="328">
        <f t="shared" si="150"/>
        <v>200</v>
      </c>
      <c r="BN204" s="329" t="e">
        <f t="shared" ca="1" si="151"/>
        <v>#NAME?</v>
      </c>
      <c r="BO204" s="344" t="e">
        <f t="shared" ca="1" si="106"/>
        <v>#NAME?</v>
      </c>
      <c r="BP204" s="320" t="e">
        <f t="shared" ca="1" si="152"/>
        <v>#NAME?</v>
      </c>
      <c r="BQ204" s="344" t="e">
        <f t="shared" ca="1" si="107"/>
        <v>#NAME?</v>
      </c>
      <c r="BR204" s="347" t="e">
        <f t="shared" ca="1" si="108"/>
        <v>#NAME?</v>
      </c>
      <c r="BS204" s="326" t="e">
        <f t="shared" ca="1" si="153"/>
        <v>#NAME?</v>
      </c>
      <c r="BT204" s="437" t="e">
        <f t="shared" ca="1" si="123"/>
        <v>#NAME?</v>
      </c>
      <c r="BU204" s="437" t="e">
        <f t="shared" ca="1" si="124"/>
        <v>#NAME?</v>
      </c>
      <c r="BV204" s="441" t="e">
        <f t="shared" ca="1" si="125"/>
        <v>#NAME?</v>
      </c>
      <c r="BW204" s="442" t="e">
        <f t="shared" ca="1" si="126"/>
        <v>#NAME?</v>
      </c>
      <c r="BX204" s="470" t="e">
        <f t="shared" ca="1" si="96"/>
        <v>#NAME?</v>
      </c>
      <c r="BY204" s="484" t="e">
        <f t="shared" ca="1" si="109"/>
        <v>#NAME?</v>
      </c>
    </row>
    <row r="205" spans="9:77" ht="17.75" customHeight="1" x14ac:dyDescent="0.2">
      <c r="I205" s="366">
        <v>121</v>
      </c>
      <c r="J205" s="414">
        <f t="shared" si="110"/>
        <v>41705.796527778053</v>
      </c>
      <c r="K205" s="435" t="e">
        <f t="shared" ca="1" si="111"/>
        <v>#NAME?</v>
      </c>
      <c r="L205" s="435" t="e">
        <f t="shared" ca="1" si="97"/>
        <v>#NAME?</v>
      </c>
      <c r="M205" s="664" t="e">
        <f t="shared" ca="1" si="154"/>
        <v>#NAME?</v>
      </c>
      <c r="N205" s="664" t="e">
        <f t="shared" ca="1" si="155"/>
        <v>#NAME?</v>
      </c>
      <c r="O205" s="140" t="e">
        <f t="shared" ca="1" si="98"/>
        <v>#NAME?</v>
      </c>
      <c r="P205" s="352" t="e">
        <f t="shared" ca="1" si="114"/>
        <v>#NAME?</v>
      </c>
      <c r="Q205" s="665" t="e">
        <f t="shared" ca="1" si="156"/>
        <v>#NAME?</v>
      </c>
      <c r="R205" s="352" t="e">
        <f t="shared" ca="1" si="127"/>
        <v>#NAME?</v>
      </c>
      <c r="S205" s="662" t="e">
        <f t="shared" ca="1" si="100"/>
        <v>#NAME?</v>
      </c>
      <c r="T205" s="443" t="e">
        <f t="shared" ca="1" si="92"/>
        <v>#NAME?</v>
      </c>
      <c r="U205" s="369" t="e">
        <f t="shared" ca="1" si="93"/>
        <v>#NAME?</v>
      </c>
      <c r="V205" s="454" t="e">
        <f t="shared" ca="1" si="101"/>
        <v>#NAME?</v>
      </c>
      <c r="W205" s="457">
        <f t="shared" si="102"/>
        <v>1000</v>
      </c>
      <c r="X205" s="463" t="e">
        <f t="shared" ca="1" si="103"/>
        <v>#NAME?</v>
      </c>
      <c r="Y205" s="455" t="e">
        <f t="shared" ca="1" si="115"/>
        <v>#NAME?</v>
      </c>
      <c r="Z205" s="699">
        <f t="shared" si="94"/>
        <v>8.5</v>
      </c>
      <c r="AA205" s="355" t="str">
        <f t="shared" si="95"/>
        <v>ON</v>
      </c>
      <c r="AB205" s="357">
        <f t="shared" si="128"/>
        <v>1.4999999999999999E-2</v>
      </c>
      <c r="AC205" s="356" t="e">
        <f ca="1">IF(  Y204=0,0,IF(OR(S205="KCAS",S205="INOP",S205="MEFE"),   ( (5*( (   (((1+0.2*(T205/661.4786)^2)^3.5 -1)  )/( (1-6.8755856*10^-6 *100*Y205)^5.2558797) +1)^(2/7) -1) )^0.5),IF(S205="MACH",T205, IF(S205="LRC",BicubicInterpolation( 'LRC Mach'!$C$4:$AL$21, Y205,U205),  IF(S205="MRC",BicubicInterpolation( 'MRC Mach'!$C$3:$T$18, Y205,U205),  IF(S205="M0.84",0.84,  IF(S205="CI52",BicubicInterpolation('CI=52 Mach'!$C$3:$T$18, Y205,U205),  IF(S205="HOLDING",BicubicInterpolation(  'Holding Mach'!$C$4:$M$13, Y205,U205),                         IF(S205="LRCINOP", BicubicInterpolation('LRC INOP Mach'!$C$4:$AA$21,Y205,U205), IF(S205="HOLDINGINOP",  BicubicInterpolation('Holding INOP Mach'!$N$4:$U$13,Y205,U205),         "XXX" )))))))   )))</f>
        <v>#NAME?</v>
      </c>
      <c r="AD205" s="313" t="e">
        <f t="shared" ca="1" si="129"/>
        <v>#NAME?</v>
      </c>
      <c r="AE205" s="314" t="e">
        <f t="shared" ca="1" si="116"/>
        <v>#NAME?</v>
      </c>
      <c r="AF205" s="313" t="e">
        <f t="shared" ca="1" si="130"/>
        <v>#NAME?</v>
      </c>
      <c r="AG205" s="314" t="e">
        <f t="shared" ca="1" si="117"/>
        <v>#NAME?</v>
      </c>
      <c r="AH205" s="313" t="e">
        <f t="shared" ca="1" si="131"/>
        <v>#NAME?</v>
      </c>
      <c r="AI205" s="314" t="e">
        <f t="shared" ca="1" si="118"/>
        <v>#NAME?</v>
      </c>
      <c r="AJ205" s="315" t="e">
        <f t="shared" ca="1" si="119"/>
        <v>#NAME?</v>
      </c>
      <c r="AK205" s="568" t="e">
        <f t="shared" ca="1" si="132"/>
        <v>#NAME?</v>
      </c>
      <c r="AL205" s="313" t="e">
        <f t="shared" ca="1" si="133"/>
        <v>#NAME?</v>
      </c>
      <c r="AM205" s="313" t="e">
        <f t="shared" ca="1" si="120"/>
        <v>#NAME?</v>
      </c>
      <c r="AN205" s="313" t="e">
        <f t="shared" ca="1" si="121"/>
        <v>#NAME?</v>
      </c>
      <c r="AO205" s="316" t="e">
        <f t="shared" ca="1" si="134"/>
        <v>#NAME?</v>
      </c>
      <c r="AP205" s="313" t="e">
        <f t="shared" ca="1" si="135"/>
        <v>#NAME?</v>
      </c>
      <c r="AQ205" s="314" t="e">
        <f t="shared" ca="1" si="122"/>
        <v>#NAME?</v>
      </c>
      <c r="AR205" s="315" t="e">
        <f t="shared" ca="1" si="136"/>
        <v>#NAME?</v>
      </c>
      <c r="AS205" s="316" t="e">
        <f t="shared" ca="1" si="137"/>
        <v>#NAME?</v>
      </c>
      <c r="AT205" s="315" t="e">
        <f t="shared" ca="1" si="138"/>
        <v>#NAME?</v>
      </c>
      <c r="AU205" s="317">
        <v>427.8</v>
      </c>
      <c r="AV205" s="315" t="e">
        <f t="shared" ca="1" si="139"/>
        <v>#NAME?</v>
      </c>
      <c r="AW205" s="318" t="e">
        <f ca="1">0.0001*BicubicInterpolation('Drag Coef Table'!$B$4:$L$28,AV205,AC205)</f>
        <v>#NAME?</v>
      </c>
      <c r="AX205" s="319" t="e">
        <f t="shared" ca="1" si="140"/>
        <v>#NAME?</v>
      </c>
      <c r="AY205" s="318" t="e">
        <f t="shared" ca="1" si="141"/>
        <v>#NAME?</v>
      </c>
      <c r="AZ205" s="320" t="e">
        <f t="shared" ca="1" si="142"/>
        <v>#NAME?</v>
      </c>
      <c r="BA205" s="321" t="e">
        <f t="shared" ca="1" si="143"/>
        <v>#NAME?</v>
      </c>
      <c r="BB205" s="322" t="e">
        <f t="shared" ca="1" si="144"/>
        <v>#NAME?</v>
      </c>
      <c r="BC205" s="323">
        <v>75.196700000000007</v>
      </c>
      <c r="BD205" s="324" t="e">
        <f t="shared" ca="1" si="145"/>
        <v>#NAME?</v>
      </c>
      <c r="BE205" s="325" t="e">
        <f t="shared" ca="1" si="146"/>
        <v>#NAME?</v>
      </c>
      <c r="BF205" s="324" t="e">
        <f ca="1">BicubicInterpolation('TSFC Eff Table'!$B$4:$E$69,2,BB205)</f>
        <v>#NAME?</v>
      </c>
      <c r="BG205" s="326" t="e">
        <f t="shared" ca="1" si="147"/>
        <v>#NAME?</v>
      </c>
      <c r="BH205" s="694" t="e">
        <f ca="1">IF( S205="LRCINOP",   (1+(0.03/10)*Z205*(1+0.2*AC205^2) )*BicubicInterpolation( 'LRC INOP FF'!$C$4:$AA$21, Y205, U205 )-200, IF(S205 ="HOLDINGINOP", (1+(0.03/10)*Z205*(1+0.2*AC205^2) )*BicubicInterpolation( 'Holding INOP FF'!$C$4:$J$13,  Y205,  U205)/1.05-200,   BA205*BG205))</f>
        <v>#NAME?</v>
      </c>
      <c r="BI205" s="344" t="e">
        <f t="shared" ca="1" si="104"/>
        <v>#NAME?</v>
      </c>
      <c r="BJ205" s="322" t="e">
        <f t="shared" ca="1" si="148"/>
        <v>#NAME?</v>
      </c>
      <c r="BK205" s="338" t="e">
        <f t="shared" ca="1" si="105"/>
        <v>#NAME?</v>
      </c>
      <c r="BL205" s="327" t="e">
        <f t="shared" ca="1" si="149"/>
        <v>#NAME?</v>
      </c>
      <c r="BM205" s="328">
        <f t="shared" si="150"/>
        <v>200</v>
      </c>
      <c r="BN205" s="329" t="e">
        <f t="shared" ca="1" si="151"/>
        <v>#NAME?</v>
      </c>
      <c r="BO205" s="344" t="e">
        <f t="shared" ca="1" si="106"/>
        <v>#NAME?</v>
      </c>
      <c r="BP205" s="320" t="e">
        <f t="shared" ca="1" si="152"/>
        <v>#NAME?</v>
      </c>
      <c r="BQ205" s="344" t="e">
        <f t="shared" ca="1" si="107"/>
        <v>#NAME?</v>
      </c>
      <c r="BR205" s="347" t="e">
        <f t="shared" ca="1" si="108"/>
        <v>#NAME?</v>
      </c>
      <c r="BS205" s="326" t="e">
        <f t="shared" ca="1" si="153"/>
        <v>#NAME?</v>
      </c>
      <c r="BT205" s="437" t="e">
        <f t="shared" ca="1" si="123"/>
        <v>#NAME?</v>
      </c>
      <c r="BU205" s="437" t="e">
        <f t="shared" ca="1" si="124"/>
        <v>#NAME?</v>
      </c>
      <c r="BV205" s="441" t="e">
        <f t="shared" ca="1" si="125"/>
        <v>#NAME?</v>
      </c>
      <c r="BW205" s="442" t="e">
        <f t="shared" ca="1" si="126"/>
        <v>#NAME?</v>
      </c>
      <c r="BX205" s="470" t="e">
        <f t="shared" ca="1" si="96"/>
        <v>#NAME?</v>
      </c>
      <c r="BY205" s="484" t="e">
        <f t="shared" ca="1" si="109"/>
        <v>#NAME?</v>
      </c>
    </row>
    <row r="206" spans="9:77" ht="17.75" customHeight="1" x14ac:dyDescent="0.2">
      <c r="I206" s="366">
        <v>122</v>
      </c>
      <c r="J206" s="414">
        <f t="shared" si="110"/>
        <v>41705.7972222225</v>
      </c>
      <c r="K206" s="435" t="e">
        <f t="shared" ca="1" si="111"/>
        <v>#NAME?</v>
      </c>
      <c r="L206" s="435" t="e">
        <f t="shared" ca="1" si="97"/>
        <v>#NAME?</v>
      </c>
      <c r="M206" s="664" t="e">
        <f t="shared" ca="1" si="154"/>
        <v>#NAME?</v>
      </c>
      <c r="N206" s="664" t="e">
        <f t="shared" ca="1" si="155"/>
        <v>#NAME?</v>
      </c>
      <c r="O206" s="140" t="e">
        <f t="shared" ca="1" si="98"/>
        <v>#NAME?</v>
      </c>
      <c r="P206" s="352" t="e">
        <f t="shared" ca="1" si="114"/>
        <v>#NAME?</v>
      </c>
      <c r="Q206" s="665" t="e">
        <f t="shared" ca="1" si="156"/>
        <v>#NAME?</v>
      </c>
      <c r="R206" s="352" t="e">
        <f t="shared" ca="1" si="127"/>
        <v>#NAME?</v>
      </c>
      <c r="S206" s="662" t="e">
        <f t="shared" ca="1" si="100"/>
        <v>#NAME?</v>
      </c>
      <c r="T206" s="443" t="e">
        <f t="shared" ca="1" si="92"/>
        <v>#NAME?</v>
      </c>
      <c r="U206" s="369" t="e">
        <f t="shared" ca="1" si="93"/>
        <v>#NAME?</v>
      </c>
      <c r="V206" s="454" t="e">
        <f t="shared" ca="1" si="101"/>
        <v>#NAME?</v>
      </c>
      <c r="W206" s="457">
        <f t="shared" si="102"/>
        <v>1000</v>
      </c>
      <c r="X206" s="463" t="e">
        <f t="shared" ca="1" si="103"/>
        <v>#NAME?</v>
      </c>
      <c r="Y206" s="455" t="e">
        <f t="shared" ca="1" si="115"/>
        <v>#NAME?</v>
      </c>
      <c r="Z206" s="699">
        <f t="shared" si="94"/>
        <v>8.5</v>
      </c>
      <c r="AA206" s="355" t="str">
        <f t="shared" si="95"/>
        <v>ON</v>
      </c>
      <c r="AB206" s="357">
        <f t="shared" si="128"/>
        <v>1.4999999999999999E-2</v>
      </c>
      <c r="AC206" s="356" t="e">
        <f ca="1">IF(  Y205=0,0,IF(OR(S206="KCAS",S206="INOP",S206="MEFE"),   ( (5*( (   (((1+0.2*(T206/661.4786)^2)^3.5 -1)  )/( (1-6.8755856*10^-6 *100*Y206)^5.2558797) +1)^(2/7) -1) )^0.5),IF(S206="MACH",T206, IF(S206="LRC",BicubicInterpolation( 'LRC Mach'!$C$4:$AL$21, Y206,U206),  IF(S206="MRC",BicubicInterpolation( 'MRC Mach'!$C$3:$T$18, Y206,U206),  IF(S206="M0.84",0.84,  IF(S206="CI52",BicubicInterpolation('CI=52 Mach'!$C$3:$T$18, Y206,U206),  IF(S206="HOLDING",BicubicInterpolation(  'Holding Mach'!$C$4:$M$13, Y206,U206),                         IF(S206="LRCINOP", BicubicInterpolation('LRC INOP Mach'!$C$4:$AA$21,Y206,U206), IF(S206="HOLDINGINOP",  BicubicInterpolation('Holding INOP Mach'!$N$4:$U$13,Y206,U206),         "XXX" )))))))   )))</f>
        <v>#NAME?</v>
      </c>
      <c r="AD206" s="313" t="e">
        <f t="shared" ca="1" si="129"/>
        <v>#NAME?</v>
      </c>
      <c r="AE206" s="314" t="e">
        <f t="shared" ca="1" si="116"/>
        <v>#NAME?</v>
      </c>
      <c r="AF206" s="313" t="e">
        <f t="shared" ca="1" si="130"/>
        <v>#NAME?</v>
      </c>
      <c r="AG206" s="314" t="e">
        <f t="shared" ca="1" si="117"/>
        <v>#NAME?</v>
      </c>
      <c r="AH206" s="313" t="e">
        <f t="shared" ca="1" si="131"/>
        <v>#NAME?</v>
      </c>
      <c r="AI206" s="314" t="e">
        <f t="shared" ca="1" si="118"/>
        <v>#NAME?</v>
      </c>
      <c r="AJ206" s="315" t="e">
        <f t="shared" ca="1" si="119"/>
        <v>#NAME?</v>
      </c>
      <c r="AK206" s="568" t="e">
        <f t="shared" ca="1" si="132"/>
        <v>#NAME?</v>
      </c>
      <c r="AL206" s="313" t="e">
        <f t="shared" ca="1" si="133"/>
        <v>#NAME?</v>
      </c>
      <c r="AM206" s="313" t="e">
        <f t="shared" ca="1" si="120"/>
        <v>#NAME?</v>
      </c>
      <c r="AN206" s="313" t="e">
        <f t="shared" ca="1" si="121"/>
        <v>#NAME?</v>
      </c>
      <c r="AO206" s="316" t="e">
        <f t="shared" ca="1" si="134"/>
        <v>#NAME?</v>
      </c>
      <c r="AP206" s="313" t="e">
        <f t="shared" ca="1" si="135"/>
        <v>#NAME?</v>
      </c>
      <c r="AQ206" s="314" t="e">
        <f t="shared" ca="1" si="122"/>
        <v>#NAME?</v>
      </c>
      <c r="AR206" s="315" t="e">
        <f t="shared" ca="1" si="136"/>
        <v>#NAME?</v>
      </c>
      <c r="AS206" s="316" t="e">
        <f t="shared" ca="1" si="137"/>
        <v>#NAME?</v>
      </c>
      <c r="AT206" s="315" t="e">
        <f t="shared" ca="1" si="138"/>
        <v>#NAME?</v>
      </c>
      <c r="AU206" s="317">
        <v>427.8</v>
      </c>
      <c r="AV206" s="315" t="e">
        <f t="shared" ca="1" si="139"/>
        <v>#NAME?</v>
      </c>
      <c r="AW206" s="318" t="e">
        <f ca="1">0.0001*BicubicInterpolation('Drag Coef Table'!$B$4:$L$28,AV206,AC206)</f>
        <v>#NAME?</v>
      </c>
      <c r="AX206" s="319" t="e">
        <f t="shared" ca="1" si="140"/>
        <v>#NAME?</v>
      </c>
      <c r="AY206" s="318" t="e">
        <f t="shared" ca="1" si="141"/>
        <v>#NAME?</v>
      </c>
      <c r="AZ206" s="320" t="e">
        <f t="shared" ca="1" si="142"/>
        <v>#NAME?</v>
      </c>
      <c r="BA206" s="321" t="e">
        <f t="shared" ca="1" si="143"/>
        <v>#NAME?</v>
      </c>
      <c r="BB206" s="322" t="e">
        <f t="shared" ca="1" si="144"/>
        <v>#NAME?</v>
      </c>
      <c r="BC206" s="323">
        <v>75.196700000000007</v>
      </c>
      <c r="BD206" s="324" t="e">
        <f t="shared" ca="1" si="145"/>
        <v>#NAME?</v>
      </c>
      <c r="BE206" s="325" t="e">
        <f t="shared" ca="1" si="146"/>
        <v>#NAME?</v>
      </c>
      <c r="BF206" s="324" t="e">
        <f ca="1">BicubicInterpolation('TSFC Eff Table'!$B$4:$E$69,2,BB206)</f>
        <v>#NAME?</v>
      </c>
      <c r="BG206" s="326" t="e">
        <f t="shared" ca="1" si="147"/>
        <v>#NAME?</v>
      </c>
      <c r="BH206" s="694" t="e">
        <f ca="1">IF( S206="LRCINOP",   (1+(0.03/10)*Z206*(1+0.2*AC206^2) )*BicubicInterpolation( 'LRC INOP FF'!$C$4:$AA$21, Y206, U206 )-200, IF(S206 ="HOLDINGINOP", (1+(0.03/10)*Z206*(1+0.2*AC206^2) )*BicubicInterpolation( 'Holding INOP FF'!$C$4:$J$13,  Y206,  U206)/1.05-200,   BA206*BG206))</f>
        <v>#NAME?</v>
      </c>
      <c r="BI206" s="344" t="e">
        <f t="shared" ca="1" si="104"/>
        <v>#NAME?</v>
      </c>
      <c r="BJ206" s="322" t="e">
        <f t="shared" ca="1" si="148"/>
        <v>#NAME?</v>
      </c>
      <c r="BK206" s="338" t="e">
        <f t="shared" ca="1" si="105"/>
        <v>#NAME?</v>
      </c>
      <c r="BL206" s="327" t="e">
        <f t="shared" ca="1" si="149"/>
        <v>#NAME?</v>
      </c>
      <c r="BM206" s="328">
        <f t="shared" si="150"/>
        <v>200</v>
      </c>
      <c r="BN206" s="329" t="e">
        <f t="shared" ca="1" si="151"/>
        <v>#NAME?</v>
      </c>
      <c r="BO206" s="344" t="e">
        <f t="shared" ca="1" si="106"/>
        <v>#NAME?</v>
      </c>
      <c r="BP206" s="320" t="e">
        <f t="shared" ca="1" si="152"/>
        <v>#NAME?</v>
      </c>
      <c r="BQ206" s="344" t="e">
        <f t="shared" ca="1" si="107"/>
        <v>#NAME?</v>
      </c>
      <c r="BR206" s="347" t="e">
        <f t="shared" ca="1" si="108"/>
        <v>#NAME?</v>
      </c>
      <c r="BS206" s="326" t="e">
        <f t="shared" ca="1" si="153"/>
        <v>#NAME?</v>
      </c>
      <c r="BT206" s="437" t="e">
        <f t="shared" ca="1" si="123"/>
        <v>#NAME?</v>
      </c>
      <c r="BU206" s="437" t="e">
        <f t="shared" ca="1" si="124"/>
        <v>#NAME?</v>
      </c>
      <c r="BV206" s="441" t="e">
        <f t="shared" ca="1" si="125"/>
        <v>#NAME?</v>
      </c>
      <c r="BW206" s="442" t="e">
        <f t="shared" ca="1" si="126"/>
        <v>#NAME?</v>
      </c>
      <c r="BX206" s="470" t="e">
        <f t="shared" ca="1" si="96"/>
        <v>#NAME?</v>
      </c>
      <c r="BY206" s="484" t="e">
        <f t="shared" ca="1" si="109"/>
        <v>#NAME?</v>
      </c>
    </row>
    <row r="207" spans="9:77" ht="17.75" customHeight="1" x14ac:dyDescent="0.2">
      <c r="I207" s="366">
        <v>123</v>
      </c>
      <c r="J207" s="414">
        <f t="shared" si="110"/>
        <v>41705.797916666947</v>
      </c>
      <c r="K207" s="435" t="e">
        <f t="shared" ca="1" si="111"/>
        <v>#NAME?</v>
      </c>
      <c r="L207" s="435" t="e">
        <f t="shared" ca="1" si="97"/>
        <v>#NAME?</v>
      </c>
      <c r="M207" s="664" t="e">
        <f t="shared" ca="1" si="154"/>
        <v>#NAME?</v>
      </c>
      <c r="N207" s="664" t="e">
        <f t="shared" ca="1" si="155"/>
        <v>#NAME?</v>
      </c>
      <c r="O207" s="140" t="e">
        <f t="shared" ca="1" si="98"/>
        <v>#NAME?</v>
      </c>
      <c r="P207" s="352" t="e">
        <f t="shared" ca="1" si="114"/>
        <v>#NAME?</v>
      </c>
      <c r="Q207" s="665" t="e">
        <f t="shared" ca="1" si="156"/>
        <v>#NAME?</v>
      </c>
      <c r="R207" s="352" t="e">
        <f t="shared" ca="1" si="127"/>
        <v>#NAME?</v>
      </c>
      <c r="S207" s="662" t="e">
        <f t="shared" ca="1" si="100"/>
        <v>#NAME?</v>
      </c>
      <c r="T207" s="443" t="e">
        <f t="shared" ca="1" si="92"/>
        <v>#NAME?</v>
      </c>
      <c r="U207" s="369" t="e">
        <f t="shared" ca="1" si="93"/>
        <v>#NAME?</v>
      </c>
      <c r="V207" s="454" t="e">
        <f t="shared" ca="1" si="101"/>
        <v>#NAME?</v>
      </c>
      <c r="W207" s="457">
        <f t="shared" si="102"/>
        <v>1000</v>
      </c>
      <c r="X207" s="463" t="e">
        <f t="shared" ca="1" si="103"/>
        <v>#NAME?</v>
      </c>
      <c r="Y207" s="455" t="e">
        <f t="shared" ca="1" si="115"/>
        <v>#NAME?</v>
      </c>
      <c r="Z207" s="699">
        <f t="shared" si="94"/>
        <v>8.5</v>
      </c>
      <c r="AA207" s="355" t="str">
        <f t="shared" si="95"/>
        <v>ON</v>
      </c>
      <c r="AB207" s="357">
        <f t="shared" si="128"/>
        <v>1.4999999999999999E-2</v>
      </c>
      <c r="AC207" s="356" t="e">
        <f ca="1">IF(  Y206=0,0,IF(OR(S207="KCAS",S207="INOP",S207="MEFE"),   ( (5*( (   (((1+0.2*(T207/661.4786)^2)^3.5 -1)  )/( (1-6.8755856*10^-6 *100*Y207)^5.2558797) +1)^(2/7) -1) )^0.5),IF(S207="MACH",T207, IF(S207="LRC",BicubicInterpolation( 'LRC Mach'!$C$4:$AL$21, Y207,U207),  IF(S207="MRC",BicubicInterpolation( 'MRC Mach'!$C$3:$T$18, Y207,U207),  IF(S207="M0.84",0.84,  IF(S207="CI52",BicubicInterpolation('CI=52 Mach'!$C$3:$T$18, Y207,U207),  IF(S207="HOLDING",BicubicInterpolation(  'Holding Mach'!$C$4:$M$13, Y207,U207),                         IF(S207="LRCINOP", BicubicInterpolation('LRC INOP Mach'!$C$4:$AA$21,Y207,U207), IF(S207="HOLDINGINOP",  BicubicInterpolation('Holding INOP Mach'!$N$4:$U$13,Y207,U207),         "XXX" )))))))   )))</f>
        <v>#NAME?</v>
      </c>
      <c r="AD207" s="313" t="e">
        <f t="shared" ca="1" si="129"/>
        <v>#NAME?</v>
      </c>
      <c r="AE207" s="314" t="e">
        <f t="shared" ca="1" si="116"/>
        <v>#NAME?</v>
      </c>
      <c r="AF207" s="313" t="e">
        <f t="shared" ca="1" si="130"/>
        <v>#NAME?</v>
      </c>
      <c r="AG207" s="314" t="e">
        <f t="shared" ca="1" si="117"/>
        <v>#NAME?</v>
      </c>
      <c r="AH207" s="313" t="e">
        <f t="shared" ca="1" si="131"/>
        <v>#NAME?</v>
      </c>
      <c r="AI207" s="314" t="e">
        <f t="shared" ca="1" si="118"/>
        <v>#NAME?</v>
      </c>
      <c r="AJ207" s="315" t="e">
        <f t="shared" ca="1" si="119"/>
        <v>#NAME?</v>
      </c>
      <c r="AK207" s="568" t="e">
        <f t="shared" ca="1" si="132"/>
        <v>#NAME?</v>
      </c>
      <c r="AL207" s="313" t="e">
        <f t="shared" ca="1" si="133"/>
        <v>#NAME?</v>
      </c>
      <c r="AM207" s="313" t="e">
        <f t="shared" ca="1" si="120"/>
        <v>#NAME?</v>
      </c>
      <c r="AN207" s="313" t="e">
        <f t="shared" ca="1" si="121"/>
        <v>#NAME?</v>
      </c>
      <c r="AO207" s="316" t="e">
        <f t="shared" ca="1" si="134"/>
        <v>#NAME?</v>
      </c>
      <c r="AP207" s="313" t="e">
        <f t="shared" ca="1" si="135"/>
        <v>#NAME?</v>
      </c>
      <c r="AQ207" s="314" t="e">
        <f t="shared" ca="1" si="122"/>
        <v>#NAME?</v>
      </c>
      <c r="AR207" s="315" t="e">
        <f t="shared" ca="1" si="136"/>
        <v>#NAME?</v>
      </c>
      <c r="AS207" s="316" t="e">
        <f t="shared" ca="1" si="137"/>
        <v>#NAME?</v>
      </c>
      <c r="AT207" s="315" t="e">
        <f t="shared" ca="1" si="138"/>
        <v>#NAME?</v>
      </c>
      <c r="AU207" s="317">
        <v>427.8</v>
      </c>
      <c r="AV207" s="315" t="e">
        <f t="shared" ca="1" si="139"/>
        <v>#NAME?</v>
      </c>
      <c r="AW207" s="318" t="e">
        <f ca="1">0.0001*BicubicInterpolation('Drag Coef Table'!$B$4:$L$28,AV207,AC207)</f>
        <v>#NAME?</v>
      </c>
      <c r="AX207" s="319" t="e">
        <f t="shared" ca="1" si="140"/>
        <v>#NAME?</v>
      </c>
      <c r="AY207" s="318" t="e">
        <f t="shared" ca="1" si="141"/>
        <v>#NAME?</v>
      </c>
      <c r="AZ207" s="320" t="e">
        <f t="shared" ca="1" si="142"/>
        <v>#NAME?</v>
      </c>
      <c r="BA207" s="321" t="e">
        <f t="shared" ca="1" si="143"/>
        <v>#NAME?</v>
      </c>
      <c r="BB207" s="322" t="e">
        <f t="shared" ca="1" si="144"/>
        <v>#NAME?</v>
      </c>
      <c r="BC207" s="323">
        <v>75.196700000000007</v>
      </c>
      <c r="BD207" s="324" t="e">
        <f t="shared" ca="1" si="145"/>
        <v>#NAME?</v>
      </c>
      <c r="BE207" s="325" t="e">
        <f t="shared" ca="1" si="146"/>
        <v>#NAME?</v>
      </c>
      <c r="BF207" s="324" t="e">
        <f ca="1">BicubicInterpolation('TSFC Eff Table'!$B$4:$E$69,2,BB207)</f>
        <v>#NAME?</v>
      </c>
      <c r="BG207" s="326" t="e">
        <f t="shared" ca="1" si="147"/>
        <v>#NAME?</v>
      </c>
      <c r="BH207" s="694" t="e">
        <f ca="1">IF( S207="LRCINOP",   (1+(0.03/10)*Z207*(1+0.2*AC207^2) )*BicubicInterpolation( 'LRC INOP FF'!$C$4:$AA$21, Y207, U207 )-200, IF(S207 ="HOLDINGINOP", (1+(0.03/10)*Z207*(1+0.2*AC207^2) )*BicubicInterpolation( 'Holding INOP FF'!$C$4:$J$13,  Y207,  U207)/1.05-200,   BA207*BG207))</f>
        <v>#NAME?</v>
      </c>
      <c r="BI207" s="344" t="e">
        <f t="shared" ca="1" si="104"/>
        <v>#NAME?</v>
      </c>
      <c r="BJ207" s="322" t="e">
        <f t="shared" ca="1" si="148"/>
        <v>#NAME?</v>
      </c>
      <c r="BK207" s="338" t="e">
        <f t="shared" ca="1" si="105"/>
        <v>#NAME?</v>
      </c>
      <c r="BL207" s="327" t="e">
        <f t="shared" ca="1" si="149"/>
        <v>#NAME?</v>
      </c>
      <c r="BM207" s="328">
        <f t="shared" si="150"/>
        <v>200</v>
      </c>
      <c r="BN207" s="329" t="e">
        <f t="shared" ca="1" si="151"/>
        <v>#NAME?</v>
      </c>
      <c r="BO207" s="344" t="e">
        <f t="shared" ca="1" si="106"/>
        <v>#NAME?</v>
      </c>
      <c r="BP207" s="320" t="e">
        <f t="shared" ca="1" si="152"/>
        <v>#NAME?</v>
      </c>
      <c r="BQ207" s="344" t="e">
        <f t="shared" ca="1" si="107"/>
        <v>#NAME?</v>
      </c>
      <c r="BR207" s="347" t="e">
        <f t="shared" ca="1" si="108"/>
        <v>#NAME?</v>
      </c>
      <c r="BS207" s="326" t="e">
        <f t="shared" ca="1" si="153"/>
        <v>#NAME?</v>
      </c>
      <c r="BT207" s="437" t="e">
        <f t="shared" ca="1" si="123"/>
        <v>#NAME?</v>
      </c>
      <c r="BU207" s="437" t="e">
        <f t="shared" ca="1" si="124"/>
        <v>#NAME?</v>
      </c>
      <c r="BV207" s="441" t="e">
        <f t="shared" ca="1" si="125"/>
        <v>#NAME?</v>
      </c>
      <c r="BW207" s="442" t="e">
        <f t="shared" ca="1" si="126"/>
        <v>#NAME?</v>
      </c>
      <c r="BX207" s="470" t="e">
        <f t="shared" ca="1" si="96"/>
        <v>#NAME?</v>
      </c>
      <c r="BY207" s="484" t="e">
        <f t="shared" ca="1" si="109"/>
        <v>#NAME?</v>
      </c>
    </row>
    <row r="208" spans="9:77" ht="17.75" customHeight="1" x14ac:dyDescent="0.2">
      <c r="I208" s="366">
        <v>124</v>
      </c>
      <c r="J208" s="414">
        <f t="shared" si="110"/>
        <v>41705.798611111393</v>
      </c>
      <c r="K208" s="435" t="e">
        <f t="shared" ca="1" si="111"/>
        <v>#NAME?</v>
      </c>
      <c r="L208" s="435" t="e">
        <f t="shared" ca="1" si="97"/>
        <v>#NAME?</v>
      </c>
      <c r="M208" s="664" t="e">
        <f t="shared" ca="1" si="154"/>
        <v>#NAME?</v>
      </c>
      <c r="N208" s="664" t="e">
        <f t="shared" ca="1" si="155"/>
        <v>#NAME?</v>
      </c>
      <c r="O208" s="140" t="e">
        <f t="shared" ca="1" si="98"/>
        <v>#NAME?</v>
      </c>
      <c r="P208" s="352" t="e">
        <f t="shared" ca="1" si="114"/>
        <v>#NAME?</v>
      </c>
      <c r="Q208" s="665" t="e">
        <f t="shared" ca="1" si="156"/>
        <v>#NAME?</v>
      </c>
      <c r="R208" s="352" t="e">
        <f t="shared" ca="1" si="127"/>
        <v>#NAME?</v>
      </c>
      <c r="S208" s="662" t="e">
        <f t="shared" ca="1" si="100"/>
        <v>#NAME?</v>
      </c>
      <c r="T208" s="443" t="e">
        <f t="shared" ca="1" si="92"/>
        <v>#NAME?</v>
      </c>
      <c r="U208" s="369" t="e">
        <f t="shared" ca="1" si="93"/>
        <v>#NAME?</v>
      </c>
      <c r="V208" s="454" t="e">
        <f t="shared" ca="1" si="101"/>
        <v>#NAME?</v>
      </c>
      <c r="W208" s="457">
        <f t="shared" si="102"/>
        <v>1000</v>
      </c>
      <c r="X208" s="463" t="e">
        <f t="shared" ca="1" si="103"/>
        <v>#NAME?</v>
      </c>
      <c r="Y208" s="455" t="e">
        <f t="shared" ca="1" si="115"/>
        <v>#NAME?</v>
      </c>
      <c r="Z208" s="699">
        <f t="shared" si="94"/>
        <v>8.5</v>
      </c>
      <c r="AA208" s="355" t="str">
        <f t="shared" si="95"/>
        <v>ON</v>
      </c>
      <c r="AB208" s="357">
        <f t="shared" si="128"/>
        <v>1.4999999999999999E-2</v>
      </c>
      <c r="AC208" s="356" t="e">
        <f ca="1">IF(  Y207=0,0,IF(OR(S208="KCAS",S208="INOP",S208="MEFE"),   ( (5*( (   (((1+0.2*(T208/661.4786)^2)^3.5 -1)  )/( (1-6.8755856*10^-6 *100*Y208)^5.2558797) +1)^(2/7) -1) )^0.5),IF(S208="MACH",T208, IF(S208="LRC",BicubicInterpolation( 'LRC Mach'!$C$4:$AL$21, Y208,U208),  IF(S208="MRC",BicubicInterpolation( 'MRC Mach'!$C$3:$T$18, Y208,U208),  IF(S208="M0.84",0.84,  IF(S208="CI52",BicubicInterpolation('CI=52 Mach'!$C$3:$T$18, Y208,U208),  IF(S208="HOLDING",BicubicInterpolation(  'Holding Mach'!$C$4:$M$13, Y208,U208),                         IF(S208="LRCINOP", BicubicInterpolation('LRC INOP Mach'!$C$4:$AA$21,Y208,U208), IF(S208="HOLDINGINOP",  BicubicInterpolation('Holding INOP Mach'!$N$4:$U$13,Y208,U208),         "XXX" )))))))   )))</f>
        <v>#NAME?</v>
      </c>
      <c r="AD208" s="313" t="e">
        <f t="shared" ca="1" si="129"/>
        <v>#NAME?</v>
      </c>
      <c r="AE208" s="314" t="e">
        <f t="shared" ca="1" si="116"/>
        <v>#NAME?</v>
      </c>
      <c r="AF208" s="313" t="e">
        <f t="shared" ca="1" si="130"/>
        <v>#NAME?</v>
      </c>
      <c r="AG208" s="314" t="e">
        <f t="shared" ca="1" si="117"/>
        <v>#NAME?</v>
      </c>
      <c r="AH208" s="313" t="e">
        <f t="shared" ca="1" si="131"/>
        <v>#NAME?</v>
      </c>
      <c r="AI208" s="314" t="e">
        <f t="shared" ca="1" si="118"/>
        <v>#NAME?</v>
      </c>
      <c r="AJ208" s="315" t="e">
        <f t="shared" ca="1" si="119"/>
        <v>#NAME?</v>
      </c>
      <c r="AK208" s="568" t="e">
        <f t="shared" ca="1" si="132"/>
        <v>#NAME?</v>
      </c>
      <c r="AL208" s="313" t="e">
        <f t="shared" ca="1" si="133"/>
        <v>#NAME?</v>
      </c>
      <c r="AM208" s="313" t="e">
        <f t="shared" ca="1" si="120"/>
        <v>#NAME?</v>
      </c>
      <c r="AN208" s="313" t="e">
        <f t="shared" ca="1" si="121"/>
        <v>#NAME?</v>
      </c>
      <c r="AO208" s="316" t="e">
        <f t="shared" ca="1" si="134"/>
        <v>#NAME?</v>
      </c>
      <c r="AP208" s="313" t="e">
        <f t="shared" ca="1" si="135"/>
        <v>#NAME?</v>
      </c>
      <c r="AQ208" s="314" t="e">
        <f t="shared" ca="1" si="122"/>
        <v>#NAME?</v>
      </c>
      <c r="AR208" s="315" t="e">
        <f t="shared" ca="1" si="136"/>
        <v>#NAME?</v>
      </c>
      <c r="AS208" s="316" t="e">
        <f t="shared" ca="1" si="137"/>
        <v>#NAME?</v>
      </c>
      <c r="AT208" s="315" t="e">
        <f t="shared" ca="1" si="138"/>
        <v>#NAME?</v>
      </c>
      <c r="AU208" s="317">
        <v>427.8</v>
      </c>
      <c r="AV208" s="315" t="e">
        <f t="shared" ca="1" si="139"/>
        <v>#NAME?</v>
      </c>
      <c r="AW208" s="318" t="e">
        <f ca="1">0.0001*BicubicInterpolation('Drag Coef Table'!$B$4:$L$28,AV208,AC208)</f>
        <v>#NAME?</v>
      </c>
      <c r="AX208" s="319" t="e">
        <f t="shared" ca="1" si="140"/>
        <v>#NAME?</v>
      </c>
      <c r="AY208" s="318" t="e">
        <f t="shared" ca="1" si="141"/>
        <v>#NAME?</v>
      </c>
      <c r="AZ208" s="320" t="e">
        <f t="shared" ca="1" si="142"/>
        <v>#NAME?</v>
      </c>
      <c r="BA208" s="321" t="e">
        <f t="shared" ca="1" si="143"/>
        <v>#NAME?</v>
      </c>
      <c r="BB208" s="322" t="e">
        <f t="shared" ca="1" si="144"/>
        <v>#NAME?</v>
      </c>
      <c r="BC208" s="323">
        <v>75.196700000000007</v>
      </c>
      <c r="BD208" s="324" t="e">
        <f t="shared" ca="1" si="145"/>
        <v>#NAME?</v>
      </c>
      <c r="BE208" s="325" t="e">
        <f t="shared" ca="1" si="146"/>
        <v>#NAME?</v>
      </c>
      <c r="BF208" s="324" t="e">
        <f ca="1">BicubicInterpolation('TSFC Eff Table'!$B$4:$E$69,2,BB208)</f>
        <v>#NAME?</v>
      </c>
      <c r="BG208" s="326" t="e">
        <f t="shared" ca="1" si="147"/>
        <v>#NAME?</v>
      </c>
      <c r="BH208" s="694" t="e">
        <f ca="1">IF( S208="LRCINOP",   (1+(0.03/10)*Z208*(1+0.2*AC208^2) )*BicubicInterpolation( 'LRC INOP FF'!$C$4:$AA$21, Y208, U208 )-200, IF(S208 ="HOLDINGINOP", (1+(0.03/10)*Z208*(1+0.2*AC208^2) )*BicubicInterpolation( 'Holding INOP FF'!$C$4:$J$13,  Y208,  U208)/1.05-200,   BA208*BG208))</f>
        <v>#NAME?</v>
      </c>
      <c r="BI208" s="344" t="e">
        <f t="shared" ca="1" si="104"/>
        <v>#NAME?</v>
      </c>
      <c r="BJ208" s="322" t="e">
        <f t="shared" ca="1" si="148"/>
        <v>#NAME?</v>
      </c>
      <c r="BK208" s="338" t="e">
        <f t="shared" ca="1" si="105"/>
        <v>#NAME?</v>
      </c>
      <c r="BL208" s="327" t="e">
        <f t="shared" ca="1" si="149"/>
        <v>#NAME?</v>
      </c>
      <c r="BM208" s="328">
        <f t="shared" si="150"/>
        <v>200</v>
      </c>
      <c r="BN208" s="329" t="e">
        <f t="shared" ca="1" si="151"/>
        <v>#NAME?</v>
      </c>
      <c r="BO208" s="344" t="e">
        <f t="shared" ca="1" si="106"/>
        <v>#NAME?</v>
      </c>
      <c r="BP208" s="320" t="e">
        <f t="shared" ca="1" si="152"/>
        <v>#NAME?</v>
      </c>
      <c r="BQ208" s="344" t="e">
        <f t="shared" ca="1" si="107"/>
        <v>#NAME?</v>
      </c>
      <c r="BR208" s="347" t="e">
        <f t="shared" ca="1" si="108"/>
        <v>#NAME?</v>
      </c>
      <c r="BS208" s="326" t="e">
        <f t="shared" ca="1" si="153"/>
        <v>#NAME?</v>
      </c>
      <c r="BT208" s="437" t="e">
        <f t="shared" ca="1" si="123"/>
        <v>#NAME?</v>
      </c>
      <c r="BU208" s="437" t="e">
        <f t="shared" ca="1" si="124"/>
        <v>#NAME?</v>
      </c>
      <c r="BV208" s="441" t="e">
        <f t="shared" ca="1" si="125"/>
        <v>#NAME?</v>
      </c>
      <c r="BW208" s="442" t="e">
        <f t="shared" ca="1" si="126"/>
        <v>#NAME?</v>
      </c>
      <c r="BX208" s="470" t="e">
        <f t="shared" ca="1" si="96"/>
        <v>#NAME?</v>
      </c>
      <c r="BY208" s="484" t="e">
        <f t="shared" ca="1" si="109"/>
        <v>#NAME?</v>
      </c>
    </row>
    <row r="209" spans="9:77" ht="17.75" customHeight="1" x14ac:dyDescent="0.2">
      <c r="I209" s="366">
        <v>125</v>
      </c>
      <c r="J209" s="414">
        <f t="shared" si="110"/>
        <v>41705.79930555584</v>
      </c>
      <c r="K209" s="435" t="e">
        <f t="shared" ca="1" si="111"/>
        <v>#NAME?</v>
      </c>
      <c r="L209" s="435" t="e">
        <f t="shared" ca="1" si="97"/>
        <v>#NAME?</v>
      </c>
      <c r="M209" s="664" t="e">
        <f t="shared" ca="1" si="154"/>
        <v>#NAME?</v>
      </c>
      <c r="N209" s="664" t="e">
        <f t="shared" ca="1" si="155"/>
        <v>#NAME?</v>
      </c>
      <c r="O209" s="140" t="e">
        <f t="shared" ca="1" si="98"/>
        <v>#NAME?</v>
      </c>
      <c r="P209" s="352" t="e">
        <f t="shared" ca="1" si="114"/>
        <v>#NAME?</v>
      </c>
      <c r="Q209" s="665" t="e">
        <f t="shared" ca="1" si="156"/>
        <v>#NAME?</v>
      </c>
      <c r="R209" s="352" t="e">
        <f t="shared" ca="1" si="127"/>
        <v>#NAME?</v>
      </c>
      <c r="S209" s="662" t="e">
        <f t="shared" ca="1" si="100"/>
        <v>#NAME?</v>
      </c>
      <c r="T209" s="443" t="e">
        <f t="shared" ca="1" si="92"/>
        <v>#NAME?</v>
      </c>
      <c r="U209" s="369" t="e">
        <f t="shared" ca="1" si="93"/>
        <v>#NAME?</v>
      </c>
      <c r="V209" s="454" t="e">
        <f t="shared" ca="1" si="101"/>
        <v>#NAME?</v>
      </c>
      <c r="W209" s="457">
        <f t="shared" si="102"/>
        <v>1000</v>
      </c>
      <c r="X209" s="463" t="e">
        <f t="shared" ca="1" si="103"/>
        <v>#NAME?</v>
      </c>
      <c r="Y209" s="455" t="e">
        <f t="shared" ca="1" si="115"/>
        <v>#NAME?</v>
      </c>
      <c r="Z209" s="699">
        <f t="shared" si="94"/>
        <v>8.5</v>
      </c>
      <c r="AA209" s="355" t="str">
        <f t="shared" si="95"/>
        <v>ON</v>
      </c>
      <c r="AB209" s="357">
        <f t="shared" si="128"/>
        <v>1.4999999999999999E-2</v>
      </c>
      <c r="AC209" s="356" t="e">
        <f ca="1">IF(  Y208=0,0,IF(OR(S209="KCAS",S209="INOP",S209="MEFE"),   ( (5*( (   (((1+0.2*(T209/661.4786)^2)^3.5 -1)  )/( (1-6.8755856*10^-6 *100*Y209)^5.2558797) +1)^(2/7) -1) )^0.5),IF(S209="MACH",T209, IF(S209="LRC",BicubicInterpolation( 'LRC Mach'!$C$4:$AL$21, Y209,U209),  IF(S209="MRC",BicubicInterpolation( 'MRC Mach'!$C$3:$T$18, Y209,U209),  IF(S209="M0.84",0.84,  IF(S209="CI52",BicubicInterpolation('CI=52 Mach'!$C$3:$T$18, Y209,U209),  IF(S209="HOLDING",BicubicInterpolation(  'Holding Mach'!$C$4:$M$13, Y209,U209),                         IF(S209="LRCINOP", BicubicInterpolation('LRC INOP Mach'!$C$4:$AA$21,Y209,U209), IF(S209="HOLDINGINOP",  BicubicInterpolation('Holding INOP Mach'!$N$4:$U$13,Y209,U209),         "XXX" )))))))   )))</f>
        <v>#NAME?</v>
      </c>
      <c r="AD209" s="313" t="e">
        <f t="shared" ca="1" si="129"/>
        <v>#NAME?</v>
      </c>
      <c r="AE209" s="314" t="e">
        <f t="shared" ca="1" si="116"/>
        <v>#NAME?</v>
      </c>
      <c r="AF209" s="313" t="e">
        <f t="shared" ca="1" si="130"/>
        <v>#NAME?</v>
      </c>
      <c r="AG209" s="314" t="e">
        <f t="shared" ca="1" si="117"/>
        <v>#NAME?</v>
      </c>
      <c r="AH209" s="313" t="e">
        <f t="shared" ca="1" si="131"/>
        <v>#NAME?</v>
      </c>
      <c r="AI209" s="314" t="e">
        <f t="shared" ca="1" si="118"/>
        <v>#NAME?</v>
      </c>
      <c r="AJ209" s="315" t="e">
        <f t="shared" ca="1" si="119"/>
        <v>#NAME?</v>
      </c>
      <c r="AK209" s="568" t="e">
        <f t="shared" ca="1" si="132"/>
        <v>#NAME?</v>
      </c>
      <c r="AL209" s="313" t="e">
        <f t="shared" ca="1" si="133"/>
        <v>#NAME?</v>
      </c>
      <c r="AM209" s="313" t="e">
        <f t="shared" ca="1" si="120"/>
        <v>#NAME?</v>
      </c>
      <c r="AN209" s="313" t="e">
        <f t="shared" ca="1" si="121"/>
        <v>#NAME?</v>
      </c>
      <c r="AO209" s="316" t="e">
        <f t="shared" ca="1" si="134"/>
        <v>#NAME?</v>
      </c>
      <c r="AP209" s="313" t="e">
        <f t="shared" ca="1" si="135"/>
        <v>#NAME?</v>
      </c>
      <c r="AQ209" s="314" t="e">
        <f t="shared" ca="1" si="122"/>
        <v>#NAME?</v>
      </c>
      <c r="AR209" s="315" t="e">
        <f t="shared" ca="1" si="136"/>
        <v>#NAME?</v>
      </c>
      <c r="AS209" s="316" t="e">
        <f t="shared" ca="1" si="137"/>
        <v>#NAME?</v>
      </c>
      <c r="AT209" s="315" t="e">
        <f t="shared" ca="1" si="138"/>
        <v>#NAME?</v>
      </c>
      <c r="AU209" s="317">
        <v>427.8</v>
      </c>
      <c r="AV209" s="315" t="e">
        <f t="shared" ca="1" si="139"/>
        <v>#NAME?</v>
      </c>
      <c r="AW209" s="318" t="e">
        <f ca="1">0.0001*BicubicInterpolation('Drag Coef Table'!$B$4:$L$28,AV209,AC209)</f>
        <v>#NAME?</v>
      </c>
      <c r="AX209" s="319" t="e">
        <f t="shared" ca="1" si="140"/>
        <v>#NAME?</v>
      </c>
      <c r="AY209" s="318" t="e">
        <f t="shared" ca="1" si="141"/>
        <v>#NAME?</v>
      </c>
      <c r="AZ209" s="320" t="e">
        <f t="shared" ca="1" si="142"/>
        <v>#NAME?</v>
      </c>
      <c r="BA209" s="321" t="e">
        <f t="shared" ca="1" si="143"/>
        <v>#NAME?</v>
      </c>
      <c r="BB209" s="322" t="e">
        <f t="shared" ca="1" si="144"/>
        <v>#NAME?</v>
      </c>
      <c r="BC209" s="323">
        <v>75.196700000000007</v>
      </c>
      <c r="BD209" s="324" t="e">
        <f t="shared" ca="1" si="145"/>
        <v>#NAME?</v>
      </c>
      <c r="BE209" s="325" t="e">
        <f t="shared" ca="1" si="146"/>
        <v>#NAME?</v>
      </c>
      <c r="BF209" s="324" t="e">
        <f ca="1">BicubicInterpolation('TSFC Eff Table'!$B$4:$E$69,2,BB209)</f>
        <v>#NAME?</v>
      </c>
      <c r="BG209" s="326" t="e">
        <f t="shared" ca="1" si="147"/>
        <v>#NAME?</v>
      </c>
      <c r="BH209" s="694" t="e">
        <f ca="1">IF( S209="LRCINOP",   (1+(0.03/10)*Z209*(1+0.2*AC209^2) )*BicubicInterpolation( 'LRC INOP FF'!$C$4:$AA$21, Y209, U209 )-200, IF(S209 ="HOLDINGINOP", (1+(0.03/10)*Z209*(1+0.2*AC209^2) )*BicubicInterpolation( 'Holding INOP FF'!$C$4:$J$13,  Y209,  U209)/1.05-200,   BA209*BG209))</f>
        <v>#NAME?</v>
      </c>
      <c r="BI209" s="344" t="e">
        <f t="shared" ca="1" si="104"/>
        <v>#NAME?</v>
      </c>
      <c r="BJ209" s="322" t="e">
        <f t="shared" ca="1" si="148"/>
        <v>#NAME?</v>
      </c>
      <c r="BK209" s="338" t="e">
        <f t="shared" ca="1" si="105"/>
        <v>#NAME?</v>
      </c>
      <c r="BL209" s="327" t="e">
        <f t="shared" ca="1" si="149"/>
        <v>#NAME?</v>
      </c>
      <c r="BM209" s="328">
        <f t="shared" si="150"/>
        <v>200</v>
      </c>
      <c r="BN209" s="329" t="e">
        <f t="shared" ca="1" si="151"/>
        <v>#NAME?</v>
      </c>
      <c r="BO209" s="344" t="e">
        <f t="shared" ca="1" si="106"/>
        <v>#NAME?</v>
      </c>
      <c r="BP209" s="320" t="e">
        <f t="shared" ca="1" si="152"/>
        <v>#NAME?</v>
      </c>
      <c r="BQ209" s="344" t="e">
        <f t="shared" ca="1" si="107"/>
        <v>#NAME?</v>
      </c>
      <c r="BR209" s="347" t="e">
        <f t="shared" ca="1" si="108"/>
        <v>#NAME?</v>
      </c>
      <c r="BS209" s="326" t="e">
        <f t="shared" ca="1" si="153"/>
        <v>#NAME?</v>
      </c>
      <c r="BT209" s="437" t="e">
        <f t="shared" ca="1" si="123"/>
        <v>#NAME?</v>
      </c>
      <c r="BU209" s="437" t="e">
        <f t="shared" ca="1" si="124"/>
        <v>#NAME?</v>
      </c>
      <c r="BV209" s="441" t="e">
        <f t="shared" ca="1" si="125"/>
        <v>#NAME?</v>
      </c>
      <c r="BW209" s="442" t="e">
        <f t="shared" ca="1" si="126"/>
        <v>#NAME?</v>
      </c>
      <c r="BX209" s="470" t="e">
        <f t="shared" ca="1" si="96"/>
        <v>#NAME?</v>
      </c>
      <c r="BY209" s="484" t="e">
        <f t="shared" ca="1" si="109"/>
        <v>#NAME?</v>
      </c>
    </row>
    <row r="210" spans="9:77" ht="17.75" customHeight="1" x14ac:dyDescent="0.2">
      <c r="I210" s="366">
        <v>126</v>
      </c>
      <c r="J210" s="414">
        <f t="shared" si="110"/>
        <v>41705.800000000287</v>
      </c>
      <c r="K210" s="435" t="e">
        <f t="shared" ca="1" si="111"/>
        <v>#NAME?</v>
      </c>
      <c r="L210" s="435" t="e">
        <f t="shared" ca="1" si="97"/>
        <v>#NAME?</v>
      </c>
      <c r="M210" s="664" t="e">
        <f t="shared" ca="1" si="154"/>
        <v>#NAME?</v>
      </c>
      <c r="N210" s="664" t="e">
        <f t="shared" ca="1" si="155"/>
        <v>#NAME?</v>
      </c>
      <c r="O210" s="140" t="e">
        <f t="shared" ca="1" si="98"/>
        <v>#NAME?</v>
      </c>
      <c r="P210" s="352" t="e">
        <f t="shared" ca="1" si="114"/>
        <v>#NAME?</v>
      </c>
      <c r="Q210" s="665" t="e">
        <f t="shared" ca="1" si="156"/>
        <v>#NAME?</v>
      </c>
      <c r="R210" s="352" t="e">
        <f t="shared" ca="1" si="127"/>
        <v>#NAME?</v>
      </c>
      <c r="S210" s="662" t="e">
        <f t="shared" ca="1" si="100"/>
        <v>#NAME?</v>
      </c>
      <c r="T210" s="443" t="e">
        <f t="shared" ca="1" si="92"/>
        <v>#NAME?</v>
      </c>
      <c r="U210" s="369" t="e">
        <f t="shared" ca="1" si="93"/>
        <v>#NAME?</v>
      </c>
      <c r="V210" s="454" t="e">
        <f t="shared" ca="1" si="101"/>
        <v>#NAME?</v>
      </c>
      <c r="W210" s="457">
        <f t="shared" si="102"/>
        <v>1000</v>
      </c>
      <c r="X210" s="463" t="e">
        <f t="shared" ca="1" si="103"/>
        <v>#NAME?</v>
      </c>
      <c r="Y210" s="455" t="e">
        <f t="shared" ca="1" si="115"/>
        <v>#NAME?</v>
      </c>
      <c r="Z210" s="699">
        <f t="shared" si="94"/>
        <v>8.5</v>
      </c>
      <c r="AA210" s="355" t="str">
        <f t="shared" si="95"/>
        <v>ON</v>
      </c>
      <c r="AB210" s="357">
        <f t="shared" si="128"/>
        <v>1.4999999999999999E-2</v>
      </c>
      <c r="AC210" s="356" t="e">
        <f ca="1">IF(  Y209=0,0,IF(OR(S210="KCAS",S210="INOP",S210="MEFE"),   ( (5*( (   (((1+0.2*(T210/661.4786)^2)^3.5 -1)  )/( (1-6.8755856*10^-6 *100*Y210)^5.2558797) +1)^(2/7) -1) )^0.5),IF(S210="MACH",T210, IF(S210="LRC",BicubicInterpolation( 'LRC Mach'!$C$4:$AL$21, Y210,U210),  IF(S210="MRC",BicubicInterpolation( 'MRC Mach'!$C$3:$T$18, Y210,U210),  IF(S210="M0.84",0.84,  IF(S210="CI52",BicubicInterpolation('CI=52 Mach'!$C$3:$T$18, Y210,U210),  IF(S210="HOLDING",BicubicInterpolation(  'Holding Mach'!$C$4:$M$13, Y210,U210),                         IF(S210="LRCINOP", BicubicInterpolation('LRC INOP Mach'!$C$4:$AA$21,Y210,U210), IF(S210="HOLDINGINOP",  BicubicInterpolation('Holding INOP Mach'!$N$4:$U$13,Y210,U210),         "XXX" )))))))   )))</f>
        <v>#NAME?</v>
      </c>
      <c r="AD210" s="313" t="e">
        <f t="shared" ca="1" si="129"/>
        <v>#NAME?</v>
      </c>
      <c r="AE210" s="314" t="e">
        <f t="shared" ca="1" si="116"/>
        <v>#NAME?</v>
      </c>
      <c r="AF210" s="313" t="e">
        <f t="shared" ca="1" si="130"/>
        <v>#NAME?</v>
      </c>
      <c r="AG210" s="314" t="e">
        <f t="shared" ca="1" si="117"/>
        <v>#NAME?</v>
      </c>
      <c r="AH210" s="313" t="e">
        <f t="shared" ca="1" si="131"/>
        <v>#NAME?</v>
      </c>
      <c r="AI210" s="314" t="e">
        <f t="shared" ca="1" si="118"/>
        <v>#NAME?</v>
      </c>
      <c r="AJ210" s="315" t="e">
        <f t="shared" ca="1" si="119"/>
        <v>#NAME?</v>
      </c>
      <c r="AK210" s="568" t="e">
        <f t="shared" ca="1" si="132"/>
        <v>#NAME?</v>
      </c>
      <c r="AL210" s="313" t="e">
        <f t="shared" ca="1" si="133"/>
        <v>#NAME?</v>
      </c>
      <c r="AM210" s="313" t="e">
        <f t="shared" ca="1" si="120"/>
        <v>#NAME?</v>
      </c>
      <c r="AN210" s="313" t="e">
        <f t="shared" ca="1" si="121"/>
        <v>#NAME?</v>
      </c>
      <c r="AO210" s="316" t="e">
        <f t="shared" ca="1" si="134"/>
        <v>#NAME?</v>
      </c>
      <c r="AP210" s="313" t="e">
        <f t="shared" ca="1" si="135"/>
        <v>#NAME?</v>
      </c>
      <c r="AQ210" s="314" t="e">
        <f t="shared" ca="1" si="122"/>
        <v>#NAME?</v>
      </c>
      <c r="AR210" s="315" t="e">
        <f t="shared" ca="1" si="136"/>
        <v>#NAME?</v>
      </c>
      <c r="AS210" s="316" t="e">
        <f t="shared" ca="1" si="137"/>
        <v>#NAME?</v>
      </c>
      <c r="AT210" s="315" t="e">
        <f t="shared" ca="1" si="138"/>
        <v>#NAME?</v>
      </c>
      <c r="AU210" s="317">
        <v>427.8</v>
      </c>
      <c r="AV210" s="315" t="e">
        <f t="shared" ca="1" si="139"/>
        <v>#NAME?</v>
      </c>
      <c r="AW210" s="318" t="e">
        <f ca="1">0.0001*BicubicInterpolation('Drag Coef Table'!$B$4:$L$28,AV210,AC210)</f>
        <v>#NAME?</v>
      </c>
      <c r="AX210" s="319" t="e">
        <f t="shared" ca="1" si="140"/>
        <v>#NAME?</v>
      </c>
      <c r="AY210" s="318" t="e">
        <f t="shared" ca="1" si="141"/>
        <v>#NAME?</v>
      </c>
      <c r="AZ210" s="320" t="e">
        <f t="shared" ca="1" si="142"/>
        <v>#NAME?</v>
      </c>
      <c r="BA210" s="321" t="e">
        <f t="shared" ca="1" si="143"/>
        <v>#NAME?</v>
      </c>
      <c r="BB210" s="322" t="e">
        <f t="shared" ca="1" si="144"/>
        <v>#NAME?</v>
      </c>
      <c r="BC210" s="323">
        <v>75.196700000000007</v>
      </c>
      <c r="BD210" s="324" t="e">
        <f t="shared" ca="1" si="145"/>
        <v>#NAME?</v>
      </c>
      <c r="BE210" s="325" t="e">
        <f t="shared" ca="1" si="146"/>
        <v>#NAME?</v>
      </c>
      <c r="BF210" s="324" t="e">
        <f ca="1">BicubicInterpolation('TSFC Eff Table'!$B$4:$E$69,2,BB210)</f>
        <v>#NAME?</v>
      </c>
      <c r="BG210" s="326" t="e">
        <f t="shared" ca="1" si="147"/>
        <v>#NAME?</v>
      </c>
      <c r="BH210" s="694" t="e">
        <f ca="1">IF( S210="LRCINOP",   (1+(0.03/10)*Z210*(1+0.2*AC210^2) )*BicubicInterpolation( 'LRC INOP FF'!$C$4:$AA$21, Y210, U210 )-200, IF(S210 ="HOLDINGINOP", (1+(0.03/10)*Z210*(1+0.2*AC210^2) )*BicubicInterpolation( 'Holding INOP FF'!$C$4:$J$13,  Y210,  U210)/1.05-200,   BA210*BG210))</f>
        <v>#NAME?</v>
      </c>
      <c r="BI210" s="344" t="e">
        <f t="shared" ca="1" si="104"/>
        <v>#NAME?</v>
      </c>
      <c r="BJ210" s="322" t="e">
        <f t="shared" ca="1" si="148"/>
        <v>#NAME?</v>
      </c>
      <c r="BK210" s="338" t="e">
        <f t="shared" ca="1" si="105"/>
        <v>#NAME?</v>
      </c>
      <c r="BL210" s="327" t="e">
        <f t="shared" ca="1" si="149"/>
        <v>#NAME?</v>
      </c>
      <c r="BM210" s="328">
        <f t="shared" si="150"/>
        <v>200</v>
      </c>
      <c r="BN210" s="329" t="e">
        <f t="shared" ca="1" si="151"/>
        <v>#NAME?</v>
      </c>
      <c r="BO210" s="344" t="e">
        <f t="shared" ca="1" si="106"/>
        <v>#NAME?</v>
      </c>
      <c r="BP210" s="320" t="e">
        <f t="shared" ca="1" si="152"/>
        <v>#NAME?</v>
      </c>
      <c r="BQ210" s="344" t="e">
        <f t="shared" ca="1" si="107"/>
        <v>#NAME?</v>
      </c>
      <c r="BR210" s="347" t="e">
        <f t="shared" ca="1" si="108"/>
        <v>#NAME?</v>
      </c>
      <c r="BS210" s="326" t="e">
        <f t="shared" ca="1" si="153"/>
        <v>#NAME?</v>
      </c>
      <c r="BT210" s="437" t="e">
        <f t="shared" ca="1" si="123"/>
        <v>#NAME?</v>
      </c>
      <c r="BU210" s="437" t="e">
        <f t="shared" ca="1" si="124"/>
        <v>#NAME?</v>
      </c>
      <c r="BV210" s="441" t="e">
        <f t="shared" ca="1" si="125"/>
        <v>#NAME?</v>
      </c>
      <c r="BW210" s="442" t="e">
        <f t="shared" ca="1" si="126"/>
        <v>#NAME?</v>
      </c>
      <c r="BX210" s="470" t="e">
        <f t="shared" ca="1" si="96"/>
        <v>#NAME?</v>
      </c>
      <c r="BY210" s="484" t="e">
        <f t="shared" ca="1" si="109"/>
        <v>#NAME?</v>
      </c>
    </row>
    <row r="211" spans="9:77" ht="17.75" customHeight="1" x14ac:dyDescent="0.2">
      <c r="I211" s="366">
        <v>127</v>
      </c>
      <c r="J211" s="414">
        <f t="shared" si="110"/>
        <v>41705.800694444733</v>
      </c>
      <c r="K211" s="435" t="e">
        <f t="shared" ca="1" si="111"/>
        <v>#NAME?</v>
      </c>
      <c r="L211" s="435" t="e">
        <f t="shared" ca="1" si="97"/>
        <v>#NAME?</v>
      </c>
      <c r="M211" s="664" t="e">
        <f t="shared" ca="1" si="154"/>
        <v>#NAME?</v>
      </c>
      <c r="N211" s="664" t="e">
        <f t="shared" ca="1" si="155"/>
        <v>#NAME?</v>
      </c>
      <c r="O211" s="140" t="e">
        <f t="shared" ca="1" si="98"/>
        <v>#NAME?</v>
      </c>
      <c r="P211" s="352" t="e">
        <f t="shared" ca="1" si="114"/>
        <v>#NAME?</v>
      </c>
      <c r="Q211" s="665" t="e">
        <f t="shared" ca="1" si="156"/>
        <v>#NAME?</v>
      </c>
      <c r="R211" s="352" t="e">
        <f t="shared" ca="1" si="127"/>
        <v>#NAME?</v>
      </c>
      <c r="S211" s="662" t="e">
        <f t="shared" ca="1" si="100"/>
        <v>#NAME?</v>
      </c>
      <c r="T211" s="443" t="e">
        <f t="shared" ca="1" si="92"/>
        <v>#NAME?</v>
      </c>
      <c r="U211" s="369" t="e">
        <f t="shared" ca="1" si="93"/>
        <v>#NAME?</v>
      </c>
      <c r="V211" s="454" t="e">
        <f t="shared" ca="1" si="101"/>
        <v>#NAME?</v>
      </c>
      <c r="W211" s="457">
        <f t="shared" si="102"/>
        <v>1000</v>
      </c>
      <c r="X211" s="463" t="e">
        <f t="shared" ca="1" si="103"/>
        <v>#NAME?</v>
      </c>
      <c r="Y211" s="455" t="e">
        <f t="shared" ca="1" si="115"/>
        <v>#NAME?</v>
      </c>
      <c r="Z211" s="699">
        <f t="shared" si="94"/>
        <v>8.5</v>
      </c>
      <c r="AA211" s="355" t="str">
        <f t="shared" si="95"/>
        <v>ON</v>
      </c>
      <c r="AB211" s="357">
        <f t="shared" si="128"/>
        <v>1.4999999999999999E-2</v>
      </c>
      <c r="AC211" s="356" t="e">
        <f ca="1">IF(  Y210=0,0,IF(OR(S211="KCAS",S211="INOP",S211="MEFE"),   ( (5*( (   (((1+0.2*(T211/661.4786)^2)^3.5 -1)  )/( (1-6.8755856*10^-6 *100*Y211)^5.2558797) +1)^(2/7) -1) )^0.5),IF(S211="MACH",T211, IF(S211="LRC",BicubicInterpolation( 'LRC Mach'!$C$4:$AL$21, Y211,U211),  IF(S211="MRC",BicubicInterpolation( 'MRC Mach'!$C$3:$T$18, Y211,U211),  IF(S211="M0.84",0.84,  IF(S211="CI52",BicubicInterpolation('CI=52 Mach'!$C$3:$T$18, Y211,U211),  IF(S211="HOLDING",BicubicInterpolation(  'Holding Mach'!$C$4:$M$13, Y211,U211),                         IF(S211="LRCINOP", BicubicInterpolation('LRC INOP Mach'!$C$4:$AA$21,Y211,U211), IF(S211="HOLDINGINOP",  BicubicInterpolation('Holding INOP Mach'!$N$4:$U$13,Y211,U211),         "XXX" )))))))   )))</f>
        <v>#NAME?</v>
      </c>
      <c r="AD211" s="313" t="e">
        <f t="shared" ca="1" si="129"/>
        <v>#NAME?</v>
      </c>
      <c r="AE211" s="314" t="e">
        <f t="shared" ca="1" si="116"/>
        <v>#NAME?</v>
      </c>
      <c r="AF211" s="313" t="e">
        <f t="shared" ca="1" si="130"/>
        <v>#NAME?</v>
      </c>
      <c r="AG211" s="314" t="e">
        <f t="shared" ca="1" si="117"/>
        <v>#NAME?</v>
      </c>
      <c r="AH211" s="313" t="e">
        <f t="shared" ca="1" si="131"/>
        <v>#NAME?</v>
      </c>
      <c r="AI211" s="314" t="e">
        <f t="shared" ca="1" si="118"/>
        <v>#NAME?</v>
      </c>
      <c r="AJ211" s="315" t="e">
        <f t="shared" ca="1" si="119"/>
        <v>#NAME?</v>
      </c>
      <c r="AK211" s="568" t="e">
        <f t="shared" ca="1" si="132"/>
        <v>#NAME?</v>
      </c>
      <c r="AL211" s="313" t="e">
        <f t="shared" ca="1" si="133"/>
        <v>#NAME?</v>
      </c>
      <c r="AM211" s="313" t="e">
        <f t="shared" ca="1" si="120"/>
        <v>#NAME?</v>
      </c>
      <c r="AN211" s="313" t="e">
        <f t="shared" ca="1" si="121"/>
        <v>#NAME?</v>
      </c>
      <c r="AO211" s="316" t="e">
        <f t="shared" ca="1" si="134"/>
        <v>#NAME?</v>
      </c>
      <c r="AP211" s="313" t="e">
        <f t="shared" ca="1" si="135"/>
        <v>#NAME?</v>
      </c>
      <c r="AQ211" s="314" t="e">
        <f t="shared" ca="1" si="122"/>
        <v>#NAME?</v>
      </c>
      <c r="AR211" s="315" t="e">
        <f t="shared" ca="1" si="136"/>
        <v>#NAME?</v>
      </c>
      <c r="AS211" s="316" t="e">
        <f t="shared" ca="1" si="137"/>
        <v>#NAME?</v>
      </c>
      <c r="AT211" s="315" t="e">
        <f t="shared" ca="1" si="138"/>
        <v>#NAME?</v>
      </c>
      <c r="AU211" s="317">
        <v>427.8</v>
      </c>
      <c r="AV211" s="315" t="e">
        <f t="shared" ca="1" si="139"/>
        <v>#NAME?</v>
      </c>
      <c r="AW211" s="318" t="e">
        <f ca="1">0.0001*BicubicInterpolation('Drag Coef Table'!$B$4:$L$28,AV211,AC211)</f>
        <v>#NAME?</v>
      </c>
      <c r="AX211" s="319" t="e">
        <f t="shared" ca="1" si="140"/>
        <v>#NAME?</v>
      </c>
      <c r="AY211" s="318" t="e">
        <f t="shared" ca="1" si="141"/>
        <v>#NAME?</v>
      </c>
      <c r="AZ211" s="320" t="e">
        <f t="shared" ca="1" si="142"/>
        <v>#NAME?</v>
      </c>
      <c r="BA211" s="321" t="e">
        <f t="shared" ca="1" si="143"/>
        <v>#NAME?</v>
      </c>
      <c r="BB211" s="322" t="e">
        <f t="shared" ca="1" si="144"/>
        <v>#NAME?</v>
      </c>
      <c r="BC211" s="323">
        <v>75.196700000000007</v>
      </c>
      <c r="BD211" s="324" t="e">
        <f t="shared" ca="1" si="145"/>
        <v>#NAME?</v>
      </c>
      <c r="BE211" s="325" t="e">
        <f t="shared" ca="1" si="146"/>
        <v>#NAME?</v>
      </c>
      <c r="BF211" s="324" t="e">
        <f ca="1">BicubicInterpolation('TSFC Eff Table'!$B$4:$E$69,2,BB211)</f>
        <v>#NAME?</v>
      </c>
      <c r="BG211" s="326" t="e">
        <f t="shared" ca="1" si="147"/>
        <v>#NAME?</v>
      </c>
      <c r="BH211" s="694" t="e">
        <f ca="1">IF( S211="LRCINOP",   (1+(0.03/10)*Z211*(1+0.2*AC211^2) )*BicubicInterpolation( 'LRC INOP FF'!$C$4:$AA$21, Y211, U211 )-200, IF(S211 ="HOLDINGINOP", (1+(0.03/10)*Z211*(1+0.2*AC211^2) )*BicubicInterpolation( 'Holding INOP FF'!$C$4:$J$13,  Y211,  U211)/1.05-200,   BA211*BG211))</f>
        <v>#NAME?</v>
      </c>
      <c r="BI211" s="344" t="e">
        <f t="shared" ca="1" si="104"/>
        <v>#NAME?</v>
      </c>
      <c r="BJ211" s="322" t="e">
        <f t="shared" ca="1" si="148"/>
        <v>#NAME?</v>
      </c>
      <c r="BK211" s="338" t="e">
        <f t="shared" ca="1" si="105"/>
        <v>#NAME?</v>
      </c>
      <c r="BL211" s="327" t="e">
        <f t="shared" ca="1" si="149"/>
        <v>#NAME?</v>
      </c>
      <c r="BM211" s="328">
        <f t="shared" si="150"/>
        <v>200</v>
      </c>
      <c r="BN211" s="329" t="e">
        <f t="shared" ca="1" si="151"/>
        <v>#NAME?</v>
      </c>
      <c r="BO211" s="344" t="e">
        <f t="shared" ca="1" si="106"/>
        <v>#NAME?</v>
      </c>
      <c r="BP211" s="320" t="e">
        <f t="shared" ca="1" si="152"/>
        <v>#NAME?</v>
      </c>
      <c r="BQ211" s="344" t="e">
        <f t="shared" ca="1" si="107"/>
        <v>#NAME?</v>
      </c>
      <c r="BR211" s="347" t="e">
        <f t="shared" ca="1" si="108"/>
        <v>#NAME?</v>
      </c>
      <c r="BS211" s="326" t="e">
        <f t="shared" ca="1" si="153"/>
        <v>#NAME?</v>
      </c>
      <c r="BT211" s="437" t="e">
        <f t="shared" ca="1" si="123"/>
        <v>#NAME?</v>
      </c>
      <c r="BU211" s="437" t="e">
        <f t="shared" ca="1" si="124"/>
        <v>#NAME?</v>
      </c>
      <c r="BV211" s="441" t="e">
        <f t="shared" ca="1" si="125"/>
        <v>#NAME?</v>
      </c>
      <c r="BW211" s="442" t="e">
        <f t="shared" ca="1" si="126"/>
        <v>#NAME?</v>
      </c>
      <c r="BX211" s="470" t="e">
        <f t="shared" ca="1" si="96"/>
        <v>#NAME?</v>
      </c>
      <c r="BY211" s="484" t="e">
        <f t="shared" ca="1" si="109"/>
        <v>#NAME?</v>
      </c>
    </row>
    <row r="212" spans="9:77" ht="17.75" customHeight="1" x14ac:dyDescent="0.2">
      <c r="I212" s="366">
        <v>128</v>
      </c>
      <c r="J212" s="414">
        <f t="shared" si="110"/>
        <v>41705.80138888918</v>
      </c>
      <c r="K212" s="435" t="e">
        <f t="shared" ca="1" si="111"/>
        <v>#NAME?</v>
      </c>
      <c r="L212" s="435" t="e">
        <f t="shared" ca="1" si="97"/>
        <v>#NAME?</v>
      </c>
      <c r="M212" s="664" t="e">
        <f t="shared" ca="1" si="154"/>
        <v>#NAME?</v>
      </c>
      <c r="N212" s="664" t="e">
        <f t="shared" ca="1" si="155"/>
        <v>#NAME?</v>
      </c>
      <c r="O212" s="140" t="e">
        <f t="shared" ca="1" si="98"/>
        <v>#NAME?</v>
      </c>
      <c r="P212" s="352" t="e">
        <f t="shared" ca="1" si="114"/>
        <v>#NAME?</v>
      </c>
      <c r="Q212" s="665" t="e">
        <f t="shared" ca="1" si="156"/>
        <v>#NAME?</v>
      </c>
      <c r="R212" s="352" t="e">
        <f t="shared" ca="1" si="127"/>
        <v>#NAME?</v>
      </c>
      <c r="S212" s="662" t="e">
        <f t="shared" ca="1" si="100"/>
        <v>#NAME?</v>
      </c>
      <c r="T212" s="443" t="e">
        <f t="shared" ca="1" si="92"/>
        <v>#NAME?</v>
      </c>
      <c r="U212" s="369" t="e">
        <f t="shared" ca="1" si="93"/>
        <v>#NAME?</v>
      </c>
      <c r="V212" s="454" t="e">
        <f t="shared" ca="1" si="101"/>
        <v>#NAME?</v>
      </c>
      <c r="W212" s="457">
        <f t="shared" si="102"/>
        <v>1000</v>
      </c>
      <c r="X212" s="463" t="e">
        <f t="shared" ca="1" si="103"/>
        <v>#NAME?</v>
      </c>
      <c r="Y212" s="455" t="e">
        <f t="shared" ca="1" si="115"/>
        <v>#NAME?</v>
      </c>
      <c r="Z212" s="699">
        <f t="shared" si="94"/>
        <v>8.5</v>
      </c>
      <c r="AA212" s="355" t="str">
        <f t="shared" si="95"/>
        <v>ON</v>
      </c>
      <c r="AB212" s="357">
        <f t="shared" si="128"/>
        <v>1.4999999999999999E-2</v>
      </c>
      <c r="AC212" s="356" t="e">
        <f ca="1">IF(  Y211=0,0,IF(OR(S212="KCAS",S212="INOP",S212="MEFE"),   ( (5*( (   (((1+0.2*(T212/661.4786)^2)^3.5 -1)  )/( (1-6.8755856*10^-6 *100*Y212)^5.2558797) +1)^(2/7) -1) )^0.5),IF(S212="MACH",T212, IF(S212="LRC",BicubicInterpolation( 'LRC Mach'!$C$4:$AL$21, Y212,U212),  IF(S212="MRC",BicubicInterpolation( 'MRC Mach'!$C$3:$T$18, Y212,U212),  IF(S212="M0.84",0.84,  IF(S212="CI52",BicubicInterpolation('CI=52 Mach'!$C$3:$T$18, Y212,U212),  IF(S212="HOLDING",BicubicInterpolation(  'Holding Mach'!$C$4:$M$13, Y212,U212),                         IF(S212="LRCINOP", BicubicInterpolation('LRC INOP Mach'!$C$4:$AA$21,Y212,U212), IF(S212="HOLDINGINOP",  BicubicInterpolation('Holding INOP Mach'!$N$4:$U$13,Y212,U212),         "XXX" )))))))   )))</f>
        <v>#NAME?</v>
      </c>
      <c r="AD212" s="313" t="e">
        <f t="shared" ca="1" si="129"/>
        <v>#NAME?</v>
      </c>
      <c r="AE212" s="314" t="e">
        <f t="shared" ca="1" si="116"/>
        <v>#NAME?</v>
      </c>
      <c r="AF212" s="313" t="e">
        <f t="shared" ca="1" si="130"/>
        <v>#NAME?</v>
      </c>
      <c r="AG212" s="314" t="e">
        <f t="shared" ca="1" si="117"/>
        <v>#NAME?</v>
      </c>
      <c r="AH212" s="313" t="e">
        <f t="shared" ca="1" si="131"/>
        <v>#NAME?</v>
      </c>
      <c r="AI212" s="314" t="e">
        <f t="shared" ca="1" si="118"/>
        <v>#NAME?</v>
      </c>
      <c r="AJ212" s="315" t="e">
        <f t="shared" ca="1" si="119"/>
        <v>#NAME?</v>
      </c>
      <c r="AK212" s="568" t="e">
        <f t="shared" ca="1" si="132"/>
        <v>#NAME?</v>
      </c>
      <c r="AL212" s="313" t="e">
        <f t="shared" ca="1" si="133"/>
        <v>#NAME?</v>
      </c>
      <c r="AM212" s="313" t="e">
        <f t="shared" ca="1" si="120"/>
        <v>#NAME?</v>
      </c>
      <c r="AN212" s="313" t="e">
        <f t="shared" ca="1" si="121"/>
        <v>#NAME?</v>
      </c>
      <c r="AO212" s="316" t="e">
        <f t="shared" ca="1" si="134"/>
        <v>#NAME?</v>
      </c>
      <c r="AP212" s="313" t="e">
        <f t="shared" ca="1" si="135"/>
        <v>#NAME?</v>
      </c>
      <c r="AQ212" s="314" t="e">
        <f t="shared" ca="1" si="122"/>
        <v>#NAME?</v>
      </c>
      <c r="AR212" s="315" t="e">
        <f t="shared" ca="1" si="136"/>
        <v>#NAME?</v>
      </c>
      <c r="AS212" s="316" t="e">
        <f t="shared" ca="1" si="137"/>
        <v>#NAME?</v>
      </c>
      <c r="AT212" s="315" t="e">
        <f t="shared" ca="1" si="138"/>
        <v>#NAME?</v>
      </c>
      <c r="AU212" s="317">
        <v>427.8</v>
      </c>
      <c r="AV212" s="315" t="e">
        <f t="shared" ca="1" si="139"/>
        <v>#NAME?</v>
      </c>
      <c r="AW212" s="318" t="e">
        <f ca="1">0.0001*BicubicInterpolation('Drag Coef Table'!$B$4:$L$28,AV212,AC212)</f>
        <v>#NAME?</v>
      </c>
      <c r="AX212" s="319" t="e">
        <f t="shared" ca="1" si="140"/>
        <v>#NAME?</v>
      </c>
      <c r="AY212" s="318" t="e">
        <f t="shared" ca="1" si="141"/>
        <v>#NAME?</v>
      </c>
      <c r="AZ212" s="320" t="e">
        <f t="shared" ca="1" si="142"/>
        <v>#NAME?</v>
      </c>
      <c r="BA212" s="321" t="e">
        <f t="shared" ca="1" si="143"/>
        <v>#NAME?</v>
      </c>
      <c r="BB212" s="322" t="e">
        <f t="shared" ca="1" si="144"/>
        <v>#NAME?</v>
      </c>
      <c r="BC212" s="323">
        <v>75.196700000000007</v>
      </c>
      <c r="BD212" s="324" t="e">
        <f t="shared" ca="1" si="145"/>
        <v>#NAME?</v>
      </c>
      <c r="BE212" s="325" t="e">
        <f t="shared" ca="1" si="146"/>
        <v>#NAME?</v>
      </c>
      <c r="BF212" s="324" t="e">
        <f ca="1">BicubicInterpolation('TSFC Eff Table'!$B$4:$E$69,2,BB212)</f>
        <v>#NAME?</v>
      </c>
      <c r="BG212" s="326" t="e">
        <f t="shared" ca="1" si="147"/>
        <v>#NAME?</v>
      </c>
      <c r="BH212" s="694" t="e">
        <f ca="1">IF( S212="LRCINOP",   (1+(0.03/10)*Z212*(1+0.2*AC212^2) )*BicubicInterpolation( 'LRC INOP FF'!$C$4:$AA$21, Y212, U212 )-200, IF(S212 ="HOLDINGINOP", (1+(0.03/10)*Z212*(1+0.2*AC212^2) )*BicubicInterpolation( 'Holding INOP FF'!$C$4:$J$13,  Y212,  U212)/1.05-200,   BA212*BG212))</f>
        <v>#NAME?</v>
      </c>
      <c r="BI212" s="344" t="e">
        <f t="shared" ca="1" si="104"/>
        <v>#NAME?</v>
      </c>
      <c r="BJ212" s="322" t="e">
        <f t="shared" ca="1" si="148"/>
        <v>#NAME?</v>
      </c>
      <c r="BK212" s="338" t="e">
        <f t="shared" ca="1" si="105"/>
        <v>#NAME?</v>
      </c>
      <c r="BL212" s="327" t="e">
        <f t="shared" ca="1" si="149"/>
        <v>#NAME?</v>
      </c>
      <c r="BM212" s="328">
        <f t="shared" si="150"/>
        <v>200</v>
      </c>
      <c r="BN212" s="329" t="e">
        <f t="shared" ca="1" si="151"/>
        <v>#NAME?</v>
      </c>
      <c r="BO212" s="344" t="e">
        <f t="shared" ca="1" si="106"/>
        <v>#NAME?</v>
      </c>
      <c r="BP212" s="320" t="e">
        <f t="shared" ca="1" si="152"/>
        <v>#NAME?</v>
      </c>
      <c r="BQ212" s="344" t="e">
        <f t="shared" ca="1" si="107"/>
        <v>#NAME?</v>
      </c>
      <c r="BR212" s="347" t="e">
        <f t="shared" ca="1" si="108"/>
        <v>#NAME?</v>
      </c>
      <c r="BS212" s="326" t="e">
        <f t="shared" ca="1" si="153"/>
        <v>#NAME?</v>
      </c>
      <c r="BT212" s="437" t="e">
        <f t="shared" ca="1" si="123"/>
        <v>#NAME?</v>
      </c>
      <c r="BU212" s="437" t="e">
        <f t="shared" ca="1" si="124"/>
        <v>#NAME?</v>
      </c>
      <c r="BV212" s="441" t="e">
        <f t="shared" ca="1" si="125"/>
        <v>#NAME?</v>
      </c>
      <c r="BW212" s="442" t="e">
        <f t="shared" ca="1" si="126"/>
        <v>#NAME?</v>
      </c>
      <c r="BX212" s="470" t="e">
        <f t="shared" ca="1" si="96"/>
        <v>#NAME?</v>
      </c>
      <c r="BY212" s="484" t="e">
        <f t="shared" ca="1" si="109"/>
        <v>#NAME?</v>
      </c>
    </row>
    <row r="213" spans="9:77" ht="17.75" customHeight="1" x14ac:dyDescent="0.2">
      <c r="I213" s="366">
        <v>129</v>
      </c>
      <c r="J213" s="414">
        <f t="shared" si="110"/>
        <v>41705.802083333627</v>
      </c>
      <c r="K213" s="435" t="e">
        <f t="shared" ca="1" si="111"/>
        <v>#NAME?</v>
      </c>
      <c r="L213" s="435" t="e">
        <f t="shared" ca="1" si="97"/>
        <v>#NAME?</v>
      </c>
      <c r="M213" s="664" t="e">
        <f t="shared" ca="1" si="154"/>
        <v>#NAME?</v>
      </c>
      <c r="N213" s="664" t="e">
        <f t="shared" ca="1" si="155"/>
        <v>#NAME?</v>
      </c>
      <c r="O213" s="140" t="e">
        <f t="shared" ca="1" si="98"/>
        <v>#NAME?</v>
      </c>
      <c r="P213" s="352" t="e">
        <f t="shared" ca="1" si="114"/>
        <v>#NAME?</v>
      </c>
      <c r="Q213" s="665" t="e">
        <f t="shared" ca="1" si="156"/>
        <v>#NAME?</v>
      </c>
      <c r="R213" s="352" t="e">
        <f t="shared" ca="1" si="127"/>
        <v>#NAME?</v>
      </c>
      <c r="S213" s="662" t="e">
        <f t="shared" ca="1" si="100"/>
        <v>#NAME?</v>
      </c>
      <c r="T213" s="443" t="e">
        <f t="shared" ref="T213:T276" ca="1" si="157">IF(AND(S213="MEFE",  S212="MEFE"), MAX(T212+$C$43,$C$39), IF(AND(S212="INOP",S213="MEFE"),  MAX(T212+$C$38,$C$39), IF(AND(S213="INOP",S212="INOP"), MAX(T212+$C$38,$C$39),IF(S213="INOP", AO212,IF($J213&lt;$C$12,$C$6,IF($J213&lt;$C$18,$C$14,$C$20))))))</f>
        <v>#NAME?</v>
      </c>
      <c r="U213" s="369" t="e">
        <f t="shared" ref="U213:U276" ca="1" si="158">P213</f>
        <v>#NAME?</v>
      </c>
      <c r="V213" s="454" t="e">
        <f t="shared" ca="1" si="101"/>
        <v>#NAME?</v>
      </c>
      <c r="W213" s="457">
        <f t="shared" si="102"/>
        <v>1000</v>
      </c>
      <c r="X213" s="463" t="e">
        <f t="shared" ca="1" si="103"/>
        <v>#NAME?</v>
      </c>
      <c r="Y213" s="455" t="e">
        <f t="shared" ca="1" si="115"/>
        <v>#NAME?</v>
      </c>
      <c r="Z213" s="699">
        <f t="shared" ref="Z213:Z276" si="159">IF(I213&gt;$M$83-1,$C$22,IF(I213&gt;$K$83-1,$C$16,$C$8))</f>
        <v>8.5</v>
      </c>
      <c r="AA213" s="355" t="str">
        <f t="shared" ref="AA213:AA276" si="160">IF(I213&lt;$K$83,$C$9, IF( I213&lt;$L$83, $C$17,$C$23))</f>
        <v>ON</v>
      </c>
      <c r="AB213" s="357">
        <f t="shared" si="128"/>
        <v>1.4999999999999999E-2</v>
      </c>
      <c r="AC213" s="356" t="e">
        <f ca="1">IF(  Y212=0,0,IF(OR(S213="KCAS",S213="INOP",S213="MEFE"),   ( (5*( (   (((1+0.2*(T213/661.4786)^2)^3.5 -1)  )/( (1-6.8755856*10^-6 *100*Y213)^5.2558797) +1)^(2/7) -1) )^0.5),IF(S213="MACH",T213, IF(S213="LRC",BicubicInterpolation( 'LRC Mach'!$C$4:$AL$21, Y213,U213),  IF(S213="MRC",BicubicInterpolation( 'MRC Mach'!$C$3:$T$18, Y213,U213),  IF(S213="M0.84",0.84,  IF(S213="CI52",BicubicInterpolation('CI=52 Mach'!$C$3:$T$18, Y213,U213),  IF(S213="HOLDING",BicubicInterpolation(  'Holding Mach'!$C$4:$M$13, Y213,U213),                         IF(S213="LRCINOP", BicubicInterpolation('LRC INOP Mach'!$C$4:$AA$21,Y213,U213), IF(S213="HOLDINGINOP",  BicubicInterpolation('Holding INOP Mach'!$N$4:$U$13,Y213,U213),         "XXX" )))))))   )))</f>
        <v>#NAME?</v>
      </c>
      <c r="AD213" s="313" t="e">
        <f t="shared" ca="1" si="129"/>
        <v>#NAME?</v>
      </c>
      <c r="AE213" s="314" t="e">
        <f t="shared" ca="1" si="116"/>
        <v>#NAME?</v>
      </c>
      <c r="AF213" s="313" t="e">
        <f t="shared" ca="1" si="130"/>
        <v>#NAME?</v>
      </c>
      <c r="AG213" s="314" t="e">
        <f t="shared" ca="1" si="117"/>
        <v>#NAME?</v>
      </c>
      <c r="AH213" s="313" t="e">
        <f t="shared" ca="1" si="131"/>
        <v>#NAME?</v>
      </c>
      <c r="AI213" s="314" t="e">
        <f t="shared" ca="1" si="118"/>
        <v>#NAME?</v>
      </c>
      <c r="AJ213" s="315" t="e">
        <f t="shared" ca="1" si="119"/>
        <v>#NAME?</v>
      </c>
      <c r="AK213" s="568" t="e">
        <f t="shared" ca="1" si="132"/>
        <v>#NAME?</v>
      </c>
      <c r="AL213" s="313" t="e">
        <f t="shared" ca="1" si="133"/>
        <v>#NAME?</v>
      </c>
      <c r="AM213" s="313" t="e">
        <f t="shared" ca="1" si="120"/>
        <v>#NAME?</v>
      </c>
      <c r="AN213" s="313" t="e">
        <f t="shared" ca="1" si="121"/>
        <v>#NAME?</v>
      </c>
      <c r="AO213" s="316" t="e">
        <f t="shared" ca="1" si="134"/>
        <v>#NAME?</v>
      </c>
      <c r="AP213" s="313" t="e">
        <f t="shared" ca="1" si="135"/>
        <v>#NAME?</v>
      </c>
      <c r="AQ213" s="314" t="e">
        <f t="shared" ca="1" si="122"/>
        <v>#NAME?</v>
      </c>
      <c r="AR213" s="315" t="e">
        <f t="shared" ca="1" si="136"/>
        <v>#NAME?</v>
      </c>
      <c r="AS213" s="316" t="e">
        <f t="shared" ca="1" si="137"/>
        <v>#NAME?</v>
      </c>
      <c r="AT213" s="315" t="e">
        <f t="shared" ca="1" si="138"/>
        <v>#NAME?</v>
      </c>
      <c r="AU213" s="317">
        <v>427.8</v>
      </c>
      <c r="AV213" s="315" t="e">
        <f t="shared" ca="1" si="139"/>
        <v>#NAME?</v>
      </c>
      <c r="AW213" s="318" t="e">
        <f ca="1">0.0001*BicubicInterpolation('Drag Coef Table'!$B$4:$L$28,AV213,AC213)</f>
        <v>#NAME?</v>
      </c>
      <c r="AX213" s="319" t="e">
        <f t="shared" ca="1" si="140"/>
        <v>#NAME?</v>
      </c>
      <c r="AY213" s="318" t="e">
        <f t="shared" ca="1" si="141"/>
        <v>#NAME?</v>
      </c>
      <c r="AZ213" s="320" t="e">
        <f t="shared" ca="1" si="142"/>
        <v>#NAME?</v>
      </c>
      <c r="BA213" s="321" t="e">
        <f t="shared" ca="1" si="143"/>
        <v>#NAME?</v>
      </c>
      <c r="BB213" s="322" t="e">
        <f t="shared" ca="1" si="144"/>
        <v>#NAME?</v>
      </c>
      <c r="BC213" s="323">
        <v>75.196700000000007</v>
      </c>
      <c r="BD213" s="324" t="e">
        <f t="shared" ca="1" si="145"/>
        <v>#NAME?</v>
      </c>
      <c r="BE213" s="325" t="e">
        <f t="shared" ca="1" si="146"/>
        <v>#NAME?</v>
      </c>
      <c r="BF213" s="324" t="e">
        <f ca="1">BicubicInterpolation('TSFC Eff Table'!$B$4:$E$69,2,BB213)</f>
        <v>#NAME?</v>
      </c>
      <c r="BG213" s="326" t="e">
        <f t="shared" ca="1" si="147"/>
        <v>#NAME?</v>
      </c>
      <c r="BH213" s="694" t="e">
        <f ca="1">IF( S213="LRCINOP",   (1+(0.03/10)*Z213*(1+0.2*AC213^2) )*BicubicInterpolation( 'LRC INOP FF'!$C$4:$AA$21, Y213, U213 )-200, IF(S213 ="HOLDINGINOP", (1+(0.03/10)*Z213*(1+0.2*AC213^2) )*BicubicInterpolation( 'Holding INOP FF'!$C$4:$J$13,  Y213,  U213)/1.05-200,   BA213*BG213))</f>
        <v>#NAME?</v>
      </c>
      <c r="BI213" s="344" t="e">
        <f t="shared" ca="1" si="104"/>
        <v>#NAME?</v>
      </c>
      <c r="BJ213" s="322" t="e">
        <f t="shared" ca="1" si="148"/>
        <v>#NAME?</v>
      </c>
      <c r="BK213" s="338" t="e">
        <f t="shared" ca="1" si="105"/>
        <v>#NAME?</v>
      </c>
      <c r="BL213" s="327" t="e">
        <f t="shared" ca="1" si="149"/>
        <v>#NAME?</v>
      </c>
      <c r="BM213" s="328">
        <f t="shared" si="150"/>
        <v>200</v>
      </c>
      <c r="BN213" s="329" t="e">
        <f t="shared" ca="1" si="151"/>
        <v>#NAME?</v>
      </c>
      <c r="BO213" s="344" t="e">
        <f t="shared" ca="1" si="106"/>
        <v>#NAME?</v>
      </c>
      <c r="BP213" s="320" t="e">
        <f t="shared" ca="1" si="152"/>
        <v>#NAME?</v>
      </c>
      <c r="BQ213" s="344" t="e">
        <f t="shared" ca="1" si="107"/>
        <v>#NAME?</v>
      </c>
      <c r="BR213" s="347" t="e">
        <f t="shared" ca="1" si="108"/>
        <v>#NAME?</v>
      </c>
      <c r="BS213" s="326" t="e">
        <f t="shared" ca="1" si="153"/>
        <v>#NAME?</v>
      </c>
      <c r="BT213" s="437" t="e">
        <f t="shared" ca="1" si="123"/>
        <v>#NAME?</v>
      </c>
      <c r="BU213" s="437" t="e">
        <f t="shared" ca="1" si="124"/>
        <v>#NAME?</v>
      </c>
      <c r="BV213" s="441" t="e">
        <f t="shared" ca="1" si="125"/>
        <v>#NAME?</v>
      </c>
      <c r="BW213" s="442" t="e">
        <f t="shared" ca="1" si="126"/>
        <v>#NAME?</v>
      </c>
      <c r="BX213" s="470" t="e">
        <f t="shared" ref="BX213:BX276" ca="1" si="161">IF(Y213=0,I213,"")</f>
        <v>#NAME?</v>
      </c>
      <c r="BY213" s="484" t="e">
        <f t="shared" ca="1" si="109"/>
        <v>#NAME?</v>
      </c>
    </row>
    <row r="214" spans="9:77" ht="17.75" customHeight="1" x14ac:dyDescent="0.2">
      <c r="I214" s="366">
        <v>130</v>
      </c>
      <c r="J214" s="414">
        <f t="shared" si="110"/>
        <v>41705.802777778074</v>
      </c>
      <c r="K214" s="435" t="e">
        <f t="shared" ca="1" si="111"/>
        <v>#NAME?</v>
      </c>
      <c r="L214" s="435" t="e">
        <f t="shared" ref="L214:L277" ca="1" si="162">IF(N214=0,0,Q214*(1+$C$79)/60)</f>
        <v>#NAME?</v>
      </c>
      <c r="M214" s="664" t="e">
        <f t="shared" ca="1" si="154"/>
        <v>#NAME?</v>
      </c>
      <c r="N214" s="664" t="e">
        <f t="shared" ca="1" si="155"/>
        <v>#NAME?</v>
      </c>
      <c r="O214" s="140" t="e">
        <f t="shared" ref="O214:O277" ca="1" si="163">M214+N214</f>
        <v>#NAME?</v>
      </c>
      <c r="P214" s="352" t="e">
        <f t="shared" ca="1" si="114"/>
        <v>#NAME?</v>
      </c>
      <c r="Q214" s="665" t="e">
        <f t="shared" ca="1" si="156"/>
        <v>#NAME?</v>
      </c>
      <c r="R214" s="352" t="e">
        <f t="shared" ca="1" si="127"/>
        <v>#NAME?</v>
      </c>
      <c r="S214" s="662" t="e">
        <f t="shared" ref="S214:S277" ca="1" si="164">IF(O214=0, "MEFE",IF(AND(  NOT(S213="LRCINOP"),NOT(S213="HOLDINGINOP"),  N214=0), "INOP",IF(I214&gt;$M$83-1,$C$19,IF(I214&gt;$K$83-1,$C$13,$C$5))))</f>
        <v>#NAME?</v>
      </c>
      <c r="T214" s="443" t="e">
        <f t="shared" ca="1" si="157"/>
        <v>#NAME?</v>
      </c>
      <c r="U214" s="369" t="e">
        <f t="shared" ca="1" si="158"/>
        <v>#NAME?</v>
      </c>
      <c r="V214" s="454" t="e">
        <f t="shared" ref="V214:V277" ca="1" si="165">IF(S213="MEFE",0,IF(AND(S213="INOP", T214=$C$39 ), MIN($C$40,V213 ),IF(J213&lt;$C$12,$C$7,IF(J213&lt;$C$18,$C$15,$C$21))))</f>
        <v>#NAME?</v>
      </c>
      <c r="W214" s="457">
        <f t="shared" ref="W214:W277" si="166">$C$27</f>
        <v>1000</v>
      </c>
      <c r="X214" s="463" t="e">
        <f t="shared" ref="X214:X277" ca="1" si="167">IF(   Y213=0,  0,   IF(S214="INOP", $C$41, IF(S214="MEFE", $C$42,IF(OR(S214="KCAS",S214="HOLDING"), $C$31,$C$28 ) ))             )</f>
        <v>#NAME?</v>
      </c>
      <c r="Y214" s="455" t="e">
        <f t="shared" ca="1" si="115"/>
        <v>#NAME?</v>
      </c>
      <c r="Z214" s="699">
        <f t="shared" si="159"/>
        <v>8.5</v>
      </c>
      <c r="AA214" s="355" t="str">
        <f t="shared" si="160"/>
        <v>ON</v>
      </c>
      <c r="AB214" s="357">
        <f t="shared" si="128"/>
        <v>1.4999999999999999E-2</v>
      </c>
      <c r="AC214" s="356" t="e">
        <f ca="1">IF(  Y213=0,0,IF(OR(S214="KCAS",S214="INOP",S214="MEFE"),   ( (5*( (   (((1+0.2*(T214/661.4786)^2)^3.5 -1)  )/( (1-6.8755856*10^-6 *100*Y214)^5.2558797) +1)^(2/7) -1) )^0.5),IF(S214="MACH",T214, IF(S214="LRC",BicubicInterpolation( 'LRC Mach'!$C$4:$AL$21, Y214,U214),  IF(S214="MRC",BicubicInterpolation( 'MRC Mach'!$C$3:$T$18, Y214,U214),  IF(S214="M0.84",0.84,  IF(S214="CI52",BicubicInterpolation('CI=52 Mach'!$C$3:$T$18, Y214,U214),  IF(S214="HOLDING",BicubicInterpolation(  'Holding Mach'!$C$4:$M$13, Y214,U214),                         IF(S214="LRCINOP", BicubicInterpolation('LRC INOP Mach'!$C$4:$AA$21,Y214,U214), IF(S214="HOLDINGINOP",  BicubicInterpolation('Holding INOP Mach'!$N$4:$U$13,Y214,U214),         "XXX" )))))))   )))</f>
        <v>#NAME?</v>
      </c>
      <c r="AD214" s="313" t="e">
        <f t="shared" ca="1" si="129"/>
        <v>#NAME?</v>
      </c>
      <c r="AE214" s="314" t="e">
        <f t="shared" ca="1" si="116"/>
        <v>#NAME?</v>
      </c>
      <c r="AF214" s="313" t="e">
        <f t="shared" ca="1" si="130"/>
        <v>#NAME?</v>
      </c>
      <c r="AG214" s="314" t="e">
        <f t="shared" ca="1" si="117"/>
        <v>#NAME?</v>
      </c>
      <c r="AH214" s="313" t="e">
        <f t="shared" ca="1" si="131"/>
        <v>#NAME?</v>
      </c>
      <c r="AI214" s="314" t="e">
        <f t="shared" ca="1" si="118"/>
        <v>#NAME?</v>
      </c>
      <c r="AJ214" s="315" t="e">
        <f t="shared" ca="1" si="119"/>
        <v>#NAME?</v>
      </c>
      <c r="AK214" s="568" t="e">
        <f t="shared" ca="1" si="132"/>
        <v>#NAME?</v>
      </c>
      <c r="AL214" s="313" t="e">
        <f t="shared" ca="1" si="133"/>
        <v>#NAME?</v>
      </c>
      <c r="AM214" s="313" t="e">
        <f t="shared" ca="1" si="120"/>
        <v>#NAME?</v>
      </c>
      <c r="AN214" s="313" t="e">
        <f t="shared" ca="1" si="121"/>
        <v>#NAME?</v>
      </c>
      <c r="AO214" s="316" t="e">
        <f t="shared" ca="1" si="134"/>
        <v>#NAME?</v>
      </c>
      <c r="AP214" s="313" t="e">
        <f t="shared" ca="1" si="135"/>
        <v>#NAME?</v>
      </c>
      <c r="AQ214" s="314" t="e">
        <f t="shared" ca="1" si="122"/>
        <v>#NAME?</v>
      </c>
      <c r="AR214" s="315" t="e">
        <f t="shared" ca="1" si="136"/>
        <v>#NAME?</v>
      </c>
      <c r="AS214" s="316" t="e">
        <f t="shared" ca="1" si="137"/>
        <v>#NAME?</v>
      </c>
      <c r="AT214" s="315" t="e">
        <f t="shared" ca="1" si="138"/>
        <v>#NAME?</v>
      </c>
      <c r="AU214" s="317">
        <v>427.8</v>
      </c>
      <c r="AV214" s="315" t="e">
        <f t="shared" ca="1" si="139"/>
        <v>#NAME?</v>
      </c>
      <c r="AW214" s="318" t="e">
        <f ca="1">0.0001*BicubicInterpolation('Drag Coef Table'!$B$4:$L$28,AV214,AC214)</f>
        <v>#NAME?</v>
      </c>
      <c r="AX214" s="319" t="e">
        <f t="shared" ca="1" si="140"/>
        <v>#NAME?</v>
      </c>
      <c r="AY214" s="318" t="e">
        <f t="shared" ca="1" si="141"/>
        <v>#NAME?</v>
      </c>
      <c r="AZ214" s="320" t="e">
        <f t="shared" ca="1" si="142"/>
        <v>#NAME?</v>
      </c>
      <c r="BA214" s="321" t="e">
        <f t="shared" ca="1" si="143"/>
        <v>#NAME?</v>
      </c>
      <c r="BB214" s="322" t="e">
        <f t="shared" ca="1" si="144"/>
        <v>#NAME?</v>
      </c>
      <c r="BC214" s="323">
        <v>75.196700000000007</v>
      </c>
      <c r="BD214" s="324" t="e">
        <f t="shared" ca="1" si="145"/>
        <v>#NAME?</v>
      </c>
      <c r="BE214" s="325" t="e">
        <f t="shared" ca="1" si="146"/>
        <v>#NAME?</v>
      </c>
      <c r="BF214" s="324" t="e">
        <f ca="1">BicubicInterpolation('TSFC Eff Table'!$B$4:$E$69,2,BB214)</f>
        <v>#NAME?</v>
      </c>
      <c r="BG214" s="326" t="e">
        <f t="shared" ca="1" si="147"/>
        <v>#NAME?</v>
      </c>
      <c r="BH214" s="694" t="e">
        <f ca="1">IF( S214="LRCINOP",   (1+(0.03/10)*Z214*(1+0.2*AC214^2) )*BicubicInterpolation( 'LRC INOP FF'!$C$4:$AA$21, Y214, U214 )-200, IF(S214 ="HOLDINGINOP", (1+(0.03/10)*Z214*(1+0.2*AC214^2) )*BicubicInterpolation( 'Holding INOP FF'!$C$4:$J$13,  Y214,  U214)/1.05-200,   BA214*BG214))</f>
        <v>#NAME?</v>
      </c>
      <c r="BI214" s="344" t="e">
        <f t="shared" ref="BI214:BI277" ca="1" si="168">IF( OR( S214="LRCINOP", S214 ="HOLDINGINOP"),BH214, BH214/2)</f>
        <v>#NAME?</v>
      </c>
      <c r="BJ214" s="322" t="e">
        <f t="shared" ca="1" si="148"/>
        <v>#NAME?</v>
      </c>
      <c r="BK214" s="338" t="e">
        <f t="shared" ref="BK214:BK277" ca="1" si="169">IF( OR( S214="LRCINOP", S214 ="HOLDINGINOP"),BJ214, 2*BJ214)</f>
        <v>#NAME?</v>
      </c>
      <c r="BL214" s="327" t="e">
        <f t="shared" ca="1" si="149"/>
        <v>#NAME?</v>
      </c>
      <c r="BM214" s="328">
        <f t="shared" si="150"/>
        <v>200</v>
      </c>
      <c r="BN214" s="329" t="e">
        <f t="shared" ca="1" si="151"/>
        <v>#NAME?</v>
      </c>
      <c r="BO214" s="344" t="e">
        <f t="shared" ref="BO214:BO277" ca="1" si="170">IF( OR( S214="LRCINOP", S214 ="HOLDINGINOP"), BN214, 2*BN214)</f>
        <v>#NAME?</v>
      </c>
      <c r="BP214" s="320" t="e">
        <f t="shared" ca="1" si="152"/>
        <v>#NAME?</v>
      </c>
      <c r="BQ214" s="344" t="e">
        <f t="shared" ref="BQ214:BQ277" ca="1" si="171">BN214*(1+$C$25)</f>
        <v>#NAME?</v>
      </c>
      <c r="BR214" s="347" t="e">
        <f t="shared" ref="BR214:BR277" ca="1" si="172">BO214*(1+$C$25)</f>
        <v>#NAME?</v>
      </c>
      <c r="BS214" s="326" t="e">
        <f t="shared" ca="1" si="153"/>
        <v>#NAME?</v>
      </c>
      <c r="BT214" s="437" t="e">
        <f t="shared" ca="1" si="123"/>
        <v>#NAME?</v>
      </c>
      <c r="BU214" s="437" t="e">
        <f t="shared" ca="1" si="124"/>
        <v>#NAME?</v>
      </c>
      <c r="BV214" s="441" t="e">
        <f t="shared" ca="1" si="125"/>
        <v>#NAME?</v>
      </c>
      <c r="BW214" s="442" t="e">
        <f t="shared" ca="1" si="126"/>
        <v>#NAME?</v>
      </c>
      <c r="BX214" s="470" t="e">
        <f t="shared" ca="1" si="161"/>
        <v>#NAME?</v>
      </c>
      <c r="BY214" s="484" t="e">
        <f t="shared" ref="BY214:BY277" ca="1" si="173">100*O214</f>
        <v>#NAME?</v>
      </c>
    </row>
    <row r="215" spans="9:77" ht="17.75" customHeight="1" x14ac:dyDescent="0.2">
      <c r="I215" s="366">
        <v>131</v>
      </c>
      <c r="J215" s="414">
        <f t="shared" ref="J215:J278" si="174">J214+1/1440</f>
        <v>41705.80347222252</v>
      </c>
      <c r="K215" s="435" t="e">
        <f t="shared" ref="K215:K278" ca="1" si="175">IF(M215=0,0,Q215*(1+$C$78)/60)</f>
        <v>#NAME?</v>
      </c>
      <c r="L215" s="435" t="e">
        <f t="shared" ca="1" si="162"/>
        <v>#NAME?</v>
      </c>
      <c r="M215" s="664" t="e">
        <f t="shared" ca="1" si="154"/>
        <v>#NAME?</v>
      </c>
      <c r="N215" s="664" t="e">
        <f t="shared" ca="1" si="155"/>
        <v>#NAME?</v>
      </c>
      <c r="O215" s="140" t="e">
        <f t="shared" ca="1" si="163"/>
        <v>#NAME?</v>
      </c>
      <c r="P215" s="352" t="e">
        <f t="shared" ref="P215:P278" ca="1" si="176">MAX(O215+$C$24,$C$24)</f>
        <v>#NAME?</v>
      </c>
      <c r="Q215" s="665" t="e">
        <f t="shared" ca="1" si="156"/>
        <v>#NAME?</v>
      </c>
      <c r="R215" s="352" t="e">
        <f t="shared" ca="1" si="127"/>
        <v>#NAME?</v>
      </c>
      <c r="S215" s="662" t="e">
        <f t="shared" ca="1" si="164"/>
        <v>#NAME?</v>
      </c>
      <c r="T215" s="443" t="e">
        <f t="shared" ca="1" si="157"/>
        <v>#NAME?</v>
      </c>
      <c r="U215" s="369" t="e">
        <f t="shared" ca="1" si="158"/>
        <v>#NAME?</v>
      </c>
      <c r="V215" s="454" t="e">
        <f t="shared" ca="1" si="165"/>
        <v>#NAME?</v>
      </c>
      <c r="W215" s="457">
        <f t="shared" si="166"/>
        <v>1000</v>
      </c>
      <c r="X215" s="463" t="e">
        <f t="shared" ca="1" si="167"/>
        <v>#NAME?</v>
      </c>
      <c r="Y215" s="455" t="e">
        <f t="shared" ref="Y215:Y278" ca="1" si="177">Y214   +   IF(   V215=Y214,   0,   IF(V215-Y214&lt;0, MAX(V215-Y214,X215/100), IF(    V215-Y214&gt;0,    MIN(V215-Y214, W215/100 ))))</f>
        <v>#NAME?</v>
      </c>
      <c r="Z215" s="699">
        <f t="shared" si="159"/>
        <v>8.5</v>
      </c>
      <c r="AA215" s="355" t="str">
        <f t="shared" si="160"/>
        <v>ON</v>
      </c>
      <c r="AB215" s="357">
        <f t="shared" si="128"/>
        <v>1.4999999999999999E-2</v>
      </c>
      <c r="AC215" s="356" t="e">
        <f ca="1">IF(  Y214=0,0,IF(OR(S215="KCAS",S215="INOP",S215="MEFE"),   ( (5*( (   (((1+0.2*(T215/661.4786)^2)^3.5 -1)  )/( (1-6.8755856*10^-6 *100*Y215)^5.2558797) +1)^(2/7) -1) )^0.5),IF(S215="MACH",T215, IF(S215="LRC",BicubicInterpolation( 'LRC Mach'!$C$4:$AL$21, Y215,U215),  IF(S215="MRC",BicubicInterpolation( 'MRC Mach'!$C$3:$T$18, Y215,U215),  IF(S215="M0.84",0.84,  IF(S215="CI52",BicubicInterpolation('CI=52 Mach'!$C$3:$T$18, Y215,U215),  IF(S215="HOLDING",BicubicInterpolation(  'Holding Mach'!$C$4:$M$13, Y215,U215),                         IF(S215="LRCINOP", BicubicInterpolation('LRC INOP Mach'!$C$4:$AA$21,Y215,U215), IF(S215="HOLDINGINOP",  BicubicInterpolation('Holding INOP Mach'!$N$4:$U$13,Y215,U215),         "XXX" )))))))   )))</f>
        <v>#NAME?</v>
      </c>
      <c r="AD215" s="313" t="e">
        <f t="shared" ca="1" si="129"/>
        <v>#NAME?</v>
      </c>
      <c r="AE215" s="314" t="e">
        <f t="shared" ref="AE215:AE278" ca="1" si="178">AD215/288.15</f>
        <v>#NAME?</v>
      </c>
      <c r="AF215" s="313" t="e">
        <f t="shared" ca="1" si="130"/>
        <v>#NAME?</v>
      </c>
      <c r="AG215" s="314" t="e">
        <f t="shared" ref="AG215:AG278" ca="1" si="179">AF215/288.15</f>
        <v>#NAME?</v>
      </c>
      <c r="AH215" s="313" t="e">
        <f t="shared" ca="1" si="131"/>
        <v>#NAME?</v>
      </c>
      <c r="AI215" s="314" t="e">
        <f t="shared" ref="AI215:AI278" ca="1" si="180">AH215/288.15</f>
        <v>#NAME?</v>
      </c>
      <c r="AJ215" s="315" t="e">
        <f t="shared" ref="AJ215:AJ278" ca="1" si="181">AI215^0.68</f>
        <v>#NAME?</v>
      </c>
      <c r="AK215" s="568" t="e">
        <f t="shared" ca="1" si="132"/>
        <v>#NAME?</v>
      </c>
      <c r="AL215" s="313" t="e">
        <f t="shared" ca="1" si="133"/>
        <v>#NAME?</v>
      </c>
      <c r="AM215" s="313" t="e">
        <f t="shared" ref="AM215:AM278" ca="1" si="182">AL215*0.5144444</f>
        <v>#NAME?</v>
      </c>
      <c r="AN215" s="313" t="e">
        <f t="shared" ref="AN215:AN278" ca="1" si="183">AN214+AVERAGE(AL214:AL215)/60</f>
        <v>#NAME?</v>
      </c>
      <c r="AO215" s="316" t="e">
        <f t="shared" ca="1" si="134"/>
        <v>#NAME?</v>
      </c>
      <c r="AP215" s="313" t="e">
        <f t="shared" ca="1" si="135"/>
        <v>#NAME?</v>
      </c>
      <c r="AQ215" s="314" t="e">
        <f t="shared" ref="AQ215:AQ278" ca="1" si="184">AP215/1013.25</f>
        <v>#NAME?</v>
      </c>
      <c r="AR215" s="315" t="e">
        <f t="shared" ca="1" si="136"/>
        <v>#NAME?</v>
      </c>
      <c r="AS215" s="316" t="e">
        <f t="shared" ca="1" si="137"/>
        <v>#NAME?</v>
      </c>
      <c r="AT215" s="315" t="e">
        <f t="shared" ca="1" si="138"/>
        <v>#NAME?</v>
      </c>
      <c r="AU215" s="317">
        <v>427.8</v>
      </c>
      <c r="AV215" s="315" t="e">
        <f t="shared" ca="1" si="139"/>
        <v>#NAME?</v>
      </c>
      <c r="AW215" s="318" t="e">
        <f ca="1">0.0001*BicubicInterpolation('Drag Coef Table'!$B$4:$L$28,AV215,AC215)</f>
        <v>#NAME?</v>
      </c>
      <c r="AX215" s="319" t="e">
        <f t="shared" ca="1" si="140"/>
        <v>#NAME?</v>
      </c>
      <c r="AY215" s="318" t="e">
        <f t="shared" ca="1" si="141"/>
        <v>#NAME?</v>
      </c>
      <c r="AZ215" s="320" t="e">
        <f t="shared" ca="1" si="142"/>
        <v>#NAME?</v>
      </c>
      <c r="BA215" s="321" t="e">
        <f t="shared" ca="1" si="143"/>
        <v>#NAME?</v>
      </c>
      <c r="BB215" s="322" t="e">
        <f t="shared" ca="1" si="144"/>
        <v>#NAME?</v>
      </c>
      <c r="BC215" s="323">
        <v>75.196700000000007</v>
      </c>
      <c r="BD215" s="324" t="e">
        <f t="shared" ca="1" si="145"/>
        <v>#NAME?</v>
      </c>
      <c r="BE215" s="325" t="e">
        <f t="shared" ca="1" si="146"/>
        <v>#NAME?</v>
      </c>
      <c r="BF215" s="324" t="e">
        <f ca="1">BicubicInterpolation('TSFC Eff Table'!$B$4:$E$69,2,BB215)</f>
        <v>#NAME?</v>
      </c>
      <c r="BG215" s="326" t="e">
        <f t="shared" ca="1" si="147"/>
        <v>#NAME?</v>
      </c>
      <c r="BH215" s="694" t="e">
        <f ca="1">IF( S215="LRCINOP",   (1+(0.03/10)*Z215*(1+0.2*AC215^2) )*BicubicInterpolation( 'LRC INOP FF'!$C$4:$AA$21, Y215, U215 )-200, IF(S215 ="HOLDINGINOP", (1+(0.03/10)*Z215*(1+0.2*AC215^2) )*BicubicInterpolation( 'Holding INOP FF'!$C$4:$J$13,  Y215,  U215)/1.05-200,   BA215*BG215))</f>
        <v>#NAME?</v>
      </c>
      <c r="BI215" s="344" t="e">
        <f t="shared" ca="1" si="168"/>
        <v>#NAME?</v>
      </c>
      <c r="BJ215" s="322" t="e">
        <f t="shared" ca="1" si="148"/>
        <v>#NAME?</v>
      </c>
      <c r="BK215" s="338" t="e">
        <f t="shared" ca="1" si="169"/>
        <v>#NAME?</v>
      </c>
      <c r="BL215" s="327" t="e">
        <f t="shared" ca="1" si="149"/>
        <v>#NAME?</v>
      </c>
      <c r="BM215" s="328">
        <f t="shared" si="150"/>
        <v>200</v>
      </c>
      <c r="BN215" s="329" t="e">
        <f t="shared" ca="1" si="151"/>
        <v>#NAME?</v>
      </c>
      <c r="BO215" s="344" t="e">
        <f t="shared" ca="1" si="170"/>
        <v>#NAME?</v>
      </c>
      <c r="BP215" s="320" t="e">
        <f t="shared" ca="1" si="152"/>
        <v>#NAME?</v>
      </c>
      <c r="BQ215" s="344" t="e">
        <f t="shared" ca="1" si="171"/>
        <v>#NAME?</v>
      </c>
      <c r="BR215" s="347" t="e">
        <f t="shared" ca="1" si="172"/>
        <v>#NAME?</v>
      </c>
      <c r="BS215" s="326" t="e">
        <f t="shared" ca="1" si="153"/>
        <v>#NAME?</v>
      </c>
      <c r="BT215" s="437" t="e">
        <f t="shared" ref="BT215:BT278" ca="1" si="185">IF(AND(M215=0,M214&gt;0),I215,"")</f>
        <v>#NAME?</v>
      </c>
      <c r="BU215" s="437" t="e">
        <f t="shared" ref="BU215:BU278" ca="1" si="186">IF(AND(N215=0,N214&gt;0),$I215,"")</f>
        <v>#NAME?</v>
      </c>
      <c r="BV215" s="441" t="e">
        <f t="shared" ref="BV215:BV278" ca="1" si="187">BV214+AC214</f>
        <v>#NAME?</v>
      </c>
      <c r="BW215" s="442" t="e">
        <f t="shared" ref="BW215:BW278" ca="1" si="188">BW214+AL214</f>
        <v>#NAME?</v>
      </c>
      <c r="BX215" s="470" t="e">
        <f t="shared" ca="1" si="161"/>
        <v>#NAME?</v>
      </c>
      <c r="BY215" s="484" t="e">
        <f t="shared" ca="1" si="173"/>
        <v>#NAME?</v>
      </c>
    </row>
    <row r="216" spans="9:77" ht="17.75" customHeight="1" x14ac:dyDescent="0.2">
      <c r="I216" s="366">
        <v>132</v>
      </c>
      <c r="J216" s="414">
        <f t="shared" si="174"/>
        <v>41705.804166666967</v>
      </c>
      <c r="K216" s="435" t="e">
        <f t="shared" ca="1" si="175"/>
        <v>#NAME?</v>
      </c>
      <c r="L216" s="435" t="e">
        <f t="shared" ca="1" si="162"/>
        <v>#NAME?</v>
      </c>
      <c r="M216" s="664" t="e">
        <f t="shared" ca="1" si="154"/>
        <v>#NAME?</v>
      </c>
      <c r="N216" s="664" t="e">
        <f t="shared" ca="1" si="155"/>
        <v>#NAME?</v>
      </c>
      <c r="O216" s="140" t="e">
        <f t="shared" ca="1" si="163"/>
        <v>#NAME?</v>
      </c>
      <c r="P216" s="352" t="e">
        <f t="shared" ca="1" si="176"/>
        <v>#NAME?</v>
      </c>
      <c r="Q216" s="665" t="e">
        <f t="shared" ca="1" si="156"/>
        <v>#NAME?</v>
      </c>
      <c r="R216" s="352" t="e">
        <f t="shared" ca="1" si="127"/>
        <v>#NAME?</v>
      </c>
      <c r="S216" s="662" t="e">
        <f t="shared" ca="1" si="164"/>
        <v>#NAME?</v>
      </c>
      <c r="T216" s="443" t="e">
        <f t="shared" ca="1" si="157"/>
        <v>#NAME?</v>
      </c>
      <c r="U216" s="369" t="e">
        <f t="shared" ca="1" si="158"/>
        <v>#NAME?</v>
      </c>
      <c r="V216" s="454" t="e">
        <f t="shared" ca="1" si="165"/>
        <v>#NAME?</v>
      </c>
      <c r="W216" s="457">
        <f t="shared" si="166"/>
        <v>1000</v>
      </c>
      <c r="X216" s="463" t="e">
        <f t="shared" ca="1" si="167"/>
        <v>#NAME?</v>
      </c>
      <c r="Y216" s="455" t="e">
        <f t="shared" ca="1" si="177"/>
        <v>#NAME?</v>
      </c>
      <c r="Z216" s="699">
        <f t="shared" si="159"/>
        <v>8.5</v>
      </c>
      <c r="AA216" s="355" t="str">
        <f t="shared" si="160"/>
        <v>ON</v>
      </c>
      <c r="AB216" s="357">
        <f t="shared" si="128"/>
        <v>1.4999999999999999E-2</v>
      </c>
      <c r="AC216" s="356" t="e">
        <f ca="1">IF(  Y215=0,0,IF(OR(S216="KCAS",S216="INOP",S216="MEFE"),   ( (5*( (   (((1+0.2*(T216/661.4786)^2)^3.5 -1)  )/( (1-6.8755856*10^-6 *100*Y216)^5.2558797) +1)^(2/7) -1) )^0.5),IF(S216="MACH",T216, IF(S216="LRC",BicubicInterpolation( 'LRC Mach'!$C$4:$AL$21, Y216,U216),  IF(S216="MRC",BicubicInterpolation( 'MRC Mach'!$C$3:$T$18, Y216,U216),  IF(S216="M0.84",0.84,  IF(S216="CI52",BicubicInterpolation('CI=52 Mach'!$C$3:$T$18, Y216,U216),  IF(S216="HOLDING",BicubicInterpolation(  'Holding Mach'!$C$4:$M$13, Y216,U216),                         IF(S216="LRCINOP", BicubicInterpolation('LRC INOP Mach'!$C$4:$AA$21,Y216,U216), IF(S216="HOLDINGINOP",  BicubicInterpolation('Holding INOP Mach'!$N$4:$U$13,Y216,U216),         "XXX" )))))))   )))</f>
        <v>#NAME?</v>
      </c>
      <c r="AD216" s="313" t="e">
        <f t="shared" ca="1" si="129"/>
        <v>#NAME?</v>
      </c>
      <c r="AE216" s="314" t="e">
        <f t="shared" ca="1" si="178"/>
        <v>#NAME?</v>
      </c>
      <c r="AF216" s="313" t="e">
        <f t="shared" ca="1" si="130"/>
        <v>#NAME?</v>
      </c>
      <c r="AG216" s="314" t="e">
        <f t="shared" ca="1" si="179"/>
        <v>#NAME?</v>
      </c>
      <c r="AH216" s="313" t="e">
        <f t="shared" ca="1" si="131"/>
        <v>#NAME?</v>
      </c>
      <c r="AI216" s="314" t="e">
        <f t="shared" ca="1" si="180"/>
        <v>#NAME?</v>
      </c>
      <c r="AJ216" s="315" t="e">
        <f t="shared" ca="1" si="181"/>
        <v>#NAME?</v>
      </c>
      <c r="AK216" s="568" t="e">
        <f t="shared" ca="1" si="132"/>
        <v>#NAME?</v>
      </c>
      <c r="AL216" s="313" t="e">
        <f t="shared" ca="1" si="133"/>
        <v>#NAME?</v>
      </c>
      <c r="AM216" s="313" t="e">
        <f t="shared" ca="1" si="182"/>
        <v>#NAME?</v>
      </c>
      <c r="AN216" s="313" t="e">
        <f t="shared" ca="1" si="183"/>
        <v>#NAME?</v>
      </c>
      <c r="AO216" s="316" t="e">
        <f t="shared" ca="1" si="134"/>
        <v>#NAME?</v>
      </c>
      <c r="AP216" s="313" t="e">
        <f t="shared" ca="1" si="135"/>
        <v>#NAME?</v>
      </c>
      <c r="AQ216" s="314" t="e">
        <f t="shared" ca="1" si="184"/>
        <v>#NAME?</v>
      </c>
      <c r="AR216" s="315" t="e">
        <f t="shared" ca="1" si="136"/>
        <v>#NAME?</v>
      </c>
      <c r="AS216" s="316" t="e">
        <f t="shared" ca="1" si="137"/>
        <v>#NAME?</v>
      </c>
      <c r="AT216" s="315" t="e">
        <f t="shared" ca="1" si="138"/>
        <v>#NAME?</v>
      </c>
      <c r="AU216" s="317">
        <v>427.8</v>
      </c>
      <c r="AV216" s="315" t="e">
        <f t="shared" ca="1" si="139"/>
        <v>#NAME?</v>
      </c>
      <c r="AW216" s="318" t="e">
        <f ca="1">0.0001*BicubicInterpolation('Drag Coef Table'!$B$4:$L$28,AV216,AC216)</f>
        <v>#NAME?</v>
      </c>
      <c r="AX216" s="319" t="e">
        <f t="shared" ca="1" si="140"/>
        <v>#NAME?</v>
      </c>
      <c r="AY216" s="318" t="e">
        <f t="shared" ca="1" si="141"/>
        <v>#NAME?</v>
      </c>
      <c r="AZ216" s="320" t="e">
        <f t="shared" ca="1" si="142"/>
        <v>#NAME?</v>
      </c>
      <c r="BA216" s="321" t="e">
        <f t="shared" ca="1" si="143"/>
        <v>#NAME?</v>
      </c>
      <c r="BB216" s="322" t="e">
        <f t="shared" ca="1" si="144"/>
        <v>#NAME?</v>
      </c>
      <c r="BC216" s="323">
        <v>75.196700000000007</v>
      </c>
      <c r="BD216" s="324" t="e">
        <f t="shared" ca="1" si="145"/>
        <v>#NAME?</v>
      </c>
      <c r="BE216" s="325" t="e">
        <f t="shared" ca="1" si="146"/>
        <v>#NAME?</v>
      </c>
      <c r="BF216" s="324" t="e">
        <f ca="1">BicubicInterpolation('TSFC Eff Table'!$B$4:$E$69,2,BB216)</f>
        <v>#NAME?</v>
      </c>
      <c r="BG216" s="326" t="e">
        <f t="shared" ca="1" si="147"/>
        <v>#NAME?</v>
      </c>
      <c r="BH216" s="694" t="e">
        <f ca="1">IF( S216="LRCINOP",   (1+(0.03/10)*Z216*(1+0.2*AC216^2) )*BicubicInterpolation( 'LRC INOP FF'!$C$4:$AA$21, Y216, U216 )-200, IF(S216 ="HOLDINGINOP", (1+(0.03/10)*Z216*(1+0.2*AC216^2) )*BicubicInterpolation( 'Holding INOP FF'!$C$4:$J$13,  Y216,  U216)/1.05-200,   BA216*BG216))</f>
        <v>#NAME?</v>
      </c>
      <c r="BI216" s="344" t="e">
        <f t="shared" ca="1" si="168"/>
        <v>#NAME?</v>
      </c>
      <c r="BJ216" s="322" t="e">
        <f t="shared" ca="1" si="148"/>
        <v>#NAME?</v>
      </c>
      <c r="BK216" s="338" t="e">
        <f t="shared" ca="1" si="169"/>
        <v>#NAME?</v>
      </c>
      <c r="BL216" s="327" t="e">
        <f t="shared" ca="1" si="149"/>
        <v>#NAME?</v>
      </c>
      <c r="BM216" s="328">
        <f t="shared" si="150"/>
        <v>200</v>
      </c>
      <c r="BN216" s="329" t="e">
        <f t="shared" ca="1" si="151"/>
        <v>#NAME?</v>
      </c>
      <c r="BO216" s="344" t="e">
        <f t="shared" ca="1" si="170"/>
        <v>#NAME?</v>
      </c>
      <c r="BP216" s="320" t="e">
        <f t="shared" ca="1" si="152"/>
        <v>#NAME?</v>
      </c>
      <c r="BQ216" s="344" t="e">
        <f t="shared" ca="1" si="171"/>
        <v>#NAME?</v>
      </c>
      <c r="BR216" s="347" t="e">
        <f t="shared" ca="1" si="172"/>
        <v>#NAME?</v>
      </c>
      <c r="BS216" s="326" t="e">
        <f t="shared" ca="1" si="153"/>
        <v>#NAME?</v>
      </c>
      <c r="BT216" s="437" t="e">
        <f t="shared" ca="1" si="185"/>
        <v>#NAME?</v>
      </c>
      <c r="BU216" s="437" t="e">
        <f t="shared" ca="1" si="186"/>
        <v>#NAME?</v>
      </c>
      <c r="BV216" s="441" t="e">
        <f t="shared" ca="1" si="187"/>
        <v>#NAME?</v>
      </c>
      <c r="BW216" s="442" t="e">
        <f t="shared" ca="1" si="188"/>
        <v>#NAME?</v>
      </c>
      <c r="BX216" s="470" t="e">
        <f t="shared" ca="1" si="161"/>
        <v>#NAME?</v>
      </c>
      <c r="BY216" s="484" t="e">
        <f t="shared" ca="1" si="173"/>
        <v>#NAME?</v>
      </c>
    </row>
    <row r="217" spans="9:77" ht="17.75" customHeight="1" x14ac:dyDescent="0.2">
      <c r="I217" s="366">
        <v>133</v>
      </c>
      <c r="J217" s="414">
        <f t="shared" si="174"/>
        <v>41705.804861111414</v>
      </c>
      <c r="K217" s="435" t="e">
        <f t="shared" ca="1" si="175"/>
        <v>#NAME?</v>
      </c>
      <c r="L217" s="435" t="e">
        <f t="shared" ca="1" si="162"/>
        <v>#NAME?</v>
      </c>
      <c r="M217" s="664" t="e">
        <f t="shared" ca="1" si="154"/>
        <v>#NAME?</v>
      </c>
      <c r="N217" s="664" t="e">
        <f t="shared" ca="1" si="155"/>
        <v>#NAME?</v>
      </c>
      <c r="O217" s="140" t="e">
        <f t="shared" ca="1" si="163"/>
        <v>#NAME?</v>
      </c>
      <c r="P217" s="352" t="e">
        <f t="shared" ca="1" si="176"/>
        <v>#NAME?</v>
      </c>
      <c r="Q217" s="665" t="e">
        <f t="shared" ca="1" si="156"/>
        <v>#NAME?</v>
      </c>
      <c r="R217" s="352" t="e">
        <f t="shared" ca="1" si="127"/>
        <v>#NAME?</v>
      </c>
      <c r="S217" s="662" t="e">
        <f t="shared" ca="1" si="164"/>
        <v>#NAME?</v>
      </c>
      <c r="T217" s="443" t="e">
        <f t="shared" ca="1" si="157"/>
        <v>#NAME?</v>
      </c>
      <c r="U217" s="369" t="e">
        <f t="shared" ca="1" si="158"/>
        <v>#NAME?</v>
      </c>
      <c r="V217" s="454" t="e">
        <f t="shared" ca="1" si="165"/>
        <v>#NAME?</v>
      </c>
      <c r="W217" s="457">
        <f t="shared" si="166"/>
        <v>1000</v>
      </c>
      <c r="X217" s="463" t="e">
        <f t="shared" ca="1" si="167"/>
        <v>#NAME?</v>
      </c>
      <c r="Y217" s="455" t="e">
        <f t="shared" ca="1" si="177"/>
        <v>#NAME?</v>
      </c>
      <c r="Z217" s="699">
        <f t="shared" si="159"/>
        <v>8.5</v>
      </c>
      <c r="AA217" s="355" t="str">
        <f t="shared" si="160"/>
        <v>ON</v>
      </c>
      <c r="AB217" s="357">
        <f t="shared" si="128"/>
        <v>1.4999999999999999E-2</v>
      </c>
      <c r="AC217" s="356" t="e">
        <f ca="1">IF(  Y216=0,0,IF(OR(S217="KCAS",S217="INOP",S217="MEFE"),   ( (5*( (   (((1+0.2*(T217/661.4786)^2)^3.5 -1)  )/( (1-6.8755856*10^-6 *100*Y217)^5.2558797) +1)^(2/7) -1) )^0.5),IF(S217="MACH",T217, IF(S217="LRC",BicubicInterpolation( 'LRC Mach'!$C$4:$AL$21, Y217,U217),  IF(S217="MRC",BicubicInterpolation( 'MRC Mach'!$C$3:$T$18, Y217,U217),  IF(S217="M0.84",0.84,  IF(S217="CI52",BicubicInterpolation('CI=52 Mach'!$C$3:$T$18, Y217,U217),  IF(S217="HOLDING",BicubicInterpolation(  'Holding Mach'!$C$4:$M$13, Y217,U217),                         IF(S217="LRCINOP", BicubicInterpolation('LRC INOP Mach'!$C$4:$AA$21,Y217,U217), IF(S217="HOLDINGINOP",  BicubicInterpolation('Holding INOP Mach'!$N$4:$U$13,Y217,U217),         "XXX" )))))))   )))</f>
        <v>#NAME?</v>
      </c>
      <c r="AD217" s="313" t="e">
        <f t="shared" ca="1" si="129"/>
        <v>#NAME?</v>
      </c>
      <c r="AE217" s="314" t="e">
        <f t="shared" ca="1" si="178"/>
        <v>#NAME?</v>
      </c>
      <c r="AF217" s="313" t="e">
        <f t="shared" ca="1" si="130"/>
        <v>#NAME?</v>
      </c>
      <c r="AG217" s="314" t="e">
        <f t="shared" ca="1" si="179"/>
        <v>#NAME?</v>
      </c>
      <c r="AH217" s="313" t="e">
        <f t="shared" ca="1" si="131"/>
        <v>#NAME?</v>
      </c>
      <c r="AI217" s="314" t="e">
        <f t="shared" ca="1" si="180"/>
        <v>#NAME?</v>
      </c>
      <c r="AJ217" s="315" t="e">
        <f t="shared" ca="1" si="181"/>
        <v>#NAME?</v>
      </c>
      <c r="AK217" s="568" t="e">
        <f t="shared" ca="1" si="132"/>
        <v>#NAME?</v>
      </c>
      <c r="AL217" s="313" t="e">
        <f t="shared" ca="1" si="133"/>
        <v>#NAME?</v>
      </c>
      <c r="AM217" s="313" t="e">
        <f t="shared" ca="1" si="182"/>
        <v>#NAME?</v>
      </c>
      <c r="AN217" s="313" t="e">
        <f t="shared" ca="1" si="183"/>
        <v>#NAME?</v>
      </c>
      <c r="AO217" s="316" t="e">
        <f t="shared" ca="1" si="134"/>
        <v>#NAME?</v>
      </c>
      <c r="AP217" s="313" t="e">
        <f t="shared" ca="1" si="135"/>
        <v>#NAME?</v>
      </c>
      <c r="AQ217" s="314" t="e">
        <f t="shared" ca="1" si="184"/>
        <v>#NAME?</v>
      </c>
      <c r="AR217" s="315" t="e">
        <f t="shared" ca="1" si="136"/>
        <v>#NAME?</v>
      </c>
      <c r="AS217" s="316" t="e">
        <f t="shared" ca="1" si="137"/>
        <v>#NAME?</v>
      </c>
      <c r="AT217" s="315" t="e">
        <f t="shared" ca="1" si="138"/>
        <v>#NAME?</v>
      </c>
      <c r="AU217" s="317">
        <v>427.8</v>
      </c>
      <c r="AV217" s="315" t="e">
        <f t="shared" ca="1" si="139"/>
        <v>#NAME?</v>
      </c>
      <c r="AW217" s="318" t="e">
        <f ca="1">0.0001*BicubicInterpolation('Drag Coef Table'!$B$4:$L$28,AV217,AC217)</f>
        <v>#NAME?</v>
      </c>
      <c r="AX217" s="319" t="e">
        <f t="shared" ca="1" si="140"/>
        <v>#NAME?</v>
      </c>
      <c r="AY217" s="318" t="e">
        <f t="shared" ca="1" si="141"/>
        <v>#NAME?</v>
      </c>
      <c r="AZ217" s="320" t="e">
        <f t="shared" ca="1" si="142"/>
        <v>#NAME?</v>
      </c>
      <c r="BA217" s="321" t="e">
        <f t="shared" ca="1" si="143"/>
        <v>#NAME?</v>
      </c>
      <c r="BB217" s="322" t="e">
        <f t="shared" ca="1" si="144"/>
        <v>#NAME?</v>
      </c>
      <c r="BC217" s="323">
        <v>75.196700000000007</v>
      </c>
      <c r="BD217" s="324" t="e">
        <f t="shared" ca="1" si="145"/>
        <v>#NAME?</v>
      </c>
      <c r="BE217" s="325" t="e">
        <f t="shared" ca="1" si="146"/>
        <v>#NAME?</v>
      </c>
      <c r="BF217" s="324" t="e">
        <f ca="1">BicubicInterpolation('TSFC Eff Table'!$B$4:$E$69,2,BB217)</f>
        <v>#NAME?</v>
      </c>
      <c r="BG217" s="326" t="e">
        <f t="shared" ca="1" si="147"/>
        <v>#NAME?</v>
      </c>
      <c r="BH217" s="694" t="e">
        <f ca="1">IF( S217="LRCINOP",   (1+(0.03/10)*Z217*(1+0.2*AC217^2) )*BicubicInterpolation( 'LRC INOP FF'!$C$4:$AA$21, Y217, U217 )-200, IF(S217 ="HOLDINGINOP", (1+(0.03/10)*Z217*(1+0.2*AC217^2) )*BicubicInterpolation( 'Holding INOP FF'!$C$4:$J$13,  Y217,  U217)/1.05-200,   BA217*BG217))</f>
        <v>#NAME?</v>
      </c>
      <c r="BI217" s="344" t="e">
        <f t="shared" ca="1" si="168"/>
        <v>#NAME?</v>
      </c>
      <c r="BJ217" s="322" t="e">
        <f t="shared" ca="1" si="148"/>
        <v>#NAME?</v>
      </c>
      <c r="BK217" s="338" t="e">
        <f t="shared" ca="1" si="169"/>
        <v>#NAME?</v>
      </c>
      <c r="BL217" s="327" t="e">
        <f t="shared" ca="1" si="149"/>
        <v>#NAME?</v>
      </c>
      <c r="BM217" s="328">
        <f t="shared" si="150"/>
        <v>200</v>
      </c>
      <c r="BN217" s="329" t="e">
        <f t="shared" ca="1" si="151"/>
        <v>#NAME?</v>
      </c>
      <c r="BO217" s="344" t="e">
        <f t="shared" ca="1" si="170"/>
        <v>#NAME?</v>
      </c>
      <c r="BP217" s="320" t="e">
        <f t="shared" ca="1" si="152"/>
        <v>#NAME?</v>
      </c>
      <c r="BQ217" s="344" t="e">
        <f t="shared" ca="1" si="171"/>
        <v>#NAME?</v>
      </c>
      <c r="BR217" s="347" t="e">
        <f t="shared" ca="1" si="172"/>
        <v>#NAME?</v>
      </c>
      <c r="BS217" s="326" t="e">
        <f t="shared" ca="1" si="153"/>
        <v>#NAME?</v>
      </c>
      <c r="BT217" s="437" t="e">
        <f t="shared" ca="1" si="185"/>
        <v>#NAME?</v>
      </c>
      <c r="BU217" s="437" t="e">
        <f t="shared" ca="1" si="186"/>
        <v>#NAME?</v>
      </c>
      <c r="BV217" s="441" t="e">
        <f t="shared" ca="1" si="187"/>
        <v>#NAME?</v>
      </c>
      <c r="BW217" s="442" t="e">
        <f t="shared" ca="1" si="188"/>
        <v>#NAME?</v>
      </c>
      <c r="BX217" s="470" t="e">
        <f t="shared" ca="1" si="161"/>
        <v>#NAME?</v>
      </c>
      <c r="BY217" s="484" t="e">
        <f t="shared" ca="1" si="173"/>
        <v>#NAME?</v>
      </c>
    </row>
    <row r="218" spans="9:77" ht="17.75" customHeight="1" x14ac:dyDescent="0.2">
      <c r="I218" s="366">
        <v>134</v>
      </c>
      <c r="J218" s="414">
        <f t="shared" si="174"/>
        <v>41705.80555555586</v>
      </c>
      <c r="K218" s="435" t="e">
        <f t="shared" ca="1" si="175"/>
        <v>#NAME?</v>
      </c>
      <c r="L218" s="435" t="e">
        <f t="shared" ca="1" si="162"/>
        <v>#NAME?</v>
      </c>
      <c r="M218" s="664" t="e">
        <f t="shared" ca="1" si="154"/>
        <v>#NAME?</v>
      </c>
      <c r="N218" s="664" t="e">
        <f t="shared" ca="1" si="155"/>
        <v>#NAME?</v>
      </c>
      <c r="O218" s="140" t="e">
        <f t="shared" ca="1" si="163"/>
        <v>#NAME?</v>
      </c>
      <c r="P218" s="352" t="e">
        <f t="shared" ca="1" si="176"/>
        <v>#NAME?</v>
      </c>
      <c r="Q218" s="665" t="e">
        <f t="shared" ca="1" si="156"/>
        <v>#NAME?</v>
      </c>
      <c r="R218" s="352" t="e">
        <f t="shared" ca="1" si="127"/>
        <v>#NAME?</v>
      </c>
      <c r="S218" s="662" t="e">
        <f t="shared" ca="1" si="164"/>
        <v>#NAME?</v>
      </c>
      <c r="T218" s="443" t="e">
        <f t="shared" ca="1" si="157"/>
        <v>#NAME?</v>
      </c>
      <c r="U218" s="369" t="e">
        <f t="shared" ca="1" si="158"/>
        <v>#NAME?</v>
      </c>
      <c r="V218" s="454" t="e">
        <f t="shared" ca="1" si="165"/>
        <v>#NAME?</v>
      </c>
      <c r="W218" s="457">
        <f t="shared" si="166"/>
        <v>1000</v>
      </c>
      <c r="X218" s="463" t="e">
        <f t="shared" ca="1" si="167"/>
        <v>#NAME?</v>
      </c>
      <c r="Y218" s="455" t="e">
        <f t="shared" ca="1" si="177"/>
        <v>#NAME?</v>
      </c>
      <c r="Z218" s="699">
        <f t="shared" si="159"/>
        <v>8.5</v>
      </c>
      <c r="AA218" s="355" t="str">
        <f t="shared" si="160"/>
        <v>ON</v>
      </c>
      <c r="AB218" s="357">
        <f t="shared" si="128"/>
        <v>1.4999999999999999E-2</v>
      </c>
      <c r="AC218" s="356" t="e">
        <f ca="1">IF(  Y217=0,0,IF(OR(S218="KCAS",S218="INOP",S218="MEFE"),   ( (5*( (   (((1+0.2*(T218/661.4786)^2)^3.5 -1)  )/( (1-6.8755856*10^-6 *100*Y218)^5.2558797) +1)^(2/7) -1) )^0.5),IF(S218="MACH",T218, IF(S218="LRC",BicubicInterpolation( 'LRC Mach'!$C$4:$AL$21, Y218,U218),  IF(S218="MRC",BicubicInterpolation( 'MRC Mach'!$C$3:$T$18, Y218,U218),  IF(S218="M0.84",0.84,  IF(S218="CI52",BicubicInterpolation('CI=52 Mach'!$C$3:$T$18, Y218,U218),  IF(S218="HOLDING",BicubicInterpolation(  'Holding Mach'!$C$4:$M$13, Y218,U218),                         IF(S218="LRCINOP", BicubicInterpolation('LRC INOP Mach'!$C$4:$AA$21,Y218,U218), IF(S218="HOLDINGINOP",  BicubicInterpolation('Holding INOP Mach'!$N$4:$U$13,Y218,U218),         "XXX" )))))))   )))</f>
        <v>#NAME?</v>
      </c>
      <c r="AD218" s="313" t="e">
        <f t="shared" ca="1" si="129"/>
        <v>#NAME?</v>
      </c>
      <c r="AE218" s="314" t="e">
        <f t="shared" ca="1" si="178"/>
        <v>#NAME?</v>
      </c>
      <c r="AF218" s="313" t="e">
        <f t="shared" ca="1" si="130"/>
        <v>#NAME?</v>
      </c>
      <c r="AG218" s="314" t="e">
        <f t="shared" ca="1" si="179"/>
        <v>#NAME?</v>
      </c>
      <c r="AH218" s="313" t="e">
        <f t="shared" ca="1" si="131"/>
        <v>#NAME?</v>
      </c>
      <c r="AI218" s="314" t="e">
        <f t="shared" ca="1" si="180"/>
        <v>#NAME?</v>
      </c>
      <c r="AJ218" s="315" t="e">
        <f t="shared" ca="1" si="181"/>
        <v>#NAME?</v>
      </c>
      <c r="AK218" s="568" t="e">
        <f t="shared" ca="1" si="132"/>
        <v>#NAME?</v>
      </c>
      <c r="AL218" s="313" t="e">
        <f t="shared" ca="1" si="133"/>
        <v>#NAME?</v>
      </c>
      <c r="AM218" s="313" t="e">
        <f t="shared" ca="1" si="182"/>
        <v>#NAME?</v>
      </c>
      <c r="AN218" s="313" t="e">
        <f t="shared" ca="1" si="183"/>
        <v>#NAME?</v>
      </c>
      <c r="AO218" s="316" t="e">
        <f t="shared" ca="1" si="134"/>
        <v>#NAME?</v>
      </c>
      <c r="AP218" s="313" t="e">
        <f t="shared" ca="1" si="135"/>
        <v>#NAME?</v>
      </c>
      <c r="AQ218" s="314" t="e">
        <f t="shared" ca="1" si="184"/>
        <v>#NAME?</v>
      </c>
      <c r="AR218" s="315" t="e">
        <f t="shared" ca="1" si="136"/>
        <v>#NAME?</v>
      </c>
      <c r="AS218" s="316" t="e">
        <f t="shared" ca="1" si="137"/>
        <v>#NAME?</v>
      </c>
      <c r="AT218" s="315" t="e">
        <f t="shared" ca="1" si="138"/>
        <v>#NAME?</v>
      </c>
      <c r="AU218" s="317">
        <v>427.8</v>
      </c>
      <c r="AV218" s="315" t="e">
        <f t="shared" ca="1" si="139"/>
        <v>#NAME?</v>
      </c>
      <c r="AW218" s="318" t="e">
        <f ca="1">0.0001*BicubicInterpolation('Drag Coef Table'!$B$4:$L$28,AV218,AC218)</f>
        <v>#NAME?</v>
      </c>
      <c r="AX218" s="319" t="e">
        <f t="shared" ca="1" si="140"/>
        <v>#NAME?</v>
      </c>
      <c r="AY218" s="318" t="e">
        <f t="shared" ca="1" si="141"/>
        <v>#NAME?</v>
      </c>
      <c r="AZ218" s="320" t="e">
        <f t="shared" ca="1" si="142"/>
        <v>#NAME?</v>
      </c>
      <c r="BA218" s="321" t="e">
        <f t="shared" ca="1" si="143"/>
        <v>#NAME?</v>
      </c>
      <c r="BB218" s="322" t="e">
        <f t="shared" ca="1" si="144"/>
        <v>#NAME?</v>
      </c>
      <c r="BC218" s="323">
        <v>75.196700000000007</v>
      </c>
      <c r="BD218" s="324" t="e">
        <f t="shared" ca="1" si="145"/>
        <v>#NAME?</v>
      </c>
      <c r="BE218" s="325" t="e">
        <f t="shared" ca="1" si="146"/>
        <v>#NAME?</v>
      </c>
      <c r="BF218" s="324" t="e">
        <f ca="1">BicubicInterpolation('TSFC Eff Table'!$B$4:$E$69,2,BB218)</f>
        <v>#NAME?</v>
      </c>
      <c r="BG218" s="326" t="e">
        <f t="shared" ca="1" si="147"/>
        <v>#NAME?</v>
      </c>
      <c r="BH218" s="694" t="e">
        <f ca="1">IF( S218="LRCINOP",   (1+(0.03/10)*Z218*(1+0.2*AC218^2) )*BicubicInterpolation( 'LRC INOP FF'!$C$4:$AA$21, Y218, U218 )-200, IF(S218 ="HOLDINGINOP", (1+(0.03/10)*Z218*(1+0.2*AC218^2) )*BicubicInterpolation( 'Holding INOP FF'!$C$4:$J$13,  Y218,  U218)/1.05-200,   BA218*BG218))</f>
        <v>#NAME?</v>
      </c>
      <c r="BI218" s="344" t="e">
        <f t="shared" ca="1" si="168"/>
        <v>#NAME?</v>
      </c>
      <c r="BJ218" s="322" t="e">
        <f t="shared" ca="1" si="148"/>
        <v>#NAME?</v>
      </c>
      <c r="BK218" s="338" t="e">
        <f t="shared" ca="1" si="169"/>
        <v>#NAME?</v>
      </c>
      <c r="BL218" s="327" t="e">
        <f t="shared" ca="1" si="149"/>
        <v>#NAME?</v>
      </c>
      <c r="BM218" s="328">
        <f t="shared" si="150"/>
        <v>200</v>
      </c>
      <c r="BN218" s="329" t="e">
        <f t="shared" ca="1" si="151"/>
        <v>#NAME?</v>
      </c>
      <c r="BO218" s="344" t="e">
        <f t="shared" ca="1" si="170"/>
        <v>#NAME?</v>
      </c>
      <c r="BP218" s="320" t="e">
        <f t="shared" ca="1" si="152"/>
        <v>#NAME?</v>
      </c>
      <c r="BQ218" s="344" t="e">
        <f t="shared" ca="1" si="171"/>
        <v>#NAME?</v>
      </c>
      <c r="BR218" s="347" t="e">
        <f t="shared" ca="1" si="172"/>
        <v>#NAME?</v>
      </c>
      <c r="BS218" s="326" t="e">
        <f t="shared" ca="1" si="153"/>
        <v>#NAME?</v>
      </c>
      <c r="BT218" s="437" t="e">
        <f t="shared" ca="1" si="185"/>
        <v>#NAME?</v>
      </c>
      <c r="BU218" s="437" t="e">
        <f t="shared" ca="1" si="186"/>
        <v>#NAME?</v>
      </c>
      <c r="BV218" s="441" t="e">
        <f t="shared" ca="1" si="187"/>
        <v>#NAME?</v>
      </c>
      <c r="BW218" s="442" t="e">
        <f t="shared" ca="1" si="188"/>
        <v>#NAME?</v>
      </c>
      <c r="BX218" s="470" t="e">
        <f t="shared" ca="1" si="161"/>
        <v>#NAME?</v>
      </c>
      <c r="BY218" s="484" t="e">
        <f t="shared" ca="1" si="173"/>
        <v>#NAME?</v>
      </c>
    </row>
    <row r="219" spans="9:77" ht="17.75" customHeight="1" x14ac:dyDescent="0.2">
      <c r="I219" s="366">
        <v>135</v>
      </c>
      <c r="J219" s="414">
        <f t="shared" si="174"/>
        <v>41705.806250000307</v>
      </c>
      <c r="K219" s="435" t="e">
        <f t="shared" ca="1" si="175"/>
        <v>#NAME?</v>
      </c>
      <c r="L219" s="435" t="e">
        <f t="shared" ca="1" si="162"/>
        <v>#NAME?</v>
      </c>
      <c r="M219" s="664" t="e">
        <f t="shared" ca="1" si="154"/>
        <v>#NAME?</v>
      </c>
      <c r="N219" s="664" t="e">
        <f t="shared" ca="1" si="155"/>
        <v>#NAME?</v>
      </c>
      <c r="O219" s="140" t="e">
        <f t="shared" ca="1" si="163"/>
        <v>#NAME?</v>
      </c>
      <c r="P219" s="352" t="e">
        <f t="shared" ca="1" si="176"/>
        <v>#NAME?</v>
      </c>
      <c r="Q219" s="665" t="e">
        <f t="shared" ca="1" si="156"/>
        <v>#NAME?</v>
      </c>
      <c r="R219" s="352" t="e">
        <f t="shared" ca="1" si="127"/>
        <v>#NAME?</v>
      </c>
      <c r="S219" s="662" t="e">
        <f t="shared" ca="1" si="164"/>
        <v>#NAME?</v>
      </c>
      <c r="T219" s="443" t="e">
        <f t="shared" ca="1" si="157"/>
        <v>#NAME?</v>
      </c>
      <c r="U219" s="369" t="e">
        <f t="shared" ca="1" si="158"/>
        <v>#NAME?</v>
      </c>
      <c r="V219" s="454" t="e">
        <f t="shared" ca="1" si="165"/>
        <v>#NAME?</v>
      </c>
      <c r="W219" s="457">
        <f t="shared" si="166"/>
        <v>1000</v>
      </c>
      <c r="X219" s="463" t="e">
        <f t="shared" ca="1" si="167"/>
        <v>#NAME?</v>
      </c>
      <c r="Y219" s="455" t="e">
        <f t="shared" ca="1" si="177"/>
        <v>#NAME?</v>
      </c>
      <c r="Z219" s="699">
        <f t="shared" si="159"/>
        <v>8.5</v>
      </c>
      <c r="AA219" s="355" t="str">
        <f t="shared" si="160"/>
        <v>ON</v>
      </c>
      <c r="AB219" s="357">
        <f t="shared" si="128"/>
        <v>1.4999999999999999E-2</v>
      </c>
      <c r="AC219" s="356" t="e">
        <f ca="1">IF(  Y218=0,0,IF(OR(S219="KCAS",S219="INOP",S219="MEFE"),   ( (5*( (   (((1+0.2*(T219/661.4786)^2)^3.5 -1)  )/( (1-6.8755856*10^-6 *100*Y219)^5.2558797) +1)^(2/7) -1) )^0.5),IF(S219="MACH",T219, IF(S219="LRC",BicubicInterpolation( 'LRC Mach'!$C$4:$AL$21, Y219,U219),  IF(S219="MRC",BicubicInterpolation( 'MRC Mach'!$C$3:$T$18, Y219,U219),  IF(S219="M0.84",0.84,  IF(S219="CI52",BicubicInterpolation('CI=52 Mach'!$C$3:$T$18, Y219,U219),  IF(S219="HOLDING",BicubicInterpolation(  'Holding Mach'!$C$4:$M$13, Y219,U219),                         IF(S219="LRCINOP", BicubicInterpolation('LRC INOP Mach'!$C$4:$AA$21,Y219,U219), IF(S219="HOLDINGINOP",  BicubicInterpolation('Holding INOP Mach'!$N$4:$U$13,Y219,U219),         "XXX" )))))))   )))</f>
        <v>#NAME?</v>
      </c>
      <c r="AD219" s="313" t="e">
        <f t="shared" ca="1" si="129"/>
        <v>#NAME?</v>
      </c>
      <c r="AE219" s="314" t="e">
        <f t="shared" ca="1" si="178"/>
        <v>#NAME?</v>
      </c>
      <c r="AF219" s="313" t="e">
        <f t="shared" ca="1" si="130"/>
        <v>#NAME?</v>
      </c>
      <c r="AG219" s="314" t="e">
        <f t="shared" ca="1" si="179"/>
        <v>#NAME?</v>
      </c>
      <c r="AH219" s="313" t="e">
        <f t="shared" ca="1" si="131"/>
        <v>#NAME?</v>
      </c>
      <c r="AI219" s="314" t="e">
        <f t="shared" ca="1" si="180"/>
        <v>#NAME?</v>
      </c>
      <c r="AJ219" s="315" t="e">
        <f t="shared" ca="1" si="181"/>
        <v>#NAME?</v>
      </c>
      <c r="AK219" s="568" t="e">
        <f t="shared" ca="1" si="132"/>
        <v>#NAME?</v>
      </c>
      <c r="AL219" s="313" t="e">
        <f t="shared" ca="1" si="133"/>
        <v>#NAME?</v>
      </c>
      <c r="AM219" s="313" t="e">
        <f t="shared" ca="1" si="182"/>
        <v>#NAME?</v>
      </c>
      <c r="AN219" s="313" t="e">
        <f t="shared" ca="1" si="183"/>
        <v>#NAME?</v>
      </c>
      <c r="AO219" s="316" t="e">
        <f t="shared" ca="1" si="134"/>
        <v>#NAME?</v>
      </c>
      <c r="AP219" s="313" t="e">
        <f t="shared" ca="1" si="135"/>
        <v>#NAME?</v>
      </c>
      <c r="AQ219" s="314" t="e">
        <f t="shared" ca="1" si="184"/>
        <v>#NAME?</v>
      </c>
      <c r="AR219" s="315" t="e">
        <f t="shared" ca="1" si="136"/>
        <v>#NAME?</v>
      </c>
      <c r="AS219" s="316" t="e">
        <f t="shared" ca="1" si="137"/>
        <v>#NAME?</v>
      </c>
      <c r="AT219" s="315" t="e">
        <f t="shared" ca="1" si="138"/>
        <v>#NAME?</v>
      </c>
      <c r="AU219" s="317">
        <v>427.8</v>
      </c>
      <c r="AV219" s="315" t="e">
        <f t="shared" ca="1" si="139"/>
        <v>#NAME?</v>
      </c>
      <c r="AW219" s="318" t="e">
        <f ca="1">0.0001*BicubicInterpolation('Drag Coef Table'!$B$4:$L$28,AV219,AC219)</f>
        <v>#NAME?</v>
      </c>
      <c r="AX219" s="319" t="e">
        <f t="shared" ca="1" si="140"/>
        <v>#NAME?</v>
      </c>
      <c r="AY219" s="318" t="e">
        <f t="shared" ca="1" si="141"/>
        <v>#NAME?</v>
      </c>
      <c r="AZ219" s="320" t="e">
        <f t="shared" ca="1" si="142"/>
        <v>#NAME?</v>
      </c>
      <c r="BA219" s="321" t="e">
        <f t="shared" ca="1" si="143"/>
        <v>#NAME?</v>
      </c>
      <c r="BB219" s="322" t="e">
        <f t="shared" ca="1" si="144"/>
        <v>#NAME?</v>
      </c>
      <c r="BC219" s="323">
        <v>75.196700000000007</v>
      </c>
      <c r="BD219" s="324" t="e">
        <f t="shared" ca="1" si="145"/>
        <v>#NAME?</v>
      </c>
      <c r="BE219" s="325" t="e">
        <f t="shared" ca="1" si="146"/>
        <v>#NAME?</v>
      </c>
      <c r="BF219" s="324" t="e">
        <f ca="1">BicubicInterpolation('TSFC Eff Table'!$B$4:$E$69,2,BB219)</f>
        <v>#NAME?</v>
      </c>
      <c r="BG219" s="326" t="e">
        <f t="shared" ca="1" si="147"/>
        <v>#NAME?</v>
      </c>
      <c r="BH219" s="694" t="e">
        <f ca="1">IF( S219="LRCINOP",   (1+(0.03/10)*Z219*(1+0.2*AC219^2) )*BicubicInterpolation( 'LRC INOP FF'!$C$4:$AA$21, Y219, U219 )-200, IF(S219 ="HOLDINGINOP", (1+(0.03/10)*Z219*(1+0.2*AC219^2) )*BicubicInterpolation( 'Holding INOP FF'!$C$4:$J$13,  Y219,  U219)/1.05-200,   BA219*BG219))</f>
        <v>#NAME?</v>
      </c>
      <c r="BI219" s="344" t="e">
        <f t="shared" ca="1" si="168"/>
        <v>#NAME?</v>
      </c>
      <c r="BJ219" s="322" t="e">
        <f t="shared" ca="1" si="148"/>
        <v>#NAME?</v>
      </c>
      <c r="BK219" s="338" t="e">
        <f t="shared" ca="1" si="169"/>
        <v>#NAME?</v>
      </c>
      <c r="BL219" s="327" t="e">
        <f t="shared" ca="1" si="149"/>
        <v>#NAME?</v>
      </c>
      <c r="BM219" s="328">
        <f t="shared" si="150"/>
        <v>200</v>
      </c>
      <c r="BN219" s="329" t="e">
        <f t="shared" ca="1" si="151"/>
        <v>#NAME?</v>
      </c>
      <c r="BO219" s="344" t="e">
        <f t="shared" ca="1" si="170"/>
        <v>#NAME?</v>
      </c>
      <c r="BP219" s="320" t="e">
        <f t="shared" ca="1" si="152"/>
        <v>#NAME?</v>
      </c>
      <c r="BQ219" s="344" t="e">
        <f t="shared" ca="1" si="171"/>
        <v>#NAME?</v>
      </c>
      <c r="BR219" s="347" t="e">
        <f t="shared" ca="1" si="172"/>
        <v>#NAME?</v>
      </c>
      <c r="BS219" s="326" t="e">
        <f t="shared" ca="1" si="153"/>
        <v>#NAME?</v>
      </c>
      <c r="BT219" s="437" t="e">
        <f t="shared" ca="1" si="185"/>
        <v>#NAME?</v>
      </c>
      <c r="BU219" s="437" t="e">
        <f t="shared" ca="1" si="186"/>
        <v>#NAME?</v>
      </c>
      <c r="BV219" s="441" t="e">
        <f t="shared" ca="1" si="187"/>
        <v>#NAME?</v>
      </c>
      <c r="BW219" s="442" t="e">
        <f t="shared" ca="1" si="188"/>
        <v>#NAME?</v>
      </c>
      <c r="BX219" s="470" t="e">
        <f t="shared" ca="1" si="161"/>
        <v>#NAME?</v>
      </c>
      <c r="BY219" s="484" t="e">
        <f t="shared" ca="1" si="173"/>
        <v>#NAME?</v>
      </c>
    </row>
    <row r="220" spans="9:77" ht="17.75" customHeight="1" x14ac:dyDescent="0.2">
      <c r="I220" s="366">
        <v>136</v>
      </c>
      <c r="J220" s="414">
        <f t="shared" si="174"/>
        <v>41705.806944444754</v>
      </c>
      <c r="K220" s="435" t="e">
        <f t="shared" ca="1" si="175"/>
        <v>#NAME?</v>
      </c>
      <c r="L220" s="435" t="e">
        <f t="shared" ca="1" si="162"/>
        <v>#NAME?</v>
      </c>
      <c r="M220" s="664" t="e">
        <f t="shared" ca="1" si="154"/>
        <v>#NAME?</v>
      </c>
      <c r="N220" s="664" t="e">
        <f t="shared" ca="1" si="155"/>
        <v>#NAME?</v>
      </c>
      <c r="O220" s="140" t="e">
        <f t="shared" ca="1" si="163"/>
        <v>#NAME?</v>
      </c>
      <c r="P220" s="352" t="e">
        <f t="shared" ca="1" si="176"/>
        <v>#NAME?</v>
      </c>
      <c r="Q220" s="665" t="e">
        <f t="shared" ca="1" si="156"/>
        <v>#NAME?</v>
      </c>
      <c r="R220" s="352" t="e">
        <f t="shared" ca="1" si="127"/>
        <v>#NAME?</v>
      </c>
      <c r="S220" s="662" t="e">
        <f t="shared" ca="1" si="164"/>
        <v>#NAME?</v>
      </c>
      <c r="T220" s="443" t="e">
        <f t="shared" ca="1" si="157"/>
        <v>#NAME?</v>
      </c>
      <c r="U220" s="369" t="e">
        <f t="shared" ca="1" si="158"/>
        <v>#NAME?</v>
      </c>
      <c r="V220" s="454" t="e">
        <f t="shared" ca="1" si="165"/>
        <v>#NAME?</v>
      </c>
      <c r="W220" s="457">
        <f t="shared" si="166"/>
        <v>1000</v>
      </c>
      <c r="X220" s="463" t="e">
        <f t="shared" ca="1" si="167"/>
        <v>#NAME?</v>
      </c>
      <c r="Y220" s="455" t="e">
        <f t="shared" ca="1" si="177"/>
        <v>#NAME?</v>
      </c>
      <c r="Z220" s="699">
        <f t="shared" si="159"/>
        <v>8.5</v>
      </c>
      <c r="AA220" s="355" t="str">
        <f t="shared" si="160"/>
        <v>ON</v>
      </c>
      <c r="AB220" s="357">
        <f t="shared" si="128"/>
        <v>1.4999999999999999E-2</v>
      </c>
      <c r="AC220" s="356" t="e">
        <f ca="1">IF(  Y219=0,0,IF(OR(S220="KCAS",S220="INOP",S220="MEFE"),   ( (5*( (   (((1+0.2*(T220/661.4786)^2)^3.5 -1)  )/( (1-6.8755856*10^-6 *100*Y220)^5.2558797) +1)^(2/7) -1) )^0.5),IF(S220="MACH",T220, IF(S220="LRC",BicubicInterpolation( 'LRC Mach'!$C$4:$AL$21, Y220,U220),  IF(S220="MRC",BicubicInterpolation( 'MRC Mach'!$C$3:$T$18, Y220,U220),  IF(S220="M0.84",0.84,  IF(S220="CI52",BicubicInterpolation('CI=52 Mach'!$C$3:$T$18, Y220,U220),  IF(S220="HOLDING",BicubicInterpolation(  'Holding Mach'!$C$4:$M$13, Y220,U220),                         IF(S220="LRCINOP", BicubicInterpolation('LRC INOP Mach'!$C$4:$AA$21,Y220,U220), IF(S220="HOLDINGINOP",  BicubicInterpolation('Holding INOP Mach'!$N$4:$U$13,Y220,U220),         "XXX" )))))))   )))</f>
        <v>#NAME?</v>
      </c>
      <c r="AD220" s="313" t="e">
        <f t="shared" ca="1" si="129"/>
        <v>#NAME?</v>
      </c>
      <c r="AE220" s="314" t="e">
        <f t="shared" ca="1" si="178"/>
        <v>#NAME?</v>
      </c>
      <c r="AF220" s="313" t="e">
        <f t="shared" ca="1" si="130"/>
        <v>#NAME?</v>
      </c>
      <c r="AG220" s="314" t="e">
        <f t="shared" ca="1" si="179"/>
        <v>#NAME?</v>
      </c>
      <c r="AH220" s="313" t="e">
        <f t="shared" ca="1" si="131"/>
        <v>#NAME?</v>
      </c>
      <c r="AI220" s="314" t="e">
        <f t="shared" ca="1" si="180"/>
        <v>#NAME?</v>
      </c>
      <c r="AJ220" s="315" t="e">
        <f t="shared" ca="1" si="181"/>
        <v>#NAME?</v>
      </c>
      <c r="AK220" s="568" t="e">
        <f t="shared" ca="1" si="132"/>
        <v>#NAME?</v>
      </c>
      <c r="AL220" s="313" t="e">
        <f t="shared" ca="1" si="133"/>
        <v>#NAME?</v>
      </c>
      <c r="AM220" s="313" t="e">
        <f t="shared" ca="1" si="182"/>
        <v>#NAME?</v>
      </c>
      <c r="AN220" s="313" t="e">
        <f t="shared" ca="1" si="183"/>
        <v>#NAME?</v>
      </c>
      <c r="AO220" s="316" t="e">
        <f t="shared" ca="1" si="134"/>
        <v>#NAME?</v>
      </c>
      <c r="AP220" s="313" t="e">
        <f t="shared" ca="1" si="135"/>
        <v>#NAME?</v>
      </c>
      <c r="AQ220" s="314" t="e">
        <f t="shared" ca="1" si="184"/>
        <v>#NAME?</v>
      </c>
      <c r="AR220" s="315" t="e">
        <f t="shared" ca="1" si="136"/>
        <v>#NAME?</v>
      </c>
      <c r="AS220" s="316" t="e">
        <f t="shared" ca="1" si="137"/>
        <v>#NAME?</v>
      </c>
      <c r="AT220" s="315" t="e">
        <f t="shared" ca="1" si="138"/>
        <v>#NAME?</v>
      </c>
      <c r="AU220" s="317">
        <v>427.8</v>
      </c>
      <c r="AV220" s="315" t="e">
        <f t="shared" ca="1" si="139"/>
        <v>#NAME?</v>
      </c>
      <c r="AW220" s="318" t="e">
        <f ca="1">0.0001*BicubicInterpolation('Drag Coef Table'!$B$4:$L$28,AV220,AC220)</f>
        <v>#NAME?</v>
      </c>
      <c r="AX220" s="319" t="e">
        <f t="shared" ca="1" si="140"/>
        <v>#NAME?</v>
      </c>
      <c r="AY220" s="318" t="e">
        <f t="shared" ca="1" si="141"/>
        <v>#NAME?</v>
      </c>
      <c r="AZ220" s="320" t="e">
        <f t="shared" ca="1" si="142"/>
        <v>#NAME?</v>
      </c>
      <c r="BA220" s="321" t="e">
        <f t="shared" ca="1" si="143"/>
        <v>#NAME?</v>
      </c>
      <c r="BB220" s="322" t="e">
        <f t="shared" ca="1" si="144"/>
        <v>#NAME?</v>
      </c>
      <c r="BC220" s="323">
        <v>75.196700000000007</v>
      </c>
      <c r="BD220" s="324" t="e">
        <f t="shared" ca="1" si="145"/>
        <v>#NAME?</v>
      </c>
      <c r="BE220" s="325" t="e">
        <f t="shared" ca="1" si="146"/>
        <v>#NAME?</v>
      </c>
      <c r="BF220" s="324" t="e">
        <f ca="1">BicubicInterpolation('TSFC Eff Table'!$B$4:$E$69,2,BB220)</f>
        <v>#NAME?</v>
      </c>
      <c r="BG220" s="326" t="e">
        <f t="shared" ca="1" si="147"/>
        <v>#NAME?</v>
      </c>
      <c r="BH220" s="694" t="e">
        <f ca="1">IF( S220="LRCINOP",   (1+(0.03/10)*Z220*(1+0.2*AC220^2) )*BicubicInterpolation( 'LRC INOP FF'!$C$4:$AA$21, Y220, U220 )-200, IF(S220 ="HOLDINGINOP", (1+(0.03/10)*Z220*(1+0.2*AC220^2) )*BicubicInterpolation( 'Holding INOP FF'!$C$4:$J$13,  Y220,  U220)/1.05-200,   BA220*BG220))</f>
        <v>#NAME?</v>
      </c>
      <c r="BI220" s="344" t="e">
        <f t="shared" ca="1" si="168"/>
        <v>#NAME?</v>
      </c>
      <c r="BJ220" s="322" t="e">
        <f t="shared" ca="1" si="148"/>
        <v>#NAME?</v>
      </c>
      <c r="BK220" s="338" t="e">
        <f t="shared" ca="1" si="169"/>
        <v>#NAME?</v>
      </c>
      <c r="BL220" s="327" t="e">
        <f t="shared" ca="1" si="149"/>
        <v>#NAME?</v>
      </c>
      <c r="BM220" s="328">
        <f t="shared" si="150"/>
        <v>200</v>
      </c>
      <c r="BN220" s="329" t="e">
        <f t="shared" ca="1" si="151"/>
        <v>#NAME?</v>
      </c>
      <c r="BO220" s="344" t="e">
        <f t="shared" ca="1" si="170"/>
        <v>#NAME?</v>
      </c>
      <c r="BP220" s="320" t="e">
        <f t="shared" ca="1" si="152"/>
        <v>#NAME?</v>
      </c>
      <c r="BQ220" s="344" t="e">
        <f t="shared" ca="1" si="171"/>
        <v>#NAME?</v>
      </c>
      <c r="BR220" s="347" t="e">
        <f t="shared" ca="1" si="172"/>
        <v>#NAME?</v>
      </c>
      <c r="BS220" s="326" t="e">
        <f t="shared" ca="1" si="153"/>
        <v>#NAME?</v>
      </c>
      <c r="BT220" s="437" t="e">
        <f t="shared" ca="1" si="185"/>
        <v>#NAME?</v>
      </c>
      <c r="BU220" s="437" t="e">
        <f t="shared" ca="1" si="186"/>
        <v>#NAME?</v>
      </c>
      <c r="BV220" s="441" t="e">
        <f t="shared" ca="1" si="187"/>
        <v>#NAME?</v>
      </c>
      <c r="BW220" s="442" t="e">
        <f t="shared" ca="1" si="188"/>
        <v>#NAME?</v>
      </c>
      <c r="BX220" s="470" t="e">
        <f t="shared" ca="1" si="161"/>
        <v>#NAME?</v>
      </c>
      <c r="BY220" s="484" t="e">
        <f t="shared" ca="1" si="173"/>
        <v>#NAME?</v>
      </c>
    </row>
    <row r="221" spans="9:77" ht="17.75" customHeight="1" x14ac:dyDescent="0.2">
      <c r="I221" s="366">
        <v>137</v>
      </c>
      <c r="J221" s="414">
        <f t="shared" si="174"/>
        <v>41705.8076388892</v>
      </c>
      <c r="K221" s="435" t="e">
        <f t="shared" ca="1" si="175"/>
        <v>#NAME?</v>
      </c>
      <c r="L221" s="435" t="e">
        <f t="shared" ca="1" si="162"/>
        <v>#NAME?</v>
      </c>
      <c r="M221" s="664" t="e">
        <f t="shared" ca="1" si="154"/>
        <v>#NAME?</v>
      </c>
      <c r="N221" s="664" t="e">
        <f t="shared" ca="1" si="155"/>
        <v>#NAME?</v>
      </c>
      <c r="O221" s="140" t="e">
        <f t="shared" ca="1" si="163"/>
        <v>#NAME?</v>
      </c>
      <c r="P221" s="352" t="e">
        <f t="shared" ca="1" si="176"/>
        <v>#NAME?</v>
      </c>
      <c r="Q221" s="665" t="e">
        <f t="shared" ca="1" si="156"/>
        <v>#NAME?</v>
      </c>
      <c r="R221" s="352" t="e">
        <f t="shared" ca="1" si="127"/>
        <v>#NAME?</v>
      </c>
      <c r="S221" s="662" t="e">
        <f t="shared" ca="1" si="164"/>
        <v>#NAME?</v>
      </c>
      <c r="T221" s="443" t="e">
        <f t="shared" ca="1" si="157"/>
        <v>#NAME?</v>
      </c>
      <c r="U221" s="369" t="e">
        <f t="shared" ca="1" si="158"/>
        <v>#NAME?</v>
      </c>
      <c r="V221" s="454" t="e">
        <f t="shared" ca="1" si="165"/>
        <v>#NAME?</v>
      </c>
      <c r="W221" s="457">
        <f t="shared" si="166"/>
        <v>1000</v>
      </c>
      <c r="X221" s="463" t="e">
        <f t="shared" ca="1" si="167"/>
        <v>#NAME?</v>
      </c>
      <c r="Y221" s="455" t="e">
        <f t="shared" ca="1" si="177"/>
        <v>#NAME?</v>
      </c>
      <c r="Z221" s="699">
        <f t="shared" si="159"/>
        <v>8.5</v>
      </c>
      <c r="AA221" s="355" t="str">
        <f t="shared" si="160"/>
        <v>ON</v>
      </c>
      <c r="AB221" s="357">
        <f t="shared" si="128"/>
        <v>1.4999999999999999E-2</v>
      </c>
      <c r="AC221" s="356" t="e">
        <f ca="1">IF(  Y220=0,0,IF(OR(S221="KCAS",S221="INOP",S221="MEFE"),   ( (5*( (   (((1+0.2*(T221/661.4786)^2)^3.5 -1)  )/( (1-6.8755856*10^-6 *100*Y221)^5.2558797) +1)^(2/7) -1) )^0.5),IF(S221="MACH",T221, IF(S221="LRC",BicubicInterpolation( 'LRC Mach'!$C$4:$AL$21, Y221,U221),  IF(S221="MRC",BicubicInterpolation( 'MRC Mach'!$C$3:$T$18, Y221,U221),  IF(S221="M0.84",0.84,  IF(S221="CI52",BicubicInterpolation('CI=52 Mach'!$C$3:$T$18, Y221,U221),  IF(S221="HOLDING",BicubicInterpolation(  'Holding Mach'!$C$4:$M$13, Y221,U221),                         IF(S221="LRCINOP", BicubicInterpolation('LRC INOP Mach'!$C$4:$AA$21,Y221,U221), IF(S221="HOLDINGINOP",  BicubicInterpolation('Holding INOP Mach'!$N$4:$U$13,Y221,U221),         "XXX" )))))))   )))</f>
        <v>#NAME?</v>
      </c>
      <c r="AD221" s="313" t="e">
        <f t="shared" ca="1" si="129"/>
        <v>#NAME?</v>
      </c>
      <c r="AE221" s="314" t="e">
        <f t="shared" ca="1" si="178"/>
        <v>#NAME?</v>
      </c>
      <c r="AF221" s="313" t="e">
        <f t="shared" ca="1" si="130"/>
        <v>#NAME?</v>
      </c>
      <c r="AG221" s="314" t="e">
        <f t="shared" ca="1" si="179"/>
        <v>#NAME?</v>
      </c>
      <c r="AH221" s="313" t="e">
        <f t="shared" ca="1" si="131"/>
        <v>#NAME?</v>
      </c>
      <c r="AI221" s="314" t="e">
        <f t="shared" ca="1" si="180"/>
        <v>#NAME?</v>
      </c>
      <c r="AJ221" s="315" t="e">
        <f t="shared" ca="1" si="181"/>
        <v>#NAME?</v>
      </c>
      <c r="AK221" s="568" t="e">
        <f t="shared" ca="1" si="132"/>
        <v>#NAME?</v>
      </c>
      <c r="AL221" s="313" t="e">
        <f t="shared" ca="1" si="133"/>
        <v>#NAME?</v>
      </c>
      <c r="AM221" s="313" t="e">
        <f t="shared" ca="1" si="182"/>
        <v>#NAME?</v>
      </c>
      <c r="AN221" s="313" t="e">
        <f t="shared" ca="1" si="183"/>
        <v>#NAME?</v>
      </c>
      <c r="AO221" s="316" t="e">
        <f t="shared" ca="1" si="134"/>
        <v>#NAME?</v>
      </c>
      <c r="AP221" s="313" t="e">
        <f t="shared" ca="1" si="135"/>
        <v>#NAME?</v>
      </c>
      <c r="AQ221" s="314" t="e">
        <f t="shared" ca="1" si="184"/>
        <v>#NAME?</v>
      </c>
      <c r="AR221" s="315" t="e">
        <f t="shared" ca="1" si="136"/>
        <v>#NAME?</v>
      </c>
      <c r="AS221" s="316" t="e">
        <f t="shared" ca="1" si="137"/>
        <v>#NAME?</v>
      </c>
      <c r="AT221" s="315" t="e">
        <f t="shared" ca="1" si="138"/>
        <v>#NAME?</v>
      </c>
      <c r="AU221" s="317">
        <v>427.8</v>
      </c>
      <c r="AV221" s="315" t="e">
        <f t="shared" ca="1" si="139"/>
        <v>#NAME?</v>
      </c>
      <c r="AW221" s="318" t="e">
        <f ca="1">0.0001*BicubicInterpolation('Drag Coef Table'!$B$4:$L$28,AV221,AC221)</f>
        <v>#NAME?</v>
      </c>
      <c r="AX221" s="319" t="e">
        <f t="shared" ca="1" si="140"/>
        <v>#NAME?</v>
      </c>
      <c r="AY221" s="318" t="e">
        <f t="shared" ca="1" si="141"/>
        <v>#NAME?</v>
      </c>
      <c r="AZ221" s="320" t="e">
        <f t="shared" ca="1" si="142"/>
        <v>#NAME?</v>
      </c>
      <c r="BA221" s="321" t="e">
        <f t="shared" ca="1" si="143"/>
        <v>#NAME?</v>
      </c>
      <c r="BB221" s="322" t="e">
        <f t="shared" ca="1" si="144"/>
        <v>#NAME?</v>
      </c>
      <c r="BC221" s="323">
        <v>75.196700000000007</v>
      </c>
      <c r="BD221" s="324" t="e">
        <f t="shared" ca="1" si="145"/>
        <v>#NAME?</v>
      </c>
      <c r="BE221" s="325" t="e">
        <f t="shared" ca="1" si="146"/>
        <v>#NAME?</v>
      </c>
      <c r="BF221" s="324" t="e">
        <f ca="1">BicubicInterpolation('TSFC Eff Table'!$B$4:$E$69,2,BB221)</f>
        <v>#NAME?</v>
      </c>
      <c r="BG221" s="326" t="e">
        <f t="shared" ca="1" si="147"/>
        <v>#NAME?</v>
      </c>
      <c r="BH221" s="694" t="e">
        <f ca="1">IF( S221="LRCINOP",   (1+(0.03/10)*Z221*(1+0.2*AC221^2) )*BicubicInterpolation( 'LRC INOP FF'!$C$4:$AA$21, Y221, U221 )-200, IF(S221 ="HOLDINGINOP", (1+(0.03/10)*Z221*(1+0.2*AC221^2) )*BicubicInterpolation( 'Holding INOP FF'!$C$4:$J$13,  Y221,  U221)/1.05-200,   BA221*BG221))</f>
        <v>#NAME?</v>
      </c>
      <c r="BI221" s="344" t="e">
        <f t="shared" ca="1" si="168"/>
        <v>#NAME?</v>
      </c>
      <c r="BJ221" s="322" t="e">
        <f t="shared" ca="1" si="148"/>
        <v>#NAME?</v>
      </c>
      <c r="BK221" s="338" t="e">
        <f t="shared" ca="1" si="169"/>
        <v>#NAME?</v>
      </c>
      <c r="BL221" s="327" t="e">
        <f t="shared" ca="1" si="149"/>
        <v>#NAME?</v>
      </c>
      <c r="BM221" s="328">
        <f t="shared" si="150"/>
        <v>200</v>
      </c>
      <c r="BN221" s="329" t="e">
        <f t="shared" ca="1" si="151"/>
        <v>#NAME?</v>
      </c>
      <c r="BO221" s="344" t="e">
        <f t="shared" ca="1" si="170"/>
        <v>#NAME?</v>
      </c>
      <c r="BP221" s="320" t="e">
        <f t="shared" ca="1" si="152"/>
        <v>#NAME?</v>
      </c>
      <c r="BQ221" s="344" t="e">
        <f t="shared" ca="1" si="171"/>
        <v>#NAME?</v>
      </c>
      <c r="BR221" s="347" t="e">
        <f t="shared" ca="1" si="172"/>
        <v>#NAME?</v>
      </c>
      <c r="BS221" s="326" t="e">
        <f t="shared" ca="1" si="153"/>
        <v>#NAME?</v>
      </c>
      <c r="BT221" s="437" t="e">
        <f t="shared" ca="1" si="185"/>
        <v>#NAME?</v>
      </c>
      <c r="BU221" s="437" t="e">
        <f t="shared" ca="1" si="186"/>
        <v>#NAME?</v>
      </c>
      <c r="BV221" s="441" t="e">
        <f t="shared" ca="1" si="187"/>
        <v>#NAME?</v>
      </c>
      <c r="BW221" s="442" t="e">
        <f t="shared" ca="1" si="188"/>
        <v>#NAME?</v>
      </c>
      <c r="BX221" s="470" t="e">
        <f t="shared" ca="1" si="161"/>
        <v>#NAME?</v>
      </c>
      <c r="BY221" s="484" t="e">
        <f t="shared" ca="1" si="173"/>
        <v>#NAME?</v>
      </c>
    </row>
    <row r="222" spans="9:77" ht="17.75" customHeight="1" x14ac:dyDescent="0.2">
      <c r="I222" s="366">
        <v>138</v>
      </c>
      <c r="J222" s="414">
        <f t="shared" si="174"/>
        <v>41705.808333333647</v>
      </c>
      <c r="K222" s="435" t="e">
        <f t="shared" ca="1" si="175"/>
        <v>#NAME?</v>
      </c>
      <c r="L222" s="435" t="e">
        <f t="shared" ca="1" si="162"/>
        <v>#NAME?</v>
      </c>
      <c r="M222" s="664" t="e">
        <f t="shared" ca="1" si="154"/>
        <v>#NAME?</v>
      </c>
      <c r="N222" s="664" t="e">
        <f t="shared" ca="1" si="155"/>
        <v>#NAME?</v>
      </c>
      <c r="O222" s="140" t="e">
        <f t="shared" ca="1" si="163"/>
        <v>#NAME?</v>
      </c>
      <c r="P222" s="352" t="e">
        <f t="shared" ca="1" si="176"/>
        <v>#NAME?</v>
      </c>
      <c r="Q222" s="665" t="e">
        <f t="shared" ca="1" si="156"/>
        <v>#NAME?</v>
      </c>
      <c r="R222" s="352" t="e">
        <f t="shared" ca="1" si="127"/>
        <v>#NAME?</v>
      </c>
      <c r="S222" s="662" t="e">
        <f t="shared" ca="1" si="164"/>
        <v>#NAME?</v>
      </c>
      <c r="T222" s="443" t="e">
        <f t="shared" ca="1" si="157"/>
        <v>#NAME?</v>
      </c>
      <c r="U222" s="369" t="e">
        <f t="shared" ca="1" si="158"/>
        <v>#NAME?</v>
      </c>
      <c r="V222" s="454" t="e">
        <f t="shared" ca="1" si="165"/>
        <v>#NAME?</v>
      </c>
      <c r="W222" s="457">
        <f t="shared" si="166"/>
        <v>1000</v>
      </c>
      <c r="X222" s="463" t="e">
        <f t="shared" ca="1" si="167"/>
        <v>#NAME?</v>
      </c>
      <c r="Y222" s="455" t="e">
        <f t="shared" ca="1" si="177"/>
        <v>#NAME?</v>
      </c>
      <c r="Z222" s="699">
        <f t="shared" si="159"/>
        <v>8.5</v>
      </c>
      <c r="AA222" s="355" t="str">
        <f t="shared" si="160"/>
        <v>ON</v>
      </c>
      <c r="AB222" s="357">
        <f t="shared" si="128"/>
        <v>1.4999999999999999E-2</v>
      </c>
      <c r="AC222" s="356" t="e">
        <f ca="1">IF(  Y221=0,0,IF(OR(S222="KCAS",S222="INOP",S222="MEFE"),   ( (5*( (   (((1+0.2*(T222/661.4786)^2)^3.5 -1)  )/( (1-6.8755856*10^-6 *100*Y222)^5.2558797) +1)^(2/7) -1) )^0.5),IF(S222="MACH",T222, IF(S222="LRC",BicubicInterpolation( 'LRC Mach'!$C$4:$AL$21, Y222,U222),  IF(S222="MRC",BicubicInterpolation( 'MRC Mach'!$C$3:$T$18, Y222,U222),  IF(S222="M0.84",0.84,  IF(S222="CI52",BicubicInterpolation('CI=52 Mach'!$C$3:$T$18, Y222,U222),  IF(S222="HOLDING",BicubicInterpolation(  'Holding Mach'!$C$4:$M$13, Y222,U222),                         IF(S222="LRCINOP", BicubicInterpolation('LRC INOP Mach'!$C$4:$AA$21,Y222,U222), IF(S222="HOLDINGINOP",  BicubicInterpolation('Holding INOP Mach'!$N$4:$U$13,Y222,U222),         "XXX" )))))))   )))</f>
        <v>#NAME?</v>
      </c>
      <c r="AD222" s="313" t="e">
        <f t="shared" ca="1" si="129"/>
        <v>#NAME?</v>
      </c>
      <c r="AE222" s="314" t="e">
        <f t="shared" ca="1" si="178"/>
        <v>#NAME?</v>
      </c>
      <c r="AF222" s="313" t="e">
        <f t="shared" ca="1" si="130"/>
        <v>#NAME?</v>
      </c>
      <c r="AG222" s="314" t="e">
        <f t="shared" ca="1" si="179"/>
        <v>#NAME?</v>
      </c>
      <c r="AH222" s="313" t="e">
        <f t="shared" ca="1" si="131"/>
        <v>#NAME?</v>
      </c>
      <c r="AI222" s="314" t="e">
        <f t="shared" ca="1" si="180"/>
        <v>#NAME?</v>
      </c>
      <c r="AJ222" s="315" t="e">
        <f t="shared" ca="1" si="181"/>
        <v>#NAME?</v>
      </c>
      <c r="AK222" s="568" t="e">
        <f t="shared" ca="1" si="132"/>
        <v>#NAME?</v>
      </c>
      <c r="AL222" s="313" t="e">
        <f t="shared" ca="1" si="133"/>
        <v>#NAME?</v>
      </c>
      <c r="AM222" s="313" t="e">
        <f t="shared" ca="1" si="182"/>
        <v>#NAME?</v>
      </c>
      <c r="AN222" s="313" t="e">
        <f t="shared" ca="1" si="183"/>
        <v>#NAME?</v>
      </c>
      <c r="AO222" s="316" t="e">
        <f t="shared" ca="1" si="134"/>
        <v>#NAME?</v>
      </c>
      <c r="AP222" s="313" t="e">
        <f t="shared" ca="1" si="135"/>
        <v>#NAME?</v>
      </c>
      <c r="AQ222" s="314" t="e">
        <f t="shared" ca="1" si="184"/>
        <v>#NAME?</v>
      </c>
      <c r="AR222" s="315" t="e">
        <f t="shared" ca="1" si="136"/>
        <v>#NAME?</v>
      </c>
      <c r="AS222" s="316" t="e">
        <f t="shared" ca="1" si="137"/>
        <v>#NAME?</v>
      </c>
      <c r="AT222" s="315" t="e">
        <f t="shared" ca="1" si="138"/>
        <v>#NAME?</v>
      </c>
      <c r="AU222" s="317">
        <v>427.8</v>
      </c>
      <c r="AV222" s="315" t="e">
        <f t="shared" ca="1" si="139"/>
        <v>#NAME?</v>
      </c>
      <c r="AW222" s="318" t="e">
        <f ca="1">0.0001*BicubicInterpolation('Drag Coef Table'!$B$4:$L$28,AV222,AC222)</f>
        <v>#NAME?</v>
      </c>
      <c r="AX222" s="319" t="e">
        <f t="shared" ca="1" si="140"/>
        <v>#NAME?</v>
      </c>
      <c r="AY222" s="318" t="e">
        <f t="shared" ca="1" si="141"/>
        <v>#NAME?</v>
      </c>
      <c r="AZ222" s="320" t="e">
        <f t="shared" ca="1" si="142"/>
        <v>#NAME?</v>
      </c>
      <c r="BA222" s="321" t="e">
        <f t="shared" ca="1" si="143"/>
        <v>#NAME?</v>
      </c>
      <c r="BB222" s="322" t="e">
        <f t="shared" ca="1" si="144"/>
        <v>#NAME?</v>
      </c>
      <c r="BC222" s="323">
        <v>75.196700000000007</v>
      </c>
      <c r="BD222" s="324" t="e">
        <f t="shared" ca="1" si="145"/>
        <v>#NAME?</v>
      </c>
      <c r="BE222" s="325" t="e">
        <f t="shared" ca="1" si="146"/>
        <v>#NAME?</v>
      </c>
      <c r="BF222" s="324" t="e">
        <f ca="1">BicubicInterpolation('TSFC Eff Table'!$B$4:$E$69,2,BB222)</f>
        <v>#NAME?</v>
      </c>
      <c r="BG222" s="326" t="e">
        <f t="shared" ca="1" si="147"/>
        <v>#NAME?</v>
      </c>
      <c r="BH222" s="694" t="e">
        <f ca="1">IF( S222="LRCINOP",   (1+(0.03/10)*Z222*(1+0.2*AC222^2) )*BicubicInterpolation( 'LRC INOP FF'!$C$4:$AA$21, Y222, U222 )-200, IF(S222 ="HOLDINGINOP", (1+(0.03/10)*Z222*(1+0.2*AC222^2) )*BicubicInterpolation( 'Holding INOP FF'!$C$4:$J$13,  Y222,  U222)/1.05-200,   BA222*BG222))</f>
        <v>#NAME?</v>
      </c>
      <c r="BI222" s="344" t="e">
        <f t="shared" ca="1" si="168"/>
        <v>#NAME?</v>
      </c>
      <c r="BJ222" s="322" t="e">
        <f t="shared" ca="1" si="148"/>
        <v>#NAME?</v>
      </c>
      <c r="BK222" s="338" t="e">
        <f t="shared" ca="1" si="169"/>
        <v>#NAME?</v>
      </c>
      <c r="BL222" s="327" t="e">
        <f t="shared" ca="1" si="149"/>
        <v>#NAME?</v>
      </c>
      <c r="BM222" s="328">
        <f t="shared" si="150"/>
        <v>200</v>
      </c>
      <c r="BN222" s="329" t="e">
        <f t="shared" ca="1" si="151"/>
        <v>#NAME?</v>
      </c>
      <c r="BO222" s="344" t="e">
        <f t="shared" ca="1" si="170"/>
        <v>#NAME?</v>
      </c>
      <c r="BP222" s="320" t="e">
        <f t="shared" ca="1" si="152"/>
        <v>#NAME?</v>
      </c>
      <c r="BQ222" s="344" t="e">
        <f t="shared" ca="1" si="171"/>
        <v>#NAME?</v>
      </c>
      <c r="BR222" s="347" t="e">
        <f t="shared" ca="1" si="172"/>
        <v>#NAME?</v>
      </c>
      <c r="BS222" s="326" t="e">
        <f t="shared" ca="1" si="153"/>
        <v>#NAME?</v>
      </c>
      <c r="BT222" s="437" t="e">
        <f t="shared" ca="1" si="185"/>
        <v>#NAME?</v>
      </c>
      <c r="BU222" s="437" t="e">
        <f t="shared" ca="1" si="186"/>
        <v>#NAME?</v>
      </c>
      <c r="BV222" s="441" t="e">
        <f t="shared" ca="1" si="187"/>
        <v>#NAME?</v>
      </c>
      <c r="BW222" s="442" t="e">
        <f t="shared" ca="1" si="188"/>
        <v>#NAME?</v>
      </c>
      <c r="BX222" s="470" t="e">
        <f t="shared" ca="1" si="161"/>
        <v>#NAME?</v>
      </c>
      <c r="BY222" s="484" t="e">
        <f t="shared" ca="1" si="173"/>
        <v>#NAME?</v>
      </c>
    </row>
    <row r="223" spans="9:77" ht="17.75" customHeight="1" x14ac:dyDescent="0.2">
      <c r="I223" s="366">
        <v>139</v>
      </c>
      <c r="J223" s="414">
        <f t="shared" si="174"/>
        <v>41705.809027778094</v>
      </c>
      <c r="K223" s="435" t="e">
        <f t="shared" ca="1" si="175"/>
        <v>#NAME?</v>
      </c>
      <c r="L223" s="435" t="e">
        <f t="shared" ca="1" si="162"/>
        <v>#NAME?</v>
      </c>
      <c r="M223" s="664" t="e">
        <f t="shared" ca="1" si="154"/>
        <v>#NAME?</v>
      </c>
      <c r="N223" s="664" t="e">
        <f t="shared" ca="1" si="155"/>
        <v>#NAME?</v>
      </c>
      <c r="O223" s="140" t="e">
        <f t="shared" ca="1" si="163"/>
        <v>#NAME?</v>
      </c>
      <c r="P223" s="352" t="e">
        <f t="shared" ca="1" si="176"/>
        <v>#NAME?</v>
      </c>
      <c r="Q223" s="665" t="e">
        <f t="shared" ca="1" si="156"/>
        <v>#NAME?</v>
      </c>
      <c r="R223" s="352" t="e">
        <f t="shared" ref="R223:R286" ca="1" si="189">AC223</f>
        <v>#NAME?</v>
      </c>
      <c r="S223" s="662" t="e">
        <f t="shared" ca="1" si="164"/>
        <v>#NAME?</v>
      </c>
      <c r="T223" s="443" t="e">
        <f t="shared" ca="1" si="157"/>
        <v>#NAME?</v>
      </c>
      <c r="U223" s="369" t="e">
        <f t="shared" ca="1" si="158"/>
        <v>#NAME?</v>
      </c>
      <c r="V223" s="454" t="e">
        <f t="shared" ca="1" si="165"/>
        <v>#NAME?</v>
      </c>
      <c r="W223" s="457">
        <f t="shared" si="166"/>
        <v>1000</v>
      </c>
      <c r="X223" s="463" t="e">
        <f t="shared" ca="1" si="167"/>
        <v>#NAME?</v>
      </c>
      <c r="Y223" s="455" t="e">
        <f t="shared" ca="1" si="177"/>
        <v>#NAME?</v>
      </c>
      <c r="Z223" s="699">
        <f t="shared" si="159"/>
        <v>8.5</v>
      </c>
      <c r="AA223" s="355" t="str">
        <f t="shared" si="160"/>
        <v>ON</v>
      </c>
      <c r="AB223" s="357">
        <f t="shared" ref="AB223:AB286" si="190">AB222</f>
        <v>1.4999999999999999E-2</v>
      </c>
      <c r="AC223" s="356" t="e">
        <f ca="1">IF(  Y222=0,0,IF(OR(S223="KCAS",S223="INOP",S223="MEFE"),   ( (5*( (   (((1+0.2*(T223/661.4786)^2)^3.5 -1)  )/( (1-6.8755856*10^-6 *100*Y223)^5.2558797) +1)^(2/7) -1) )^0.5),IF(S223="MACH",T223, IF(S223="LRC",BicubicInterpolation( 'LRC Mach'!$C$4:$AL$21, Y223,U223),  IF(S223="MRC",BicubicInterpolation( 'MRC Mach'!$C$3:$T$18, Y223,U223),  IF(S223="M0.84",0.84,  IF(S223="CI52",BicubicInterpolation('CI=52 Mach'!$C$3:$T$18, Y223,U223),  IF(S223="HOLDING",BicubicInterpolation(  'Holding Mach'!$C$4:$M$13, Y223,U223),                         IF(S223="LRCINOP", BicubicInterpolation('LRC INOP Mach'!$C$4:$AA$21,Y223,U223), IF(S223="HOLDINGINOP",  BicubicInterpolation('Holding INOP Mach'!$N$4:$U$13,Y223,U223),         "XXX" )))))))   )))</f>
        <v>#NAME?</v>
      </c>
      <c r="AD223" s="313" t="e">
        <f t="shared" ref="AD223:AD286" ca="1" si="191">IF(Y223&lt;360.8924,288.15-1.9812*Y223/10,216.65)</f>
        <v>#NAME?</v>
      </c>
      <c r="AE223" s="314" t="e">
        <f t="shared" ca="1" si="178"/>
        <v>#NAME?</v>
      </c>
      <c r="AF223" s="313" t="e">
        <f t="shared" ref="AF223:AF286" ca="1" si="192">AD223+Z223</f>
        <v>#NAME?</v>
      </c>
      <c r="AG223" s="314" t="e">
        <f t="shared" ca="1" si="179"/>
        <v>#NAME?</v>
      </c>
      <c r="AH223" s="313" t="e">
        <f t="shared" ref="AH223:AH286" ca="1" si="193">AF223*(1+0.2*AC223^2)</f>
        <v>#NAME?</v>
      </c>
      <c r="AI223" s="314" t="e">
        <f t="shared" ca="1" si="180"/>
        <v>#NAME?</v>
      </c>
      <c r="AJ223" s="315" t="e">
        <f t="shared" ca="1" si="181"/>
        <v>#NAME?</v>
      </c>
      <c r="AK223" s="568" t="e">
        <f t="shared" ref="AK223:AK286" ca="1" si="194">661.4786*SQRT(AG223)</f>
        <v>#NAME?</v>
      </c>
      <c r="AL223" s="313" t="e">
        <f t="shared" ref="AL223:AL286" ca="1" si="195">AC223*AK223</f>
        <v>#NAME?</v>
      </c>
      <c r="AM223" s="313" t="e">
        <f t="shared" ca="1" si="182"/>
        <v>#NAME?</v>
      </c>
      <c r="AN223" s="313" t="e">
        <f t="shared" ca="1" si="183"/>
        <v>#NAME?</v>
      </c>
      <c r="AO223" s="316" t="e">
        <f t="shared" ref="AO223:AO286" ca="1" si="196">661.4786*(5*((1 + ( (1-0.00068755856*Y223)^5.2558797)*((1 + AC223^2/5)^3.5 - 1))^(2/7) - 1))^0.5</f>
        <v>#NAME?</v>
      </c>
      <c r="AP223" s="313" t="e">
        <f t="shared" ref="AP223:AP286" ca="1" si="197">IF(Y223&lt;360.8924,1013.25*(1-0.0000068755856*100*Y223)^5.2558797,0.01*0.2233609*101325*EXP(-0.004806346*(Y223-360.8924)))</f>
        <v>#NAME?</v>
      </c>
      <c r="AQ223" s="314" t="e">
        <f t="shared" ca="1" si="184"/>
        <v>#NAME?</v>
      </c>
      <c r="AR223" s="315" t="e">
        <f t="shared" ref="AR223:AR286" ca="1" si="198">AQ223*(1+0.2*AC223^2)^3.5</f>
        <v>#NAME?</v>
      </c>
      <c r="AS223" s="316" t="e">
        <f t="shared" ref="AS223:AS286" ca="1" si="199">U223/AQ223</f>
        <v>#NAME?</v>
      </c>
      <c r="AT223" s="315" t="e">
        <f t="shared" ref="AT223:AT286" ca="1" si="200">1.225*AQ223/AG223</f>
        <v>#NAME?</v>
      </c>
      <c r="AU223" s="317">
        <v>427.8</v>
      </c>
      <c r="AV223" s="315" t="e">
        <f t="shared" ref="AV223:AV286" ca="1" si="201">1000*9.80665*U223/(0.5*AT223*AU223*(AM223)^2)</f>
        <v>#NAME?</v>
      </c>
      <c r="AW223" s="318" t="e">
        <f ca="1">0.0001*BicubicInterpolation('Drag Coef Table'!$B$4:$L$28,AV223,AC223)</f>
        <v>#NAME?</v>
      </c>
      <c r="AX223" s="319" t="e">
        <f t="shared" ref="AX223:AX286" ca="1" si="202">(-45.29)*0.0001*LOG10(  (  ( AG223 + 0.38312 ) / AG223^2    )   /   (   (AE223 +0.38312)/(AE223)^2  ) )</f>
        <v>#NAME?</v>
      </c>
      <c r="AY223" s="318" t="e">
        <f t="shared" ref="AY223:AY286" ca="1" si="203">AW223+AX223</f>
        <v>#NAME?</v>
      </c>
      <c r="AZ223" s="320" t="e">
        <f t="shared" ref="AZ223:AZ286" ca="1" si="204">AV223/AY223</f>
        <v>#NAME?</v>
      </c>
      <c r="BA223" s="321" t="e">
        <f t="shared" ref="BA223:BA286" ca="1" si="205">AY223*0.5*AT223*(AM223^2)*AU223/1000</f>
        <v>#NAME?</v>
      </c>
      <c r="BB223" s="322" t="e">
        <f t="shared" ref="BB223:BB286" ca="1" si="206">BA223/AQ223/9.80665</f>
        <v>#NAME?</v>
      </c>
      <c r="BC223" s="323">
        <v>75.196700000000007</v>
      </c>
      <c r="BD223" s="324" t="e">
        <f t="shared" ref="BD223:BD286" ca="1" si="207">AG223^0.68</f>
        <v>#NAME?</v>
      </c>
      <c r="BE223" s="325" t="e">
        <f t="shared" ref="BE223:BE286" ca="1" si="208">AC223^0.53</f>
        <v>#NAME?</v>
      </c>
      <c r="BF223" s="324" t="e">
        <f ca="1">BicubicInterpolation('TSFC Eff Table'!$B$4:$E$69,2,BB223)</f>
        <v>#NAME?</v>
      </c>
      <c r="BG223" s="326" t="e">
        <f t="shared" ref="BG223:BG286" ca="1" si="209">BC223*BD223*BE223/BF223</f>
        <v>#NAME?</v>
      </c>
      <c r="BH223" s="694" t="e">
        <f ca="1">IF( S223="LRCINOP",   (1+(0.03/10)*Z223*(1+0.2*AC223^2) )*BicubicInterpolation( 'LRC INOP FF'!$C$4:$AA$21, Y223, U223 )-200, IF(S223 ="HOLDINGINOP", (1+(0.03/10)*Z223*(1+0.2*AC223^2) )*BicubicInterpolation( 'Holding INOP FF'!$C$4:$J$13,  Y223,  U223)/1.05-200,   BA223*BG223))</f>
        <v>#NAME?</v>
      </c>
      <c r="BI223" s="344" t="e">
        <f t="shared" ca="1" si="168"/>
        <v>#NAME?</v>
      </c>
      <c r="BJ223" s="322" t="e">
        <f t="shared" ref="BJ223:BJ286" ca="1" si="210">BI223/(AR223*AJ223)/1000</f>
        <v>#NAME?</v>
      </c>
      <c r="BK223" s="338" t="e">
        <f t="shared" ca="1" si="169"/>
        <v>#NAME?</v>
      </c>
      <c r="BL223" s="327" t="e">
        <f t="shared" ref="BL223:BL286" ca="1" si="211">100*BK223/AS223</f>
        <v>#NAME?</v>
      </c>
      <c r="BM223" s="328">
        <f t="shared" ref="BM223:BM286" si="212">200-IF(AA223="OFF",55,0)</f>
        <v>200</v>
      </c>
      <c r="BN223" s="329" t="e">
        <f t="shared" ref="BN223:BN286" ca="1" si="213">BI223+BM223</f>
        <v>#NAME?</v>
      </c>
      <c r="BO223" s="344" t="e">
        <f t="shared" ca="1" si="170"/>
        <v>#NAME?</v>
      </c>
      <c r="BP223" s="320" t="e">
        <f t="shared" ref="BP223:BP286" ca="1" si="214">1000*AL223/BO223</f>
        <v>#NAME?</v>
      </c>
      <c r="BQ223" s="344" t="e">
        <f t="shared" ca="1" si="171"/>
        <v>#NAME?</v>
      </c>
      <c r="BR223" s="347" t="e">
        <f t="shared" ca="1" si="172"/>
        <v>#NAME?</v>
      </c>
      <c r="BS223" s="326" t="e">
        <f t="shared" ref="BS223:BS286" ca="1" si="215">1000*AL223/BR223</f>
        <v>#NAME?</v>
      </c>
      <c r="BT223" s="437" t="e">
        <f t="shared" ca="1" si="185"/>
        <v>#NAME?</v>
      </c>
      <c r="BU223" s="437" t="e">
        <f t="shared" ca="1" si="186"/>
        <v>#NAME?</v>
      </c>
      <c r="BV223" s="441" t="e">
        <f t="shared" ca="1" si="187"/>
        <v>#NAME?</v>
      </c>
      <c r="BW223" s="442" t="e">
        <f t="shared" ca="1" si="188"/>
        <v>#NAME?</v>
      </c>
      <c r="BX223" s="470" t="e">
        <f t="shared" ca="1" si="161"/>
        <v>#NAME?</v>
      </c>
      <c r="BY223" s="484" t="e">
        <f t="shared" ca="1" si="173"/>
        <v>#NAME?</v>
      </c>
    </row>
    <row r="224" spans="9:77" ht="17.75" customHeight="1" x14ac:dyDescent="0.2">
      <c r="I224" s="366">
        <v>140</v>
      </c>
      <c r="J224" s="414">
        <f t="shared" si="174"/>
        <v>41705.809722222541</v>
      </c>
      <c r="K224" s="435" t="e">
        <f t="shared" ca="1" si="175"/>
        <v>#NAME?</v>
      </c>
      <c r="L224" s="435" t="e">
        <f t="shared" ca="1" si="162"/>
        <v>#NAME?</v>
      </c>
      <c r="M224" s="664" t="e">
        <f t="shared" ca="1" si="154"/>
        <v>#NAME?</v>
      </c>
      <c r="N224" s="664" t="e">
        <f t="shared" ca="1" si="155"/>
        <v>#NAME?</v>
      </c>
      <c r="O224" s="140" t="e">
        <f t="shared" ca="1" si="163"/>
        <v>#NAME?</v>
      </c>
      <c r="P224" s="352" t="e">
        <f t="shared" ca="1" si="176"/>
        <v>#NAME?</v>
      </c>
      <c r="Q224" s="665" t="e">
        <f t="shared" ca="1" si="156"/>
        <v>#NAME?</v>
      </c>
      <c r="R224" s="352" t="e">
        <f t="shared" ca="1" si="189"/>
        <v>#NAME?</v>
      </c>
      <c r="S224" s="662" t="e">
        <f t="shared" ca="1" si="164"/>
        <v>#NAME?</v>
      </c>
      <c r="T224" s="443" t="e">
        <f t="shared" ca="1" si="157"/>
        <v>#NAME?</v>
      </c>
      <c r="U224" s="369" t="e">
        <f t="shared" ca="1" si="158"/>
        <v>#NAME?</v>
      </c>
      <c r="V224" s="454" t="e">
        <f t="shared" ca="1" si="165"/>
        <v>#NAME?</v>
      </c>
      <c r="W224" s="457">
        <f t="shared" si="166"/>
        <v>1000</v>
      </c>
      <c r="X224" s="463" t="e">
        <f t="shared" ca="1" si="167"/>
        <v>#NAME?</v>
      </c>
      <c r="Y224" s="455" t="e">
        <f t="shared" ca="1" si="177"/>
        <v>#NAME?</v>
      </c>
      <c r="Z224" s="699">
        <f t="shared" si="159"/>
        <v>8.5</v>
      </c>
      <c r="AA224" s="355" t="str">
        <f t="shared" si="160"/>
        <v>ON</v>
      </c>
      <c r="AB224" s="357">
        <f t="shared" si="190"/>
        <v>1.4999999999999999E-2</v>
      </c>
      <c r="AC224" s="356" t="e">
        <f ca="1">IF(  Y223=0,0,IF(OR(S224="KCAS",S224="INOP",S224="MEFE"),   ( (5*( (   (((1+0.2*(T224/661.4786)^2)^3.5 -1)  )/( (1-6.8755856*10^-6 *100*Y224)^5.2558797) +1)^(2/7) -1) )^0.5),IF(S224="MACH",T224, IF(S224="LRC",BicubicInterpolation( 'LRC Mach'!$C$4:$AL$21, Y224,U224),  IF(S224="MRC",BicubicInterpolation( 'MRC Mach'!$C$3:$T$18, Y224,U224),  IF(S224="M0.84",0.84,  IF(S224="CI52",BicubicInterpolation('CI=52 Mach'!$C$3:$T$18, Y224,U224),  IF(S224="HOLDING",BicubicInterpolation(  'Holding Mach'!$C$4:$M$13, Y224,U224),                         IF(S224="LRCINOP", BicubicInterpolation('LRC INOP Mach'!$C$4:$AA$21,Y224,U224), IF(S224="HOLDINGINOP",  BicubicInterpolation('Holding INOP Mach'!$N$4:$U$13,Y224,U224),         "XXX" )))))))   )))</f>
        <v>#NAME?</v>
      </c>
      <c r="AD224" s="313" t="e">
        <f t="shared" ca="1" si="191"/>
        <v>#NAME?</v>
      </c>
      <c r="AE224" s="314" t="e">
        <f t="shared" ca="1" si="178"/>
        <v>#NAME?</v>
      </c>
      <c r="AF224" s="313" t="e">
        <f t="shared" ca="1" si="192"/>
        <v>#NAME?</v>
      </c>
      <c r="AG224" s="314" t="e">
        <f t="shared" ca="1" si="179"/>
        <v>#NAME?</v>
      </c>
      <c r="AH224" s="313" t="e">
        <f t="shared" ca="1" si="193"/>
        <v>#NAME?</v>
      </c>
      <c r="AI224" s="314" t="e">
        <f t="shared" ca="1" si="180"/>
        <v>#NAME?</v>
      </c>
      <c r="AJ224" s="315" t="e">
        <f t="shared" ca="1" si="181"/>
        <v>#NAME?</v>
      </c>
      <c r="AK224" s="568" t="e">
        <f t="shared" ca="1" si="194"/>
        <v>#NAME?</v>
      </c>
      <c r="AL224" s="313" t="e">
        <f t="shared" ca="1" si="195"/>
        <v>#NAME?</v>
      </c>
      <c r="AM224" s="313" t="e">
        <f t="shared" ca="1" si="182"/>
        <v>#NAME?</v>
      </c>
      <c r="AN224" s="313" t="e">
        <f t="shared" ca="1" si="183"/>
        <v>#NAME?</v>
      </c>
      <c r="AO224" s="316" t="e">
        <f t="shared" ca="1" si="196"/>
        <v>#NAME?</v>
      </c>
      <c r="AP224" s="313" t="e">
        <f t="shared" ca="1" si="197"/>
        <v>#NAME?</v>
      </c>
      <c r="AQ224" s="314" t="e">
        <f t="shared" ca="1" si="184"/>
        <v>#NAME?</v>
      </c>
      <c r="AR224" s="315" t="e">
        <f t="shared" ca="1" si="198"/>
        <v>#NAME?</v>
      </c>
      <c r="AS224" s="316" t="e">
        <f t="shared" ca="1" si="199"/>
        <v>#NAME?</v>
      </c>
      <c r="AT224" s="315" t="e">
        <f t="shared" ca="1" si="200"/>
        <v>#NAME?</v>
      </c>
      <c r="AU224" s="317">
        <v>427.8</v>
      </c>
      <c r="AV224" s="315" t="e">
        <f t="shared" ca="1" si="201"/>
        <v>#NAME?</v>
      </c>
      <c r="AW224" s="318" t="e">
        <f ca="1">0.0001*BicubicInterpolation('Drag Coef Table'!$B$4:$L$28,AV224,AC224)</f>
        <v>#NAME?</v>
      </c>
      <c r="AX224" s="319" t="e">
        <f t="shared" ca="1" si="202"/>
        <v>#NAME?</v>
      </c>
      <c r="AY224" s="318" t="e">
        <f t="shared" ca="1" si="203"/>
        <v>#NAME?</v>
      </c>
      <c r="AZ224" s="320" t="e">
        <f t="shared" ca="1" si="204"/>
        <v>#NAME?</v>
      </c>
      <c r="BA224" s="321" t="e">
        <f t="shared" ca="1" si="205"/>
        <v>#NAME?</v>
      </c>
      <c r="BB224" s="322" t="e">
        <f t="shared" ca="1" si="206"/>
        <v>#NAME?</v>
      </c>
      <c r="BC224" s="323">
        <v>75.196700000000007</v>
      </c>
      <c r="BD224" s="324" t="e">
        <f t="shared" ca="1" si="207"/>
        <v>#NAME?</v>
      </c>
      <c r="BE224" s="325" t="e">
        <f t="shared" ca="1" si="208"/>
        <v>#NAME?</v>
      </c>
      <c r="BF224" s="324" t="e">
        <f ca="1">BicubicInterpolation('TSFC Eff Table'!$B$4:$E$69,2,BB224)</f>
        <v>#NAME?</v>
      </c>
      <c r="BG224" s="326" t="e">
        <f t="shared" ca="1" si="209"/>
        <v>#NAME?</v>
      </c>
      <c r="BH224" s="694" t="e">
        <f ca="1">IF( S224="LRCINOP",   (1+(0.03/10)*Z224*(1+0.2*AC224^2) )*BicubicInterpolation( 'LRC INOP FF'!$C$4:$AA$21, Y224, U224 )-200, IF(S224 ="HOLDINGINOP", (1+(0.03/10)*Z224*(1+0.2*AC224^2) )*BicubicInterpolation( 'Holding INOP FF'!$C$4:$J$13,  Y224,  U224)/1.05-200,   BA224*BG224))</f>
        <v>#NAME?</v>
      </c>
      <c r="BI224" s="344" t="e">
        <f t="shared" ca="1" si="168"/>
        <v>#NAME?</v>
      </c>
      <c r="BJ224" s="322" t="e">
        <f t="shared" ca="1" si="210"/>
        <v>#NAME?</v>
      </c>
      <c r="BK224" s="338" t="e">
        <f t="shared" ca="1" si="169"/>
        <v>#NAME?</v>
      </c>
      <c r="BL224" s="327" t="e">
        <f t="shared" ca="1" si="211"/>
        <v>#NAME?</v>
      </c>
      <c r="BM224" s="328">
        <f t="shared" si="212"/>
        <v>200</v>
      </c>
      <c r="BN224" s="329" t="e">
        <f t="shared" ca="1" si="213"/>
        <v>#NAME?</v>
      </c>
      <c r="BO224" s="344" t="e">
        <f t="shared" ca="1" si="170"/>
        <v>#NAME?</v>
      </c>
      <c r="BP224" s="320" t="e">
        <f t="shared" ca="1" si="214"/>
        <v>#NAME?</v>
      </c>
      <c r="BQ224" s="344" t="e">
        <f t="shared" ca="1" si="171"/>
        <v>#NAME?</v>
      </c>
      <c r="BR224" s="347" t="e">
        <f t="shared" ca="1" si="172"/>
        <v>#NAME?</v>
      </c>
      <c r="BS224" s="326" t="e">
        <f t="shared" ca="1" si="215"/>
        <v>#NAME?</v>
      </c>
      <c r="BT224" s="437" t="e">
        <f t="shared" ca="1" si="185"/>
        <v>#NAME?</v>
      </c>
      <c r="BU224" s="437" t="e">
        <f t="shared" ca="1" si="186"/>
        <v>#NAME?</v>
      </c>
      <c r="BV224" s="441" t="e">
        <f t="shared" ca="1" si="187"/>
        <v>#NAME?</v>
      </c>
      <c r="BW224" s="442" t="e">
        <f t="shared" ca="1" si="188"/>
        <v>#NAME?</v>
      </c>
      <c r="BX224" s="470" t="e">
        <f t="shared" ca="1" si="161"/>
        <v>#NAME?</v>
      </c>
      <c r="BY224" s="484" t="e">
        <f t="shared" ca="1" si="173"/>
        <v>#NAME?</v>
      </c>
    </row>
    <row r="225" spans="9:78" ht="17.75" customHeight="1" x14ac:dyDescent="0.2">
      <c r="I225" s="366">
        <v>141</v>
      </c>
      <c r="J225" s="414">
        <f t="shared" si="174"/>
        <v>41705.810416666987</v>
      </c>
      <c r="K225" s="435" t="e">
        <f t="shared" ca="1" si="175"/>
        <v>#NAME?</v>
      </c>
      <c r="L225" s="435" t="e">
        <f t="shared" ca="1" si="162"/>
        <v>#NAME?</v>
      </c>
      <c r="M225" s="664" t="e">
        <f t="shared" ca="1" si="154"/>
        <v>#NAME?</v>
      </c>
      <c r="N225" s="664" t="e">
        <f t="shared" ca="1" si="155"/>
        <v>#NAME?</v>
      </c>
      <c r="O225" s="140" t="e">
        <f t="shared" ca="1" si="163"/>
        <v>#NAME?</v>
      </c>
      <c r="P225" s="352" t="e">
        <f t="shared" ca="1" si="176"/>
        <v>#NAME?</v>
      </c>
      <c r="Q225" s="665" t="e">
        <f t="shared" ca="1" si="156"/>
        <v>#NAME?</v>
      </c>
      <c r="R225" s="352" t="e">
        <f t="shared" ca="1" si="189"/>
        <v>#NAME?</v>
      </c>
      <c r="S225" s="662" t="e">
        <f t="shared" ca="1" si="164"/>
        <v>#NAME?</v>
      </c>
      <c r="T225" s="443" t="e">
        <f t="shared" ca="1" si="157"/>
        <v>#NAME?</v>
      </c>
      <c r="U225" s="369" t="e">
        <f t="shared" ca="1" si="158"/>
        <v>#NAME?</v>
      </c>
      <c r="V225" s="454" t="e">
        <f t="shared" ca="1" si="165"/>
        <v>#NAME?</v>
      </c>
      <c r="W225" s="457">
        <f t="shared" si="166"/>
        <v>1000</v>
      </c>
      <c r="X225" s="463" t="e">
        <f t="shared" ca="1" si="167"/>
        <v>#NAME?</v>
      </c>
      <c r="Y225" s="455" t="e">
        <f t="shared" ca="1" si="177"/>
        <v>#NAME?</v>
      </c>
      <c r="Z225" s="699">
        <f t="shared" si="159"/>
        <v>8.5</v>
      </c>
      <c r="AA225" s="355" t="str">
        <f t="shared" si="160"/>
        <v>ON</v>
      </c>
      <c r="AB225" s="357">
        <f t="shared" si="190"/>
        <v>1.4999999999999999E-2</v>
      </c>
      <c r="AC225" s="356" t="e">
        <f ca="1">IF(  Y224=0,0,IF(OR(S225="KCAS",S225="INOP",S225="MEFE"),   ( (5*( (   (((1+0.2*(T225/661.4786)^2)^3.5 -1)  )/( (1-6.8755856*10^-6 *100*Y225)^5.2558797) +1)^(2/7) -1) )^0.5),IF(S225="MACH",T225, IF(S225="LRC",BicubicInterpolation( 'LRC Mach'!$C$4:$AL$21, Y225,U225),  IF(S225="MRC",BicubicInterpolation( 'MRC Mach'!$C$3:$T$18, Y225,U225),  IF(S225="M0.84",0.84,  IF(S225="CI52",BicubicInterpolation('CI=52 Mach'!$C$3:$T$18, Y225,U225),  IF(S225="HOLDING",BicubicInterpolation(  'Holding Mach'!$C$4:$M$13, Y225,U225),                         IF(S225="LRCINOP", BicubicInterpolation('LRC INOP Mach'!$C$4:$AA$21,Y225,U225), IF(S225="HOLDINGINOP",  BicubicInterpolation('Holding INOP Mach'!$N$4:$U$13,Y225,U225),         "XXX" )))))))   )))</f>
        <v>#NAME?</v>
      </c>
      <c r="AD225" s="313" t="e">
        <f t="shared" ca="1" si="191"/>
        <v>#NAME?</v>
      </c>
      <c r="AE225" s="314" t="e">
        <f t="shared" ca="1" si="178"/>
        <v>#NAME?</v>
      </c>
      <c r="AF225" s="313" t="e">
        <f t="shared" ca="1" si="192"/>
        <v>#NAME?</v>
      </c>
      <c r="AG225" s="314" t="e">
        <f t="shared" ca="1" si="179"/>
        <v>#NAME?</v>
      </c>
      <c r="AH225" s="313" t="e">
        <f t="shared" ca="1" si="193"/>
        <v>#NAME?</v>
      </c>
      <c r="AI225" s="314" t="e">
        <f t="shared" ca="1" si="180"/>
        <v>#NAME?</v>
      </c>
      <c r="AJ225" s="315" t="e">
        <f t="shared" ca="1" si="181"/>
        <v>#NAME?</v>
      </c>
      <c r="AK225" s="568" t="e">
        <f t="shared" ca="1" si="194"/>
        <v>#NAME?</v>
      </c>
      <c r="AL225" s="313" t="e">
        <f t="shared" ca="1" si="195"/>
        <v>#NAME?</v>
      </c>
      <c r="AM225" s="313" t="e">
        <f t="shared" ca="1" si="182"/>
        <v>#NAME?</v>
      </c>
      <c r="AN225" s="313" t="e">
        <f t="shared" ca="1" si="183"/>
        <v>#NAME?</v>
      </c>
      <c r="AO225" s="316" t="e">
        <f t="shared" ca="1" si="196"/>
        <v>#NAME?</v>
      </c>
      <c r="AP225" s="313" t="e">
        <f t="shared" ca="1" si="197"/>
        <v>#NAME?</v>
      </c>
      <c r="AQ225" s="314" t="e">
        <f t="shared" ca="1" si="184"/>
        <v>#NAME?</v>
      </c>
      <c r="AR225" s="315" t="e">
        <f t="shared" ca="1" si="198"/>
        <v>#NAME?</v>
      </c>
      <c r="AS225" s="316" t="e">
        <f t="shared" ca="1" si="199"/>
        <v>#NAME?</v>
      </c>
      <c r="AT225" s="315" t="e">
        <f t="shared" ca="1" si="200"/>
        <v>#NAME?</v>
      </c>
      <c r="AU225" s="317">
        <v>427.8</v>
      </c>
      <c r="AV225" s="315" t="e">
        <f t="shared" ca="1" si="201"/>
        <v>#NAME?</v>
      </c>
      <c r="AW225" s="318" t="e">
        <f ca="1">0.0001*BicubicInterpolation('Drag Coef Table'!$B$4:$L$28,AV225,AC225)</f>
        <v>#NAME?</v>
      </c>
      <c r="AX225" s="319" t="e">
        <f t="shared" ca="1" si="202"/>
        <v>#NAME?</v>
      </c>
      <c r="AY225" s="318" t="e">
        <f t="shared" ca="1" si="203"/>
        <v>#NAME?</v>
      </c>
      <c r="AZ225" s="320" t="e">
        <f t="shared" ca="1" si="204"/>
        <v>#NAME?</v>
      </c>
      <c r="BA225" s="321" t="e">
        <f t="shared" ca="1" si="205"/>
        <v>#NAME?</v>
      </c>
      <c r="BB225" s="322" t="e">
        <f t="shared" ca="1" si="206"/>
        <v>#NAME?</v>
      </c>
      <c r="BC225" s="323">
        <v>75.196700000000007</v>
      </c>
      <c r="BD225" s="324" t="e">
        <f t="shared" ca="1" si="207"/>
        <v>#NAME?</v>
      </c>
      <c r="BE225" s="325" t="e">
        <f t="shared" ca="1" si="208"/>
        <v>#NAME?</v>
      </c>
      <c r="BF225" s="324" t="e">
        <f ca="1">BicubicInterpolation('TSFC Eff Table'!$B$4:$E$69,2,BB225)</f>
        <v>#NAME?</v>
      </c>
      <c r="BG225" s="326" t="e">
        <f t="shared" ca="1" si="209"/>
        <v>#NAME?</v>
      </c>
      <c r="BH225" s="694" t="e">
        <f ca="1">IF( S225="LRCINOP",   (1+(0.03/10)*Z225*(1+0.2*AC225^2) )*BicubicInterpolation( 'LRC INOP FF'!$C$4:$AA$21, Y225, U225 )-200, IF(S225 ="HOLDINGINOP", (1+(0.03/10)*Z225*(1+0.2*AC225^2) )*BicubicInterpolation( 'Holding INOP FF'!$C$4:$J$13,  Y225,  U225)/1.05-200,   BA225*BG225))</f>
        <v>#NAME?</v>
      </c>
      <c r="BI225" s="344" t="e">
        <f t="shared" ca="1" si="168"/>
        <v>#NAME?</v>
      </c>
      <c r="BJ225" s="322" t="e">
        <f t="shared" ca="1" si="210"/>
        <v>#NAME?</v>
      </c>
      <c r="BK225" s="338" t="e">
        <f t="shared" ca="1" si="169"/>
        <v>#NAME?</v>
      </c>
      <c r="BL225" s="327" t="e">
        <f t="shared" ca="1" si="211"/>
        <v>#NAME?</v>
      </c>
      <c r="BM225" s="328">
        <f t="shared" si="212"/>
        <v>200</v>
      </c>
      <c r="BN225" s="329" t="e">
        <f t="shared" ca="1" si="213"/>
        <v>#NAME?</v>
      </c>
      <c r="BO225" s="344" t="e">
        <f t="shared" ca="1" si="170"/>
        <v>#NAME?</v>
      </c>
      <c r="BP225" s="320" t="e">
        <f t="shared" ca="1" si="214"/>
        <v>#NAME?</v>
      </c>
      <c r="BQ225" s="344" t="e">
        <f t="shared" ca="1" si="171"/>
        <v>#NAME?</v>
      </c>
      <c r="BR225" s="347" t="e">
        <f t="shared" ca="1" si="172"/>
        <v>#NAME?</v>
      </c>
      <c r="BS225" s="326" t="e">
        <f t="shared" ca="1" si="215"/>
        <v>#NAME?</v>
      </c>
      <c r="BT225" s="437" t="e">
        <f t="shared" ca="1" si="185"/>
        <v>#NAME?</v>
      </c>
      <c r="BU225" s="437" t="e">
        <f t="shared" ca="1" si="186"/>
        <v>#NAME?</v>
      </c>
      <c r="BV225" s="441" t="e">
        <f t="shared" ca="1" si="187"/>
        <v>#NAME?</v>
      </c>
      <c r="BW225" s="442" t="e">
        <f t="shared" ca="1" si="188"/>
        <v>#NAME?</v>
      </c>
      <c r="BX225" s="470" t="e">
        <f t="shared" ca="1" si="161"/>
        <v>#NAME?</v>
      </c>
      <c r="BY225" s="484" t="e">
        <f t="shared" ca="1" si="173"/>
        <v>#NAME?</v>
      </c>
    </row>
    <row r="226" spans="9:78" ht="17.75" customHeight="1" x14ac:dyDescent="0.2">
      <c r="I226" s="366">
        <v>142</v>
      </c>
      <c r="J226" s="414">
        <f t="shared" si="174"/>
        <v>41705.811111111434</v>
      </c>
      <c r="K226" s="435" t="e">
        <f t="shared" ca="1" si="175"/>
        <v>#NAME?</v>
      </c>
      <c r="L226" s="435" t="e">
        <f t="shared" ca="1" si="162"/>
        <v>#NAME?</v>
      </c>
      <c r="M226" s="664" t="e">
        <f t="shared" ca="1" si="154"/>
        <v>#NAME?</v>
      </c>
      <c r="N226" s="664" t="e">
        <f t="shared" ca="1" si="155"/>
        <v>#NAME?</v>
      </c>
      <c r="O226" s="140" t="e">
        <f t="shared" ca="1" si="163"/>
        <v>#NAME?</v>
      </c>
      <c r="P226" s="352" t="e">
        <f t="shared" ca="1" si="176"/>
        <v>#NAME?</v>
      </c>
      <c r="Q226" s="665" t="e">
        <f t="shared" ca="1" si="156"/>
        <v>#NAME?</v>
      </c>
      <c r="R226" s="352" t="e">
        <f t="shared" ca="1" si="189"/>
        <v>#NAME?</v>
      </c>
      <c r="S226" s="662" t="e">
        <f t="shared" ca="1" si="164"/>
        <v>#NAME?</v>
      </c>
      <c r="T226" s="443" t="e">
        <f t="shared" ca="1" si="157"/>
        <v>#NAME?</v>
      </c>
      <c r="U226" s="369" t="e">
        <f t="shared" ca="1" si="158"/>
        <v>#NAME?</v>
      </c>
      <c r="V226" s="454" t="e">
        <f t="shared" ca="1" si="165"/>
        <v>#NAME?</v>
      </c>
      <c r="W226" s="457">
        <f t="shared" si="166"/>
        <v>1000</v>
      </c>
      <c r="X226" s="463" t="e">
        <f t="shared" ca="1" si="167"/>
        <v>#NAME?</v>
      </c>
      <c r="Y226" s="455" t="e">
        <f t="shared" ca="1" si="177"/>
        <v>#NAME?</v>
      </c>
      <c r="Z226" s="699">
        <f t="shared" si="159"/>
        <v>8.5</v>
      </c>
      <c r="AA226" s="355" t="str">
        <f t="shared" si="160"/>
        <v>ON</v>
      </c>
      <c r="AB226" s="357">
        <f t="shared" si="190"/>
        <v>1.4999999999999999E-2</v>
      </c>
      <c r="AC226" s="356" t="e">
        <f ca="1">IF(  Y225=0,0,IF(OR(S226="KCAS",S226="INOP",S226="MEFE"),   ( (5*( (   (((1+0.2*(T226/661.4786)^2)^3.5 -1)  )/( (1-6.8755856*10^-6 *100*Y226)^5.2558797) +1)^(2/7) -1) )^0.5),IF(S226="MACH",T226, IF(S226="LRC",BicubicInterpolation( 'LRC Mach'!$C$4:$AL$21, Y226,U226),  IF(S226="MRC",BicubicInterpolation( 'MRC Mach'!$C$3:$T$18, Y226,U226),  IF(S226="M0.84",0.84,  IF(S226="CI52",BicubicInterpolation('CI=52 Mach'!$C$3:$T$18, Y226,U226),  IF(S226="HOLDING",BicubicInterpolation(  'Holding Mach'!$C$4:$M$13, Y226,U226),                         IF(S226="LRCINOP", BicubicInterpolation('LRC INOP Mach'!$C$4:$AA$21,Y226,U226), IF(S226="HOLDINGINOP",  BicubicInterpolation('Holding INOP Mach'!$N$4:$U$13,Y226,U226),         "XXX" )))))))   )))</f>
        <v>#NAME?</v>
      </c>
      <c r="AD226" s="313" t="e">
        <f t="shared" ca="1" si="191"/>
        <v>#NAME?</v>
      </c>
      <c r="AE226" s="314" t="e">
        <f t="shared" ca="1" si="178"/>
        <v>#NAME?</v>
      </c>
      <c r="AF226" s="313" t="e">
        <f t="shared" ca="1" si="192"/>
        <v>#NAME?</v>
      </c>
      <c r="AG226" s="314" t="e">
        <f t="shared" ca="1" si="179"/>
        <v>#NAME?</v>
      </c>
      <c r="AH226" s="313" t="e">
        <f t="shared" ca="1" si="193"/>
        <v>#NAME?</v>
      </c>
      <c r="AI226" s="314" t="e">
        <f t="shared" ca="1" si="180"/>
        <v>#NAME?</v>
      </c>
      <c r="AJ226" s="315" t="e">
        <f t="shared" ca="1" si="181"/>
        <v>#NAME?</v>
      </c>
      <c r="AK226" s="568" t="e">
        <f t="shared" ca="1" si="194"/>
        <v>#NAME?</v>
      </c>
      <c r="AL226" s="313" t="e">
        <f t="shared" ca="1" si="195"/>
        <v>#NAME?</v>
      </c>
      <c r="AM226" s="313" t="e">
        <f t="shared" ca="1" si="182"/>
        <v>#NAME?</v>
      </c>
      <c r="AN226" s="313" t="e">
        <f t="shared" ca="1" si="183"/>
        <v>#NAME?</v>
      </c>
      <c r="AO226" s="316" t="e">
        <f t="shared" ca="1" si="196"/>
        <v>#NAME?</v>
      </c>
      <c r="AP226" s="313" t="e">
        <f t="shared" ca="1" si="197"/>
        <v>#NAME?</v>
      </c>
      <c r="AQ226" s="314" t="e">
        <f t="shared" ca="1" si="184"/>
        <v>#NAME?</v>
      </c>
      <c r="AR226" s="315" t="e">
        <f t="shared" ca="1" si="198"/>
        <v>#NAME?</v>
      </c>
      <c r="AS226" s="316" t="e">
        <f t="shared" ca="1" si="199"/>
        <v>#NAME?</v>
      </c>
      <c r="AT226" s="315" t="e">
        <f t="shared" ca="1" si="200"/>
        <v>#NAME?</v>
      </c>
      <c r="AU226" s="317">
        <v>427.8</v>
      </c>
      <c r="AV226" s="315" t="e">
        <f t="shared" ca="1" si="201"/>
        <v>#NAME?</v>
      </c>
      <c r="AW226" s="318" t="e">
        <f ca="1">0.0001*BicubicInterpolation('Drag Coef Table'!$B$4:$L$28,AV226,AC226)</f>
        <v>#NAME?</v>
      </c>
      <c r="AX226" s="319" t="e">
        <f t="shared" ca="1" si="202"/>
        <v>#NAME?</v>
      </c>
      <c r="AY226" s="318" t="e">
        <f t="shared" ca="1" si="203"/>
        <v>#NAME?</v>
      </c>
      <c r="AZ226" s="320" t="e">
        <f t="shared" ca="1" si="204"/>
        <v>#NAME?</v>
      </c>
      <c r="BA226" s="321" t="e">
        <f t="shared" ca="1" si="205"/>
        <v>#NAME?</v>
      </c>
      <c r="BB226" s="322" t="e">
        <f t="shared" ca="1" si="206"/>
        <v>#NAME?</v>
      </c>
      <c r="BC226" s="323">
        <v>75.196700000000007</v>
      </c>
      <c r="BD226" s="324" t="e">
        <f t="shared" ca="1" si="207"/>
        <v>#NAME?</v>
      </c>
      <c r="BE226" s="325" t="e">
        <f t="shared" ca="1" si="208"/>
        <v>#NAME?</v>
      </c>
      <c r="BF226" s="324" t="e">
        <f ca="1">BicubicInterpolation('TSFC Eff Table'!$B$4:$E$69,2,BB226)</f>
        <v>#NAME?</v>
      </c>
      <c r="BG226" s="326" t="e">
        <f t="shared" ca="1" si="209"/>
        <v>#NAME?</v>
      </c>
      <c r="BH226" s="694" t="e">
        <f ca="1">IF( S226="LRCINOP",   (1+(0.03/10)*Z226*(1+0.2*AC226^2) )*BicubicInterpolation( 'LRC INOP FF'!$C$4:$AA$21, Y226, U226 )-200, IF(S226 ="HOLDINGINOP", (1+(0.03/10)*Z226*(1+0.2*AC226^2) )*BicubicInterpolation( 'Holding INOP FF'!$C$4:$J$13,  Y226,  U226)/1.05-200,   BA226*BG226))</f>
        <v>#NAME?</v>
      </c>
      <c r="BI226" s="344" t="e">
        <f t="shared" ca="1" si="168"/>
        <v>#NAME?</v>
      </c>
      <c r="BJ226" s="322" t="e">
        <f t="shared" ca="1" si="210"/>
        <v>#NAME?</v>
      </c>
      <c r="BK226" s="338" t="e">
        <f t="shared" ca="1" si="169"/>
        <v>#NAME?</v>
      </c>
      <c r="BL226" s="327" t="e">
        <f t="shared" ca="1" si="211"/>
        <v>#NAME?</v>
      </c>
      <c r="BM226" s="328">
        <f t="shared" si="212"/>
        <v>200</v>
      </c>
      <c r="BN226" s="329" t="e">
        <f t="shared" ca="1" si="213"/>
        <v>#NAME?</v>
      </c>
      <c r="BO226" s="344" t="e">
        <f t="shared" ca="1" si="170"/>
        <v>#NAME?</v>
      </c>
      <c r="BP226" s="320" t="e">
        <f t="shared" ca="1" si="214"/>
        <v>#NAME?</v>
      </c>
      <c r="BQ226" s="344" t="e">
        <f t="shared" ca="1" si="171"/>
        <v>#NAME?</v>
      </c>
      <c r="BR226" s="347" t="e">
        <f t="shared" ca="1" si="172"/>
        <v>#NAME?</v>
      </c>
      <c r="BS226" s="326" t="e">
        <f t="shared" ca="1" si="215"/>
        <v>#NAME?</v>
      </c>
      <c r="BT226" s="437" t="e">
        <f t="shared" ca="1" si="185"/>
        <v>#NAME?</v>
      </c>
      <c r="BU226" s="437" t="e">
        <f t="shared" ca="1" si="186"/>
        <v>#NAME?</v>
      </c>
      <c r="BV226" s="441" t="e">
        <f t="shared" ca="1" si="187"/>
        <v>#NAME?</v>
      </c>
      <c r="BW226" s="442" t="e">
        <f t="shared" ca="1" si="188"/>
        <v>#NAME?</v>
      </c>
      <c r="BX226" s="470" t="e">
        <f t="shared" ca="1" si="161"/>
        <v>#NAME?</v>
      </c>
      <c r="BY226" s="484" t="e">
        <f t="shared" ca="1" si="173"/>
        <v>#NAME?</v>
      </c>
    </row>
    <row r="227" spans="9:78" ht="17.75" customHeight="1" x14ac:dyDescent="0.2">
      <c r="I227" s="366">
        <v>143</v>
      </c>
      <c r="J227" s="414">
        <f t="shared" si="174"/>
        <v>41705.811805555881</v>
      </c>
      <c r="K227" s="435" t="e">
        <f t="shared" ca="1" si="175"/>
        <v>#NAME?</v>
      </c>
      <c r="L227" s="435" t="e">
        <f t="shared" ca="1" si="162"/>
        <v>#NAME?</v>
      </c>
      <c r="M227" s="664" t="e">
        <f t="shared" ca="1" si="154"/>
        <v>#NAME?</v>
      </c>
      <c r="N227" s="664" t="e">
        <f t="shared" ca="1" si="155"/>
        <v>#NAME?</v>
      </c>
      <c r="O227" s="140" t="e">
        <f t="shared" ca="1" si="163"/>
        <v>#NAME?</v>
      </c>
      <c r="P227" s="352" t="e">
        <f t="shared" ca="1" si="176"/>
        <v>#NAME?</v>
      </c>
      <c r="Q227" s="665" t="e">
        <f t="shared" ca="1" si="156"/>
        <v>#NAME?</v>
      </c>
      <c r="R227" s="352" t="e">
        <f t="shared" ca="1" si="189"/>
        <v>#NAME?</v>
      </c>
      <c r="S227" s="662" t="e">
        <f t="shared" ca="1" si="164"/>
        <v>#NAME?</v>
      </c>
      <c r="T227" s="443" t="e">
        <f t="shared" ca="1" si="157"/>
        <v>#NAME?</v>
      </c>
      <c r="U227" s="369" t="e">
        <f t="shared" ca="1" si="158"/>
        <v>#NAME?</v>
      </c>
      <c r="V227" s="454" t="e">
        <f t="shared" ca="1" si="165"/>
        <v>#NAME?</v>
      </c>
      <c r="W227" s="457">
        <f t="shared" si="166"/>
        <v>1000</v>
      </c>
      <c r="X227" s="463" t="e">
        <f t="shared" ca="1" si="167"/>
        <v>#NAME?</v>
      </c>
      <c r="Y227" s="455" t="e">
        <f t="shared" ca="1" si="177"/>
        <v>#NAME?</v>
      </c>
      <c r="Z227" s="699">
        <f t="shared" si="159"/>
        <v>8.5</v>
      </c>
      <c r="AA227" s="355" t="str">
        <f t="shared" si="160"/>
        <v>ON</v>
      </c>
      <c r="AB227" s="357">
        <f t="shared" si="190"/>
        <v>1.4999999999999999E-2</v>
      </c>
      <c r="AC227" s="356" t="e">
        <f ca="1">IF(  Y226=0,0,IF(OR(S227="KCAS",S227="INOP",S227="MEFE"),   ( (5*( (   (((1+0.2*(T227/661.4786)^2)^3.5 -1)  )/( (1-6.8755856*10^-6 *100*Y227)^5.2558797) +1)^(2/7) -1) )^0.5),IF(S227="MACH",T227, IF(S227="LRC",BicubicInterpolation( 'LRC Mach'!$C$4:$AL$21, Y227,U227),  IF(S227="MRC",BicubicInterpolation( 'MRC Mach'!$C$3:$T$18, Y227,U227),  IF(S227="M0.84",0.84,  IF(S227="CI52",BicubicInterpolation('CI=52 Mach'!$C$3:$T$18, Y227,U227),  IF(S227="HOLDING",BicubicInterpolation(  'Holding Mach'!$C$4:$M$13, Y227,U227),                         IF(S227="LRCINOP", BicubicInterpolation('LRC INOP Mach'!$C$4:$AA$21,Y227,U227), IF(S227="HOLDINGINOP",  BicubicInterpolation('Holding INOP Mach'!$N$4:$U$13,Y227,U227),         "XXX" )))))))   )))</f>
        <v>#NAME?</v>
      </c>
      <c r="AD227" s="313" t="e">
        <f t="shared" ca="1" si="191"/>
        <v>#NAME?</v>
      </c>
      <c r="AE227" s="314" t="e">
        <f t="shared" ca="1" si="178"/>
        <v>#NAME?</v>
      </c>
      <c r="AF227" s="313" t="e">
        <f t="shared" ca="1" si="192"/>
        <v>#NAME?</v>
      </c>
      <c r="AG227" s="314" t="e">
        <f t="shared" ca="1" si="179"/>
        <v>#NAME?</v>
      </c>
      <c r="AH227" s="313" t="e">
        <f t="shared" ca="1" si="193"/>
        <v>#NAME?</v>
      </c>
      <c r="AI227" s="314" t="e">
        <f t="shared" ca="1" si="180"/>
        <v>#NAME?</v>
      </c>
      <c r="AJ227" s="315" t="e">
        <f t="shared" ca="1" si="181"/>
        <v>#NAME?</v>
      </c>
      <c r="AK227" s="568" t="e">
        <f t="shared" ca="1" si="194"/>
        <v>#NAME?</v>
      </c>
      <c r="AL227" s="313" t="e">
        <f t="shared" ca="1" si="195"/>
        <v>#NAME?</v>
      </c>
      <c r="AM227" s="313" t="e">
        <f t="shared" ca="1" si="182"/>
        <v>#NAME?</v>
      </c>
      <c r="AN227" s="313" t="e">
        <f t="shared" ca="1" si="183"/>
        <v>#NAME?</v>
      </c>
      <c r="AO227" s="316" t="e">
        <f t="shared" ca="1" si="196"/>
        <v>#NAME?</v>
      </c>
      <c r="AP227" s="313" t="e">
        <f t="shared" ca="1" si="197"/>
        <v>#NAME?</v>
      </c>
      <c r="AQ227" s="314" t="e">
        <f t="shared" ca="1" si="184"/>
        <v>#NAME?</v>
      </c>
      <c r="AR227" s="315" t="e">
        <f t="shared" ca="1" si="198"/>
        <v>#NAME?</v>
      </c>
      <c r="AS227" s="316" t="e">
        <f t="shared" ca="1" si="199"/>
        <v>#NAME?</v>
      </c>
      <c r="AT227" s="315" t="e">
        <f t="shared" ca="1" si="200"/>
        <v>#NAME?</v>
      </c>
      <c r="AU227" s="317">
        <v>427.8</v>
      </c>
      <c r="AV227" s="315" t="e">
        <f t="shared" ca="1" si="201"/>
        <v>#NAME?</v>
      </c>
      <c r="AW227" s="318" t="e">
        <f ca="1">0.0001*BicubicInterpolation('Drag Coef Table'!$B$4:$L$28,AV227,AC227)</f>
        <v>#NAME?</v>
      </c>
      <c r="AX227" s="319" t="e">
        <f t="shared" ca="1" si="202"/>
        <v>#NAME?</v>
      </c>
      <c r="AY227" s="318" t="e">
        <f t="shared" ca="1" si="203"/>
        <v>#NAME?</v>
      </c>
      <c r="AZ227" s="320" t="e">
        <f t="shared" ca="1" si="204"/>
        <v>#NAME?</v>
      </c>
      <c r="BA227" s="321" t="e">
        <f t="shared" ca="1" si="205"/>
        <v>#NAME?</v>
      </c>
      <c r="BB227" s="322" t="e">
        <f t="shared" ca="1" si="206"/>
        <v>#NAME?</v>
      </c>
      <c r="BC227" s="323">
        <v>75.196700000000007</v>
      </c>
      <c r="BD227" s="324" t="e">
        <f t="shared" ca="1" si="207"/>
        <v>#NAME?</v>
      </c>
      <c r="BE227" s="325" t="e">
        <f t="shared" ca="1" si="208"/>
        <v>#NAME?</v>
      </c>
      <c r="BF227" s="324" t="e">
        <f ca="1">BicubicInterpolation('TSFC Eff Table'!$B$4:$E$69,2,BB227)</f>
        <v>#NAME?</v>
      </c>
      <c r="BG227" s="326" t="e">
        <f t="shared" ca="1" si="209"/>
        <v>#NAME?</v>
      </c>
      <c r="BH227" s="694" t="e">
        <f ca="1">IF( S227="LRCINOP",   (1+(0.03/10)*Z227*(1+0.2*AC227^2) )*BicubicInterpolation( 'LRC INOP FF'!$C$4:$AA$21, Y227, U227 )-200, IF(S227 ="HOLDINGINOP", (1+(0.03/10)*Z227*(1+0.2*AC227^2) )*BicubicInterpolation( 'Holding INOP FF'!$C$4:$J$13,  Y227,  U227)/1.05-200,   BA227*BG227))</f>
        <v>#NAME?</v>
      </c>
      <c r="BI227" s="344" t="e">
        <f t="shared" ca="1" si="168"/>
        <v>#NAME?</v>
      </c>
      <c r="BJ227" s="322" t="e">
        <f t="shared" ca="1" si="210"/>
        <v>#NAME?</v>
      </c>
      <c r="BK227" s="338" t="e">
        <f t="shared" ca="1" si="169"/>
        <v>#NAME?</v>
      </c>
      <c r="BL227" s="327" t="e">
        <f t="shared" ca="1" si="211"/>
        <v>#NAME?</v>
      </c>
      <c r="BM227" s="328">
        <f t="shared" si="212"/>
        <v>200</v>
      </c>
      <c r="BN227" s="329" t="e">
        <f t="shared" ca="1" si="213"/>
        <v>#NAME?</v>
      </c>
      <c r="BO227" s="344" t="e">
        <f t="shared" ca="1" si="170"/>
        <v>#NAME?</v>
      </c>
      <c r="BP227" s="320" t="e">
        <f t="shared" ca="1" si="214"/>
        <v>#NAME?</v>
      </c>
      <c r="BQ227" s="344" t="e">
        <f t="shared" ca="1" si="171"/>
        <v>#NAME?</v>
      </c>
      <c r="BR227" s="347" t="e">
        <f t="shared" ca="1" si="172"/>
        <v>#NAME?</v>
      </c>
      <c r="BS227" s="326" t="e">
        <f t="shared" ca="1" si="215"/>
        <v>#NAME?</v>
      </c>
      <c r="BT227" s="437" t="e">
        <f t="shared" ca="1" si="185"/>
        <v>#NAME?</v>
      </c>
      <c r="BU227" s="437" t="e">
        <f t="shared" ca="1" si="186"/>
        <v>#NAME?</v>
      </c>
      <c r="BV227" s="441" t="e">
        <f t="shared" ca="1" si="187"/>
        <v>#NAME?</v>
      </c>
      <c r="BW227" s="442" t="e">
        <f t="shared" ca="1" si="188"/>
        <v>#NAME?</v>
      </c>
      <c r="BX227" s="470" t="e">
        <f t="shared" ca="1" si="161"/>
        <v>#NAME?</v>
      </c>
      <c r="BY227" s="484" t="e">
        <f t="shared" ca="1" si="173"/>
        <v>#NAME?</v>
      </c>
    </row>
    <row r="228" spans="9:78" ht="17.75" customHeight="1" x14ac:dyDescent="0.2">
      <c r="I228" s="366">
        <v>144</v>
      </c>
      <c r="J228" s="414">
        <f t="shared" si="174"/>
        <v>41705.812500000327</v>
      </c>
      <c r="K228" s="435" t="e">
        <f t="shared" ca="1" si="175"/>
        <v>#NAME?</v>
      </c>
      <c r="L228" s="435" t="e">
        <f t="shared" ca="1" si="162"/>
        <v>#NAME?</v>
      </c>
      <c r="M228" s="664" t="e">
        <f t="shared" ca="1" si="154"/>
        <v>#NAME?</v>
      </c>
      <c r="N228" s="664" t="e">
        <f t="shared" ca="1" si="155"/>
        <v>#NAME?</v>
      </c>
      <c r="O228" s="140" t="e">
        <f t="shared" ca="1" si="163"/>
        <v>#NAME?</v>
      </c>
      <c r="P228" s="352" t="e">
        <f t="shared" ca="1" si="176"/>
        <v>#NAME?</v>
      </c>
      <c r="Q228" s="665" t="e">
        <f t="shared" ca="1" si="156"/>
        <v>#NAME?</v>
      </c>
      <c r="R228" s="352" t="e">
        <f t="shared" ca="1" si="189"/>
        <v>#NAME?</v>
      </c>
      <c r="S228" s="662" t="e">
        <f t="shared" ca="1" si="164"/>
        <v>#NAME?</v>
      </c>
      <c r="T228" s="443" t="e">
        <f t="shared" ca="1" si="157"/>
        <v>#NAME?</v>
      </c>
      <c r="U228" s="369" t="e">
        <f t="shared" ca="1" si="158"/>
        <v>#NAME?</v>
      </c>
      <c r="V228" s="454" t="e">
        <f t="shared" ca="1" si="165"/>
        <v>#NAME?</v>
      </c>
      <c r="W228" s="457">
        <f t="shared" si="166"/>
        <v>1000</v>
      </c>
      <c r="X228" s="463" t="e">
        <f t="shared" ca="1" si="167"/>
        <v>#NAME?</v>
      </c>
      <c r="Y228" s="455" t="e">
        <f t="shared" ca="1" si="177"/>
        <v>#NAME?</v>
      </c>
      <c r="Z228" s="699">
        <f t="shared" si="159"/>
        <v>8.5</v>
      </c>
      <c r="AA228" s="355" t="str">
        <f t="shared" si="160"/>
        <v>ON</v>
      </c>
      <c r="AB228" s="357">
        <f t="shared" si="190"/>
        <v>1.4999999999999999E-2</v>
      </c>
      <c r="AC228" s="356" t="e">
        <f ca="1">IF(  Y227=0,0,IF(OR(S228="KCAS",S228="INOP",S228="MEFE"),   ( (5*( (   (((1+0.2*(T228/661.4786)^2)^3.5 -1)  )/( (1-6.8755856*10^-6 *100*Y228)^5.2558797) +1)^(2/7) -1) )^0.5),IF(S228="MACH",T228, IF(S228="LRC",BicubicInterpolation( 'LRC Mach'!$C$4:$AL$21, Y228,U228),  IF(S228="MRC",BicubicInterpolation( 'MRC Mach'!$C$3:$T$18, Y228,U228),  IF(S228="M0.84",0.84,  IF(S228="CI52",BicubicInterpolation('CI=52 Mach'!$C$3:$T$18, Y228,U228),  IF(S228="HOLDING",BicubicInterpolation(  'Holding Mach'!$C$4:$M$13, Y228,U228),                         IF(S228="LRCINOP", BicubicInterpolation('LRC INOP Mach'!$C$4:$AA$21,Y228,U228), IF(S228="HOLDINGINOP",  BicubicInterpolation('Holding INOP Mach'!$N$4:$U$13,Y228,U228),         "XXX" )))))))   )))</f>
        <v>#NAME?</v>
      </c>
      <c r="AD228" s="313" t="e">
        <f t="shared" ca="1" si="191"/>
        <v>#NAME?</v>
      </c>
      <c r="AE228" s="314" t="e">
        <f t="shared" ca="1" si="178"/>
        <v>#NAME?</v>
      </c>
      <c r="AF228" s="313" t="e">
        <f t="shared" ca="1" si="192"/>
        <v>#NAME?</v>
      </c>
      <c r="AG228" s="314" t="e">
        <f t="shared" ca="1" si="179"/>
        <v>#NAME?</v>
      </c>
      <c r="AH228" s="313" t="e">
        <f t="shared" ca="1" si="193"/>
        <v>#NAME?</v>
      </c>
      <c r="AI228" s="314" t="e">
        <f t="shared" ca="1" si="180"/>
        <v>#NAME?</v>
      </c>
      <c r="AJ228" s="315" t="e">
        <f t="shared" ca="1" si="181"/>
        <v>#NAME?</v>
      </c>
      <c r="AK228" s="568" t="e">
        <f t="shared" ca="1" si="194"/>
        <v>#NAME?</v>
      </c>
      <c r="AL228" s="313" t="e">
        <f t="shared" ca="1" si="195"/>
        <v>#NAME?</v>
      </c>
      <c r="AM228" s="313" t="e">
        <f t="shared" ca="1" si="182"/>
        <v>#NAME?</v>
      </c>
      <c r="AN228" s="313" t="e">
        <f t="shared" ca="1" si="183"/>
        <v>#NAME?</v>
      </c>
      <c r="AO228" s="316" t="e">
        <f t="shared" ca="1" si="196"/>
        <v>#NAME?</v>
      </c>
      <c r="AP228" s="313" t="e">
        <f t="shared" ca="1" si="197"/>
        <v>#NAME?</v>
      </c>
      <c r="AQ228" s="314" t="e">
        <f t="shared" ca="1" si="184"/>
        <v>#NAME?</v>
      </c>
      <c r="AR228" s="315" t="e">
        <f t="shared" ca="1" si="198"/>
        <v>#NAME?</v>
      </c>
      <c r="AS228" s="316" t="e">
        <f t="shared" ca="1" si="199"/>
        <v>#NAME?</v>
      </c>
      <c r="AT228" s="315" t="e">
        <f t="shared" ca="1" si="200"/>
        <v>#NAME?</v>
      </c>
      <c r="AU228" s="317">
        <v>427.8</v>
      </c>
      <c r="AV228" s="315" t="e">
        <f t="shared" ca="1" si="201"/>
        <v>#NAME?</v>
      </c>
      <c r="AW228" s="318" t="e">
        <f ca="1">0.0001*BicubicInterpolation('Drag Coef Table'!$B$4:$L$28,AV228,AC228)</f>
        <v>#NAME?</v>
      </c>
      <c r="AX228" s="319" t="e">
        <f t="shared" ca="1" si="202"/>
        <v>#NAME?</v>
      </c>
      <c r="AY228" s="318" t="e">
        <f t="shared" ca="1" si="203"/>
        <v>#NAME?</v>
      </c>
      <c r="AZ228" s="320" t="e">
        <f t="shared" ca="1" si="204"/>
        <v>#NAME?</v>
      </c>
      <c r="BA228" s="321" t="e">
        <f t="shared" ca="1" si="205"/>
        <v>#NAME?</v>
      </c>
      <c r="BB228" s="322" t="e">
        <f t="shared" ca="1" si="206"/>
        <v>#NAME?</v>
      </c>
      <c r="BC228" s="323">
        <v>75.196700000000007</v>
      </c>
      <c r="BD228" s="324" t="e">
        <f t="shared" ca="1" si="207"/>
        <v>#NAME?</v>
      </c>
      <c r="BE228" s="325" t="e">
        <f t="shared" ca="1" si="208"/>
        <v>#NAME?</v>
      </c>
      <c r="BF228" s="324" t="e">
        <f ca="1">BicubicInterpolation('TSFC Eff Table'!$B$4:$E$69,2,BB228)</f>
        <v>#NAME?</v>
      </c>
      <c r="BG228" s="326" t="e">
        <f t="shared" ca="1" si="209"/>
        <v>#NAME?</v>
      </c>
      <c r="BH228" s="694" t="e">
        <f ca="1">IF( S228="LRCINOP",   (1+(0.03/10)*Z228*(1+0.2*AC228^2) )*BicubicInterpolation( 'LRC INOP FF'!$C$4:$AA$21, Y228, U228 )-200, IF(S228 ="HOLDINGINOP", (1+(0.03/10)*Z228*(1+0.2*AC228^2) )*BicubicInterpolation( 'Holding INOP FF'!$C$4:$J$13,  Y228,  U228)/1.05-200,   BA228*BG228))</f>
        <v>#NAME?</v>
      </c>
      <c r="BI228" s="344" t="e">
        <f t="shared" ca="1" si="168"/>
        <v>#NAME?</v>
      </c>
      <c r="BJ228" s="322" t="e">
        <f t="shared" ca="1" si="210"/>
        <v>#NAME?</v>
      </c>
      <c r="BK228" s="338" t="e">
        <f t="shared" ca="1" si="169"/>
        <v>#NAME?</v>
      </c>
      <c r="BL228" s="327" t="e">
        <f t="shared" ca="1" si="211"/>
        <v>#NAME?</v>
      </c>
      <c r="BM228" s="328">
        <f t="shared" si="212"/>
        <v>200</v>
      </c>
      <c r="BN228" s="329" t="e">
        <f t="shared" ca="1" si="213"/>
        <v>#NAME?</v>
      </c>
      <c r="BO228" s="344" t="e">
        <f t="shared" ca="1" si="170"/>
        <v>#NAME?</v>
      </c>
      <c r="BP228" s="320" t="e">
        <f t="shared" ca="1" si="214"/>
        <v>#NAME?</v>
      </c>
      <c r="BQ228" s="344" t="e">
        <f t="shared" ca="1" si="171"/>
        <v>#NAME?</v>
      </c>
      <c r="BR228" s="347" t="e">
        <f t="shared" ca="1" si="172"/>
        <v>#NAME?</v>
      </c>
      <c r="BS228" s="326" t="e">
        <f t="shared" ca="1" si="215"/>
        <v>#NAME?</v>
      </c>
      <c r="BT228" s="437" t="e">
        <f t="shared" ca="1" si="185"/>
        <v>#NAME?</v>
      </c>
      <c r="BU228" s="437" t="e">
        <f t="shared" ca="1" si="186"/>
        <v>#NAME?</v>
      </c>
      <c r="BV228" s="441" t="e">
        <f t="shared" ca="1" si="187"/>
        <v>#NAME?</v>
      </c>
      <c r="BW228" s="442" t="e">
        <f t="shared" ca="1" si="188"/>
        <v>#NAME?</v>
      </c>
      <c r="BX228" s="470" t="e">
        <f t="shared" ca="1" si="161"/>
        <v>#NAME?</v>
      </c>
      <c r="BY228" s="484" t="e">
        <f t="shared" ca="1" si="173"/>
        <v>#NAME?</v>
      </c>
    </row>
    <row r="229" spans="9:78" ht="17.75" customHeight="1" x14ac:dyDescent="0.2">
      <c r="I229" s="366">
        <v>145</v>
      </c>
      <c r="J229" s="414">
        <f t="shared" si="174"/>
        <v>41705.813194444774</v>
      </c>
      <c r="K229" s="435" t="e">
        <f t="shared" ca="1" si="175"/>
        <v>#NAME?</v>
      </c>
      <c r="L229" s="435" t="e">
        <f t="shared" ca="1" si="162"/>
        <v>#NAME?</v>
      </c>
      <c r="M229" s="664" t="e">
        <f t="shared" ca="1" si="154"/>
        <v>#NAME?</v>
      </c>
      <c r="N229" s="664" t="e">
        <f t="shared" ca="1" si="155"/>
        <v>#NAME?</v>
      </c>
      <c r="O229" s="140" t="e">
        <f t="shared" ca="1" si="163"/>
        <v>#NAME?</v>
      </c>
      <c r="P229" s="352" t="e">
        <f t="shared" ca="1" si="176"/>
        <v>#NAME?</v>
      </c>
      <c r="Q229" s="665" t="e">
        <f t="shared" ca="1" si="156"/>
        <v>#NAME?</v>
      </c>
      <c r="R229" s="352" t="e">
        <f t="shared" ca="1" si="189"/>
        <v>#NAME?</v>
      </c>
      <c r="S229" s="662" t="e">
        <f t="shared" ca="1" si="164"/>
        <v>#NAME?</v>
      </c>
      <c r="T229" s="443" t="e">
        <f t="shared" ca="1" si="157"/>
        <v>#NAME?</v>
      </c>
      <c r="U229" s="369" t="e">
        <f t="shared" ca="1" si="158"/>
        <v>#NAME?</v>
      </c>
      <c r="V229" s="454" t="e">
        <f t="shared" ca="1" si="165"/>
        <v>#NAME?</v>
      </c>
      <c r="W229" s="457">
        <f t="shared" si="166"/>
        <v>1000</v>
      </c>
      <c r="X229" s="463" t="e">
        <f t="shared" ca="1" si="167"/>
        <v>#NAME?</v>
      </c>
      <c r="Y229" s="455" t="e">
        <f t="shared" ca="1" si="177"/>
        <v>#NAME?</v>
      </c>
      <c r="Z229" s="699">
        <f t="shared" si="159"/>
        <v>8.5</v>
      </c>
      <c r="AA229" s="355" t="str">
        <f t="shared" si="160"/>
        <v>ON</v>
      </c>
      <c r="AB229" s="357">
        <f t="shared" si="190"/>
        <v>1.4999999999999999E-2</v>
      </c>
      <c r="AC229" s="356" t="e">
        <f ca="1">IF(  Y228=0,0,IF(OR(S229="KCAS",S229="INOP",S229="MEFE"),   ( (5*( (   (((1+0.2*(T229/661.4786)^2)^3.5 -1)  )/( (1-6.8755856*10^-6 *100*Y229)^5.2558797) +1)^(2/7) -1) )^0.5),IF(S229="MACH",T229, IF(S229="LRC",BicubicInterpolation( 'LRC Mach'!$C$4:$AL$21, Y229,U229),  IF(S229="MRC",BicubicInterpolation( 'MRC Mach'!$C$3:$T$18, Y229,U229),  IF(S229="M0.84",0.84,  IF(S229="CI52",BicubicInterpolation('CI=52 Mach'!$C$3:$T$18, Y229,U229),  IF(S229="HOLDING",BicubicInterpolation(  'Holding Mach'!$C$4:$M$13, Y229,U229),                         IF(S229="LRCINOP", BicubicInterpolation('LRC INOP Mach'!$C$4:$AA$21,Y229,U229), IF(S229="HOLDINGINOP",  BicubicInterpolation('Holding INOP Mach'!$N$4:$U$13,Y229,U229),         "XXX" )))))))   )))</f>
        <v>#NAME?</v>
      </c>
      <c r="AD229" s="313" t="e">
        <f t="shared" ca="1" si="191"/>
        <v>#NAME?</v>
      </c>
      <c r="AE229" s="314" t="e">
        <f t="shared" ca="1" si="178"/>
        <v>#NAME?</v>
      </c>
      <c r="AF229" s="313" t="e">
        <f t="shared" ca="1" si="192"/>
        <v>#NAME?</v>
      </c>
      <c r="AG229" s="314" t="e">
        <f t="shared" ca="1" si="179"/>
        <v>#NAME?</v>
      </c>
      <c r="AH229" s="313" t="e">
        <f t="shared" ca="1" si="193"/>
        <v>#NAME?</v>
      </c>
      <c r="AI229" s="314" t="e">
        <f t="shared" ca="1" si="180"/>
        <v>#NAME?</v>
      </c>
      <c r="AJ229" s="315" t="e">
        <f t="shared" ca="1" si="181"/>
        <v>#NAME?</v>
      </c>
      <c r="AK229" s="568" t="e">
        <f t="shared" ca="1" si="194"/>
        <v>#NAME?</v>
      </c>
      <c r="AL229" s="313" t="e">
        <f t="shared" ca="1" si="195"/>
        <v>#NAME?</v>
      </c>
      <c r="AM229" s="313" t="e">
        <f t="shared" ca="1" si="182"/>
        <v>#NAME?</v>
      </c>
      <c r="AN229" s="313" t="e">
        <f t="shared" ca="1" si="183"/>
        <v>#NAME?</v>
      </c>
      <c r="AO229" s="316" t="e">
        <f t="shared" ca="1" si="196"/>
        <v>#NAME?</v>
      </c>
      <c r="AP229" s="313" t="e">
        <f t="shared" ca="1" si="197"/>
        <v>#NAME?</v>
      </c>
      <c r="AQ229" s="314" t="e">
        <f t="shared" ca="1" si="184"/>
        <v>#NAME?</v>
      </c>
      <c r="AR229" s="315" t="e">
        <f t="shared" ca="1" si="198"/>
        <v>#NAME?</v>
      </c>
      <c r="AS229" s="316" t="e">
        <f t="shared" ca="1" si="199"/>
        <v>#NAME?</v>
      </c>
      <c r="AT229" s="315" t="e">
        <f t="shared" ca="1" si="200"/>
        <v>#NAME?</v>
      </c>
      <c r="AU229" s="317">
        <v>427.8</v>
      </c>
      <c r="AV229" s="315" t="e">
        <f t="shared" ca="1" si="201"/>
        <v>#NAME?</v>
      </c>
      <c r="AW229" s="318" t="e">
        <f ca="1">0.0001*BicubicInterpolation('Drag Coef Table'!$B$4:$L$28,AV229,AC229)</f>
        <v>#NAME?</v>
      </c>
      <c r="AX229" s="319" t="e">
        <f t="shared" ca="1" si="202"/>
        <v>#NAME?</v>
      </c>
      <c r="AY229" s="318" t="e">
        <f t="shared" ca="1" si="203"/>
        <v>#NAME?</v>
      </c>
      <c r="AZ229" s="320" t="e">
        <f t="shared" ca="1" si="204"/>
        <v>#NAME?</v>
      </c>
      <c r="BA229" s="321" t="e">
        <f t="shared" ca="1" si="205"/>
        <v>#NAME?</v>
      </c>
      <c r="BB229" s="322" t="e">
        <f t="shared" ca="1" si="206"/>
        <v>#NAME?</v>
      </c>
      <c r="BC229" s="323">
        <v>75.196700000000007</v>
      </c>
      <c r="BD229" s="324" t="e">
        <f t="shared" ca="1" si="207"/>
        <v>#NAME?</v>
      </c>
      <c r="BE229" s="325" t="e">
        <f t="shared" ca="1" si="208"/>
        <v>#NAME?</v>
      </c>
      <c r="BF229" s="324" t="e">
        <f ca="1">BicubicInterpolation('TSFC Eff Table'!$B$4:$E$69,2,BB229)</f>
        <v>#NAME?</v>
      </c>
      <c r="BG229" s="326" t="e">
        <f t="shared" ca="1" si="209"/>
        <v>#NAME?</v>
      </c>
      <c r="BH229" s="694" t="e">
        <f ca="1">IF( S229="LRCINOP",   (1+(0.03/10)*Z229*(1+0.2*AC229^2) )*BicubicInterpolation( 'LRC INOP FF'!$C$4:$AA$21, Y229, U229 )-200, IF(S229 ="HOLDINGINOP", (1+(0.03/10)*Z229*(1+0.2*AC229^2) )*BicubicInterpolation( 'Holding INOP FF'!$C$4:$J$13,  Y229,  U229)/1.05-200,   BA229*BG229))</f>
        <v>#NAME?</v>
      </c>
      <c r="BI229" s="344" t="e">
        <f t="shared" ca="1" si="168"/>
        <v>#NAME?</v>
      </c>
      <c r="BJ229" s="322" t="e">
        <f t="shared" ca="1" si="210"/>
        <v>#NAME?</v>
      </c>
      <c r="BK229" s="338" t="e">
        <f t="shared" ca="1" si="169"/>
        <v>#NAME?</v>
      </c>
      <c r="BL229" s="327" t="e">
        <f t="shared" ca="1" si="211"/>
        <v>#NAME?</v>
      </c>
      <c r="BM229" s="328">
        <f t="shared" si="212"/>
        <v>200</v>
      </c>
      <c r="BN229" s="329" t="e">
        <f t="shared" ca="1" si="213"/>
        <v>#NAME?</v>
      </c>
      <c r="BO229" s="344" t="e">
        <f t="shared" ca="1" si="170"/>
        <v>#NAME?</v>
      </c>
      <c r="BP229" s="320" t="e">
        <f t="shared" ca="1" si="214"/>
        <v>#NAME?</v>
      </c>
      <c r="BQ229" s="344" t="e">
        <f t="shared" ca="1" si="171"/>
        <v>#NAME?</v>
      </c>
      <c r="BR229" s="347" t="e">
        <f t="shared" ca="1" si="172"/>
        <v>#NAME?</v>
      </c>
      <c r="BS229" s="326" t="e">
        <f t="shared" ca="1" si="215"/>
        <v>#NAME?</v>
      </c>
      <c r="BT229" s="437" t="e">
        <f t="shared" ca="1" si="185"/>
        <v>#NAME?</v>
      </c>
      <c r="BU229" s="437" t="e">
        <f t="shared" ca="1" si="186"/>
        <v>#NAME?</v>
      </c>
      <c r="BV229" s="441" t="e">
        <f t="shared" ca="1" si="187"/>
        <v>#NAME?</v>
      </c>
      <c r="BW229" s="442" t="e">
        <f t="shared" ca="1" si="188"/>
        <v>#NAME?</v>
      </c>
      <c r="BX229" s="470" t="e">
        <f t="shared" ca="1" si="161"/>
        <v>#NAME?</v>
      </c>
      <c r="BY229" s="484" t="e">
        <f t="shared" ca="1" si="173"/>
        <v>#NAME?</v>
      </c>
    </row>
    <row r="230" spans="9:78" ht="17.75" customHeight="1" x14ac:dyDescent="0.2">
      <c r="I230" s="366">
        <v>146</v>
      </c>
      <c r="J230" s="414">
        <f t="shared" si="174"/>
        <v>41705.813888889221</v>
      </c>
      <c r="K230" s="435" t="e">
        <f t="shared" ca="1" si="175"/>
        <v>#NAME?</v>
      </c>
      <c r="L230" s="435" t="e">
        <f t="shared" ca="1" si="162"/>
        <v>#NAME?</v>
      </c>
      <c r="M230" s="664" t="e">
        <f t="shared" ca="1" si="154"/>
        <v>#NAME?</v>
      </c>
      <c r="N230" s="664" t="e">
        <f t="shared" ca="1" si="155"/>
        <v>#NAME?</v>
      </c>
      <c r="O230" s="140" t="e">
        <f t="shared" ca="1" si="163"/>
        <v>#NAME?</v>
      </c>
      <c r="P230" s="352" t="e">
        <f t="shared" ca="1" si="176"/>
        <v>#NAME?</v>
      </c>
      <c r="Q230" s="665" t="e">
        <f t="shared" ca="1" si="156"/>
        <v>#NAME?</v>
      </c>
      <c r="R230" s="352" t="e">
        <f t="shared" ca="1" si="189"/>
        <v>#NAME?</v>
      </c>
      <c r="S230" s="662" t="e">
        <f t="shared" ca="1" si="164"/>
        <v>#NAME?</v>
      </c>
      <c r="T230" s="443" t="e">
        <f t="shared" ca="1" si="157"/>
        <v>#NAME?</v>
      </c>
      <c r="U230" s="369" t="e">
        <f t="shared" ca="1" si="158"/>
        <v>#NAME?</v>
      </c>
      <c r="V230" s="454" t="e">
        <f t="shared" ca="1" si="165"/>
        <v>#NAME?</v>
      </c>
      <c r="W230" s="457">
        <f t="shared" si="166"/>
        <v>1000</v>
      </c>
      <c r="X230" s="463" t="e">
        <f t="shared" ca="1" si="167"/>
        <v>#NAME?</v>
      </c>
      <c r="Y230" s="455" t="e">
        <f t="shared" ca="1" si="177"/>
        <v>#NAME?</v>
      </c>
      <c r="Z230" s="699">
        <f t="shared" si="159"/>
        <v>8.5</v>
      </c>
      <c r="AA230" s="355" t="str">
        <f t="shared" si="160"/>
        <v>ON</v>
      </c>
      <c r="AB230" s="357">
        <f t="shared" si="190"/>
        <v>1.4999999999999999E-2</v>
      </c>
      <c r="AC230" s="356" t="e">
        <f ca="1">IF(  Y229=0,0,IF(OR(S230="KCAS",S230="INOP",S230="MEFE"),   ( (5*( (   (((1+0.2*(T230/661.4786)^2)^3.5 -1)  )/( (1-6.8755856*10^-6 *100*Y230)^5.2558797) +1)^(2/7) -1) )^0.5),IF(S230="MACH",T230, IF(S230="LRC",BicubicInterpolation( 'LRC Mach'!$C$4:$AL$21, Y230,U230),  IF(S230="MRC",BicubicInterpolation( 'MRC Mach'!$C$3:$T$18, Y230,U230),  IF(S230="M0.84",0.84,  IF(S230="CI52",BicubicInterpolation('CI=52 Mach'!$C$3:$T$18, Y230,U230),  IF(S230="HOLDING",BicubicInterpolation(  'Holding Mach'!$C$4:$M$13, Y230,U230),                         IF(S230="LRCINOP", BicubicInterpolation('LRC INOP Mach'!$C$4:$AA$21,Y230,U230), IF(S230="HOLDINGINOP",  BicubicInterpolation('Holding INOP Mach'!$N$4:$U$13,Y230,U230),         "XXX" )))))))   )))</f>
        <v>#NAME?</v>
      </c>
      <c r="AD230" s="313" t="e">
        <f t="shared" ca="1" si="191"/>
        <v>#NAME?</v>
      </c>
      <c r="AE230" s="314" t="e">
        <f t="shared" ca="1" si="178"/>
        <v>#NAME?</v>
      </c>
      <c r="AF230" s="313" t="e">
        <f t="shared" ca="1" si="192"/>
        <v>#NAME?</v>
      </c>
      <c r="AG230" s="314" t="e">
        <f t="shared" ca="1" si="179"/>
        <v>#NAME?</v>
      </c>
      <c r="AH230" s="313" t="e">
        <f t="shared" ca="1" si="193"/>
        <v>#NAME?</v>
      </c>
      <c r="AI230" s="314" t="e">
        <f t="shared" ca="1" si="180"/>
        <v>#NAME?</v>
      </c>
      <c r="AJ230" s="315" t="e">
        <f t="shared" ca="1" si="181"/>
        <v>#NAME?</v>
      </c>
      <c r="AK230" s="568" t="e">
        <f t="shared" ca="1" si="194"/>
        <v>#NAME?</v>
      </c>
      <c r="AL230" s="313" t="e">
        <f t="shared" ca="1" si="195"/>
        <v>#NAME?</v>
      </c>
      <c r="AM230" s="313" t="e">
        <f t="shared" ca="1" si="182"/>
        <v>#NAME?</v>
      </c>
      <c r="AN230" s="313" t="e">
        <f t="shared" ca="1" si="183"/>
        <v>#NAME?</v>
      </c>
      <c r="AO230" s="316" t="e">
        <f t="shared" ca="1" si="196"/>
        <v>#NAME?</v>
      </c>
      <c r="AP230" s="313" t="e">
        <f t="shared" ca="1" si="197"/>
        <v>#NAME?</v>
      </c>
      <c r="AQ230" s="314" t="e">
        <f t="shared" ca="1" si="184"/>
        <v>#NAME?</v>
      </c>
      <c r="AR230" s="315" t="e">
        <f t="shared" ca="1" si="198"/>
        <v>#NAME?</v>
      </c>
      <c r="AS230" s="316" t="e">
        <f t="shared" ca="1" si="199"/>
        <v>#NAME?</v>
      </c>
      <c r="AT230" s="315" t="e">
        <f t="shared" ca="1" si="200"/>
        <v>#NAME?</v>
      </c>
      <c r="AU230" s="317">
        <v>427.8</v>
      </c>
      <c r="AV230" s="315" t="e">
        <f t="shared" ca="1" si="201"/>
        <v>#NAME?</v>
      </c>
      <c r="AW230" s="318" t="e">
        <f ca="1">0.0001*BicubicInterpolation('Drag Coef Table'!$B$4:$L$28,AV230,AC230)</f>
        <v>#NAME?</v>
      </c>
      <c r="AX230" s="319" t="e">
        <f t="shared" ca="1" si="202"/>
        <v>#NAME?</v>
      </c>
      <c r="AY230" s="318" t="e">
        <f t="shared" ca="1" si="203"/>
        <v>#NAME?</v>
      </c>
      <c r="AZ230" s="320" t="e">
        <f t="shared" ca="1" si="204"/>
        <v>#NAME?</v>
      </c>
      <c r="BA230" s="321" t="e">
        <f t="shared" ca="1" si="205"/>
        <v>#NAME?</v>
      </c>
      <c r="BB230" s="322" t="e">
        <f t="shared" ca="1" si="206"/>
        <v>#NAME?</v>
      </c>
      <c r="BC230" s="323">
        <v>75.196700000000007</v>
      </c>
      <c r="BD230" s="324" t="e">
        <f t="shared" ca="1" si="207"/>
        <v>#NAME?</v>
      </c>
      <c r="BE230" s="325" t="e">
        <f t="shared" ca="1" si="208"/>
        <v>#NAME?</v>
      </c>
      <c r="BF230" s="324" t="e">
        <f ca="1">BicubicInterpolation('TSFC Eff Table'!$B$4:$E$69,2,BB230)</f>
        <v>#NAME?</v>
      </c>
      <c r="BG230" s="326" t="e">
        <f t="shared" ca="1" si="209"/>
        <v>#NAME?</v>
      </c>
      <c r="BH230" s="694" t="e">
        <f ca="1">IF( S230="LRCINOP",   (1+(0.03/10)*Z230*(1+0.2*AC230^2) )*BicubicInterpolation( 'LRC INOP FF'!$C$4:$AA$21, Y230, U230 )-200, IF(S230 ="HOLDINGINOP", (1+(0.03/10)*Z230*(1+0.2*AC230^2) )*BicubicInterpolation( 'Holding INOP FF'!$C$4:$J$13,  Y230,  U230)/1.05-200,   BA230*BG230))</f>
        <v>#NAME?</v>
      </c>
      <c r="BI230" s="344" t="e">
        <f t="shared" ca="1" si="168"/>
        <v>#NAME?</v>
      </c>
      <c r="BJ230" s="322" t="e">
        <f t="shared" ca="1" si="210"/>
        <v>#NAME?</v>
      </c>
      <c r="BK230" s="338" t="e">
        <f t="shared" ca="1" si="169"/>
        <v>#NAME?</v>
      </c>
      <c r="BL230" s="327" t="e">
        <f t="shared" ca="1" si="211"/>
        <v>#NAME?</v>
      </c>
      <c r="BM230" s="328">
        <f t="shared" si="212"/>
        <v>200</v>
      </c>
      <c r="BN230" s="329" t="e">
        <f t="shared" ca="1" si="213"/>
        <v>#NAME?</v>
      </c>
      <c r="BO230" s="344" t="e">
        <f t="shared" ca="1" si="170"/>
        <v>#NAME?</v>
      </c>
      <c r="BP230" s="320" t="e">
        <f t="shared" ca="1" si="214"/>
        <v>#NAME?</v>
      </c>
      <c r="BQ230" s="344" t="e">
        <f t="shared" ca="1" si="171"/>
        <v>#NAME?</v>
      </c>
      <c r="BR230" s="347" t="e">
        <f t="shared" ca="1" si="172"/>
        <v>#NAME?</v>
      </c>
      <c r="BS230" s="326" t="e">
        <f t="shared" ca="1" si="215"/>
        <v>#NAME?</v>
      </c>
      <c r="BT230" s="437" t="e">
        <f t="shared" ca="1" si="185"/>
        <v>#NAME?</v>
      </c>
      <c r="BU230" s="437" t="e">
        <f t="shared" ca="1" si="186"/>
        <v>#NAME?</v>
      </c>
      <c r="BV230" s="441" t="e">
        <f t="shared" ca="1" si="187"/>
        <v>#NAME?</v>
      </c>
      <c r="BW230" s="442" t="e">
        <f t="shared" ca="1" si="188"/>
        <v>#NAME?</v>
      </c>
      <c r="BX230" s="470" t="e">
        <f t="shared" ca="1" si="161"/>
        <v>#NAME?</v>
      </c>
      <c r="BY230" s="484" t="e">
        <f t="shared" ca="1" si="173"/>
        <v>#NAME?</v>
      </c>
    </row>
    <row r="231" spans="9:78" ht="17.75" customHeight="1" x14ac:dyDescent="0.2">
      <c r="I231" s="366">
        <v>147</v>
      </c>
      <c r="J231" s="414">
        <f t="shared" si="174"/>
        <v>41705.814583333668</v>
      </c>
      <c r="K231" s="435" t="e">
        <f t="shared" ca="1" si="175"/>
        <v>#NAME?</v>
      </c>
      <c r="L231" s="435" t="e">
        <f t="shared" ca="1" si="162"/>
        <v>#NAME?</v>
      </c>
      <c r="M231" s="664" t="e">
        <f t="shared" ca="1" si="154"/>
        <v>#NAME?</v>
      </c>
      <c r="N231" s="664" t="e">
        <f t="shared" ca="1" si="155"/>
        <v>#NAME?</v>
      </c>
      <c r="O231" s="140" t="e">
        <f t="shared" ca="1" si="163"/>
        <v>#NAME?</v>
      </c>
      <c r="P231" s="352" t="e">
        <f t="shared" ca="1" si="176"/>
        <v>#NAME?</v>
      </c>
      <c r="Q231" s="665" t="e">
        <f t="shared" ca="1" si="156"/>
        <v>#NAME?</v>
      </c>
      <c r="R231" s="352" t="e">
        <f t="shared" ca="1" si="189"/>
        <v>#NAME?</v>
      </c>
      <c r="S231" s="662" t="e">
        <f t="shared" ca="1" si="164"/>
        <v>#NAME?</v>
      </c>
      <c r="T231" s="443" t="e">
        <f t="shared" ca="1" si="157"/>
        <v>#NAME?</v>
      </c>
      <c r="U231" s="369" t="e">
        <f t="shared" ca="1" si="158"/>
        <v>#NAME?</v>
      </c>
      <c r="V231" s="454" t="e">
        <f t="shared" ca="1" si="165"/>
        <v>#NAME?</v>
      </c>
      <c r="W231" s="457">
        <f t="shared" si="166"/>
        <v>1000</v>
      </c>
      <c r="X231" s="463" t="e">
        <f t="shared" ca="1" si="167"/>
        <v>#NAME?</v>
      </c>
      <c r="Y231" s="455" t="e">
        <f t="shared" ca="1" si="177"/>
        <v>#NAME?</v>
      </c>
      <c r="Z231" s="699">
        <f t="shared" si="159"/>
        <v>8.5</v>
      </c>
      <c r="AA231" s="355" t="str">
        <f t="shared" si="160"/>
        <v>ON</v>
      </c>
      <c r="AB231" s="357">
        <f t="shared" si="190"/>
        <v>1.4999999999999999E-2</v>
      </c>
      <c r="AC231" s="356" t="e">
        <f ca="1">IF(  Y230=0,0,IF(OR(S231="KCAS",S231="INOP",S231="MEFE"),   ( (5*( (   (((1+0.2*(T231/661.4786)^2)^3.5 -1)  )/( (1-6.8755856*10^-6 *100*Y231)^5.2558797) +1)^(2/7) -1) )^0.5),IF(S231="MACH",T231, IF(S231="LRC",BicubicInterpolation( 'LRC Mach'!$C$4:$AL$21, Y231,U231),  IF(S231="MRC",BicubicInterpolation( 'MRC Mach'!$C$3:$T$18, Y231,U231),  IF(S231="M0.84",0.84,  IF(S231="CI52",BicubicInterpolation('CI=52 Mach'!$C$3:$T$18, Y231,U231),  IF(S231="HOLDING",BicubicInterpolation(  'Holding Mach'!$C$4:$M$13, Y231,U231),                         IF(S231="LRCINOP", BicubicInterpolation('LRC INOP Mach'!$C$4:$AA$21,Y231,U231), IF(S231="HOLDINGINOP",  BicubicInterpolation('Holding INOP Mach'!$N$4:$U$13,Y231,U231),         "XXX" )))))))   )))</f>
        <v>#NAME?</v>
      </c>
      <c r="AD231" s="313" t="e">
        <f t="shared" ca="1" si="191"/>
        <v>#NAME?</v>
      </c>
      <c r="AE231" s="314" t="e">
        <f t="shared" ca="1" si="178"/>
        <v>#NAME?</v>
      </c>
      <c r="AF231" s="313" t="e">
        <f t="shared" ca="1" si="192"/>
        <v>#NAME?</v>
      </c>
      <c r="AG231" s="314" t="e">
        <f t="shared" ca="1" si="179"/>
        <v>#NAME?</v>
      </c>
      <c r="AH231" s="313" t="e">
        <f t="shared" ca="1" si="193"/>
        <v>#NAME?</v>
      </c>
      <c r="AI231" s="314" t="e">
        <f t="shared" ca="1" si="180"/>
        <v>#NAME?</v>
      </c>
      <c r="AJ231" s="315" t="e">
        <f t="shared" ca="1" si="181"/>
        <v>#NAME?</v>
      </c>
      <c r="AK231" s="568" t="e">
        <f t="shared" ca="1" si="194"/>
        <v>#NAME?</v>
      </c>
      <c r="AL231" s="313" t="e">
        <f t="shared" ca="1" si="195"/>
        <v>#NAME?</v>
      </c>
      <c r="AM231" s="313" t="e">
        <f t="shared" ca="1" si="182"/>
        <v>#NAME?</v>
      </c>
      <c r="AN231" s="313" t="e">
        <f t="shared" ca="1" si="183"/>
        <v>#NAME?</v>
      </c>
      <c r="AO231" s="316" t="e">
        <f t="shared" ca="1" si="196"/>
        <v>#NAME?</v>
      </c>
      <c r="AP231" s="313" t="e">
        <f t="shared" ca="1" si="197"/>
        <v>#NAME?</v>
      </c>
      <c r="AQ231" s="314" t="e">
        <f t="shared" ca="1" si="184"/>
        <v>#NAME?</v>
      </c>
      <c r="AR231" s="315" t="e">
        <f t="shared" ca="1" si="198"/>
        <v>#NAME?</v>
      </c>
      <c r="AS231" s="316" t="e">
        <f t="shared" ca="1" si="199"/>
        <v>#NAME?</v>
      </c>
      <c r="AT231" s="315" t="e">
        <f t="shared" ca="1" si="200"/>
        <v>#NAME?</v>
      </c>
      <c r="AU231" s="317">
        <v>427.8</v>
      </c>
      <c r="AV231" s="315" t="e">
        <f t="shared" ca="1" si="201"/>
        <v>#NAME?</v>
      </c>
      <c r="AW231" s="318" t="e">
        <f ca="1">0.0001*BicubicInterpolation('Drag Coef Table'!$B$4:$L$28,AV231,AC231)</f>
        <v>#NAME?</v>
      </c>
      <c r="AX231" s="319" t="e">
        <f t="shared" ca="1" si="202"/>
        <v>#NAME?</v>
      </c>
      <c r="AY231" s="318" t="e">
        <f t="shared" ca="1" si="203"/>
        <v>#NAME?</v>
      </c>
      <c r="AZ231" s="320" t="e">
        <f t="shared" ca="1" si="204"/>
        <v>#NAME?</v>
      </c>
      <c r="BA231" s="321" t="e">
        <f t="shared" ca="1" si="205"/>
        <v>#NAME?</v>
      </c>
      <c r="BB231" s="322" t="e">
        <f t="shared" ca="1" si="206"/>
        <v>#NAME?</v>
      </c>
      <c r="BC231" s="323">
        <v>75.196700000000007</v>
      </c>
      <c r="BD231" s="324" t="e">
        <f t="shared" ca="1" si="207"/>
        <v>#NAME?</v>
      </c>
      <c r="BE231" s="325" t="e">
        <f t="shared" ca="1" si="208"/>
        <v>#NAME?</v>
      </c>
      <c r="BF231" s="324" t="e">
        <f ca="1">BicubicInterpolation('TSFC Eff Table'!$B$4:$E$69,2,BB231)</f>
        <v>#NAME?</v>
      </c>
      <c r="BG231" s="326" t="e">
        <f t="shared" ca="1" si="209"/>
        <v>#NAME?</v>
      </c>
      <c r="BH231" s="694" t="e">
        <f ca="1">IF( S231="LRCINOP",   (1+(0.03/10)*Z231*(1+0.2*AC231^2) )*BicubicInterpolation( 'LRC INOP FF'!$C$4:$AA$21, Y231, U231 )-200, IF(S231 ="HOLDINGINOP", (1+(0.03/10)*Z231*(1+0.2*AC231^2) )*BicubicInterpolation( 'Holding INOP FF'!$C$4:$J$13,  Y231,  U231)/1.05-200,   BA231*BG231))</f>
        <v>#NAME?</v>
      </c>
      <c r="BI231" s="344" t="e">
        <f t="shared" ca="1" si="168"/>
        <v>#NAME?</v>
      </c>
      <c r="BJ231" s="322" t="e">
        <f t="shared" ca="1" si="210"/>
        <v>#NAME?</v>
      </c>
      <c r="BK231" s="338" t="e">
        <f t="shared" ca="1" si="169"/>
        <v>#NAME?</v>
      </c>
      <c r="BL231" s="327" t="e">
        <f t="shared" ca="1" si="211"/>
        <v>#NAME?</v>
      </c>
      <c r="BM231" s="328">
        <f t="shared" si="212"/>
        <v>200</v>
      </c>
      <c r="BN231" s="329" t="e">
        <f t="shared" ca="1" si="213"/>
        <v>#NAME?</v>
      </c>
      <c r="BO231" s="344" t="e">
        <f t="shared" ca="1" si="170"/>
        <v>#NAME?</v>
      </c>
      <c r="BP231" s="320" t="e">
        <f t="shared" ca="1" si="214"/>
        <v>#NAME?</v>
      </c>
      <c r="BQ231" s="344" t="e">
        <f t="shared" ca="1" si="171"/>
        <v>#NAME?</v>
      </c>
      <c r="BR231" s="347" t="e">
        <f t="shared" ca="1" si="172"/>
        <v>#NAME?</v>
      </c>
      <c r="BS231" s="326" t="e">
        <f t="shared" ca="1" si="215"/>
        <v>#NAME?</v>
      </c>
      <c r="BT231" s="437" t="e">
        <f t="shared" ca="1" si="185"/>
        <v>#NAME?</v>
      </c>
      <c r="BU231" s="437" t="e">
        <f t="shared" ca="1" si="186"/>
        <v>#NAME?</v>
      </c>
      <c r="BV231" s="441" t="e">
        <f t="shared" ca="1" si="187"/>
        <v>#NAME?</v>
      </c>
      <c r="BW231" s="442" t="e">
        <f t="shared" ca="1" si="188"/>
        <v>#NAME?</v>
      </c>
      <c r="BX231" s="470" t="e">
        <f t="shared" ca="1" si="161"/>
        <v>#NAME?</v>
      </c>
      <c r="BY231" s="484" t="e">
        <f t="shared" ca="1" si="173"/>
        <v>#NAME?</v>
      </c>
    </row>
    <row r="232" spans="9:78" ht="17.75" customHeight="1" x14ac:dyDescent="0.2">
      <c r="I232" s="366">
        <v>148</v>
      </c>
      <c r="J232" s="414">
        <f t="shared" si="174"/>
        <v>41705.815277778114</v>
      </c>
      <c r="K232" s="435" t="e">
        <f t="shared" ca="1" si="175"/>
        <v>#NAME?</v>
      </c>
      <c r="L232" s="435" t="e">
        <f t="shared" ca="1" si="162"/>
        <v>#NAME?</v>
      </c>
      <c r="M232" s="664" t="e">
        <f t="shared" ca="1" si="154"/>
        <v>#NAME?</v>
      </c>
      <c r="N232" s="664" t="e">
        <f t="shared" ca="1" si="155"/>
        <v>#NAME?</v>
      </c>
      <c r="O232" s="140" t="e">
        <f t="shared" ca="1" si="163"/>
        <v>#NAME?</v>
      </c>
      <c r="P232" s="352" t="e">
        <f t="shared" ca="1" si="176"/>
        <v>#NAME?</v>
      </c>
      <c r="Q232" s="665" t="e">
        <f t="shared" ca="1" si="156"/>
        <v>#NAME?</v>
      </c>
      <c r="R232" s="352" t="e">
        <f t="shared" ca="1" si="189"/>
        <v>#NAME?</v>
      </c>
      <c r="S232" s="662" t="e">
        <f t="shared" ca="1" si="164"/>
        <v>#NAME?</v>
      </c>
      <c r="T232" s="443" t="e">
        <f t="shared" ca="1" si="157"/>
        <v>#NAME?</v>
      </c>
      <c r="U232" s="369" t="e">
        <f t="shared" ca="1" si="158"/>
        <v>#NAME?</v>
      </c>
      <c r="V232" s="454" t="e">
        <f t="shared" ca="1" si="165"/>
        <v>#NAME?</v>
      </c>
      <c r="W232" s="457">
        <f t="shared" si="166"/>
        <v>1000</v>
      </c>
      <c r="X232" s="463" t="e">
        <f t="shared" ca="1" si="167"/>
        <v>#NAME?</v>
      </c>
      <c r="Y232" s="455" t="e">
        <f t="shared" ca="1" si="177"/>
        <v>#NAME?</v>
      </c>
      <c r="Z232" s="699">
        <f t="shared" si="159"/>
        <v>8.5</v>
      </c>
      <c r="AA232" s="355" t="str">
        <f t="shared" si="160"/>
        <v>ON</v>
      </c>
      <c r="AB232" s="357">
        <f t="shared" si="190"/>
        <v>1.4999999999999999E-2</v>
      </c>
      <c r="AC232" s="356" t="e">
        <f ca="1">IF(  Y231=0,0,IF(OR(S232="KCAS",S232="INOP",S232="MEFE"),   ( (5*( (   (((1+0.2*(T232/661.4786)^2)^3.5 -1)  )/( (1-6.8755856*10^-6 *100*Y232)^5.2558797) +1)^(2/7) -1) )^0.5),IF(S232="MACH",T232, IF(S232="LRC",BicubicInterpolation( 'LRC Mach'!$C$4:$AL$21, Y232,U232),  IF(S232="MRC",BicubicInterpolation( 'MRC Mach'!$C$3:$T$18, Y232,U232),  IF(S232="M0.84",0.84,  IF(S232="CI52",BicubicInterpolation('CI=52 Mach'!$C$3:$T$18, Y232,U232),  IF(S232="HOLDING",BicubicInterpolation(  'Holding Mach'!$C$4:$M$13, Y232,U232),                         IF(S232="LRCINOP", BicubicInterpolation('LRC INOP Mach'!$C$4:$AA$21,Y232,U232), IF(S232="HOLDINGINOP",  BicubicInterpolation('Holding INOP Mach'!$N$4:$U$13,Y232,U232),         "XXX" )))))))   )))</f>
        <v>#NAME?</v>
      </c>
      <c r="AD232" s="313" t="e">
        <f t="shared" ca="1" si="191"/>
        <v>#NAME?</v>
      </c>
      <c r="AE232" s="314" t="e">
        <f t="shared" ca="1" si="178"/>
        <v>#NAME?</v>
      </c>
      <c r="AF232" s="313" t="e">
        <f t="shared" ca="1" si="192"/>
        <v>#NAME?</v>
      </c>
      <c r="AG232" s="314" t="e">
        <f t="shared" ca="1" si="179"/>
        <v>#NAME?</v>
      </c>
      <c r="AH232" s="313" t="e">
        <f t="shared" ca="1" si="193"/>
        <v>#NAME?</v>
      </c>
      <c r="AI232" s="314" t="e">
        <f t="shared" ca="1" si="180"/>
        <v>#NAME?</v>
      </c>
      <c r="AJ232" s="315" t="e">
        <f t="shared" ca="1" si="181"/>
        <v>#NAME?</v>
      </c>
      <c r="AK232" s="568" t="e">
        <f t="shared" ca="1" si="194"/>
        <v>#NAME?</v>
      </c>
      <c r="AL232" s="313" t="e">
        <f t="shared" ca="1" si="195"/>
        <v>#NAME?</v>
      </c>
      <c r="AM232" s="313" t="e">
        <f t="shared" ca="1" si="182"/>
        <v>#NAME?</v>
      </c>
      <c r="AN232" s="313" t="e">
        <f t="shared" ca="1" si="183"/>
        <v>#NAME?</v>
      </c>
      <c r="AO232" s="316" t="e">
        <f t="shared" ca="1" si="196"/>
        <v>#NAME?</v>
      </c>
      <c r="AP232" s="313" t="e">
        <f t="shared" ca="1" si="197"/>
        <v>#NAME?</v>
      </c>
      <c r="AQ232" s="314" t="e">
        <f t="shared" ca="1" si="184"/>
        <v>#NAME?</v>
      </c>
      <c r="AR232" s="315" t="e">
        <f t="shared" ca="1" si="198"/>
        <v>#NAME?</v>
      </c>
      <c r="AS232" s="316" t="e">
        <f t="shared" ca="1" si="199"/>
        <v>#NAME?</v>
      </c>
      <c r="AT232" s="315" t="e">
        <f t="shared" ca="1" si="200"/>
        <v>#NAME?</v>
      </c>
      <c r="AU232" s="317">
        <v>427.8</v>
      </c>
      <c r="AV232" s="315" t="e">
        <f t="shared" ca="1" si="201"/>
        <v>#NAME?</v>
      </c>
      <c r="AW232" s="318" t="e">
        <f ca="1">0.0001*BicubicInterpolation('Drag Coef Table'!$B$4:$L$28,AV232,AC232)</f>
        <v>#NAME?</v>
      </c>
      <c r="AX232" s="319" t="e">
        <f t="shared" ca="1" si="202"/>
        <v>#NAME?</v>
      </c>
      <c r="AY232" s="318" t="e">
        <f t="shared" ca="1" si="203"/>
        <v>#NAME?</v>
      </c>
      <c r="AZ232" s="320" t="e">
        <f t="shared" ca="1" si="204"/>
        <v>#NAME?</v>
      </c>
      <c r="BA232" s="321" t="e">
        <f t="shared" ca="1" si="205"/>
        <v>#NAME?</v>
      </c>
      <c r="BB232" s="322" t="e">
        <f t="shared" ca="1" si="206"/>
        <v>#NAME?</v>
      </c>
      <c r="BC232" s="323">
        <v>75.196700000000007</v>
      </c>
      <c r="BD232" s="324" t="e">
        <f t="shared" ca="1" si="207"/>
        <v>#NAME?</v>
      </c>
      <c r="BE232" s="325" t="e">
        <f t="shared" ca="1" si="208"/>
        <v>#NAME?</v>
      </c>
      <c r="BF232" s="324" t="e">
        <f ca="1">BicubicInterpolation('TSFC Eff Table'!$B$4:$E$69,2,BB232)</f>
        <v>#NAME?</v>
      </c>
      <c r="BG232" s="326" t="e">
        <f t="shared" ca="1" si="209"/>
        <v>#NAME?</v>
      </c>
      <c r="BH232" s="694" t="e">
        <f ca="1">IF( S232="LRCINOP",   (1+(0.03/10)*Z232*(1+0.2*AC232^2) )*BicubicInterpolation( 'LRC INOP FF'!$C$4:$AA$21, Y232, U232 )-200, IF(S232 ="HOLDINGINOP", (1+(0.03/10)*Z232*(1+0.2*AC232^2) )*BicubicInterpolation( 'Holding INOP FF'!$C$4:$J$13,  Y232,  U232)/1.05-200,   BA232*BG232))</f>
        <v>#NAME?</v>
      </c>
      <c r="BI232" s="344" t="e">
        <f t="shared" ca="1" si="168"/>
        <v>#NAME?</v>
      </c>
      <c r="BJ232" s="322" t="e">
        <f t="shared" ca="1" si="210"/>
        <v>#NAME?</v>
      </c>
      <c r="BK232" s="338" t="e">
        <f t="shared" ca="1" si="169"/>
        <v>#NAME?</v>
      </c>
      <c r="BL232" s="327" t="e">
        <f t="shared" ca="1" si="211"/>
        <v>#NAME?</v>
      </c>
      <c r="BM232" s="328">
        <f t="shared" si="212"/>
        <v>200</v>
      </c>
      <c r="BN232" s="329" t="e">
        <f t="shared" ca="1" si="213"/>
        <v>#NAME?</v>
      </c>
      <c r="BO232" s="344" t="e">
        <f t="shared" ca="1" si="170"/>
        <v>#NAME?</v>
      </c>
      <c r="BP232" s="320" t="e">
        <f t="shared" ca="1" si="214"/>
        <v>#NAME?</v>
      </c>
      <c r="BQ232" s="344" t="e">
        <f t="shared" ca="1" si="171"/>
        <v>#NAME?</v>
      </c>
      <c r="BR232" s="347" t="e">
        <f t="shared" ca="1" si="172"/>
        <v>#NAME?</v>
      </c>
      <c r="BS232" s="326" t="e">
        <f t="shared" ca="1" si="215"/>
        <v>#NAME?</v>
      </c>
      <c r="BT232" s="437" t="e">
        <f t="shared" ca="1" si="185"/>
        <v>#NAME?</v>
      </c>
      <c r="BU232" s="437" t="e">
        <f t="shared" ca="1" si="186"/>
        <v>#NAME?</v>
      </c>
      <c r="BV232" s="441" t="e">
        <f t="shared" ca="1" si="187"/>
        <v>#NAME?</v>
      </c>
      <c r="BW232" s="442" t="e">
        <f t="shared" ca="1" si="188"/>
        <v>#NAME?</v>
      </c>
      <c r="BX232" s="470" t="e">
        <f t="shared" ca="1" si="161"/>
        <v>#NAME?</v>
      </c>
      <c r="BY232" s="484" t="e">
        <f t="shared" ca="1" si="173"/>
        <v>#NAME?</v>
      </c>
    </row>
    <row r="233" spans="9:78" ht="17.75" customHeight="1" x14ac:dyDescent="0.2">
      <c r="I233" s="366">
        <v>149</v>
      </c>
      <c r="J233" s="414">
        <f t="shared" si="174"/>
        <v>41705.815972222561</v>
      </c>
      <c r="K233" s="435" t="e">
        <f t="shared" ca="1" si="175"/>
        <v>#NAME?</v>
      </c>
      <c r="L233" s="435" t="e">
        <f t="shared" ca="1" si="162"/>
        <v>#NAME?</v>
      </c>
      <c r="M233" s="664" t="e">
        <f t="shared" ref="M233:M296" ca="1" si="216">IF(  AND(OR(S232="LRCINOP",S232="HOLDINGINOP"),NOT(S232=S231), $C$35="L"), 0,   IF(  AND(OR(S232="LRCINOP",S232="HOLDINGINOP"),NOT(S232=S231), $C$35="R"),  MAX(M232-K232/1000+N232,0),MAX(M232-K232/1000,0)   ))</f>
        <v>#NAME?</v>
      </c>
      <c r="N233" s="664" t="e">
        <f t="shared" ref="N233:N296" ca="1" si="217">IF(  AND(OR(S232="LRCINOP",S232="HOLDINGINOP"),NOT(S232=S231), $C$35="R"), 0,   IF(  AND(OR(S232="LRCINOP",S232="HOLDINGINOP"),NOT(S232=S231), $C$35="L"),  MAX(N232-L232/1000+M232,0),MAX(N232-L232/1000,0)   ))</f>
        <v>#NAME?</v>
      </c>
      <c r="O233" s="140" t="e">
        <f t="shared" ca="1" si="163"/>
        <v>#NAME?</v>
      </c>
      <c r="P233" s="352" t="e">
        <f t="shared" ca="1" si="176"/>
        <v>#NAME?</v>
      </c>
      <c r="Q233" s="665" t="e">
        <f t="shared" ca="1" si="156"/>
        <v>#NAME?</v>
      </c>
      <c r="R233" s="352" t="e">
        <f t="shared" ca="1" si="189"/>
        <v>#NAME?</v>
      </c>
      <c r="S233" s="662" t="e">
        <f t="shared" ca="1" si="164"/>
        <v>#NAME?</v>
      </c>
      <c r="T233" s="443" t="e">
        <f t="shared" ca="1" si="157"/>
        <v>#NAME?</v>
      </c>
      <c r="U233" s="369" t="e">
        <f t="shared" ca="1" si="158"/>
        <v>#NAME?</v>
      </c>
      <c r="V233" s="454" t="e">
        <f t="shared" ca="1" si="165"/>
        <v>#NAME?</v>
      </c>
      <c r="W233" s="457">
        <f t="shared" si="166"/>
        <v>1000</v>
      </c>
      <c r="X233" s="463" t="e">
        <f t="shared" ca="1" si="167"/>
        <v>#NAME?</v>
      </c>
      <c r="Y233" s="455" t="e">
        <f t="shared" ca="1" si="177"/>
        <v>#NAME?</v>
      </c>
      <c r="Z233" s="699">
        <f t="shared" si="159"/>
        <v>8.5</v>
      </c>
      <c r="AA233" s="355" t="str">
        <f t="shared" si="160"/>
        <v>ON</v>
      </c>
      <c r="AB233" s="357">
        <f t="shared" si="190"/>
        <v>1.4999999999999999E-2</v>
      </c>
      <c r="AC233" s="356" t="e">
        <f ca="1">IF(  Y232=0,0,IF(OR(S233="KCAS",S233="INOP",S233="MEFE"),   ( (5*( (   (((1+0.2*(T233/661.4786)^2)^3.5 -1)  )/( (1-6.8755856*10^-6 *100*Y233)^5.2558797) +1)^(2/7) -1) )^0.5),IF(S233="MACH",T233, IF(S233="LRC",BicubicInterpolation( 'LRC Mach'!$C$4:$AL$21, Y233,U233),  IF(S233="MRC",BicubicInterpolation( 'MRC Mach'!$C$3:$T$18, Y233,U233),  IF(S233="M0.84",0.84,  IF(S233="CI52",BicubicInterpolation('CI=52 Mach'!$C$3:$T$18, Y233,U233),  IF(S233="HOLDING",BicubicInterpolation(  'Holding Mach'!$C$4:$M$13, Y233,U233),                         IF(S233="LRCINOP", BicubicInterpolation('LRC INOP Mach'!$C$4:$AA$21,Y233,U233), IF(S233="HOLDINGINOP",  BicubicInterpolation('Holding INOP Mach'!$N$4:$U$13,Y233,U233),         "XXX" )))))))   )))</f>
        <v>#NAME?</v>
      </c>
      <c r="AD233" s="313" t="e">
        <f t="shared" ca="1" si="191"/>
        <v>#NAME?</v>
      </c>
      <c r="AE233" s="314" t="e">
        <f t="shared" ca="1" si="178"/>
        <v>#NAME?</v>
      </c>
      <c r="AF233" s="313" t="e">
        <f t="shared" ca="1" si="192"/>
        <v>#NAME?</v>
      </c>
      <c r="AG233" s="314" t="e">
        <f t="shared" ca="1" si="179"/>
        <v>#NAME?</v>
      </c>
      <c r="AH233" s="313" t="e">
        <f t="shared" ca="1" si="193"/>
        <v>#NAME?</v>
      </c>
      <c r="AI233" s="314" t="e">
        <f t="shared" ca="1" si="180"/>
        <v>#NAME?</v>
      </c>
      <c r="AJ233" s="315" t="e">
        <f t="shared" ca="1" si="181"/>
        <v>#NAME?</v>
      </c>
      <c r="AK233" s="568" t="e">
        <f t="shared" ca="1" si="194"/>
        <v>#NAME?</v>
      </c>
      <c r="AL233" s="313" t="e">
        <f t="shared" ca="1" si="195"/>
        <v>#NAME?</v>
      </c>
      <c r="AM233" s="313" t="e">
        <f t="shared" ca="1" si="182"/>
        <v>#NAME?</v>
      </c>
      <c r="AN233" s="313" t="e">
        <f t="shared" ca="1" si="183"/>
        <v>#NAME?</v>
      </c>
      <c r="AO233" s="316" t="e">
        <f t="shared" ca="1" si="196"/>
        <v>#NAME?</v>
      </c>
      <c r="AP233" s="313" t="e">
        <f t="shared" ca="1" si="197"/>
        <v>#NAME?</v>
      </c>
      <c r="AQ233" s="314" t="e">
        <f t="shared" ca="1" si="184"/>
        <v>#NAME?</v>
      </c>
      <c r="AR233" s="315" t="e">
        <f t="shared" ca="1" si="198"/>
        <v>#NAME?</v>
      </c>
      <c r="AS233" s="316" t="e">
        <f t="shared" ca="1" si="199"/>
        <v>#NAME?</v>
      </c>
      <c r="AT233" s="315" t="e">
        <f t="shared" ca="1" si="200"/>
        <v>#NAME?</v>
      </c>
      <c r="AU233" s="317">
        <v>427.8</v>
      </c>
      <c r="AV233" s="315" t="e">
        <f t="shared" ca="1" si="201"/>
        <v>#NAME?</v>
      </c>
      <c r="AW233" s="318" t="e">
        <f ca="1">0.0001*BicubicInterpolation('Drag Coef Table'!$B$4:$L$28,AV233,AC233)</f>
        <v>#NAME?</v>
      </c>
      <c r="AX233" s="319" t="e">
        <f t="shared" ca="1" si="202"/>
        <v>#NAME?</v>
      </c>
      <c r="AY233" s="318" t="e">
        <f t="shared" ca="1" si="203"/>
        <v>#NAME?</v>
      </c>
      <c r="AZ233" s="320" t="e">
        <f t="shared" ca="1" si="204"/>
        <v>#NAME?</v>
      </c>
      <c r="BA233" s="321" t="e">
        <f t="shared" ca="1" si="205"/>
        <v>#NAME?</v>
      </c>
      <c r="BB233" s="322" t="e">
        <f t="shared" ca="1" si="206"/>
        <v>#NAME?</v>
      </c>
      <c r="BC233" s="323">
        <v>75.196700000000007</v>
      </c>
      <c r="BD233" s="324" t="e">
        <f t="shared" ca="1" si="207"/>
        <v>#NAME?</v>
      </c>
      <c r="BE233" s="325" t="e">
        <f t="shared" ca="1" si="208"/>
        <v>#NAME?</v>
      </c>
      <c r="BF233" s="324" t="e">
        <f ca="1">BicubicInterpolation('TSFC Eff Table'!$B$4:$E$69,2,BB233)</f>
        <v>#NAME?</v>
      </c>
      <c r="BG233" s="326" t="e">
        <f t="shared" ca="1" si="209"/>
        <v>#NAME?</v>
      </c>
      <c r="BH233" s="694" t="e">
        <f ca="1">IF( S233="LRCINOP",   (1+(0.03/10)*Z233*(1+0.2*AC233^2) )*BicubicInterpolation( 'LRC INOP FF'!$C$4:$AA$21, Y233, U233 )-200, IF(S233 ="HOLDINGINOP", (1+(0.03/10)*Z233*(1+0.2*AC233^2) )*BicubicInterpolation( 'Holding INOP FF'!$C$4:$J$13,  Y233,  U233)/1.05-200,   BA233*BG233))</f>
        <v>#NAME?</v>
      </c>
      <c r="BI233" s="344" t="e">
        <f t="shared" ca="1" si="168"/>
        <v>#NAME?</v>
      </c>
      <c r="BJ233" s="322" t="e">
        <f t="shared" ca="1" si="210"/>
        <v>#NAME?</v>
      </c>
      <c r="BK233" s="338" t="e">
        <f t="shared" ca="1" si="169"/>
        <v>#NAME?</v>
      </c>
      <c r="BL233" s="327" t="e">
        <f t="shared" ca="1" si="211"/>
        <v>#NAME?</v>
      </c>
      <c r="BM233" s="328">
        <f t="shared" si="212"/>
        <v>200</v>
      </c>
      <c r="BN233" s="329" t="e">
        <f t="shared" ca="1" si="213"/>
        <v>#NAME?</v>
      </c>
      <c r="BO233" s="344" t="e">
        <f t="shared" ca="1" si="170"/>
        <v>#NAME?</v>
      </c>
      <c r="BP233" s="320" t="e">
        <f t="shared" ca="1" si="214"/>
        <v>#NAME?</v>
      </c>
      <c r="BQ233" s="344" t="e">
        <f t="shared" ca="1" si="171"/>
        <v>#NAME?</v>
      </c>
      <c r="BR233" s="347" t="e">
        <f t="shared" ca="1" si="172"/>
        <v>#NAME?</v>
      </c>
      <c r="BS233" s="326" t="e">
        <f t="shared" ca="1" si="215"/>
        <v>#NAME?</v>
      </c>
      <c r="BT233" s="437" t="e">
        <f t="shared" ca="1" si="185"/>
        <v>#NAME?</v>
      </c>
      <c r="BU233" s="437" t="e">
        <f t="shared" ca="1" si="186"/>
        <v>#NAME?</v>
      </c>
      <c r="BV233" s="441" t="e">
        <f t="shared" ca="1" si="187"/>
        <v>#NAME?</v>
      </c>
      <c r="BW233" s="442" t="e">
        <f t="shared" ca="1" si="188"/>
        <v>#NAME?</v>
      </c>
      <c r="BX233" s="470" t="e">
        <f t="shared" ca="1" si="161"/>
        <v>#NAME?</v>
      </c>
      <c r="BY233" s="484" t="e">
        <f t="shared" ca="1" si="173"/>
        <v>#NAME?</v>
      </c>
    </row>
    <row r="234" spans="9:78" ht="17.75" customHeight="1" x14ac:dyDescent="0.2">
      <c r="I234" s="366">
        <v>150</v>
      </c>
      <c r="J234" s="414">
        <f t="shared" si="174"/>
        <v>41705.816666667008</v>
      </c>
      <c r="K234" s="435" t="e">
        <f t="shared" ca="1" si="175"/>
        <v>#NAME?</v>
      </c>
      <c r="L234" s="435" t="e">
        <f t="shared" ca="1" si="162"/>
        <v>#NAME?</v>
      </c>
      <c r="M234" s="664" t="e">
        <f t="shared" ca="1" si="216"/>
        <v>#NAME?</v>
      </c>
      <c r="N234" s="664" t="e">
        <f t="shared" ca="1" si="217"/>
        <v>#NAME?</v>
      </c>
      <c r="O234" s="140" t="e">
        <f t="shared" ca="1" si="163"/>
        <v>#NAME?</v>
      </c>
      <c r="P234" s="352" t="e">
        <f t="shared" ca="1" si="176"/>
        <v>#NAME?</v>
      </c>
      <c r="Q234" s="665" t="e">
        <f t="shared" ca="1" si="156"/>
        <v>#NAME?</v>
      </c>
      <c r="R234" s="352" t="e">
        <f t="shared" ca="1" si="189"/>
        <v>#NAME?</v>
      </c>
      <c r="S234" s="662" t="e">
        <f t="shared" ca="1" si="164"/>
        <v>#NAME?</v>
      </c>
      <c r="T234" s="443" t="e">
        <f t="shared" ca="1" si="157"/>
        <v>#NAME?</v>
      </c>
      <c r="U234" s="369" t="e">
        <f t="shared" ca="1" si="158"/>
        <v>#NAME?</v>
      </c>
      <c r="V234" s="454" t="e">
        <f t="shared" ca="1" si="165"/>
        <v>#NAME?</v>
      </c>
      <c r="W234" s="457">
        <f t="shared" si="166"/>
        <v>1000</v>
      </c>
      <c r="X234" s="463" t="e">
        <f t="shared" ca="1" si="167"/>
        <v>#NAME?</v>
      </c>
      <c r="Y234" s="455" t="e">
        <f t="shared" ca="1" si="177"/>
        <v>#NAME?</v>
      </c>
      <c r="Z234" s="699">
        <f t="shared" si="159"/>
        <v>8.5</v>
      </c>
      <c r="AA234" s="355" t="str">
        <f t="shared" si="160"/>
        <v>ON</v>
      </c>
      <c r="AB234" s="357">
        <f t="shared" si="190"/>
        <v>1.4999999999999999E-2</v>
      </c>
      <c r="AC234" s="356" t="e">
        <f ca="1">IF(  Y233=0,0,IF(OR(S234="KCAS",S234="INOP",S234="MEFE"),   ( (5*( (   (((1+0.2*(T234/661.4786)^2)^3.5 -1)  )/( (1-6.8755856*10^-6 *100*Y234)^5.2558797) +1)^(2/7) -1) )^0.5),IF(S234="MACH",T234, IF(S234="LRC",BicubicInterpolation( 'LRC Mach'!$C$4:$AL$21, Y234,U234),  IF(S234="MRC",BicubicInterpolation( 'MRC Mach'!$C$3:$T$18, Y234,U234),  IF(S234="M0.84",0.84,  IF(S234="CI52",BicubicInterpolation('CI=52 Mach'!$C$3:$T$18, Y234,U234),  IF(S234="HOLDING",BicubicInterpolation(  'Holding Mach'!$C$4:$M$13, Y234,U234),                         IF(S234="LRCINOP", BicubicInterpolation('LRC INOP Mach'!$C$4:$AA$21,Y234,U234), IF(S234="HOLDINGINOP",  BicubicInterpolation('Holding INOP Mach'!$N$4:$U$13,Y234,U234),         "XXX" )))))))   )))</f>
        <v>#NAME?</v>
      </c>
      <c r="AD234" s="313" t="e">
        <f t="shared" ca="1" si="191"/>
        <v>#NAME?</v>
      </c>
      <c r="AE234" s="314" t="e">
        <f t="shared" ca="1" si="178"/>
        <v>#NAME?</v>
      </c>
      <c r="AF234" s="313" t="e">
        <f t="shared" ca="1" si="192"/>
        <v>#NAME?</v>
      </c>
      <c r="AG234" s="314" t="e">
        <f t="shared" ca="1" si="179"/>
        <v>#NAME?</v>
      </c>
      <c r="AH234" s="313" t="e">
        <f t="shared" ca="1" si="193"/>
        <v>#NAME?</v>
      </c>
      <c r="AI234" s="314" t="e">
        <f t="shared" ca="1" si="180"/>
        <v>#NAME?</v>
      </c>
      <c r="AJ234" s="315" t="e">
        <f t="shared" ca="1" si="181"/>
        <v>#NAME?</v>
      </c>
      <c r="AK234" s="568" t="e">
        <f t="shared" ca="1" si="194"/>
        <v>#NAME?</v>
      </c>
      <c r="AL234" s="313" t="e">
        <f t="shared" ca="1" si="195"/>
        <v>#NAME?</v>
      </c>
      <c r="AM234" s="313" t="e">
        <f t="shared" ca="1" si="182"/>
        <v>#NAME?</v>
      </c>
      <c r="AN234" s="313" t="e">
        <f t="shared" ca="1" si="183"/>
        <v>#NAME?</v>
      </c>
      <c r="AO234" s="316" t="e">
        <f t="shared" ca="1" si="196"/>
        <v>#NAME?</v>
      </c>
      <c r="AP234" s="313" t="e">
        <f t="shared" ca="1" si="197"/>
        <v>#NAME?</v>
      </c>
      <c r="AQ234" s="314" t="e">
        <f t="shared" ca="1" si="184"/>
        <v>#NAME?</v>
      </c>
      <c r="AR234" s="315" t="e">
        <f t="shared" ca="1" si="198"/>
        <v>#NAME?</v>
      </c>
      <c r="AS234" s="316" t="e">
        <f t="shared" ca="1" si="199"/>
        <v>#NAME?</v>
      </c>
      <c r="AT234" s="315" t="e">
        <f t="shared" ca="1" si="200"/>
        <v>#NAME?</v>
      </c>
      <c r="AU234" s="317">
        <v>427.8</v>
      </c>
      <c r="AV234" s="315" t="e">
        <f t="shared" ca="1" si="201"/>
        <v>#NAME?</v>
      </c>
      <c r="AW234" s="318" t="e">
        <f ca="1">0.0001*BicubicInterpolation('Drag Coef Table'!$B$4:$L$28,AV234,AC234)</f>
        <v>#NAME?</v>
      </c>
      <c r="AX234" s="319" t="e">
        <f t="shared" ca="1" si="202"/>
        <v>#NAME?</v>
      </c>
      <c r="AY234" s="318" t="e">
        <f t="shared" ca="1" si="203"/>
        <v>#NAME?</v>
      </c>
      <c r="AZ234" s="320" t="e">
        <f t="shared" ca="1" si="204"/>
        <v>#NAME?</v>
      </c>
      <c r="BA234" s="321" t="e">
        <f t="shared" ca="1" si="205"/>
        <v>#NAME?</v>
      </c>
      <c r="BB234" s="322" t="e">
        <f t="shared" ca="1" si="206"/>
        <v>#NAME?</v>
      </c>
      <c r="BC234" s="323">
        <v>75.196700000000007</v>
      </c>
      <c r="BD234" s="324" t="e">
        <f t="shared" ca="1" si="207"/>
        <v>#NAME?</v>
      </c>
      <c r="BE234" s="325" t="e">
        <f t="shared" ca="1" si="208"/>
        <v>#NAME?</v>
      </c>
      <c r="BF234" s="324" t="e">
        <f ca="1">BicubicInterpolation('TSFC Eff Table'!$B$4:$E$69,2,BB234)</f>
        <v>#NAME?</v>
      </c>
      <c r="BG234" s="326" t="e">
        <f t="shared" ca="1" si="209"/>
        <v>#NAME?</v>
      </c>
      <c r="BH234" s="694" t="e">
        <f ca="1">IF( S234="LRCINOP",   (1+(0.03/10)*Z234*(1+0.2*AC234^2) )*BicubicInterpolation( 'LRC INOP FF'!$C$4:$AA$21, Y234, U234 )-200, IF(S234 ="HOLDINGINOP", (1+(0.03/10)*Z234*(1+0.2*AC234^2) )*BicubicInterpolation( 'Holding INOP FF'!$C$4:$J$13,  Y234,  U234)/1.05-200,   BA234*BG234))</f>
        <v>#NAME?</v>
      </c>
      <c r="BI234" s="344" t="e">
        <f t="shared" ca="1" si="168"/>
        <v>#NAME?</v>
      </c>
      <c r="BJ234" s="322" t="e">
        <f t="shared" ca="1" si="210"/>
        <v>#NAME?</v>
      </c>
      <c r="BK234" s="338" t="e">
        <f t="shared" ca="1" si="169"/>
        <v>#NAME?</v>
      </c>
      <c r="BL234" s="327" t="e">
        <f t="shared" ca="1" si="211"/>
        <v>#NAME?</v>
      </c>
      <c r="BM234" s="328">
        <f t="shared" si="212"/>
        <v>200</v>
      </c>
      <c r="BN234" s="329" t="e">
        <f t="shared" ca="1" si="213"/>
        <v>#NAME?</v>
      </c>
      <c r="BO234" s="344" t="e">
        <f t="shared" ca="1" si="170"/>
        <v>#NAME?</v>
      </c>
      <c r="BP234" s="320" t="e">
        <f t="shared" ca="1" si="214"/>
        <v>#NAME?</v>
      </c>
      <c r="BQ234" s="344" t="e">
        <f t="shared" ca="1" si="171"/>
        <v>#NAME?</v>
      </c>
      <c r="BR234" s="347" t="e">
        <f t="shared" ca="1" si="172"/>
        <v>#NAME?</v>
      </c>
      <c r="BS234" s="326" t="e">
        <f t="shared" ca="1" si="215"/>
        <v>#NAME?</v>
      </c>
      <c r="BT234" s="437" t="e">
        <f t="shared" ca="1" si="185"/>
        <v>#NAME?</v>
      </c>
      <c r="BU234" s="437" t="e">
        <f t="shared" ca="1" si="186"/>
        <v>#NAME?</v>
      </c>
      <c r="BV234" s="441" t="e">
        <f t="shared" ca="1" si="187"/>
        <v>#NAME?</v>
      </c>
      <c r="BW234" s="442" t="e">
        <f t="shared" ca="1" si="188"/>
        <v>#NAME?</v>
      </c>
      <c r="BX234" s="470" t="e">
        <f t="shared" ca="1" si="161"/>
        <v>#NAME?</v>
      </c>
      <c r="BY234" s="484" t="e">
        <f t="shared" ca="1" si="173"/>
        <v>#NAME?</v>
      </c>
    </row>
    <row r="235" spans="9:78" ht="17.75" customHeight="1" x14ac:dyDescent="0.2">
      <c r="I235" s="366">
        <v>151</v>
      </c>
      <c r="J235" s="414">
        <f t="shared" si="174"/>
        <v>41705.817361111454</v>
      </c>
      <c r="K235" s="435" t="e">
        <f t="shared" ca="1" si="175"/>
        <v>#NAME?</v>
      </c>
      <c r="L235" s="435" t="e">
        <f t="shared" ca="1" si="162"/>
        <v>#NAME?</v>
      </c>
      <c r="M235" s="664" t="e">
        <f t="shared" ca="1" si="216"/>
        <v>#NAME?</v>
      </c>
      <c r="N235" s="664" t="e">
        <f t="shared" ca="1" si="217"/>
        <v>#NAME?</v>
      </c>
      <c r="O235" s="140" t="e">
        <f t="shared" ca="1" si="163"/>
        <v>#NAME?</v>
      </c>
      <c r="P235" s="352" t="e">
        <f t="shared" ca="1" si="176"/>
        <v>#NAME?</v>
      </c>
      <c r="Q235" s="665" t="e">
        <f t="shared" ca="1" si="156"/>
        <v>#NAME?</v>
      </c>
      <c r="R235" s="352" t="e">
        <f t="shared" ca="1" si="189"/>
        <v>#NAME?</v>
      </c>
      <c r="S235" s="662" t="e">
        <f t="shared" ca="1" si="164"/>
        <v>#NAME?</v>
      </c>
      <c r="T235" s="443" t="e">
        <f t="shared" ca="1" si="157"/>
        <v>#NAME?</v>
      </c>
      <c r="U235" s="369" t="e">
        <f t="shared" ca="1" si="158"/>
        <v>#NAME?</v>
      </c>
      <c r="V235" s="454" t="e">
        <f t="shared" ca="1" si="165"/>
        <v>#NAME?</v>
      </c>
      <c r="W235" s="457">
        <f t="shared" si="166"/>
        <v>1000</v>
      </c>
      <c r="X235" s="463" t="e">
        <f t="shared" ca="1" si="167"/>
        <v>#NAME?</v>
      </c>
      <c r="Y235" s="455" t="e">
        <f t="shared" ca="1" si="177"/>
        <v>#NAME?</v>
      </c>
      <c r="Z235" s="699">
        <f t="shared" si="159"/>
        <v>8.5</v>
      </c>
      <c r="AA235" s="355" t="str">
        <f t="shared" si="160"/>
        <v>ON</v>
      </c>
      <c r="AB235" s="357">
        <f t="shared" si="190"/>
        <v>1.4999999999999999E-2</v>
      </c>
      <c r="AC235" s="356" t="e">
        <f ca="1">IF(  Y234=0,0,IF(OR(S235="KCAS",S235="INOP",S235="MEFE"),   ( (5*( (   (((1+0.2*(T235/661.4786)^2)^3.5 -1)  )/( (1-6.8755856*10^-6 *100*Y235)^5.2558797) +1)^(2/7) -1) )^0.5),IF(S235="MACH",T235, IF(S235="LRC",BicubicInterpolation( 'LRC Mach'!$C$4:$AL$21, Y235,U235),  IF(S235="MRC",BicubicInterpolation( 'MRC Mach'!$C$3:$T$18, Y235,U235),  IF(S235="M0.84",0.84,  IF(S235="CI52",BicubicInterpolation('CI=52 Mach'!$C$3:$T$18, Y235,U235),  IF(S235="HOLDING",BicubicInterpolation(  'Holding Mach'!$C$4:$M$13, Y235,U235),                         IF(S235="LRCINOP", BicubicInterpolation('LRC INOP Mach'!$C$4:$AA$21,Y235,U235), IF(S235="HOLDINGINOP",  BicubicInterpolation('Holding INOP Mach'!$N$4:$U$13,Y235,U235),         "XXX" )))))))   )))</f>
        <v>#NAME?</v>
      </c>
      <c r="AD235" s="313" t="e">
        <f t="shared" ca="1" si="191"/>
        <v>#NAME?</v>
      </c>
      <c r="AE235" s="314" t="e">
        <f t="shared" ca="1" si="178"/>
        <v>#NAME?</v>
      </c>
      <c r="AF235" s="313" t="e">
        <f t="shared" ca="1" si="192"/>
        <v>#NAME?</v>
      </c>
      <c r="AG235" s="314" t="e">
        <f t="shared" ca="1" si="179"/>
        <v>#NAME?</v>
      </c>
      <c r="AH235" s="313" t="e">
        <f t="shared" ca="1" si="193"/>
        <v>#NAME?</v>
      </c>
      <c r="AI235" s="314" t="e">
        <f t="shared" ca="1" si="180"/>
        <v>#NAME?</v>
      </c>
      <c r="AJ235" s="315" t="e">
        <f t="shared" ca="1" si="181"/>
        <v>#NAME?</v>
      </c>
      <c r="AK235" s="568" t="e">
        <f t="shared" ca="1" si="194"/>
        <v>#NAME?</v>
      </c>
      <c r="AL235" s="313" t="e">
        <f t="shared" ca="1" si="195"/>
        <v>#NAME?</v>
      </c>
      <c r="AM235" s="313" t="e">
        <f t="shared" ca="1" si="182"/>
        <v>#NAME?</v>
      </c>
      <c r="AN235" s="313" t="e">
        <f t="shared" ca="1" si="183"/>
        <v>#NAME?</v>
      </c>
      <c r="AO235" s="316" t="e">
        <f t="shared" ca="1" si="196"/>
        <v>#NAME?</v>
      </c>
      <c r="AP235" s="313" t="e">
        <f t="shared" ca="1" si="197"/>
        <v>#NAME?</v>
      </c>
      <c r="AQ235" s="314" t="e">
        <f t="shared" ca="1" si="184"/>
        <v>#NAME?</v>
      </c>
      <c r="AR235" s="315" t="e">
        <f t="shared" ca="1" si="198"/>
        <v>#NAME?</v>
      </c>
      <c r="AS235" s="316" t="e">
        <f t="shared" ca="1" si="199"/>
        <v>#NAME?</v>
      </c>
      <c r="AT235" s="315" t="e">
        <f t="shared" ca="1" si="200"/>
        <v>#NAME?</v>
      </c>
      <c r="AU235" s="317">
        <v>427.8</v>
      </c>
      <c r="AV235" s="315" t="e">
        <f t="shared" ca="1" si="201"/>
        <v>#NAME?</v>
      </c>
      <c r="AW235" s="318" t="e">
        <f ca="1">0.0001*BicubicInterpolation('Drag Coef Table'!$B$4:$L$28,AV235,AC235)</f>
        <v>#NAME?</v>
      </c>
      <c r="AX235" s="319" t="e">
        <f t="shared" ca="1" si="202"/>
        <v>#NAME?</v>
      </c>
      <c r="AY235" s="318" t="e">
        <f t="shared" ca="1" si="203"/>
        <v>#NAME?</v>
      </c>
      <c r="AZ235" s="320" t="e">
        <f t="shared" ca="1" si="204"/>
        <v>#NAME?</v>
      </c>
      <c r="BA235" s="321" t="e">
        <f t="shared" ca="1" si="205"/>
        <v>#NAME?</v>
      </c>
      <c r="BB235" s="322" t="e">
        <f t="shared" ca="1" si="206"/>
        <v>#NAME?</v>
      </c>
      <c r="BC235" s="323">
        <v>75.196700000000007</v>
      </c>
      <c r="BD235" s="324" t="e">
        <f t="shared" ca="1" si="207"/>
        <v>#NAME?</v>
      </c>
      <c r="BE235" s="325" t="e">
        <f t="shared" ca="1" si="208"/>
        <v>#NAME?</v>
      </c>
      <c r="BF235" s="324" t="e">
        <f ca="1">BicubicInterpolation('TSFC Eff Table'!$B$4:$E$69,2,BB235)</f>
        <v>#NAME?</v>
      </c>
      <c r="BG235" s="326" t="e">
        <f t="shared" ca="1" si="209"/>
        <v>#NAME?</v>
      </c>
      <c r="BH235" s="694" t="e">
        <f ca="1">IF( S235="LRCINOP",   (1+(0.03/10)*Z235*(1+0.2*AC235^2) )*BicubicInterpolation( 'LRC INOP FF'!$C$4:$AA$21, Y235, U235 )-200, IF(S235 ="HOLDINGINOP", (1+(0.03/10)*Z235*(1+0.2*AC235^2) )*BicubicInterpolation( 'Holding INOP FF'!$C$4:$J$13,  Y235,  U235)/1.05-200,   BA235*BG235))</f>
        <v>#NAME?</v>
      </c>
      <c r="BI235" s="344" t="e">
        <f t="shared" ca="1" si="168"/>
        <v>#NAME?</v>
      </c>
      <c r="BJ235" s="322" t="e">
        <f t="shared" ca="1" si="210"/>
        <v>#NAME?</v>
      </c>
      <c r="BK235" s="338" t="e">
        <f t="shared" ca="1" si="169"/>
        <v>#NAME?</v>
      </c>
      <c r="BL235" s="327" t="e">
        <f t="shared" ca="1" si="211"/>
        <v>#NAME?</v>
      </c>
      <c r="BM235" s="328">
        <f t="shared" si="212"/>
        <v>200</v>
      </c>
      <c r="BN235" s="329" t="e">
        <f t="shared" ca="1" si="213"/>
        <v>#NAME?</v>
      </c>
      <c r="BO235" s="344" t="e">
        <f t="shared" ca="1" si="170"/>
        <v>#NAME?</v>
      </c>
      <c r="BP235" s="320" t="e">
        <f t="shared" ca="1" si="214"/>
        <v>#NAME?</v>
      </c>
      <c r="BQ235" s="344" t="e">
        <f t="shared" ca="1" si="171"/>
        <v>#NAME?</v>
      </c>
      <c r="BR235" s="347" t="e">
        <f t="shared" ca="1" si="172"/>
        <v>#NAME?</v>
      </c>
      <c r="BS235" s="326" t="e">
        <f t="shared" ca="1" si="215"/>
        <v>#NAME?</v>
      </c>
      <c r="BT235" s="437" t="e">
        <f t="shared" ca="1" si="185"/>
        <v>#NAME?</v>
      </c>
      <c r="BU235" s="437" t="e">
        <f t="shared" ca="1" si="186"/>
        <v>#NAME?</v>
      </c>
      <c r="BV235" s="441" t="e">
        <f t="shared" ca="1" si="187"/>
        <v>#NAME?</v>
      </c>
      <c r="BW235" s="442" t="e">
        <f t="shared" ca="1" si="188"/>
        <v>#NAME?</v>
      </c>
      <c r="BX235" s="470" t="e">
        <f t="shared" ca="1" si="161"/>
        <v>#NAME?</v>
      </c>
      <c r="BY235" s="484" t="e">
        <f t="shared" ca="1" si="173"/>
        <v>#NAME?</v>
      </c>
    </row>
    <row r="236" spans="9:78" ht="17.75" customHeight="1" x14ac:dyDescent="0.2">
      <c r="I236" s="366">
        <v>152</v>
      </c>
      <c r="J236" s="414">
        <f t="shared" si="174"/>
        <v>41705.818055555901</v>
      </c>
      <c r="K236" s="435" t="e">
        <f t="shared" ca="1" si="175"/>
        <v>#NAME?</v>
      </c>
      <c r="L236" s="435" t="e">
        <f t="shared" ca="1" si="162"/>
        <v>#NAME?</v>
      </c>
      <c r="M236" s="664" t="e">
        <f t="shared" ca="1" si="216"/>
        <v>#NAME?</v>
      </c>
      <c r="N236" s="664" t="e">
        <f t="shared" ca="1" si="217"/>
        <v>#NAME?</v>
      </c>
      <c r="O236" s="140" t="e">
        <f t="shared" ca="1" si="163"/>
        <v>#NAME?</v>
      </c>
      <c r="P236" s="352" t="e">
        <f t="shared" ca="1" si="176"/>
        <v>#NAME?</v>
      </c>
      <c r="Q236" s="665" t="e">
        <f t="shared" ca="1" si="156"/>
        <v>#NAME?</v>
      </c>
      <c r="R236" s="352" t="e">
        <f t="shared" ca="1" si="189"/>
        <v>#NAME?</v>
      </c>
      <c r="S236" s="662" t="e">
        <f t="shared" ca="1" si="164"/>
        <v>#NAME?</v>
      </c>
      <c r="T236" s="443" t="e">
        <f t="shared" ca="1" si="157"/>
        <v>#NAME?</v>
      </c>
      <c r="U236" s="369" t="e">
        <f t="shared" ca="1" si="158"/>
        <v>#NAME?</v>
      </c>
      <c r="V236" s="454" t="e">
        <f t="shared" ca="1" si="165"/>
        <v>#NAME?</v>
      </c>
      <c r="W236" s="457">
        <f t="shared" si="166"/>
        <v>1000</v>
      </c>
      <c r="X236" s="463" t="e">
        <f t="shared" ca="1" si="167"/>
        <v>#NAME?</v>
      </c>
      <c r="Y236" s="455" t="e">
        <f t="shared" ca="1" si="177"/>
        <v>#NAME?</v>
      </c>
      <c r="Z236" s="699">
        <f t="shared" si="159"/>
        <v>8.5</v>
      </c>
      <c r="AA236" s="355" t="str">
        <f t="shared" si="160"/>
        <v>ON</v>
      </c>
      <c r="AB236" s="357">
        <f t="shared" si="190"/>
        <v>1.4999999999999999E-2</v>
      </c>
      <c r="AC236" s="356" t="e">
        <f ca="1">IF(  Y235=0,0,IF(OR(S236="KCAS",S236="INOP",S236="MEFE"),   ( (5*( (   (((1+0.2*(T236/661.4786)^2)^3.5 -1)  )/( (1-6.8755856*10^-6 *100*Y236)^5.2558797) +1)^(2/7) -1) )^0.5),IF(S236="MACH",T236, IF(S236="LRC",BicubicInterpolation( 'LRC Mach'!$C$4:$AL$21, Y236,U236),  IF(S236="MRC",BicubicInterpolation( 'MRC Mach'!$C$3:$T$18, Y236,U236),  IF(S236="M0.84",0.84,  IF(S236="CI52",BicubicInterpolation('CI=52 Mach'!$C$3:$T$18, Y236,U236),  IF(S236="HOLDING",BicubicInterpolation(  'Holding Mach'!$C$4:$M$13, Y236,U236),                         IF(S236="LRCINOP", BicubicInterpolation('LRC INOP Mach'!$C$4:$AA$21,Y236,U236), IF(S236="HOLDINGINOP",  BicubicInterpolation('Holding INOP Mach'!$N$4:$U$13,Y236,U236),         "XXX" )))))))   )))</f>
        <v>#NAME?</v>
      </c>
      <c r="AD236" s="313" t="e">
        <f t="shared" ca="1" si="191"/>
        <v>#NAME?</v>
      </c>
      <c r="AE236" s="314" t="e">
        <f t="shared" ca="1" si="178"/>
        <v>#NAME?</v>
      </c>
      <c r="AF236" s="313" t="e">
        <f t="shared" ca="1" si="192"/>
        <v>#NAME?</v>
      </c>
      <c r="AG236" s="314" t="e">
        <f t="shared" ca="1" si="179"/>
        <v>#NAME?</v>
      </c>
      <c r="AH236" s="313" t="e">
        <f t="shared" ca="1" si="193"/>
        <v>#NAME?</v>
      </c>
      <c r="AI236" s="314" t="e">
        <f t="shared" ca="1" si="180"/>
        <v>#NAME?</v>
      </c>
      <c r="AJ236" s="315" t="e">
        <f t="shared" ca="1" si="181"/>
        <v>#NAME?</v>
      </c>
      <c r="AK236" s="568" t="e">
        <f t="shared" ca="1" si="194"/>
        <v>#NAME?</v>
      </c>
      <c r="AL236" s="313" t="e">
        <f t="shared" ca="1" si="195"/>
        <v>#NAME?</v>
      </c>
      <c r="AM236" s="313" t="e">
        <f t="shared" ca="1" si="182"/>
        <v>#NAME?</v>
      </c>
      <c r="AN236" s="313" t="e">
        <f t="shared" ca="1" si="183"/>
        <v>#NAME?</v>
      </c>
      <c r="AO236" s="316" t="e">
        <f t="shared" ca="1" si="196"/>
        <v>#NAME?</v>
      </c>
      <c r="AP236" s="313" t="e">
        <f t="shared" ca="1" si="197"/>
        <v>#NAME?</v>
      </c>
      <c r="AQ236" s="314" t="e">
        <f t="shared" ca="1" si="184"/>
        <v>#NAME?</v>
      </c>
      <c r="AR236" s="315" t="e">
        <f t="shared" ca="1" si="198"/>
        <v>#NAME?</v>
      </c>
      <c r="AS236" s="316" t="e">
        <f t="shared" ca="1" si="199"/>
        <v>#NAME?</v>
      </c>
      <c r="AT236" s="315" t="e">
        <f t="shared" ca="1" si="200"/>
        <v>#NAME?</v>
      </c>
      <c r="AU236" s="317">
        <v>427.8</v>
      </c>
      <c r="AV236" s="315" t="e">
        <f t="shared" ca="1" si="201"/>
        <v>#NAME?</v>
      </c>
      <c r="AW236" s="318" t="e">
        <f ca="1">0.0001*BicubicInterpolation('Drag Coef Table'!$B$4:$L$28,AV236,AC236)</f>
        <v>#NAME?</v>
      </c>
      <c r="AX236" s="319" t="e">
        <f t="shared" ca="1" si="202"/>
        <v>#NAME?</v>
      </c>
      <c r="AY236" s="318" t="e">
        <f t="shared" ca="1" si="203"/>
        <v>#NAME?</v>
      </c>
      <c r="AZ236" s="320" t="e">
        <f t="shared" ca="1" si="204"/>
        <v>#NAME?</v>
      </c>
      <c r="BA236" s="321" t="e">
        <f t="shared" ca="1" si="205"/>
        <v>#NAME?</v>
      </c>
      <c r="BB236" s="322" t="e">
        <f t="shared" ca="1" si="206"/>
        <v>#NAME?</v>
      </c>
      <c r="BC236" s="323">
        <v>75.196700000000007</v>
      </c>
      <c r="BD236" s="324" t="e">
        <f t="shared" ca="1" si="207"/>
        <v>#NAME?</v>
      </c>
      <c r="BE236" s="325" t="e">
        <f t="shared" ca="1" si="208"/>
        <v>#NAME?</v>
      </c>
      <c r="BF236" s="324" t="e">
        <f ca="1">BicubicInterpolation('TSFC Eff Table'!$B$4:$E$69,2,BB236)</f>
        <v>#NAME?</v>
      </c>
      <c r="BG236" s="326" t="e">
        <f t="shared" ca="1" si="209"/>
        <v>#NAME?</v>
      </c>
      <c r="BH236" s="694" t="e">
        <f ca="1">IF( S236="LRCINOP",   (1+(0.03/10)*Z236*(1+0.2*AC236^2) )*BicubicInterpolation( 'LRC INOP FF'!$C$4:$AA$21, Y236, U236 )-200, IF(S236 ="HOLDINGINOP", (1+(0.03/10)*Z236*(1+0.2*AC236^2) )*BicubicInterpolation( 'Holding INOP FF'!$C$4:$J$13,  Y236,  U236)/1.05-200,   BA236*BG236))</f>
        <v>#NAME?</v>
      </c>
      <c r="BI236" s="344" t="e">
        <f t="shared" ca="1" si="168"/>
        <v>#NAME?</v>
      </c>
      <c r="BJ236" s="322" t="e">
        <f t="shared" ca="1" si="210"/>
        <v>#NAME?</v>
      </c>
      <c r="BK236" s="338" t="e">
        <f t="shared" ca="1" si="169"/>
        <v>#NAME?</v>
      </c>
      <c r="BL236" s="327" t="e">
        <f t="shared" ca="1" si="211"/>
        <v>#NAME?</v>
      </c>
      <c r="BM236" s="328">
        <f t="shared" si="212"/>
        <v>200</v>
      </c>
      <c r="BN236" s="329" t="e">
        <f t="shared" ca="1" si="213"/>
        <v>#NAME?</v>
      </c>
      <c r="BO236" s="344" t="e">
        <f t="shared" ca="1" si="170"/>
        <v>#NAME?</v>
      </c>
      <c r="BP236" s="320" t="e">
        <f t="shared" ca="1" si="214"/>
        <v>#NAME?</v>
      </c>
      <c r="BQ236" s="344" t="e">
        <f t="shared" ca="1" si="171"/>
        <v>#NAME?</v>
      </c>
      <c r="BR236" s="347" t="e">
        <f t="shared" ca="1" si="172"/>
        <v>#NAME?</v>
      </c>
      <c r="BS236" s="326" t="e">
        <f t="shared" ca="1" si="215"/>
        <v>#NAME?</v>
      </c>
      <c r="BT236" s="437" t="e">
        <f t="shared" ca="1" si="185"/>
        <v>#NAME?</v>
      </c>
      <c r="BU236" s="437" t="e">
        <f t="shared" ca="1" si="186"/>
        <v>#NAME?</v>
      </c>
      <c r="BV236" s="441" t="e">
        <f t="shared" ca="1" si="187"/>
        <v>#NAME?</v>
      </c>
      <c r="BW236" s="442" t="e">
        <f t="shared" ca="1" si="188"/>
        <v>#NAME?</v>
      </c>
      <c r="BX236" s="470" t="e">
        <f t="shared" ca="1" si="161"/>
        <v>#NAME?</v>
      </c>
      <c r="BY236" s="484" t="e">
        <f t="shared" ca="1" si="173"/>
        <v>#NAME?</v>
      </c>
    </row>
    <row r="237" spans="9:78" ht="17.75" customHeight="1" x14ac:dyDescent="0.2">
      <c r="I237" s="366">
        <v>153</v>
      </c>
      <c r="J237" s="414">
        <f t="shared" si="174"/>
        <v>41705.818750000348</v>
      </c>
      <c r="K237" s="435" t="e">
        <f t="shared" ca="1" si="175"/>
        <v>#NAME?</v>
      </c>
      <c r="L237" s="435" t="e">
        <f t="shared" ca="1" si="162"/>
        <v>#NAME?</v>
      </c>
      <c r="M237" s="664" t="e">
        <f t="shared" ca="1" si="216"/>
        <v>#NAME?</v>
      </c>
      <c r="N237" s="664" t="e">
        <f t="shared" ca="1" si="217"/>
        <v>#NAME?</v>
      </c>
      <c r="O237" s="140" t="e">
        <f t="shared" ca="1" si="163"/>
        <v>#NAME?</v>
      </c>
      <c r="P237" s="352" t="e">
        <f t="shared" ca="1" si="176"/>
        <v>#NAME?</v>
      </c>
      <c r="Q237" s="665" t="e">
        <f t="shared" ca="1" si="156"/>
        <v>#NAME?</v>
      </c>
      <c r="R237" s="352" t="e">
        <f t="shared" ca="1" si="189"/>
        <v>#NAME?</v>
      </c>
      <c r="S237" s="662" t="e">
        <f t="shared" ca="1" si="164"/>
        <v>#NAME?</v>
      </c>
      <c r="T237" s="443" t="e">
        <f t="shared" ca="1" si="157"/>
        <v>#NAME?</v>
      </c>
      <c r="U237" s="369" t="e">
        <f t="shared" ca="1" si="158"/>
        <v>#NAME?</v>
      </c>
      <c r="V237" s="454" t="e">
        <f t="shared" ca="1" si="165"/>
        <v>#NAME?</v>
      </c>
      <c r="W237" s="457">
        <f t="shared" si="166"/>
        <v>1000</v>
      </c>
      <c r="X237" s="463" t="e">
        <f t="shared" ca="1" si="167"/>
        <v>#NAME?</v>
      </c>
      <c r="Y237" s="455" t="e">
        <f t="shared" ca="1" si="177"/>
        <v>#NAME?</v>
      </c>
      <c r="Z237" s="699">
        <f t="shared" si="159"/>
        <v>8.5</v>
      </c>
      <c r="AA237" s="355" t="str">
        <f t="shared" si="160"/>
        <v>ON</v>
      </c>
      <c r="AB237" s="357">
        <f t="shared" si="190"/>
        <v>1.4999999999999999E-2</v>
      </c>
      <c r="AC237" s="356" t="e">
        <f ca="1">IF(  Y236=0,0,IF(OR(S237="KCAS",S237="INOP",S237="MEFE"),   ( (5*( (   (((1+0.2*(T237/661.4786)^2)^3.5 -1)  )/( (1-6.8755856*10^-6 *100*Y237)^5.2558797) +1)^(2/7) -1) )^0.5),IF(S237="MACH",T237, IF(S237="LRC",BicubicInterpolation( 'LRC Mach'!$C$4:$AL$21, Y237,U237),  IF(S237="MRC",BicubicInterpolation( 'MRC Mach'!$C$3:$T$18, Y237,U237),  IF(S237="M0.84",0.84,  IF(S237="CI52",BicubicInterpolation('CI=52 Mach'!$C$3:$T$18, Y237,U237),  IF(S237="HOLDING",BicubicInterpolation(  'Holding Mach'!$C$4:$M$13, Y237,U237),                         IF(S237="LRCINOP", BicubicInterpolation('LRC INOP Mach'!$C$4:$AA$21,Y237,U237), IF(S237="HOLDINGINOP",  BicubicInterpolation('Holding INOP Mach'!$N$4:$U$13,Y237,U237),         "XXX" )))))))   )))</f>
        <v>#NAME?</v>
      </c>
      <c r="AD237" s="313" t="e">
        <f t="shared" ca="1" si="191"/>
        <v>#NAME?</v>
      </c>
      <c r="AE237" s="314" t="e">
        <f t="shared" ca="1" si="178"/>
        <v>#NAME?</v>
      </c>
      <c r="AF237" s="313" t="e">
        <f t="shared" ca="1" si="192"/>
        <v>#NAME?</v>
      </c>
      <c r="AG237" s="314" t="e">
        <f t="shared" ca="1" si="179"/>
        <v>#NAME?</v>
      </c>
      <c r="AH237" s="313" t="e">
        <f t="shared" ca="1" si="193"/>
        <v>#NAME?</v>
      </c>
      <c r="AI237" s="314" t="e">
        <f t="shared" ca="1" si="180"/>
        <v>#NAME?</v>
      </c>
      <c r="AJ237" s="315" t="e">
        <f t="shared" ca="1" si="181"/>
        <v>#NAME?</v>
      </c>
      <c r="AK237" s="568" t="e">
        <f t="shared" ca="1" si="194"/>
        <v>#NAME?</v>
      </c>
      <c r="AL237" s="313" t="e">
        <f t="shared" ca="1" si="195"/>
        <v>#NAME?</v>
      </c>
      <c r="AM237" s="313" t="e">
        <f t="shared" ca="1" si="182"/>
        <v>#NAME?</v>
      </c>
      <c r="AN237" s="313" t="e">
        <f t="shared" ca="1" si="183"/>
        <v>#NAME?</v>
      </c>
      <c r="AO237" s="316" t="e">
        <f t="shared" ca="1" si="196"/>
        <v>#NAME?</v>
      </c>
      <c r="AP237" s="313" t="e">
        <f t="shared" ca="1" si="197"/>
        <v>#NAME?</v>
      </c>
      <c r="AQ237" s="314" t="e">
        <f t="shared" ca="1" si="184"/>
        <v>#NAME?</v>
      </c>
      <c r="AR237" s="315" t="e">
        <f t="shared" ca="1" si="198"/>
        <v>#NAME?</v>
      </c>
      <c r="AS237" s="316" t="e">
        <f t="shared" ca="1" si="199"/>
        <v>#NAME?</v>
      </c>
      <c r="AT237" s="315" t="e">
        <f t="shared" ca="1" si="200"/>
        <v>#NAME?</v>
      </c>
      <c r="AU237" s="317">
        <v>427.8</v>
      </c>
      <c r="AV237" s="315" t="e">
        <f t="shared" ca="1" si="201"/>
        <v>#NAME?</v>
      </c>
      <c r="AW237" s="318" t="e">
        <f ca="1">0.0001*BicubicInterpolation('Drag Coef Table'!$B$4:$L$28,AV237,AC237)</f>
        <v>#NAME?</v>
      </c>
      <c r="AX237" s="319" t="e">
        <f t="shared" ca="1" si="202"/>
        <v>#NAME?</v>
      </c>
      <c r="AY237" s="318" t="e">
        <f t="shared" ca="1" si="203"/>
        <v>#NAME?</v>
      </c>
      <c r="AZ237" s="320" t="e">
        <f t="shared" ca="1" si="204"/>
        <v>#NAME?</v>
      </c>
      <c r="BA237" s="321" t="e">
        <f t="shared" ca="1" si="205"/>
        <v>#NAME?</v>
      </c>
      <c r="BB237" s="322" t="e">
        <f t="shared" ca="1" si="206"/>
        <v>#NAME?</v>
      </c>
      <c r="BC237" s="323">
        <v>75.196700000000007</v>
      </c>
      <c r="BD237" s="324" t="e">
        <f t="shared" ca="1" si="207"/>
        <v>#NAME?</v>
      </c>
      <c r="BE237" s="325" t="e">
        <f t="shared" ca="1" si="208"/>
        <v>#NAME?</v>
      </c>
      <c r="BF237" s="324" t="e">
        <f ca="1">BicubicInterpolation('TSFC Eff Table'!$B$4:$E$69,2,BB237)</f>
        <v>#NAME?</v>
      </c>
      <c r="BG237" s="326" t="e">
        <f t="shared" ca="1" si="209"/>
        <v>#NAME?</v>
      </c>
      <c r="BH237" s="694" t="e">
        <f ca="1">IF( S237="LRCINOP",   (1+(0.03/10)*Z237*(1+0.2*AC237^2) )*BicubicInterpolation( 'LRC INOP FF'!$C$4:$AA$21, Y237, U237 )-200, IF(S237 ="HOLDINGINOP", (1+(0.03/10)*Z237*(1+0.2*AC237^2) )*BicubicInterpolation( 'Holding INOP FF'!$C$4:$J$13,  Y237,  U237)/1.05-200,   BA237*BG237))</f>
        <v>#NAME?</v>
      </c>
      <c r="BI237" s="344" t="e">
        <f t="shared" ca="1" si="168"/>
        <v>#NAME?</v>
      </c>
      <c r="BJ237" s="322" t="e">
        <f t="shared" ca="1" si="210"/>
        <v>#NAME?</v>
      </c>
      <c r="BK237" s="338" t="e">
        <f t="shared" ca="1" si="169"/>
        <v>#NAME?</v>
      </c>
      <c r="BL237" s="327" t="e">
        <f t="shared" ca="1" si="211"/>
        <v>#NAME?</v>
      </c>
      <c r="BM237" s="328">
        <f t="shared" si="212"/>
        <v>200</v>
      </c>
      <c r="BN237" s="329" t="e">
        <f t="shared" ca="1" si="213"/>
        <v>#NAME?</v>
      </c>
      <c r="BO237" s="344" t="e">
        <f t="shared" ca="1" si="170"/>
        <v>#NAME?</v>
      </c>
      <c r="BP237" s="320" t="e">
        <f t="shared" ca="1" si="214"/>
        <v>#NAME?</v>
      </c>
      <c r="BQ237" s="344" t="e">
        <f t="shared" ca="1" si="171"/>
        <v>#NAME?</v>
      </c>
      <c r="BR237" s="347" t="e">
        <f t="shared" ca="1" si="172"/>
        <v>#NAME?</v>
      </c>
      <c r="BS237" s="326" t="e">
        <f t="shared" ca="1" si="215"/>
        <v>#NAME?</v>
      </c>
      <c r="BT237" s="437" t="e">
        <f t="shared" ca="1" si="185"/>
        <v>#NAME?</v>
      </c>
      <c r="BU237" s="437" t="e">
        <f t="shared" ca="1" si="186"/>
        <v>#NAME?</v>
      </c>
      <c r="BV237" s="441" t="e">
        <f t="shared" ca="1" si="187"/>
        <v>#NAME?</v>
      </c>
      <c r="BW237" s="442" t="e">
        <f t="shared" ca="1" si="188"/>
        <v>#NAME?</v>
      </c>
      <c r="BX237" s="470" t="e">
        <f t="shared" ca="1" si="161"/>
        <v>#NAME?</v>
      </c>
      <c r="BY237" s="484" t="e">
        <f t="shared" ca="1" si="173"/>
        <v>#NAME?</v>
      </c>
    </row>
    <row r="238" spans="9:78" ht="17.75" customHeight="1" x14ac:dyDescent="0.2">
      <c r="I238" s="366">
        <v>154</v>
      </c>
      <c r="J238" s="414">
        <f t="shared" si="174"/>
        <v>41705.819444444794</v>
      </c>
      <c r="K238" s="435" t="e">
        <f t="shared" ca="1" si="175"/>
        <v>#NAME?</v>
      </c>
      <c r="L238" s="435" t="e">
        <f t="shared" ca="1" si="162"/>
        <v>#NAME?</v>
      </c>
      <c r="M238" s="664" t="e">
        <f t="shared" ca="1" si="216"/>
        <v>#NAME?</v>
      </c>
      <c r="N238" s="664" t="e">
        <f t="shared" ca="1" si="217"/>
        <v>#NAME?</v>
      </c>
      <c r="O238" s="140" t="e">
        <f t="shared" ca="1" si="163"/>
        <v>#NAME?</v>
      </c>
      <c r="P238" s="352" t="e">
        <f t="shared" ca="1" si="176"/>
        <v>#NAME?</v>
      </c>
      <c r="Q238" s="665" t="e">
        <f t="shared" ca="1" si="156"/>
        <v>#NAME?</v>
      </c>
      <c r="R238" s="352" t="e">
        <f t="shared" ca="1" si="189"/>
        <v>#NAME?</v>
      </c>
      <c r="S238" s="662" t="e">
        <f t="shared" ca="1" si="164"/>
        <v>#NAME?</v>
      </c>
      <c r="T238" s="443" t="e">
        <f t="shared" ca="1" si="157"/>
        <v>#NAME?</v>
      </c>
      <c r="U238" s="369" t="e">
        <f t="shared" ca="1" si="158"/>
        <v>#NAME?</v>
      </c>
      <c r="V238" s="454" t="e">
        <f t="shared" ca="1" si="165"/>
        <v>#NAME?</v>
      </c>
      <c r="W238" s="457">
        <f t="shared" si="166"/>
        <v>1000</v>
      </c>
      <c r="X238" s="463" t="e">
        <f t="shared" ca="1" si="167"/>
        <v>#NAME?</v>
      </c>
      <c r="Y238" s="455" t="e">
        <f t="shared" ca="1" si="177"/>
        <v>#NAME?</v>
      </c>
      <c r="Z238" s="699">
        <f t="shared" si="159"/>
        <v>8.5</v>
      </c>
      <c r="AA238" s="355" t="str">
        <f t="shared" si="160"/>
        <v>ON</v>
      </c>
      <c r="AB238" s="357">
        <f t="shared" si="190"/>
        <v>1.4999999999999999E-2</v>
      </c>
      <c r="AC238" s="356" t="e">
        <f ca="1">IF(  Y237=0,0,IF(OR(S238="KCAS",S238="INOP",S238="MEFE"),   ( (5*( (   (((1+0.2*(T238/661.4786)^2)^3.5 -1)  )/( (1-6.8755856*10^-6 *100*Y238)^5.2558797) +1)^(2/7) -1) )^0.5),IF(S238="MACH",T238, IF(S238="LRC",BicubicInterpolation( 'LRC Mach'!$C$4:$AL$21, Y238,U238),  IF(S238="MRC",BicubicInterpolation( 'MRC Mach'!$C$3:$T$18, Y238,U238),  IF(S238="M0.84",0.84,  IF(S238="CI52",BicubicInterpolation('CI=52 Mach'!$C$3:$T$18, Y238,U238),  IF(S238="HOLDING",BicubicInterpolation(  'Holding Mach'!$C$4:$M$13, Y238,U238),                         IF(S238="LRCINOP", BicubicInterpolation('LRC INOP Mach'!$C$4:$AA$21,Y238,U238), IF(S238="HOLDINGINOP",  BicubicInterpolation('Holding INOP Mach'!$N$4:$U$13,Y238,U238),         "XXX" )))))))   )))</f>
        <v>#NAME?</v>
      </c>
      <c r="AD238" s="313" t="e">
        <f t="shared" ca="1" si="191"/>
        <v>#NAME?</v>
      </c>
      <c r="AE238" s="314" t="e">
        <f t="shared" ca="1" si="178"/>
        <v>#NAME?</v>
      </c>
      <c r="AF238" s="313" t="e">
        <f t="shared" ca="1" si="192"/>
        <v>#NAME?</v>
      </c>
      <c r="AG238" s="314" t="e">
        <f t="shared" ca="1" si="179"/>
        <v>#NAME?</v>
      </c>
      <c r="AH238" s="313" t="e">
        <f t="shared" ca="1" si="193"/>
        <v>#NAME?</v>
      </c>
      <c r="AI238" s="314" t="e">
        <f t="shared" ca="1" si="180"/>
        <v>#NAME?</v>
      </c>
      <c r="AJ238" s="315" t="e">
        <f t="shared" ca="1" si="181"/>
        <v>#NAME?</v>
      </c>
      <c r="AK238" s="568" t="e">
        <f t="shared" ca="1" si="194"/>
        <v>#NAME?</v>
      </c>
      <c r="AL238" s="313" t="e">
        <f t="shared" ca="1" si="195"/>
        <v>#NAME?</v>
      </c>
      <c r="AM238" s="313" t="e">
        <f t="shared" ca="1" si="182"/>
        <v>#NAME?</v>
      </c>
      <c r="AN238" s="313" t="e">
        <f t="shared" ca="1" si="183"/>
        <v>#NAME?</v>
      </c>
      <c r="AO238" s="316" t="e">
        <f t="shared" ca="1" si="196"/>
        <v>#NAME?</v>
      </c>
      <c r="AP238" s="313" t="e">
        <f t="shared" ca="1" si="197"/>
        <v>#NAME?</v>
      </c>
      <c r="AQ238" s="314" t="e">
        <f t="shared" ca="1" si="184"/>
        <v>#NAME?</v>
      </c>
      <c r="AR238" s="315" t="e">
        <f t="shared" ca="1" si="198"/>
        <v>#NAME?</v>
      </c>
      <c r="AS238" s="316" t="e">
        <f t="shared" ca="1" si="199"/>
        <v>#NAME?</v>
      </c>
      <c r="AT238" s="315" t="e">
        <f t="shared" ca="1" si="200"/>
        <v>#NAME?</v>
      </c>
      <c r="AU238" s="317">
        <v>427.8</v>
      </c>
      <c r="AV238" s="315" t="e">
        <f t="shared" ca="1" si="201"/>
        <v>#NAME?</v>
      </c>
      <c r="AW238" s="318" t="e">
        <f ca="1">0.0001*BicubicInterpolation('Drag Coef Table'!$B$4:$L$28,AV238,AC238)</f>
        <v>#NAME?</v>
      </c>
      <c r="AX238" s="319" t="e">
        <f t="shared" ca="1" si="202"/>
        <v>#NAME?</v>
      </c>
      <c r="AY238" s="318" t="e">
        <f t="shared" ca="1" si="203"/>
        <v>#NAME?</v>
      </c>
      <c r="AZ238" s="320" t="e">
        <f t="shared" ca="1" si="204"/>
        <v>#NAME?</v>
      </c>
      <c r="BA238" s="321" t="e">
        <f t="shared" ca="1" si="205"/>
        <v>#NAME?</v>
      </c>
      <c r="BB238" s="322" t="e">
        <f t="shared" ca="1" si="206"/>
        <v>#NAME?</v>
      </c>
      <c r="BC238" s="323">
        <v>75.196700000000007</v>
      </c>
      <c r="BD238" s="324" t="e">
        <f t="shared" ca="1" si="207"/>
        <v>#NAME?</v>
      </c>
      <c r="BE238" s="325" t="e">
        <f t="shared" ca="1" si="208"/>
        <v>#NAME?</v>
      </c>
      <c r="BF238" s="324" t="e">
        <f ca="1">BicubicInterpolation('TSFC Eff Table'!$B$4:$E$69,2,BB238)</f>
        <v>#NAME?</v>
      </c>
      <c r="BG238" s="326" t="e">
        <f t="shared" ca="1" si="209"/>
        <v>#NAME?</v>
      </c>
      <c r="BH238" s="694" t="e">
        <f ca="1">IF( S238="LRCINOP",   (1+(0.03/10)*Z238*(1+0.2*AC238^2) )*BicubicInterpolation( 'LRC INOP FF'!$C$4:$AA$21, Y238, U238 )-200, IF(S238 ="HOLDINGINOP", (1+(0.03/10)*Z238*(1+0.2*AC238^2) )*BicubicInterpolation( 'Holding INOP FF'!$C$4:$J$13,  Y238,  U238)/1.05-200,   BA238*BG238))</f>
        <v>#NAME?</v>
      </c>
      <c r="BI238" s="344" t="e">
        <f t="shared" ca="1" si="168"/>
        <v>#NAME?</v>
      </c>
      <c r="BJ238" s="322" t="e">
        <f t="shared" ca="1" si="210"/>
        <v>#NAME?</v>
      </c>
      <c r="BK238" s="338" t="e">
        <f t="shared" ca="1" si="169"/>
        <v>#NAME?</v>
      </c>
      <c r="BL238" s="327" t="e">
        <f t="shared" ca="1" si="211"/>
        <v>#NAME?</v>
      </c>
      <c r="BM238" s="328">
        <f t="shared" si="212"/>
        <v>200</v>
      </c>
      <c r="BN238" s="329" t="e">
        <f t="shared" ca="1" si="213"/>
        <v>#NAME?</v>
      </c>
      <c r="BO238" s="344" t="e">
        <f t="shared" ca="1" si="170"/>
        <v>#NAME?</v>
      </c>
      <c r="BP238" s="320" t="e">
        <f t="shared" ca="1" si="214"/>
        <v>#NAME?</v>
      </c>
      <c r="BQ238" s="344" t="e">
        <f t="shared" ca="1" si="171"/>
        <v>#NAME?</v>
      </c>
      <c r="BR238" s="347" t="e">
        <f t="shared" ca="1" si="172"/>
        <v>#NAME?</v>
      </c>
      <c r="BS238" s="326" t="e">
        <f t="shared" ca="1" si="215"/>
        <v>#NAME?</v>
      </c>
      <c r="BT238" s="437" t="e">
        <f t="shared" ca="1" si="185"/>
        <v>#NAME?</v>
      </c>
      <c r="BU238" s="437" t="e">
        <f t="shared" ca="1" si="186"/>
        <v>#NAME?</v>
      </c>
      <c r="BV238" s="441" t="e">
        <f t="shared" ca="1" si="187"/>
        <v>#NAME?</v>
      </c>
      <c r="BW238" s="442" t="e">
        <f t="shared" ca="1" si="188"/>
        <v>#NAME?</v>
      </c>
      <c r="BX238" s="470" t="e">
        <f t="shared" ca="1" si="161"/>
        <v>#NAME?</v>
      </c>
      <c r="BY238" s="484" t="e">
        <f t="shared" ca="1" si="173"/>
        <v>#NAME?</v>
      </c>
    </row>
    <row r="239" spans="9:78" ht="17.75" customHeight="1" x14ac:dyDescent="0.2">
      <c r="I239" s="366">
        <v>155</v>
      </c>
      <c r="J239" s="414">
        <f t="shared" si="174"/>
        <v>41705.820138889241</v>
      </c>
      <c r="K239" s="435" t="e">
        <f t="shared" ca="1" si="175"/>
        <v>#NAME?</v>
      </c>
      <c r="L239" s="435" t="e">
        <f t="shared" ca="1" si="162"/>
        <v>#NAME?</v>
      </c>
      <c r="M239" s="664" t="e">
        <f t="shared" ca="1" si="216"/>
        <v>#NAME?</v>
      </c>
      <c r="N239" s="664" t="e">
        <f t="shared" ca="1" si="217"/>
        <v>#NAME?</v>
      </c>
      <c r="O239" s="140" t="e">
        <f t="shared" ca="1" si="163"/>
        <v>#NAME?</v>
      </c>
      <c r="P239" s="352" t="e">
        <f t="shared" ca="1" si="176"/>
        <v>#NAME?</v>
      </c>
      <c r="Q239" s="665" t="e">
        <f t="shared" ca="1" si="156"/>
        <v>#NAME?</v>
      </c>
      <c r="R239" s="352" t="e">
        <f t="shared" ca="1" si="189"/>
        <v>#NAME?</v>
      </c>
      <c r="S239" s="662" t="e">
        <f t="shared" ca="1" si="164"/>
        <v>#NAME?</v>
      </c>
      <c r="T239" s="443" t="e">
        <f t="shared" ca="1" si="157"/>
        <v>#NAME?</v>
      </c>
      <c r="U239" s="369" t="e">
        <f t="shared" ca="1" si="158"/>
        <v>#NAME?</v>
      </c>
      <c r="V239" s="454" t="e">
        <f t="shared" ca="1" si="165"/>
        <v>#NAME?</v>
      </c>
      <c r="W239" s="457">
        <f t="shared" si="166"/>
        <v>1000</v>
      </c>
      <c r="X239" s="463" t="e">
        <f t="shared" ca="1" si="167"/>
        <v>#NAME?</v>
      </c>
      <c r="Y239" s="455" t="e">
        <f t="shared" ca="1" si="177"/>
        <v>#NAME?</v>
      </c>
      <c r="Z239" s="699">
        <f t="shared" si="159"/>
        <v>8.5</v>
      </c>
      <c r="AA239" s="355" t="str">
        <f t="shared" si="160"/>
        <v>ON</v>
      </c>
      <c r="AB239" s="357">
        <f t="shared" si="190"/>
        <v>1.4999999999999999E-2</v>
      </c>
      <c r="AC239" s="356" t="e">
        <f ca="1">IF(  Y238=0,0,IF(OR(S239="KCAS",S239="INOP",S239="MEFE"),   ( (5*( (   (((1+0.2*(T239/661.4786)^2)^3.5 -1)  )/( (1-6.8755856*10^-6 *100*Y239)^5.2558797) +1)^(2/7) -1) )^0.5),IF(S239="MACH",T239, IF(S239="LRC",BicubicInterpolation( 'LRC Mach'!$C$4:$AL$21, Y239,U239),  IF(S239="MRC",BicubicInterpolation( 'MRC Mach'!$C$3:$T$18, Y239,U239),  IF(S239="M0.84",0.84,  IF(S239="CI52",BicubicInterpolation('CI=52 Mach'!$C$3:$T$18, Y239,U239),  IF(S239="HOLDING",BicubicInterpolation(  'Holding Mach'!$C$4:$M$13, Y239,U239),                         IF(S239="LRCINOP", BicubicInterpolation('LRC INOP Mach'!$C$4:$AA$21,Y239,U239), IF(S239="HOLDINGINOP",  BicubicInterpolation('Holding INOP Mach'!$N$4:$U$13,Y239,U239),         "XXX" )))))))   )))</f>
        <v>#NAME?</v>
      </c>
      <c r="AD239" s="313" t="e">
        <f t="shared" ca="1" si="191"/>
        <v>#NAME?</v>
      </c>
      <c r="AE239" s="314" t="e">
        <f t="shared" ca="1" si="178"/>
        <v>#NAME?</v>
      </c>
      <c r="AF239" s="313" t="e">
        <f t="shared" ca="1" si="192"/>
        <v>#NAME?</v>
      </c>
      <c r="AG239" s="314" t="e">
        <f t="shared" ca="1" si="179"/>
        <v>#NAME?</v>
      </c>
      <c r="AH239" s="313" t="e">
        <f t="shared" ca="1" si="193"/>
        <v>#NAME?</v>
      </c>
      <c r="AI239" s="314" t="e">
        <f t="shared" ca="1" si="180"/>
        <v>#NAME?</v>
      </c>
      <c r="AJ239" s="315" t="e">
        <f t="shared" ca="1" si="181"/>
        <v>#NAME?</v>
      </c>
      <c r="AK239" s="568" t="e">
        <f t="shared" ca="1" si="194"/>
        <v>#NAME?</v>
      </c>
      <c r="AL239" s="313" t="e">
        <f t="shared" ca="1" si="195"/>
        <v>#NAME?</v>
      </c>
      <c r="AM239" s="313" t="e">
        <f t="shared" ca="1" si="182"/>
        <v>#NAME?</v>
      </c>
      <c r="AN239" s="313" t="e">
        <f t="shared" ca="1" si="183"/>
        <v>#NAME?</v>
      </c>
      <c r="AO239" s="316" t="e">
        <f t="shared" ca="1" si="196"/>
        <v>#NAME?</v>
      </c>
      <c r="AP239" s="313" t="e">
        <f t="shared" ca="1" si="197"/>
        <v>#NAME?</v>
      </c>
      <c r="AQ239" s="314" t="e">
        <f t="shared" ca="1" si="184"/>
        <v>#NAME?</v>
      </c>
      <c r="AR239" s="315" t="e">
        <f t="shared" ca="1" si="198"/>
        <v>#NAME?</v>
      </c>
      <c r="AS239" s="316" t="e">
        <f t="shared" ca="1" si="199"/>
        <v>#NAME?</v>
      </c>
      <c r="AT239" s="315" t="e">
        <f t="shared" ca="1" si="200"/>
        <v>#NAME?</v>
      </c>
      <c r="AU239" s="317">
        <v>427.8</v>
      </c>
      <c r="AV239" s="315" t="e">
        <f t="shared" ca="1" si="201"/>
        <v>#NAME?</v>
      </c>
      <c r="AW239" s="318" t="e">
        <f ca="1">0.0001*BicubicInterpolation('Drag Coef Table'!$B$4:$L$28,AV239,AC239)</f>
        <v>#NAME?</v>
      </c>
      <c r="AX239" s="319" t="e">
        <f t="shared" ca="1" si="202"/>
        <v>#NAME?</v>
      </c>
      <c r="AY239" s="318" t="e">
        <f t="shared" ca="1" si="203"/>
        <v>#NAME?</v>
      </c>
      <c r="AZ239" s="320" t="e">
        <f t="shared" ca="1" si="204"/>
        <v>#NAME?</v>
      </c>
      <c r="BA239" s="321" t="e">
        <f t="shared" ca="1" si="205"/>
        <v>#NAME?</v>
      </c>
      <c r="BB239" s="322" t="e">
        <f t="shared" ca="1" si="206"/>
        <v>#NAME?</v>
      </c>
      <c r="BC239" s="323">
        <v>75.196700000000007</v>
      </c>
      <c r="BD239" s="324" t="e">
        <f t="shared" ca="1" si="207"/>
        <v>#NAME?</v>
      </c>
      <c r="BE239" s="325" t="e">
        <f t="shared" ca="1" si="208"/>
        <v>#NAME?</v>
      </c>
      <c r="BF239" s="324" t="e">
        <f ca="1">BicubicInterpolation('TSFC Eff Table'!$B$4:$E$69,2,BB239)</f>
        <v>#NAME?</v>
      </c>
      <c r="BG239" s="326" t="e">
        <f t="shared" ca="1" si="209"/>
        <v>#NAME?</v>
      </c>
      <c r="BH239" s="694" t="e">
        <f ca="1">IF( S239="LRCINOP",   (1+(0.03/10)*Z239*(1+0.2*AC239^2) )*BicubicInterpolation( 'LRC INOP FF'!$C$4:$AA$21, Y239, U239 )-200, IF(S239 ="HOLDINGINOP", (1+(0.03/10)*Z239*(1+0.2*AC239^2) )*BicubicInterpolation( 'Holding INOP FF'!$C$4:$J$13,  Y239,  U239)/1.05-200,   BA239*BG239))</f>
        <v>#NAME?</v>
      </c>
      <c r="BI239" s="344" t="e">
        <f t="shared" ca="1" si="168"/>
        <v>#NAME?</v>
      </c>
      <c r="BJ239" s="322" t="e">
        <f t="shared" ca="1" si="210"/>
        <v>#NAME?</v>
      </c>
      <c r="BK239" s="338" t="e">
        <f t="shared" ca="1" si="169"/>
        <v>#NAME?</v>
      </c>
      <c r="BL239" s="327" t="e">
        <f t="shared" ca="1" si="211"/>
        <v>#NAME?</v>
      </c>
      <c r="BM239" s="328">
        <f t="shared" si="212"/>
        <v>200</v>
      </c>
      <c r="BN239" s="329" t="e">
        <f t="shared" ca="1" si="213"/>
        <v>#NAME?</v>
      </c>
      <c r="BO239" s="344" t="e">
        <f t="shared" ca="1" si="170"/>
        <v>#NAME?</v>
      </c>
      <c r="BP239" s="320" t="e">
        <f t="shared" ca="1" si="214"/>
        <v>#NAME?</v>
      </c>
      <c r="BQ239" s="344" t="e">
        <f t="shared" ca="1" si="171"/>
        <v>#NAME?</v>
      </c>
      <c r="BR239" s="347" t="e">
        <f t="shared" ca="1" si="172"/>
        <v>#NAME?</v>
      </c>
      <c r="BS239" s="326" t="e">
        <f t="shared" ca="1" si="215"/>
        <v>#NAME?</v>
      </c>
      <c r="BT239" s="437" t="e">
        <f t="shared" ca="1" si="185"/>
        <v>#NAME?</v>
      </c>
      <c r="BU239" s="437" t="e">
        <f t="shared" ca="1" si="186"/>
        <v>#NAME?</v>
      </c>
      <c r="BV239" s="441" t="e">
        <f t="shared" ca="1" si="187"/>
        <v>#NAME?</v>
      </c>
      <c r="BW239" s="442" t="e">
        <f t="shared" ca="1" si="188"/>
        <v>#NAME?</v>
      </c>
      <c r="BX239" s="470" t="e">
        <f t="shared" ca="1" si="161"/>
        <v>#NAME?</v>
      </c>
      <c r="BY239" s="484" t="e">
        <f t="shared" ca="1" si="173"/>
        <v>#NAME?</v>
      </c>
    </row>
    <row r="240" spans="9:78" s="177" customFormat="1" ht="17.75" customHeight="1" x14ac:dyDescent="0.2">
      <c r="I240" s="366">
        <v>156</v>
      </c>
      <c r="J240" s="414">
        <f t="shared" si="174"/>
        <v>41705.820833333688</v>
      </c>
      <c r="K240" s="435" t="e">
        <f t="shared" ca="1" si="175"/>
        <v>#NAME?</v>
      </c>
      <c r="L240" s="435" t="e">
        <f t="shared" ca="1" si="162"/>
        <v>#NAME?</v>
      </c>
      <c r="M240" s="664" t="e">
        <f t="shared" ca="1" si="216"/>
        <v>#NAME?</v>
      </c>
      <c r="N240" s="664" t="e">
        <f t="shared" ca="1" si="217"/>
        <v>#NAME?</v>
      </c>
      <c r="O240" s="140" t="e">
        <f t="shared" ca="1" si="163"/>
        <v>#NAME?</v>
      </c>
      <c r="P240" s="352" t="e">
        <f t="shared" ca="1" si="176"/>
        <v>#NAME?</v>
      </c>
      <c r="Q240" s="665" t="e">
        <f t="shared" ca="1" si="156"/>
        <v>#NAME?</v>
      </c>
      <c r="R240" s="352" t="e">
        <f t="shared" ca="1" si="189"/>
        <v>#NAME?</v>
      </c>
      <c r="S240" s="662" t="e">
        <f t="shared" ca="1" si="164"/>
        <v>#NAME?</v>
      </c>
      <c r="T240" s="443" t="e">
        <f t="shared" ca="1" si="157"/>
        <v>#NAME?</v>
      </c>
      <c r="U240" s="369" t="e">
        <f t="shared" ca="1" si="158"/>
        <v>#NAME?</v>
      </c>
      <c r="V240" s="454" t="e">
        <f t="shared" ca="1" si="165"/>
        <v>#NAME?</v>
      </c>
      <c r="W240" s="457">
        <f t="shared" si="166"/>
        <v>1000</v>
      </c>
      <c r="X240" s="463" t="e">
        <f t="shared" ca="1" si="167"/>
        <v>#NAME?</v>
      </c>
      <c r="Y240" s="455" t="e">
        <f t="shared" ca="1" si="177"/>
        <v>#NAME?</v>
      </c>
      <c r="Z240" s="699">
        <f t="shared" si="159"/>
        <v>8.5</v>
      </c>
      <c r="AA240" s="355" t="str">
        <f t="shared" si="160"/>
        <v>ON</v>
      </c>
      <c r="AB240" s="357">
        <f t="shared" si="190"/>
        <v>1.4999999999999999E-2</v>
      </c>
      <c r="AC240" s="356" t="e">
        <f ca="1">IF(  Y239=0,0,IF(OR(S240="KCAS",S240="INOP",S240="MEFE"),   ( (5*( (   (((1+0.2*(T240/661.4786)^2)^3.5 -1)  )/( (1-6.8755856*10^-6 *100*Y240)^5.2558797) +1)^(2/7) -1) )^0.5),IF(S240="MACH",T240, IF(S240="LRC",BicubicInterpolation( 'LRC Mach'!$C$4:$AL$21, Y240,U240),  IF(S240="MRC",BicubicInterpolation( 'MRC Mach'!$C$3:$T$18, Y240,U240),  IF(S240="M0.84",0.84,  IF(S240="CI52",BicubicInterpolation('CI=52 Mach'!$C$3:$T$18, Y240,U240),  IF(S240="HOLDING",BicubicInterpolation(  'Holding Mach'!$C$4:$M$13, Y240,U240),                         IF(S240="LRCINOP", BicubicInterpolation('LRC INOP Mach'!$C$4:$AA$21,Y240,U240), IF(S240="HOLDINGINOP",  BicubicInterpolation('Holding INOP Mach'!$N$4:$U$13,Y240,U240),         "XXX" )))))))   )))</f>
        <v>#NAME?</v>
      </c>
      <c r="AD240" s="313" t="e">
        <f t="shared" ca="1" si="191"/>
        <v>#NAME?</v>
      </c>
      <c r="AE240" s="314" t="e">
        <f t="shared" ca="1" si="178"/>
        <v>#NAME?</v>
      </c>
      <c r="AF240" s="313" t="e">
        <f t="shared" ca="1" si="192"/>
        <v>#NAME?</v>
      </c>
      <c r="AG240" s="314" t="e">
        <f t="shared" ca="1" si="179"/>
        <v>#NAME?</v>
      </c>
      <c r="AH240" s="313" t="e">
        <f t="shared" ca="1" si="193"/>
        <v>#NAME?</v>
      </c>
      <c r="AI240" s="314" t="e">
        <f t="shared" ca="1" si="180"/>
        <v>#NAME?</v>
      </c>
      <c r="AJ240" s="315" t="e">
        <f t="shared" ca="1" si="181"/>
        <v>#NAME?</v>
      </c>
      <c r="AK240" s="568" t="e">
        <f t="shared" ca="1" si="194"/>
        <v>#NAME?</v>
      </c>
      <c r="AL240" s="313" t="e">
        <f t="shared" ca="1" si="195"/>
        <v>#NAME?</v>
      </c>
      <c r="AM240" s="313" t="e">
        <f t="shared" ca="1" si="182"/>
        <v>#NAME?</v>
      </c>
      <c r="AN240" s="313" t="e">
        <f t="shared" ca="1" si="183"/>
        <v>#NAME?</v>
      </c>
      <c r="AO240" s="316" t="e">
        <f t="shared" ca="1" si="196"/>
        <v>#NAME?</v>
      </c>
      <c r="AP240" s="313" t="e">
        <f t="shared" ca="1" si="197"/>
        <v>#NAME?</v>
      </c>
      <c r="AQ240" s="314" t="e">
        <f t="shared" ca="1" si="184"/>
        <v>#NAME?</v>
      </c>
      <c r="AR240" s="315" t="e">
        <f t="shared" ca="1" si="198"/>
        <v>#NAME?</v>
      </c>
      <c r="AS240" s="316" t="e">
        <f t="shared" ca="1" si="199"/>
        <v>#NAME?</v>
      </c>
      <c r="AT240" s="315" t="e">
        <f t="shared" ca="1" si="200"/>
        <v>#NAME?</v>
      </c>
      <c r="AU240" s="317">
        <v>427.8</v>
      </c>
      <c r="AV240" s="315" t="e">
        <f t="shared" ca="1" si="201"/>
        <v>#NAME?</v>
      </c>
      <c r="AW240" s="318" t="e">
        <f ca="1">0.0001*BicubicInterpolation('Drag Coef Table'!$B$4:$L$28,AV240,AC240)</f>
        <v>#NAME?</v>
      </c>
      <c r="AX240" s="319" t="e">
        <f t="shared" ca="1" si="202"/>
        <v>#NAME?</v>
      </c>
      <c r="AY240" s="318" t="e">
        <f t="shared" ca="1" si="203"/>
        <v>#NAME?</v>
      </c>
      <c r="AZ240" s="320" t="e">
        <f t="shared" ca="1" si="204"/>
        <v>#NAME?</v>
      </c>
      <c r="BA240" s="321" t="e">
        <f t="shared" ca="1" si="205"/>
        <v>#NAME?</v>
      </c>
      <c r="BB240" s="322" t="e">
        <f t="shared" ca="1" si="206"/>
        <v>#NAME?</v>
      </c>
      <c r="BC240" s="323">
        <v>75.196700000000007</v>
      </c>
      <c r="BD240" s="324" t="e">
        <f t="shared" ca="1" si="207"/>
        <v>#NAME?</v>
      </c>
      <c r="BE240" s="325" t="e">
        <f t="shared" ca="1" si="208"/>
        <v>#NAME?</v>
      </c>
      <c r="BF240" s="324" t="e">
        <f ca="1">BicubicInterpolation('TSFC Eff Table'!$B$4:$E$69,2,BB240)</f>
        <v>#NAME?</v>
      </c>
      <c r="BG240" s="326" t="e">
        <f t="shared" ca="1" si="209"/>
        <v>#NAME?</v>
      </c>
      <c r="BH240" s="694" t="e">
        <f ca="1">IF( S240="LRCINOP",   (1+(0.03/10)*Z240*(1+0.2*AC240^2) )*BicubicInterpolation( 'LRC INOP FF'!$C$4:$AA$21, Y240, U240 )-200, IF(S240 ="HOLDINGINOP", (1+(0.03/10)*Z240*(1+0.2*AC240^2) )*BicubicInterpolation( 'Holding INOP FF'!$C$4:$J$13,  Y240,  U240)/1.05-200,   BA240*BG240))</f>
        <v>#NAME?</v>
      </c>
      <c r="BI240" s="344" t="e">
        <f t="shared" ca="1" si="168"/>
        <v>#NAME?</v>
      </c>
      <c r="BJ240" s="322" t="e">
        <f t="shared" ca="1" si="210"/>
        <v>#NAME?</v>
      </c>
      <c r="BK240" s="338" t="e">
        <f t="shared" ca="1" si="169"/>
        <v>#NAME?</v>
      </c>
      <c r="BL240" s="327" t="e">
        <f t="shared" ca="1" si="211"/>
        <v>#NAME?</v>
      </c>
      <c r="BM240" s="328">
        <f t="shared" si="212"/>
        <v>200</v>
      </c>
      <c r="BN240" s="329" t="e">
        <f t="shared" ca="1" si="213"/>
        <v>#NAME?</v>
      </c>
      <c r="BO240" s="344" t="e">
        <f t="shared" ca="1" si="170"/>
        <v>#NAME?</v>
      </c>
      <c r="BP240" s="320" t="e">
        <f t="shared" ca="1" si="214"/>
        <v>#NAME?</v>
      </c>
      <c r="BQ240" s="344" t="e">
        <f t="shared" ca="1" si="171"/>
        <v>#NAME?</v>
      </c>
      <c r="BR240" s="347" t="e">
        <f t="shared" ca="1" si="172"/>
        <v>#NAME?</v>
      </c>
      <c r="BS240" s="326" t="e">
        <f t="shared" ca="1" si="215"/>
        <v>#NAME?</v>
      </c>
      <c r="BT240" s="437" t="e">
        <f t="shared" ca="1" si="185"/>
        <v>#NAME?</v>
      </c>
      <c r="BU240" s="437" t="e">
        <f t="shared" ca="1" si="186"/>
        <v>#NAME?</v>
      </c>
      <c r="BV240" s="441" t="e">
        <f t="shared" ca="1" si="187"/>
        <v>#NAME?</v>
      </c>
      <c r="BW240" s="442" t="e">
        <f t="shared" ca="1" si="188"/>
        <v>#NAME?</v>
      </c>
      <c r="BX240" s="470" t="e">
        <f t="shared" ca="1" si="161"/>
        <v>#NAME?</v>
      </c>
      <c r="BY240" s="484" t="e">
        <f t="shared" ca="1" si="173"/>
        <v>#NAME?</v>
      </c>
      <c r="BZ240" s="176"/>
    </row>
    <row r="241" spans="9:78" s="177" customFormat="1" ht="17.75" customHeight="1" x14ac:dyDescent="0.2">
      <c r="I241" s="366">
        <v>157</v>
      </c>
      <c r="J241" s="414">
        <f t="shared" si="174"/>
        <v>41705.821527778135</v>
      </c>
      <c r="K241" s="435" t="e">
        <f t="shared" ca="1" si="175"/>
        <v>#NAME?</v>
      </c>
      <c r="L241" s="435" t="e">
        <f t="shared" ca="1" si="162"/>
        <v>#NAME?</v>
      </c>
      <c r="M241" s="664" t="e">
        <f t="shared" ca="1" si="216"/>
        <v>#NAME?</v>
      </c>
      <c r="N241" s="664" t="e">
        <f t="shared" ca="1" si="217"/>
        <v>#NAME?</v>
      </c>
      <c r="O241" s="140" t="e">
        <f t="shared" ca="1" si="163"/>
        <v>#NAME?</v>
      </c>
      <c r="P241" s="352" t="e">
        <f t="shared" ca="1" si="176"/>
        <v>#NAME?</v>
      </c>
      <c r="Q241" s="665" t="e">
        <f t="shared" ca="1" si="156"/>
        <v>#NAME?</v>
      </c>
      <c r="R241" s="352" t="e">
        <f t="shared" ca="1" si="189"/>
        <v>#NAME?</v>
      </c>
      <c r="S241" s="662" t="e">
        <f t="shared" ca="1" si="164"/>
        <v>#NAME?</v>
      </c>
      <c r="T241" s="443" t="e">
        <f t="shared" ca="1" si="157"/>
        <v>#NAME?</v>
      </c>
      <c r="U241" s="369" t="e">
        <f t="shared" ca="1" si="158"/>
        <v>#NAME?</v>
      </c>
      <c r="V241" s="454" t="e">
        <f t="shared" ca="1" si="165"/>
        <v>#NAME?</v>
      </c>
      <c r="W241" s="457">
        <f t="shared" si="166"/>
        <v>1000</v>
      </c>
      <c r="X241" s="463" t="e">
        <f t="shared" ca="1" si="167"/>
        <v>#NAME?</v>
      </c>
      <c r="Y241" s="455" t="e">
        <f t="shared" ca="1" si="177"/>
        <v>#NAME?</v>
      </c>
      <c r="Z241" s="699">
        <f t="shared" si="159"/>
        <v>8.5</v>
      </c>
      <c r="AA241" s="355" t="str">
        <f t="shared" si="160"/>
        <v>ON</v>
      </c>
      <c r="AB241" s="357">
        <f t="shared" si="190"/>
        <v>1.4999999999999999E-2</v>
      </c>
      <c r="AC241" s="356" t="e">
        <f ca="1">IF(  Y240=0,0,IF(OR(S241="KCAS",S241="INOP",S241="MEFE"),   ( (5*( (   (((1+0.2*(T241/661.4786)^2)^3.5 -1)  )/( (1-6.8755856*10^-6 *100*Y241)^5.2558797) +1)^(2/7) -1) )^0.5),IF(S241="MACH",T241, IF(S241="LRC",BicubicInterpolation( 'LRC Mach'!$C$4:$AL$21, Y241,U241),  IF(S241="MRC",BicubicInterpolation( 'MRC Mach'!$C$3:$T$18, Y241,U241),  IF(S241="M0.84",0.84,  IF(S241="CI52",BicubicInterpolation('CI=52 Mach'!$C$3:$T$18, Y241,U241),  IF(S241="HOLDING",BicubicInterpolation(  'Holding Mach'!$C$4:$M$13, Y241,U241),                         IF(S241="LRCINOP", BicubicInterpolation('LRC INOP Mach'!$C$4:$AA$21,Y241,U241), IF(S241="HOLDINGINOP",  BicubicInterpolation('Holding INOP Mach'!$N$4:$U$13,Y241,U241),         "XXX" )))))))   )))</f>
        <v>#NAME?</v>
      </c>
      <c r="AD241" s="313" t="e">
        <f t="shared" ca="1" si="191"/>
        <v>#NAME?</v>
      </c>
      <c r="AE241" s="314" t="e">
        <f t="shared" ca="1" si="178"/>
        <v>#NAME?</v>
      </c>
      <c r="AF241" s="313" t="e">
        <f t="shared" ca="1" si="192"/>
        <v>#NAME?</v>
      </c>
      <c r="AG241" s="314" t="e">
        <f t="shared" ca="1" si="179"/>
        <v>#NAME?</v>
      </c>
      <c r="AH241" s="313" t="e">
        <f t="shared" ca="1" si="193"/>
        <v>#NAME?</v>
      </c>
      <c r="AI241" s="314" t="e">
        <f t="shared" ca="1" si="180"/>
        <v>#NAME?</v>
      </c>
      <c r="AJ241" s="315" t="e">
        <f t="shared" ca="1" si="181"/>
        <v>#NAME?</v>
      </c>
      <c r="AK241" s="568" t="e">
        <f t="shared" ca="1" si="194"/>
        <v>#NAME?</v>
      </c>
      <c r="AL241" s="313" t="e">
        <f t="shared" ca="1" si="195"/>
        <v>#NAME?</v>
      </c>
      <c r="AM241" s="313" t="e">
        <f t="shared" ca="1" si="182"/>
        <v>#NAME?</v>
      </c>
      <c r="AN241" s="313" t="e">
        <f t="shared" ca="1" si="183"/>
        <v>#NAME?</v>
      </c>
      <c r="AO241" s="316" t="e">
        <f t="shared" ca="1" si="196"/>
        <v>#NAME?</v>
      </c>
      <c r="AP241" s="313" t="e">
        <f t="shared" ca="1" si="197"/>
        <v>#NAME?</v>
      </c>
      <c r="AQ241" s="314" t="e">
        <f t="shared" ca="1" si="184"/>
        <v>#NAME?</v>
      </c>
      <c r="AR241" s="315" t="e">
        <f t="shared" ca="1" si="198"/>
        <v>#NAME?</v>
      </c>
      <c r="AS241" s="316" t="e">
        <f t="shared" ca="1" si="199"/>
        <v>#NAME?</v>
      </c>
      <c r="AT241" s="315" t="e">
        <f t="shared" ca="1" si="200"/>
        <v>#NAME?</v>
      </c>
      <c r="AU241" s="317">
        <v>427.8</v>
      </c>
      <c r="AV241" s="315" t="e">
        <f t="shared" ca="1" si="201"/>
        <v>#NAME?</v>
      </c>
      <c r="AW241" s="318" t="e">
        <f ca="1">0.0001*BicubicInterpolation('Drag Coef Table'!$B$4:$L$28,AV241,AC241)</f>
        <v>#NAME?</v>
      </c>
      <c r="AX241" s="319" t="e">
        <f t="shared" ca="1" si="202"/>
        <v>#NAME?</v>
      </c>
      <c r="AY241" s="318" t="e">
        <f t="shared" ca="1" si="203"/>
        <v>#NAME?</v>
      </c>
      <c r="AZ241" s="320" t="e">
        <f t="shared" ca="1" si="204"/>
        <v>#NAME?</v>
      </c>
      <c r="BA241" s="321" t="e">
        <f t="shared" ca="1" si="205"/>
        <v>#NAME?</v>
      </c>
      <c r="BB241" s="322" t="e">
        <f t="shared" ca="1" si="206"/>
        <v>#NAME?</v>
      </c>
      <c r="BC241" s="323">
        <v>75.196700000000007</v>
      </c>
      <c r="BD241" s="324" t="e">
        <f t="shared" ca="1" si="207"/>
        <v>#NAME?</v>
      </c>
      <c r="BE241" s="325" t="e">
        <f t="shared" ca="1" si="208"/>
        <v>#NAME?</v>
      </c>
      <c r="BF241" s="324" t="e">
        <f ca="1">BicubicInterpolation('TSFC Eff Table'!$B$4:$E$69,2,BB241)</f>
        <v>#NAME?</v>
      </c>
      <c r="BG241" s="326" t="e">
        <f t="shared" ca="1" si="209"/>
        <v>#NAME?</v>
      </c>
      <c r="BH241" s="694" t="e">
        <f ca="1">IF( S241="LRCINOP",   (1+(0.03/10)*Z241*(1+0.2*AC241^2) )*BicubicInterpolation( 'LRC INOP FF'!$C$4:$AA$21, Y241, U241 )-200, IF(S241 ="HOLDINGINOP", (1+(0.03/10)*Z241*(1+0.2*AC241^2) )*BicubicInterpolation( 'Holding INOP FF'!$C$4:$J$13,  Y241,  U241)/1.05-200,   BA241*BG241))</f>
        <v>#NAME?</v>
      </c>
      <c r="BI241" s="344" t="e">
        <f t="shared" ca="1" si="168"/>
        <v>#NAME?</v>
      </c>
      <c r="BJ241" s="322" t="e">
        <f t="shared" ca="1" si="210"/>
        <v>#NAME?</v>
      </c>
      <c r="BK241" s="338" t="e">
        <f t="shared" ca="1" si="169"/>
        <v>#NAME?</v>
      </c>
      <c r="BL241" s="327" t="e">
        <f t="shared" ca="1" si="211"/>
        <v>#NAME?</v>
      </c>
      <c r="BM241" s="328">
        <f t="shared" si="212"/>
        <v>200</v>
      </c>
      <c r="BN241" s="329" t="e">
        <f t="shared" ca="1" si="213"/>
        <v>#NAME?</v>
      </c>
      <c r="BO241" s="344" t="e">
        <f t="shared" ca="1" si="170"/>
        <v>#NAME?</v>
      </c>
      <c r="BP241" s="320" t="e">
        <f t="shared" ca="1" si="214"/>
        <v>#NAME?</v>
      </c>
      <c r="BQ241" s="344" t="e">
        <f t="shared" ca="1" si="171"/>
        <v>#NAME?</v>
      </c>
      <c r="BR241" s="347" t="e">
        <f t="shared" ca="1" si="172"/>
        <v>#NAME?</v>
      </c>
      <c r="BS241" s="326" t="e">
        <f t="shared" ca="1" si="215"/>
        <v>#NAME?</v>
      </c>
      <c r="BT241" s="437" t="e">
        <f t="shared" ca="1" si="185"/>
        <v>#NAME?</v>
      </c>
      <c r="BU241" s="437" t="e">
        <f t="shared" ca="1" si="186"/>
        <v>#NAME?</v>
      </c>
      <c r="BV241" s="441" t="e">
        <f t="shared" ca="1" si="187"/>
        <v>#NAME?</v>
      </c>
      <c r="BW241" s="442" t="e">
        <f t="shared" ca="1" si="188"/>
        <v>#NAME?</v>
      </c>
      <c r="BX241" s="470" t="e">
        <f t="shared" ca="1" si="161"/>
        <v>#NAME?</v>
      </c>
      <c r="BY241" s="484" t="e">
        <f t="shared" ca="1" si="173"/>
        <v>#NAME?</v>
      </c>
      <c r="BZ241" s="176"/>
    </row>
    <row r="242" spans="9:78" s="177" customFormat="1" ht="17.75" customHeight="1" x14ac:dyDescent="0.2">
      <c r="I242" s="366">
        <v>158</v>
      </c>
      <c r="J242" s="414">
        <f t="shared" si="174"/>
        <v>41705.822222222581</v>
      </c>
      <c r="K242" s="435" t="e">
        <f t="shared" ca="1" si="175"/>
        <v>#NAME?</v>
      </c>
      <c r="L242" s="435" t="e">
        <f t="shared" ca="1" si="162"/>
        <v>#NAME?</v>
      </c>
      <c r="M242" s="664" t="e">
        <f t="shared" ca="1" si="216"/>
        <v>#NAME?</v>
      </c>
      <c r="N242" s="664" t="e">
        <f t="shared" ca="1" si="217"/>
        <v>#NAME?</v>
      </c>
      <c r="O242" s="140" t="e">
        <f t="shared" ca="1" si="163"/>
        <v>#NAME?</v>
      </c>
      <c r="P242" s="352" t="e">
        <f t="shared" ca="1" si="176"/>
        <v>#NAME?</v>
      </c>
      <c r="Q242" s="665" t="e">
        <f t="shared" ca="1" si="156"/>
        <v>#NAME?</v>
      </c>
      <c r="R242" s="352" t="e">
        <f t="shared" ca="1" si="189"/>
        <v>#NAME?</v>
      </c>
      <c r="S242" s="662" t="e">
        <f t="shared" ca="1" si="164"/>
        <v>#NAME?</v>
      </c>
      <c r="T242" s="443" t="e">
        <f t="shared" ca="1" si="157"/>
        <v>#NAME?</v>
      </c>
      <c r="U242" s="369" t="e">
        <f t="shared" ca="1" si="158"/>
        <v>#NAME?</v>
      </c>
      <c r="V242" s="454" t="e">
        <f t="shared" ca="1" si="165"/>
        <v>#NAME?</v>
      </c>
      <c r="W242" s="457">
        <f t="shared" si="166"/>
        <v>1000</v>
      </c>
      <c r="X242" s="463" t="e">
        <f t="shared" ca="1" si="167"/>
        <v>#NAME?</v>
      </c>
      <c r="Y242" s="455" t="e">
        <f t="shared" ca="1" si="177"/>
        <v>#NAME?</v>
      </c>
      <c r="Z242" s="699">
        <f t="shared" si="159"/>
        <v>8.5</v>
      </c>
      <c r="AA242" s="355" t="str">
        <f t="shared" si="160"/>
        <v>ON</v>
      </c>
      <c r="AB242" s="357">
        <f t="shared" si="190"/>
        <v>1.4999999999999999E-2</v>
      </c>
      <c r="AC242" s="356" t="e">
        <f ca="1">IF(  Y241=0,0,IF(OR(S242="KCAS",S242="INOP",S242="MEFE"),   ( (5*( (   (((1+0.2*(T242/661.4786)^2)^3.5 -1)  )/( (1-6.8755856*10^-6 *100*Y242)^5.2558797) +1)^(2/7) -1) )^0.5),IF(S242="MACH",T242, IF(S242="LRC",BicubicInterpolation( 'LRC Mach'!$C$4:$AL$21, Y242,U242),  IF(S242="MRC",BicubicInterpolation( 'MRC Mach'!$C$3:$T$18, Y242,U242),  IF(S242="M0.84",0.84,  IF(S242="CI52",BicubicInterpolation('CI=52 Mach'!$C$3:$T$18, Y242,U242),  IF(S242="HOLDING",BicubicInterpolation(  'Holding Mach'!$C$4:$M$13, Y242,U242),                         IF(S242="LRCINOP", BicubicInterpolation('LRC INOP Mach'!$C$4:$AA$21,Y242,U242), IF(S242="HOLDINGINOP",  BicubicInterpolation('Holding INOP Mach'!$N$4:$U$13,Y242,U242),         "XXX" )))))))   )))</f>
        <v>#NAME?</v>
      </c>
      <c r="AD242" s="313" t="e">
        <f t="shared" ca="1" si="191"/>
        <v>#NAME?</v>
      </c>
      <c r="AE242" s="314" t="e">
        <f t="shared" ca="1" si="178"/>
        <v>#NAME?</v>
      </c>
      <c r="AF242" s="313" t="e">
        <f t="shared" ca="1" si="192"/>
        <v>#NAME?</v>
      </c>
      <c r="AG242" s="314" t="e">
        <f t="shared" ca="1" si="179"/>
        <v>#NAME?</v>
      </c>
      <c r="AH242" s="313" t="e">
        <f t="shared" ca="1" si="193"/>
        <v>#NAME?</v>
      </c>
      <c r="AI242" s="314" t="e">
        <f t="shared" ca="1" si="180"/>
        <v>#NAME?</v>
      </c>
      <c r="AJ242" s="315" t="e">
        <f t="shared" ca="1" si="181"/>
        <v>#NAME?</v>
      </c>
      <c r="AK242" s="568" t="e">
        <f t="shared" ca="1" si="194"/>
        <v>#NAME?</v>
      </c>
      <c r="AL242" s="313" t="e">
        <f t="shared" ca="1" si="195"/>
        <v>#NAME?</v>
      </c>
      <c r="AM242" s="313" t="e">
        <f t="shared" ca="1" si="182"/>
        <v>#NAME?</v>
      </c>
      <c r="AN242" s="313" t="e">
        <f t="shared" ca="1" si="183"/>
        <v>#NAME?</v>
      </c>
      <c r="AO242" s="316" t="e">
        <f t="shared" ca="1" si="196"/>
        <v>#NAME?</v>
      </c>
      <c r="AP242" s="313" t="e">
        <f t="shared" ca="1" si="197"/>
        <v>#NAME?</v>
      </c>
      <c r="AQ242" s="314" t="e">
        <f t="shared" ca="1" si="184"/>
        <v>#NAME?</v>
      </c>
      <c r="AR242" s="315" t="e">
        <f t="shared" ca="1" si="198"/>
        <v>#NAME?</v>
      </c>
      <c r="AS242" s="316" t="e">
        <f t="shared" ca="1" si="199"/>
        <v>#NAME?</v>
      </c>
      <c r="AT242" s="315" t="e">
        <f t="shared" ca="1" si="200"/>
        <v>#NAME?</v>
      </c>
      <c r="AU242" s="317">
        <v>427.8</v>
      </c>
      <c r="AV242" s="315" t="e">
        <f t="shared" ca="1" si="201"/>
        <v>#NAME?</v>
      </c>
      <c r="AW242" s="318" t="e">
        <f ca="1">0.0001*BicubicInterpolation('Drag Coef Table'!$B$4:$L$28,AV242,AC242)</f>
        <v>#NAME?</v>
      </c>
      <c r="AX242" s="319" t="e">
        <f t="shared" ca="1" si="202"/>
        <v>#NAME?</v>
      </c>
      <c r="AY242" s="318" t="e">
        <f t="shared" ca="1" si="203"/>
        <v>#NAME?</v>
      </c>
      <c r="AZ242" s="320" t="e">
        <f t="shared" ca="1" si="204"/>
        <v>#NAME?</v>
      </c>
      <c r="BA242" s="321" t="e">
        <f t="shared" ca="1" si="205"/>
        <v>#NAME?</v>
      </c>
      <c r="BB242" s="322" t="e">
        <f t="shared" ca="1" si="206"/>
        <v>#NAME?</v>
      </c>
      <c r="BC242" s="323">
        <v>75.196700000000007</v>
      </c>
      <c r="BD242" s="324" t="e">
        <f t="shared" ca="1" si="207"/>
        <v>#NAME?</v>
      </c>
      <c r="BE242" s="325" t="e">
        <f t="shared" ca="1" si="208"/>
        <v>#NAME?</v>
      </c>
      <c r="BF242" s="324" t="e">
        <f ca="1">BicubicInterpolation('TSFC Eff Table'!$B$4:$E$69,2,BB242)</f>
        <v>#NAME?</v>
      </c>
      <c r="BG242" s="326" t="e">
        <f t="shared" ca="1" si="209"/>
        <v>#NAME?</v>
      </c>
      <c r="BH242" s="694" t="e">
        <f ca="1">IF( S242="LRCINOP",   (1+(0.03/10)*Z242*(1+0.2*AC242^2) )*BicubicInterpolation( 'LRC INOP FF'!$C$4:$AA$21, Y242, U242 )-200, IF(S242 ="HOLDINGINOP", (1+(0.03/10)*Z242*(1+0.2*AC242^2) )*BicubicInterpolation( 'Holding INOP FF'!$C$4:$J$13,  Y242,  U242)/1.05-200,   BA242*BG242))</f>
        <v>#NAME?</v>
      </c>
      <c r="BI242" s="344" t="e">
        <f t="shared" ca="1" si="168"/>
        <v>#NAME?</v>
      </c>
      <c r="BJ242" s="322" t="e">
        <f t="shared" ca="1" si="210"/>
        <v>#NAME?</v>
      </c>
      <c r="BK242" s="338" t="e">
        <f t="shared" ca="1" si="169"/>
        <v>#NAME?</v>
      </c>
      <c r="BL242" s="327" t="e">
        <f t="shared" ca="1" si="211"/>
        <v>#NAME?</v>
      </c>
      <c r="BM242" s="328">
        <f t="shared" si="212"/>
        <v>200</v>
      </c>
      <c r="BN242" s="329" t="e">
        <f t="shared" ca="1" si="213"/>
        <v>#NAME?</v>
      </c>
      <c r="BO242" s="344" t="e">
        <f t="shared" ca="1" si="170"/>
        <v>#NAME?</v>
      </c>
      <c r="BP242" s="320" t="e">
        <f t="shared" ca="1" si="214"/>
        <v>#NAME?</v>
      </c>
      <c r="BQ242" s="344" t="e">
        <f t="shared" ca="1" si="171"/>
        <v>#NAME?</v>
      </c>
      <c r="BR242" s="347" t="e">
        <f t="shared" ca="1" si="172"/>
        <v>#NAME?</v>
      </c>
      <c r="BS242" s="326" t="e">
        <f t="shared" ca="1" si="215"/>
        <v>#NAME?</v>
      </c>
      <c r="BT242" s="437" t="e">
        <f t="shared" ca="1" si="185"/>
        <v>#NAME?</v>
      </c>
      <c r="BU242" s="437" t="e">
        <f t="shared" ca="1" si="186"/>
        <v>#NAME?</v>
      </c>
      <c r="BV242" s="441" t="e">
        <f t="shared" ca="1" si="187"/>
        <v>#NAME?</v>
      </c>
      <c r="BW242" s="442" t="e">
        <f t="shared" ca="1" si="188"/>
        <v>#NAME?</v>
      </c>
      <c r="BX242" s="470" t="e">
        <f t="shared" ca="1" si="161"/>
        <v>#NAME?</v>
      </c>
      <c r="BY242" s="484" t="e">
        <f t="shared" ca="1" si="173"/>
        <v>#NAME?</v>
      </c>
      <c r="BZ242" s="176"/>
    </row>
    <row r="243" spans="9:78" s="177" customFormat="1" ht="17.75" customHeight="1" x14ac:dyDescent="0.2">
      <c r="I243" s="366">
        <v>159</v>
      </c>
      <c r="J243" s="414">
        <f t="shared" si="174"/>
        <v>41705.822916667028</v>
      </c>
      <c r="K243" s="435" t="e">
        <f t="shared" ca="1" si="175"/>
        <v>#NAME?</v>
      </c>
      <c r="L243" s="435" t="e">
        <f t="shared" ca="1" si="162"/>
        <v>#NAME?</v>
      </c>
      <c r="M243" s="664" t="e">
        <f t="shared" ca="1" si="216"/>
        <v>#NAME?</v>
      </c>
      <c r="N243" s="664" t="e">
        <f t="shared" ca="1" si="217"/>
        <v>#NAME?</v>
      </c>
      <c r="O243" s="140" t="e">
        <f t="shared" ca="1" si="163"/>
        <v>#NAME?</v>
      </c>
      <c r="P243" s="352" t="e">
        <f t="shared" ca="1" si="176"/>
        <v>#NAME?</v>
      </c>
      <c r="Q243" s="665" t="e">
        <f t="shared" ca="1" si="156"/>
        <v>#NAME?</v>
      </c>
      <c r="R243" s="352" t="e">
        <f t="shared" ca="1" si="189"/>
        <v>#NAME?</v>
      </c>
      <c r="S243" s="662" t="e">
        <f t="shared" ca="1" si="164"/>
        <v>#NAME?</v>
      </c>
      <c r="T243" s="443" t="e">
        <f t="shared" ca="1" si="157"/>
        <v>#NAME?</v>
      </c>
      <c r="U243" s="369" t="e">
        <f t="shared" ca="1" si="158"/>
        <v>#NAME?</v>
      </c>
      <c r="V243" s="454" t="e">
        <f t="shared" ca="1" si="165"/>
        <v>#NAME?</v>
      </c>
      <c r="W243" s="457">
        <f t="shared" si="166"/>
        <v>1000</v>
      </c>
      <c r="X243" s="463" t="e">
        <f t="shared" ca="1" si="167"/>
        <v>#NAME?</v>
      </c>
      <c r="Y243" s="455" t="e">
        <f t="shared" ca="1" si="177"/>
        <v>#NAME?</v>
      </c>
      <c r="Z243" s="699">
        <f t="shared" si="159"/>
        <v>8.5</v>
      </c>
      <c r="AA243" s="355" t="str">
        <f t="shared" si="160"/>
        <v>ON</v>
      </c>
      <c r="AB243" s="357">
        <f t="shared" si="190"/>
        <v>1.4999999999999999E-2</v>
      </c>
      <c r="AC243" s="356" t="e">
        <f ca="1">IF(  Y242=0,0,IF(OR(S243="KCAS",S243="INOP",S243="MEFE"),   ( (5*( (   (((1+0.2*(T243/661.4786)^2)^3.5 -1)  )/( (1-6.8755856*10^-6 *100*Y243)^5.2558797) +1)^(2/7) -1) )^0.5),IF(S243="MACH",T243, IF(S243="LRC",BicubicInterpolation( 'LRC Mach'!$C$4:$AL$21, Y243,U243),  IF(S243="MRC",BicubicInterpolation( 'MRC Mach'!$C$3:$T$18, Y243,U243),  IF(S243="M0.84",0.84,  IF(S243="CI52",BicubicInterpolation('CI=52 Mach'!$C$3:$T$18, Y243,U243),  IF(S243="HOLDING",BicubicInterpolation(  'Holding Mach'!$C$4:$M$13, Y243,U243),                         IF(S243="LRCINOP", BicubicInterpolation('LRC INOP Mach'!$C$4:$AA$21,Y243,U243), IF(S243="HOLDINGINOP",  BicubicInterpolation('Holding INOP Mach'!$N$4:$U$13,Y243,U243),         "XXX" )))))))   )))</f>
        <v>#NAME?</v>
      </c>
      <c r="AD243" s="313" t="e">
        <f t="shared" ca="1" si="191"/>
        <v>#NAME?</v>
      </c>
      <c r="AE243" s="314" t="e">
        <f t="shared" ca="1" si="178"/>
        <v>#NAME?</v>
      </c>
      <c r="AF243" s="313" t="e">
        <f t="shared" ca="1" si="192"/>
        <v>#NAME?</v>
      </c>
      <c r="AG243" s="314" t="e">
        <f t="shared" ca="1" si="179"/>
        <v>#NAME?</v>
      </c>
      <c r="AH243" s="313" t="e">
        <f t="shared" ca="1" si="193"/>
        <v>#NAME?</v>
      </c>
      <c r="AI243" s="314" t="e">
        <f t="shared" ca="1" si="180"/>
        <v>#NAME?</v>
      </c>
      <c r="AJ243" s="315" t="e">
        <f t="shared" ca="1" si="181"/>
        <v>#NAME?</v>
      </c>
      <c r="AK243" s="568" t="e">
        <f t="shared" ca="1" si="194"/>
        <v>#NAME?</v>
      </c>
      <c r="AL243" s="313" t="e">
        <f t="shared" ca="1" si="195"/>
        <v>#NAME?</v>
      </c>
      <c r="AM243" s="313" t="e">
        <f t="shared" ca="1" si="182"/>
        <v>#NAME?</v>
      </c>
      <c r="AN243" s="313" t="e">
        <f t="shared" ca="1" si="183"/>
        <v>#NAME?</v>
      </c>
      <c r="AO243" s="316" t="e">
        <f t="shared" ca="1" si="196"/>
        <v>#NAME?</v>
      </c>
      <c r="AP243" s="313" t="e">
        <f t="shared" ca="1" si="197"/>
        <v>#NAME?</v>
      </c>
      <c r="AQ243" s="314" t="e">
        <f t="shared" ca="1" si="184"/>
        <v>#NAME?</v>
      </c>
      <c r="AR243" s="315" t="e">
        <f t="shared" ca="1" si="198"/>
        <v>#NAME?</v>
      </c>
      <c r="AS243" s="316" t="e">
        <f t="shared" ca="1" si="199"/>
        <v>#NAME?</v>
      </c>
      <c r="AT243" s="315" t="e">
        <f t="shared" ca="1" si="200"/>
        <v>#NAME?</v>
      </c>
      <c r="AU243" s="317">
        <v>427.8</v>
      </c>
      <c r="AV243" s="315" t="e">
        <f t="shared" ca="1" si="201"/>
        <v>#NAME?</v>
      </c>
      <c r="AW243" s="318" t="e">
        <f ca="1">0.0001*BicubicInterpolation('Drag Coef Table'!$B$4:$L$28,AV243,AC243)</f>
        <v>#NAME?</v>
      </c>
      <c r="AX243" s="319" t="e">
        <f t="shared" ca="1" si="202"/>
        <v>#NAME?</v>
      </c>
      <c r="AY243" s="318" t="e">
        <f t="shared" ca="1" si="203"/>
        <v>#NAME?</v>
      </c>
      <c r="AZ243" s="320" t="e">
        <f t="shared" ca="1" si="204"/>
        <v>#NAME?</v>
      </c>
      <c r="BA243" s="321" t="e">
        <f t="shared" ca="1" si="205"/>
        <v>#NAME?</v>
      </c>
      <c r="BB243" s="322" t="e">
        <f t="shared" ca="1" si="206"/>
        <v>#NAME?</v>
      </c>
      <c r="BC243" s="323">
        <v>75.196700000000007</v>
      </c>
      <c r="BD243" s="324" t="e">
        <f t="shared" ca="1" si="207"/>
        <v>#NAME?</v>
      </c>
      <c r="BE243" s="325" t="e">
        <f t="shared" ca="1" si="208"/>
        <v>#NAME?</v>
      </c>
      <c r="BF243" s="324" t="e">
        <f ca="1">BicubicInterpolation('TSFC Eff Table'!$B$4:$E$69,2,BB243)</f>
        <v>#NAME?</v>
      </c>
      <c r="BG243" s="326" t="e">
        <f t="shared" ca="1" si="209"/>
        <v>#NAME?</v>
      </c>
      <c r="BH243" s="694" t="e">
        <f ca="1">IF( S243="LRCINOP",   (1+(0.03/10)*Z243*(1+0.2*AC243^2) )*BicubicInterpolation( 'LRC INOP FF'!$C$4:$AA$21, Y243, U243 )-200, IF(S243 ="HOLDINGINOP", (1+(0.03/10)*Z243*(1+0.2*AC243^2) )*BicubicInterpolation( 'Holding INOP FF'!$C$4:$J$13,  Y243,  U243)/1.05-200,   BA243*BG243))</f>
        <v>#NAME?</v>
      </c>
      <c r="BI243" s="344" t="e">
        <f t="shared" ca="1" si="168"/>
        <v>#NAME?</v>
      </c>
      <c r="BJ243" s="322" t="e">
        <f t="shared" ca="1" si="210"/>
        <v>#NAME?</v>
      </c>
      <c r="BK243" s="338" t="e">
        <f t="shared" ca="1" si="169"/>
        <v>#NAME?</v>
      </c>
      <c r="BL243" s="327" t="e">
        <f t="shared" ca="1" si="211"/>
        <v>#NAME?</v>
      </c>
      <c r="BM243" s="328">
        <f t="shared" si="212"/>
        <v>200</v>
      </c>
      <c r="BN243" s="329" t="e">
        <f t="shared" ca="1" si="213"/>
        <v>#NAME?</v>
      </c>
      <c r="BO243" s="344" t="e">
        <f t="shared" ca="1" si="170"/>
        <v>#NAME?</v>
      </c>
      <c r="BP243" s="320" t="e">
        <f t="shared" ca="1" si="214"/>
        <v>#NAME?</v>
      </c>
      <c r="BQ243" s="344" t="e">
        <f t="shared" ca="1" si="171"/>
        <v>#NAME?</v>
      </c>
      <c r="BR243" s="347" t="e">
        <f t="shared" ca="1" si="172"/>
        <v>#NAME?</v>
      </c>
      <c r="BS243" s="326" t="e">
        <f t="shared" ca="1" si="215"/>
        <v>#NAME?</v>
      </c>
      <c r="BT243" s="437" t="e">
        <f t="shared" ca="1" si="185"/>
        <v>#NAME?</v>
      </c>
      <c r="BU243" s="437" t="e">
        <f t="shared" ca="1" si="186"/>
        <v>#NAME?</v>
      </c>
      <c r="BV243" s="441" t="e">
        <f t="shared" ca="1" si="187"/>
        <v>#NAME?</v>
      </c>
      <c r="BW243" s="442" t="e">
        <f t="shared" ca="1" si="188"/>
        <v>#NAME?</v>
      </c>
      <c r="BX243" s="470" t="e">
        <f t="shared" ca="1" si="161"/>
        <v>#NAME?</v>
      </c>
      <c r="BY243" s="484" t="e">
        <f t="shared" ca="1" si="173"/>
        <v>#NAME?</v>
      </c>
      <c r="BZ243" s="176"/>
    </row>
    <row r="244" spans="9:78" s="177" customFormat="1" ht="17.75" customHeight="1" x14ac:dyDescent="0.2">
      <c r="I244" s="366">
        <v>160</v>
      </c>
      <c r="J244" s="414">
        <f t="shared" si="174"/>
        <v>41705.823611111475</v>
      </c>
      <c r="K244" s="435" t="e">
        <f t="shared" ca="1" si="175"/>
        <v>#NAME?</v>
      </c>
      <c r="L244" s="435" t="e">
        <f t="shared" ca="1" si="162"/>
        <v>#NAME?</v>
      </c>
      <c r="M244" s="664" t="e">
        <f t="shared" ca="1" si="216"/>
        <v>#NAME?</v>
      </c>
      <c r="N244" s="664" t="e">
        <f t="shared" ca="1" si="217"/>
        <v>#NAME?</v>
      </c>
      <c r="O244" s="140" t="e">
        <f t="shared" ca="1" si="163"/>
        <v>#NAME?</v>
      </c>
      <c r="P244" s="352" t="e">
        <f t="shared" ca="1" si="176"/>
        <v>#NAME?</v>
      </c>
      <c r="Q244" s="665" t="e">
        <f t="shared" ca="1" si="156"/>
        <v>#NAME?</v>
      </c>
      <c r="R244" s="352" t="e">
        <f t="shared" ca="1" si="189"/>
        <v>#NAME?</v>
      </c>
      <c r="S244" s="662" t="e">
        <f t="shared" ca="1" si="164"/>
        <v>#NAME?</v>
      </c>
      <c r="T244" s="443" t="e">
        <f t="shared" ca="1" si="157"/>
        <v>#NAME?</v>
      </c>
      <c r="U244" s="369" t="e">
        <f t="shared" ca="1" si="158"/>
        <v>#NAME?</v>
      </c>
      <c r="V244" s="454" t="e">
        <f t="shared" ca="1" si="165"/>
        <v>#NAME?</v>
      </c>
      <c r="W244" s="457">
        <f t="shared" si="166"/>
        <v>1000</v>
      </c>
      <c r="X244" s="463" t="e">
        <f t="shared" ca="1" si="167"/>
        <v>#NAME?</v>
      </c>
      <c r="Y244" s="455" t="e">
        <f t="shared" ca="1" si="177"/>
        <v>#NAME?</v>
      </c>
      <c r="Z244" s="699">
        <f t="shared" si="159"/>
        <v>8.5</v>
      </c>
      <c r="AA244" s="355" t="str">
        <f t="shared" si="160"/>
        <v>ON</v>
      </c>
      <c r="AB244" s="357">
        <f t="shared" si="190"/>
        <v>1.4999999999999999E-2</v>
      </c>
      <c r="AC244" s="356" t="e">
        <f ca="1">IF(  Y243=0,0,IF(OR(S244="KCAS",S244="INOP",S244="MEFE"),   ( (5*( (   (((1+0.2*(T244/661.4786)^2)^3.5 -1)  )/( (1-6.8755856*10^-6 *100*Y244)^5.2558797) +1)^(2/7) -1) )^0.5),IF(S244="MACH",T244, IF(S244="LRC",BicubicInterpolation( 'LRC Mach'!$C$4:$AL$21, Y244,U244),  IF(S244="MRC",BicubicInterpolation( 'MRC Mach'!$C$3:$T$18, Y244,U244),  IF(S244="M0.84",0.84,  IF(S244="CI52",BicubicInterpolation('CI=52 Mach'!$C$3:$T$18, Y244,U244),  IF(S244="HOLDING",BicubicInterpolation(  'Holding Mach'!$C$4:$M$13, Y244,U244),                         IF(S244="LRCINOP", BicubicInterpolation('LRC INOP Mach'!$C$4:$AA$21,Y244,U244), IF(S244="HOLDINGINOP",  BicubicInterpolation('Holding INOP Mach'!$N$4:$U$13,Y244,U244),         "XXX" )))))))   )))</f>
        <v>#NAME?</v>
      </c>
      <c r="AD244" s="313" t="e">
        <f t="shared" ca="1" si="191"/>
        <v>#NAME?</v>
      </c>
      <c r="AE244" s="314" t="e">
        <f t="shared" ca="1" si="178"/>
        <v>#NAME?</v>
      </c>
      <c r="AF244" s="313" t="e">
        <f t="shared" ca="1" si="192"/>
        <v>#NAME?</v>
      </c>
      <c r="AG244" s="314" t="e">
        <f t="shared" ca="1" si="179"/>
        <v>#NAME?</v>
      </c>
      <c r="AH244" s="313" t="e">
        <f t="shared" ca="1" si="193"/>
        <v>#NAME?</v>
      </c>
      <c r="AI244" s="314" t="e">
        <f t="shared" ca="1" si="180"/>
        <v>#NAME?</v>
      </c>
      <c r="AJ244" s="315" t="e">
        <f t="shared" ca="1" si="181"/>
        <v>#NAME?</v>
      </c>
      <c r="AK244" s="568" t="e">
        <f t="shared" ca="1" si="194"/>
        <v>#NAME?</v>
      </c>
      <c r="AL244" s="313" t="e">
        <f t="shared" ca="1" si="195"/>
        <v>#NAME?</v>
      </c>
      <c r="AM244" s="313" t="e">
        <f t="shared" ca="1" si="182"/>
        <v>#NAME?</v>
      </c>
      <c r="AN244" s="313" t="e">
        <f t="shared" ca="1" si="183"/>
        <v>#NAME?</v>
      </c>
      <c r="AO244" s="316" t="e">
        <f t="shared" ca="1" si="196"/>
        <v>#NAME?</v>
      </c>
      <c r="AP244" s="313" t="e">
        <f t="shared" ca="1" si="197"/>
        <v>#NAME?</v>
      </c>
      <c r="AQ244" s="314" t="e">
        <f t="shared" ca="1" si="184"/>
        <v>#NAME?</v>
      </c>
      <c r="AR244" s="315" t="e">
        <f t="shared" ca="1" si="198"/>
        <v>#NAME?</v>
      </c>
      <c r="AS244" s="316" t="e">
        <f t="shared" ca="1" si="199"/>
        <v>#NAME?</v>
      </c>
      <c r="AT244" s="315" t="e">
        <f t="shared" ca="1" si="200"/>
        <v>#NAME?</v>
      </c>
      <c r="AU244" s="317">
        <v>427.8</v>
      </c>
      <c r="AV244" s="315" t="e">
        <f t="shared" ca="1" si="201"/>
        <v>#NAME?</v>
      </c>
      <c r="AW244" s="318" t="e">
        <f ca="1">0.0001*BicubicInterpolation('Drag Coef Table'!$B$4:$L$28,AV244,AC244)</f>
        <v>#NAME?</v>
      </c>
      <c r="AX244" s="319" t="e">
        <f t="shared" ca="1" si="202"/>
        <v>#NAME?</v>
      </c>
      <c r="AY244" s="318" t="e">
        <f t="shared" ca="1" si="203"/>
        <v>#NAME?</v>
      </c>
      <c r="AZ244" s="320" t="e">
        <f t="shared" ca="1" si="204"/>
        <v>#NAME?</v>
      </c>
      <c r="BA244" s="321" t="e">
        <f t="shared" ca="1" si="205"/>
        <v>#NAME?</v>
      </c>
      <c r="BB244" s="322" t="e">
        <f t="shared" ca="1" si="206"/>
        <v>#NAME?</v>
      </c>
      <c r="BC244" s="323">
        <v>75.196700000000007</v>
      </c>
      <c r="BD244" s="324" t="e">
        <f t="shared" ca="1" si="207"/>
        <v>#NAME?</v>
      </c>
      <c r="BE244" s="325" t="e">
        <f t="shared" ca="1" si="208"/>
        <v>#NAME?</v>
      </c>
      <c r="BF244" s="324" t="e">
        <f ca="1">BicubicInterpolation('TSFC Eff Table'!$B$4:$E$69,2,BB244)</f>
        <v>#NAME?</v>
      </c>
      <c r="BG244" s="326" t="e">
        <f t="shared" ca="1" si="209"/>
        <v>#NAME?</v>
      </c>
      <c r="BH244" s="694" t="e">
        <f ca="1">IF( S244="LRCINOP",   (1+(0.03/10)*Z244*(1+0.2*AC244^2) )*BicubicInterpolation( 'LRC INOP FF'!$C$4:$AA$21, Y244, U244 )-200, IF(S244 ="HOLDINGINOP", (1+(0.03/10)*Z244*(1+0.2*AC244^2) )*BicubicInterpolation( 'Holding INOP FF'!$C$4:$J$13,  Y244,  U244)/1.05-200,   BA244*BG244))</f>
        <v>#NAME?</v>
      </c>
      <c r="BI244" s="344" t="e">
        <f t="shared" ca="1" si="168"/>
        <v>#NAME?</v>
      </c>
      <c r="BJ244" s="322" t="e">
        <f t="shared" ca="1" si="210"/>
        <v>#NAME?</v>
      </c>
      <c r="BK244" s="338" t="e">
        <f t="shared" ca="1" si="169"/>
        <v>#NAME?</v>
      </c>
      <c r="BL244" s="327" t="e">
        <f t="shared" ca="1" si="211"/>
        <v>#NAME?</v>
      </c>
      <c r="BM244" s="328">
        <f t="shared" si="212"/>
        <v>200</v>
      </c>
      <c r="BN244" s="329" t="e">
        <f t="shared" ca="1" si="213"/>
        <v>#NAME?</v>
      </c>
      <c r="BO244" s="344" t="e">
        <f t="shared" ca="1" si="170"/>
        <v>#NAME?</v>
      </c>
      <c r="BP244" s="320" t="e">
        <f t="shared" ca="1" si="214"/>
        <v>#NAME?</v>
      </c>
      <c r="BQ244" s="344" t="e">
        <f t="shared" ca="1" si="171"/>
        <v>#NAME?</v>
      </c>
      <c r="BR244" s="347" t="e">
        <f t="shared" ca="1" si="172"/>
        <v>#NAME?</v>
      </c>
      <c r="BS244" s="326" t="e">
        <f t="shared" ca="1" si="215"/>
        <v>#NAME?</v>
      </c>
      <c r="BT244" s="437" t="e">
        <f t="shared" ca="1" si="185"/>
        <v>#NAME?</v>
      </c>
      <c r="BU244" s="437" t="e">
        <f t="shared" ca="1" si="186"/>
        <v>#NAME?</v>
      </c>
      <c r="BV244" s="441" t="e">
        <f t="shared" ca="1" si="187"/>
        <v>#NAME?</v>
      </c>
      <c r="BW244" s="442" t="e">
        <f t="shared" ca="1" si="188"/>
        <v>#NAME?</v>
      </c>
      <c r="BX244" s="470" t="e">
        <f t="shared" ca="1" si="161"/>
        <v>#NAME?</v>
      </c>
      <c r="BY244" s="484" t="e">
        <f t="shared" ca="1" si="173"/>
        <v>#NAME?</v>
      </c>
      <c r="BZ244" s="176"/>
    </row>
    <row r="245" spans="9:78" s="177" customFormat="1" ht="17.75" customHeight="1" x14ac:dyDescent="0.2">
      <c r="I245" s="366">
        <v>161</v>
      </c>
      <c r="J245" s="414">
        <f t="shared" si="174"/>
        <v>41705.824305555921</v>
      </c>
      <c r="K245" s="435" t="e">
        <f t="shared" ca="1" si="175"/>
        <v>#NAME?</v>
      </c>
      <c r="L245" s="435" t="e">
        <f t="shared" ca="1" si="162"/>
        <v>#NAME?</v>
      </c>
      <c r="M245" s="664" t="e">
        <f t="shared" ca="1" si="216"/>
        <v>#NAME?</v>
      </c>
      <c r="N245" s="664" t="e">
        <f t="shared" ca="1" si="217"/>
        <v>#NAME?</v>
      </c>
      <c r="O245" s="140" t="e">
        <f t="shared" ca="1" si="163"/>
        <v>#NAME?</v>
      </c>
      <c r="P245" s="352" t="e">
        <f t="shared" ca="1" si="176"/>
        <v>#NAME?</v>
      </c>
      <c r="Q245" s="665" t="e">
        <f t="shared" ca="1" si="156"/>
        <v>#NAME?</v>
      </c>
      <c r="R245" s="352" t="e">
        <f t="shared" ca="1" si="189"/>
        <v>#NAME?</v>
      </c>
      <c r="S245" s="662" t="e">
        <f t="shared" ca="1" si="164"/>
        <v>#NAME?</v>
      </c>
      <c r="T245" s="443" t="e">
        <f t="shared" ca="1" si="157"/>
        <v>#NAME?</v>
      </c>
      <c r="U245" s="369" t="e">
        <f t="shared" ca="1" si="158"/>
        <v>#NAME?</v>
      </c>
      <c r="V245" s="454" t="e">
        <f t="shared" ca="1" si="165"/>
        <v>#NAME?</v>
      </c>
      <c r="W245" s="457">
        <f t="shared" si="166"/>
        <v>1000</v>
      </c>
      <c r="X245" s="463" t="e">
        <f t="shared" ca="1" si="167"/>
        <v>#NAME?</v>
      </c>
      <c r="Y245" s="455" t="e">
        <f t="shared" ca="1" si="177"/>
        <v>#NAME?</v>
      </c>
      <c r="Z245" s="699">
        <f t="shared" si="159"/>
        <v>8.5</v>
      </c>
      <c r="AA245" s="355" t="str">
        <f t="shared" si="160"/>
        <v>ON</v>
      </c>
      <c r="AB245" s="357">
        <f t="shared" si="190"/>
        <v>1.4999999999999999E-2</v>
      </c>
      <c r="AC245" s="356" t="e">
        <f ca="1">IF(  Y244=0,0,IF(OR(S245="KCAS",S245="INOP",S245="MEFE"),   ( (5*( (   (((1+0.2*(T245/661.4786)^2)^3.5 -1)  )/( (1-6.8755856*10^-6 *100*Y245)^5.2558797) +1)^(2/7) -1) )^0.5),IF(S245="MACH",T245, IF(S245="LRC",BicubicInterpolation( 'LRC Mach'!$C$4:$AL$21, Y245,U245),  IF(S245="MRC",BicubicInterpolation( 'MRC Mach'!$C$3:$T$18, Y245,U245),  IF(S245="M0.84",0.84,  IF(S245="CI52",BicubicInterpolation('CI=52 Mach'!$C$3:$T$18, Y245,U245),  IF(S245="HOLDING",BicubicInterpolation(  'Holding Mach'!$C$4:$M$13, Y245,U245),                         IF(S245="LRCINOP", BicubicInterpolation('LRC INOP Mach'!$C$4:$AA$21,Y245,U245), IF(S245="HOLDINGINOP",  BicubicInterpolation('Holding INOP Mach'!$N$4:$U$13,Y245,U245),         "XXX" )))))))   )))</f>
        <v>#NAME?</v>
      </c>
      <c r="AD245" s="313" t="e">
        <f t="shared" ca="1" si="191"/>
        <v>#NAME?</v>
      </c>
      <c r="AE245" s="314" t="e">
        <f t="shared" ca="1" si="178"/>
        <v>#NAME?</v>
      </c>
      <c r="AF245" s="313" t="e">
        <f t="shared" ca="1" si="192"/>
        <v>#NAME?</v>
      </c>
      <c r="AG245" s="314" t="e">
        <f t="shared" ca="1" si="179"/>
        <v>#NAME?</v>
      </c>
      <c r="AH245" s="313" t="e">
        <f t="shared" ca="1" si="193"/>
        <v>#NAME?</v>
      </c>
      <c r="AI245" s="314" t="e">
        <f t="shared" ca="1" si="180"/>
        <v>#NAME?</v>
      </c>
      <c r="AJ245" s="315" t="e">
        <f t="shared" ca="1" si="181"/>
        <v>#NAME?</v>
      </c>
      <c r="AK245" s="568" t="e">
        <f t="shared" ca="1" si="194"/>
        <v>#NAME?</v>
      </c>
      <c r="AL245" s="313" t="e">
        <f t="shared" ca="1" si="195"/>
        <v>#NAME?</v>
      </c>
      <c r="AM245" s="313" t="e">
        <f t="shared" ca="1" si="182"/>
        <v>#NAME?</v>
      </c>
      <c r="AN245" s="313" t="e">
        <f t="shared" ca="1" si="183"/>
        <v>#NAME?</v>
      </c>
      <c r="AO245" s="316" t="e">
        <f t="shared" ca="1" si="196"/>
        <v>#NAME?</v>
      </c>
      <c r="AP245" s="313" t="e">
        <f t="shared" ca="1" si="197"/>
        <v>#NAME?</v>
      </c>
      <c r="AQ245" s="314" t="e">
        <f t="shared" ca="1" si="184"/>
        <v>#NAME?</v>
      </c>
      <c r="AR245" s="315" t="e">
        <f t="shared" ca="1" si="198"/>
        <v>#NAME?</v>
      </c>
      <c r="AS245" s="316" t="e">
        <f t="shared" ca="1" si="199"/>
        <v>#NAME?</v>
      </c>
      <c r="AT245" s="315" t="e">
        <f t="shared" ca="1" si="200"/>
        <v>#NAME?</v>
      </c>
      <c r="AU245" s="317">
        <v>427.8</v>
      </c>
      <c r="AV245" s="315" t="e">
        <f t="shared" ca="1" si="201"/>
        <v>#NAME?</v>
      </c>
      <c r="AW245" s="318" t="e">
        <f ca="1">0.0001*BicubicInterpolation('Drag Coef Table'!$B$4:$L$28,AV245,AC245)</f>
        <v>#NAME?</v>
      </c>
      <c r="AX245" s="319" t="e">
        <f t="shared" ca="1" si="202"/>
        <v>#NAME?</v>
      </c>
      <c r="AY245" s="318" t="e">
        <f t="shared" ca="1" si="203"/>
        <v>#NAME?</v>
      </c>
      <c r="AZ245" s="320" t="e">
        <f t="shared" ca="1" si="204"/>
        <v>#NAME?</v>
      </c>
      <c r="BA245" s="321" t="e">
        <f t="shared" ca="1" si="205"/>
        <v>#NAME?</v>
      </c>
      <c r="BB245" s="322" t="e">
        <f t="shared" ca="1" si="206"/>
        <v>#NAME?</v>
      </c>
      <c r="BC245" s="323">
        <v>75.196700000000007</v>
      </c>
      <c r="BD245" s="324" t="e">
        <f t="shared" ca="1" si="207"/>
        <v>#NAME?</v>
      </c>
      <c r="BE245" s="325" t="e">
        <f t="shared" ca="1" si="208"/>
        <v>#NAME?</v>
      </c>
      <c r="BF245" s="324" t="e">
        <f ca="1">BicubicInterpolation('TSFC Eff Table'!$B$4:$E$69,2,BB245)</f>
        <v>#NAME?</v>
      </c>
      <c r="BG245" s="326" t="e">
        <f t="shared" ca="1" si="209"/>
        <v>#NAME?</v>
      </c>
      <c r="BH245" s="694" t="e">
        <f ca="1">IF( S245="LRCINOP",   (1+(0.03/10)*Z245*(1+0.2*AC245^2) )*BicubicInterpolation( 'LRC INOP FF'!$C$4:$AA$21, Y245, U245 )-200, IF(S245 ="HOLDINGINOP", (1+(0.03/10)*Z245*(1+0.2*AC245^2) )*BicubicInterpolation( 'Holding INOP FF'!$C$4:$J$13,  Y245,  U245)/1.05-200,   BA245*BG245))</f>
        <v>#NAME?</v>
      </c>
      <c r="BI245" s="344" t="e">
        <f t="shared" ca="1" si="168"/>
        <v>#NAME?</v>
      </c>
      <c r="BJ245" s="322" t="e">
        <f t="shared" ca="1" si="210"/>
        <v>#NAME?</v>
      </c>
      <c r="BK245" s="338" t="e">
        <f t="shared" ca="1" si="169"/>
        <v>#NAME?</v>
      </c>
      <c r="BL245" s="327" t="e">
        <f t="shared" ca="1" si="211"/>
        <v>#NAME?</v>
      </c>
      <c r="BM245" s="328">
        <f t="shared" si="212"/>
        <v>200</v>
      </c>
      <c r="BN245" s="329" t="e">
        <f t="shared" ca="1" si="213"/>
        <v>#NAME?</v>
      </c>
      <c r="BO245" s="344" t="e">
        <f t="shared" ca="1" si="170"/>
        <v>#NAME?</v>
      </c>
      <c r="BP245" s="320" t="e">
        <f t="shared" ca="1" si="214"/>
        <v>#NAME?</v>
      </c>
      <c r="BQ245" s="344" t="e">
        <f t="shared" ca="1" si="171"/>
        <v>#NAME?</v>
      </c>
      <c r="BR245" s="347" t="e">
        <f t="shared" ca="1" si="172"/>
        <v>#NAME?</v>
      </c>
      <c r="BS245" s="326" t="e">
        <f t="shared" ca="1" si="215"/>
        <v>#NAME?</v>
      </c>
      <c r="BT245" s="437" t="e">
        <f t="shared" ca="1" si="185"/>
        <v>#NAME?</v>
      </c>
      <c r="BU245" s="437" t="e">
        <f t="shared" ca="1" si="186"/>
        <v>#NAME?</v>
      </c>
      <c r="BV245" s="441" t="e">
        <f t="shared" ca="1" si="187"/>
        <v>#NAME?</v>
      </c>
      <c r="BW245" s="442" t="e">
        <f t="shared" ca="1" si="188"/>
        <v>#NAME?</v>
      </c>
      <c r="BX245" s="470" t="e">
        <f t="shared" ca="1" si="161"/>
        <v>#NAME?</v>
      </c>
      <c r="BY245" s="484" t="e">
        <f t="shared" ca="1" si="173"/>
        <v>#NAME?</v>
      </c>
      <c r="BZ245" s="176"/>
    </row>
    <row r="246" spans="9:78" s="177" customFormat="1" ht="17.75" customHeight="1" x14ac:dyDescent="0.2">
      <c r="I246" s="366">
        <v>162</v>
      </c>
      <c r="J246" s="414">
        <f t="shared" si="174"/>
        <v>41705.825000000368</v>
      </c>
      <c r="K246" s="435" t="e">
        <f t="shared" ca="1" si="175"/>
        <v>#NAME?</v>
      </c>
      <c r="L246" s="435" t="e">
        <f t="shared" ca="1" si="162"/>
        <v>#NAME?</v>
      </c>
      <c r="M246" s="664" t="e">
        <f t="shared" ca="1" si="216"/>
        <v>#NAME?</v>
      </c>
      <c r="N246" s="664" t="e">
        <f t="shared" ca="1" si="217"/>
        <v>#NAME?</v>
      </c>
      <c r="O246" s="140" t="e">
        <f t="shared" ca="1" si="163"/>
        <v>#NAME?</v>
      </c>
      <c r="P246" s="352" t="e">
        <f t="shared" ca="1" si="176"/>
        <v>#NAME?</v>
      </c>
      <c r="Q246" s="665" t="e">
        <f t="shared" ca="1" si="156"/>
        <v>#NAME?</v>
      </c>
      <c r="R246" s="352" t="e">
        <f t="shared" ca="1" si="189"/>
        <v>#NAME?</v>
      </c>
      <c r="S246" s="662" t="e">
        <f t="shared" ca="1" si="164"/>
        <v>#NAME?</v>
      </c>
      <c r="T246" s="443" t="e">
        <f t="shared" ca="1" si="157"/>
        <v>#NAME?</v>
      </c>
      <c r="U246" s="369" t="e">
        <f t="shared" ca="1" si="158"/>
        <v>#NAME?</v>
      </c>
      <c r="V246" s="454" t="e">
        <f t="shared" ca="1" si="165"/>
        <v>#NAME?</v>
      </c>
      <c r="W246" s="457">
        <f t="shared" si="166"/>
        <v>1000</v>
      </c>
      <c r="X246" s="463" t="e">
        <f t="shared" ca="1" si="167"/>
        <v>#NAME?</v>
      </c>
      <c r="Y246" s="455" t="e">
        <f t="shared" ca="1" si="177"/>
        <v>#NAME?</v>
      </c>
      <c r="Z246" s="699">
        <f t="shared" si="159"/>
        <v>8.5</v>
      </c>
      <c r="AA246" s="355" t="str">
        <f t="shared" si="160"/>
        <v>ON</v>
      </c>
      <c r="AB246" s="357">
        <f t="shared" si="190"/>
        <v>1.4999999999999999E-2</v>
      </c>
      <c r="AC246" s="356" t="e">
        <f ca="1">IF(  Y245=0,0,IF(OR(S246="KCAS",S246="INOP",S246="MEFE"),   ( (5*( (   (((1+0.2*(T246/661.4786)^2)^3.5 -1)  )/( (1-6.8755856*10^-6 *100*Y246)^5.2558797) +1)^(2/7) -1) )^0.5),IF(S246="MACH",T246, IF(S246="LRC",BicubicInterpolation( 'LRC Mach'!$C$4:$AL$21, Y246,U246),  IF(S246="MRC",BicubicInterpolation( 'MRC Mach'!$C$3:$T$18, Y246,U246),  IF(S246="M0.84",0.84,  IF(S246="CI52",BicubicInterpolation('CI=52 Mach'!$C$3:$T$18, Y246,U246),  IF(S246="HOLDING",BicubicInterpolation(  'Holding Mach'!$C$4:$M$13, Y246,U246),                         IF(S246="LRCINOP", BicubicInterpolation('LRC INOP Mach'!$C$4:$AA$21,Y246,U246), IF(S246="HOLDINGINOP",  BicubicInterpolation('Holding INOP Mach'!$N$4:$U$13,Y246,U246),         "XXX" )))))))   )))</f>
        <v>#NAME?</v>
      </c>
      <c r="AD246" s="313" t="e">
        <f t="shared" ca="1" si="191"/>
        <v>#NAME?</v>
      </c>
      <c r="AE246" s="314" t="e">
        <f t="shared" ca="1" si="178"/>
        <v>#NAME?</v>
      </c>
      <c r="AF246" s="313" t="e">
        <f t="shared" ca="1" si="192"/>
        <v>#NAME?</v>
      </c>
      <c r="AG246" s="314" t="e">
        <f t="shared" ca="1" si="179"/>
        <v>#NAME?</v>
      </c>
      <c r="AH246" s="313" t="e">
        <f t="shared" ca="1" si="193"/>
        <v>#NAME?</v>
      </c>
      <c r="AI246" s="314" t="e">
        <f t="shared" ca="1" si="180"/>
        <v>#NAME?</v>
      </c>
      <c r="AJ246" s="315" t="e">
        <f t="shared" ca="1" si="181"/>
        <v>#NAME?</v>
      </c>
      <c r="AK246" s="568" t="e">
        <f t="shared" ca="1" si="194"/>
        <v>#NAME?</v>
      </c>
      <c r="AL246" s="313" t="e">
        <f t="shared" ca="1" si="195"/>
        <v>#NAME?</v>
      </c>
      <c r="AM246" s="313" t="e">
        <f t="shared" ca="1" si="182"/>
        <v>#NAME?</v>
      </c>
      <c r="AN246" s="313" t="e">
        <f t="shared" ca="1" si="183"/>
        <v>#NAME?</v>
      </c>
      <c r="AO246" s="316" t="e">
        <f t="shared" ca="1" si="196"/>
        <v>#NAME?</v>
      </c>
      <c r="AP246" s="313" t="e">
        <f t="shared" ca="1" si="197"/>
        <v>#NAME?</v>
      </c>
      <c r="AQ246" s="314" t="e">
        <f t="shared" ca="1" si="184"/>
        <v>#NAME?</v>
      </c>
      <c r="AR246" s="315" t="e">
        <f t="shared" ca="1" si="198"/>
        <v>#NAME?</v>
      </c>
      <c r="AS246" s="316" t="e">
        <f t="shared" ca="1" si="199"/>
        <v>#NAME?</v>
      </c>
      <c r="AT246" s="315" t="e">
        <f t="shared" ca="1" si="200"/>
        <v>#NAME?</v>
      </c>
      <c r="AU246" s="317">
        <v>427.8</v>
      </c>
      <c r="AV246" s="315" t="e">
        <f t="shared" ca="1" si="201"/>
        <v>#NAME?</v>
      </c>
      <c r="AW246" s="318" t="e">
        <f ca="1">0.0001*BicubicInterpolation('Drag Coef Table'!$B$4:$L$28,AV246,AC246)</f>
        <v>#NAME?</v>
      </c>
      <c r="AX246" s="319" t="e">
        <f t="shared" ca="1" si="202"/>
        <v>#NAME?</v>
      </c>
      <c r="AY246" s="318" t="e">
        <f t="shared" ca="1" si="203"/>
        <v>#NAME?</v>
      </c>
      <c r="AZ246" s="320" t="e">
        <f t="shared" ca="1" si="204"/>
        <v>#NAME?</v>
      </c>
      <c r="BA246" s="321" t="e">
        <f t="shared" ca="1" si="205"/>
        <v>#NAME?</v>
      </c>
      <c r="BB246" s="322" t="e">
        <f t="shared" ca="1" si="206"/>
        <v>#NAME?</v>
      </c>
      <c r="BC246" s="323">
        <v>75.196700000000007</v>
      </c>
      <c r="BD246" s="324" t="e">
        <f t="shared" ca="1" si="207"/>
        <v>#NAME?</v>
      </c>
      <c r="BE246" s="325" t="e">
        <f t="shared" ca="1" si="208"/>
        <v>#NAME?</v>
      </c>
      <c r="BF246" s="324" t="e">
        <f ca="1">BicubicInterpolation('TSFC Eff Table'!$B$4:$E$69,2,BB246)</f>
        <v>#NAME?</v>
      </c>
      <c r="BG246" s="326" t="e">
        <f t="shared" ca="1" si="209"/>
        <v>#NAME?</v>
      </c>
      <c r="BH246" s="694" t="e">
        <f ca="1">IF( S246="LRCINOP",   (1+(0.03/10)*Z246*(1+0.2*AC246^2) )*BicubicInterpolation( 'LRC INOP FF'!$C$4:$AA$21, Y246, U246 )-200, IF(S246 ="HOLDINGINOP", (1+(0.03/10)*Z246*(1+0.2*AC246^2) )*BicubicInterpolation( 'Holding INOP FF'!$C$4:$J$13,  Y246,  U246)/1.05-200,   BA246*BG246))</f>
        <v>#NAME?</v>
      </c>
      <c r="BI246" s="344" t="e">
        <f t="shared" ca="1" si="168"/>
        <v>#NAME?</v>
      </c>
      <c r="BJ246" s="322" t="e">
        <f t="shared" ca="1" si="210"/>
        <v>#NAME?</v>
      </c>
      <c r="BK246" s="338" t="e">
        <f t="shared" ca="1" si="169"/>
        <v>#NAME?</v>
      </c>
      <c r="BL246" s="327" t="e">
        <f t="shared" ca="1" si="211"/>
        <v>#NAME?</v>
      </c>
      <c r="BM246" s="328">
        <f t="shared" si="212"/>
        <v>200</v>
      </c>
      <c r="BN246" s="329" t="e">
        <f t="shared" ca="1" si="213"/>
        <v>#NAME?</v>
      </c>
      <c r="BO246" s="344" t="e">
        <f t="shared" ca="1" si="170"/>
        <v>#NAME?</v>
      </c>
      <c r="BP246" s="320" t="e">
        <f t="shared" ca="1" si="214"/>
        <v>#NAME?</v>
      </c>
      <c r="BQ246" s="344" t="e">
        <f t="shared" ca="1" si="171"/>
        <v>#NAME?</v>
      </c>
      <c r="BR246" s="347" t="e">
        <f t="shared" ca="1" si="172"/>
        <v>#NAME?</v>
      </c>
      <c r="BS246" s="326" t="e">
        <f t="shared" ca="1" si="215"/>
        <v>#NAME?</v>
      </c>
      <c r="BT246" s="437" t="e">
        <f t="shared" ca="1" si="185"/>
        <v>#NAME?</v>
      </c>
      <c r="BU246" s="437" t="e">
        <f t="shared" ca="1" si="186"/>
        <v>#NAME?</v>
      </c>
      <c r="BV246" s="441" t="e">
        <f t="shared" ca="1" si="187"/>
        <v>#NAME?</v>
      </c>
      <c r="BW246" s="442" t="e">
        <f t="shared" ca="1" si="188"/>
        <v>#NAME?</v>
      </c>
      <c r="BX246" s="470" t="e">
        <f t="shared" ca="1" si="161"/>
        <v>#NAME?</v>
      </c>
      <c r="BY246" s="484" t="e">
        <f t="shared" ca="1" si="173"/>
        <v>#NAME?</v>
      </c>
      <c r="BZ246" s="176"/>
    </row>
    <row r="247" spans="9:78" s="177" customFormat="1" ht="17.75" customHeight="1" x14ac:dyDescent="0.2">
      <c r="I247" s="366">
        <v>163</v>
      </c>
      <c r="J247" s="414">
        <f t="shared" si="174"/>
        <v>41705.825694444815</v>
      </c>
      <c r="K247" s="435" t="e">
        <f t="shared" ca="1" si="175"/>
        <v>#NAME?</v>
      </c>
      <c r="L247" s="435" t="e">
        <f t="shared" ca="1" si="162"/>
        <v>#NAME?</v>
      </c>
      <c r="M247" s="664" t="e">
        <f t="shared" ca="1" si="216"/>
        <v>#NAME?</v>
      </c>
      <c r="N247" s="664" t="e">
        <f t="shared" ca="1" si="217"/>
        <v>#NAME?</v>
      </c>
      <c r="O247" s="140" t="e">
        <f t="shared" ca="1" si="163"/>
        <v>#NAME?</v>
      </c>
      <c r="P247" s="352" t="e">
        <f t="shared" ca="1" si="176"/>
        <v>#NAME?</v>
      </c>
      <c r="Q247" s="665" t="e">
        <f t="shared" ca="1" si="156"/>
        <v>#NAME?</v>
      </c>
      <c r="R247" s="352" t="e">
        <f t="shared" ca="1" si="189"/>
        <v>#NAME?</v>
      </c>
      <c r="S247" s="662" t="e">
        <f t="shared" ca="1" si="164"/>
        <v>#NAME?</v>
      </c>
      <c r="T247" s="443" t="e">
        <f t="shared" ca="1" si="157"/>
        <v>#NAME?</v>
      </c>
      <c r="U247" s="369" t="e">
        <f t="shared" ca="1" si="158"/>
        <v>#NAME?</v>
      </c>
      <c r="V247" s="454" t="e">
        <f t="shared" ca="1" si="165"/>
        <v>#NAME?</v>
      </c>
      <c r="W247" s="457">
        <f t="shared" si="166"/>
        <v>1000</v>
      </c>
      <c r="X247" s="463" t="e">
        <f t="shared" ca="1" si="167"/>
        <v>#NAME?</v>
      </c>
      <c r="Y247" s="455" t="e">
        <f t="shared" ca="1" si="177"/>
        <v>#NAME?</v>
      </c>
      <c r="Z247" s="699">
        <f t="shared" si="159"/>
        <v>8.5</v>
      </c>
      <c r="AA247" s="355" t="str">
        <f t="shared" si="160"/>
        <v>ON</v>
      </c>
      <c r="AB247" s="357">
        <f t="shared" si="190"/>
        <v>1.4999999999999999E-2</v>
      </c>
      <c r="AC247" s="356" t="e">
        <f ca="1">IF(  Y246=0,0,IF(OR(S247="KCAS",S247="INOP",S247="MEFE"),   ( (5*( (   (((1+0.2*(T247/661.4786)^2)^3.5 -1)  )/( (1-6.8755856*10^-6 *100*Y247)^5.2558797) +1)^(2/7) -1) )^0.5),IF(S247="MACH",T247, IF(S247="LRC",BicubicInterpolation( 'LRC Mach'!$C$4:$AL$21, Y247,U247),  IF(S247="MRC",BicubicInterpolation( 'MRC Mach'!$C$3:$T$18, Y247,U247),  IF(S247="M0.84",0.84,  IF(S247="CI52",BicubicInterpolation('CI=52 Mach'!$C$3:$T$18, Y247,U247),  IF(S247="HOLDING",BicubicInterpolation(  'Holding Mach'!$C$4:$M$13, Y247,U247),                         IF(S247="LRCINOP", BicubicInterpolation('LRC INOP Mach'!$C$4:$AA$21,Y247,U247), IF(S247="HOLDINGINOP",  BicubicInterpolation('Holding INOP Mach'!$N$4:$U$13,Y247,U247),         "XXX" )))))))   )))</f>
        <v>#NAME?</v>
      </c>
      <c r="AD247" s="313" t="e">
        <f t="shared" ca="1" si="191"/>
        <v>#NAME?</v>
      </c>
      <c r="AE247" s="314" t="e">
        <f t="shared" ca="1" si="178"/>
        <v>#NAME?</v>
      </c>
      <c r="AF247" s="313" t="e">
        <f t="shared" ca="1" si="192"/>
        <v>#NAME?</v>
      </c>
      <c r="AG247" s="314" t="e">
        <f t="shared" ca="1" si="179"/>
        <v>#NAME?</v>
      </c>
      <c r="AH247" s="313" t="e">
        <f t="shared" ca="1" si="193"/>
        <v>#NAME?</v>
      </c>
      <c r="AI247" s="314" t="e">
        <f t="shared" ca="1" si="180"/>
        <v>#NAME?</v>
      </c>
      <c r="AJ247" s="315" t="e">
        <f t="shared" ca="1" si="181"/>
        <v>#NAME?</v>
      </c>
      <c r="AK247" s="568" t="e">
        <f t="shared" ca="1" si="194"/>
        <v>#NAME?</v>
      </c>
      <c r="AL247" s="313" t="e">
        <f t="shared" ca="1" si="195"/>
        <v>#NAME?</v>
      </c>
      <c r="AM247" s="313" t="e">
        <f t="shared" ca="1" si="182"/>
        <v>#NAME?</v>
      </c>
      <c r="AN247" s="313" t="e">
        <f t="shared" ca="1" si="183"/>
        <v>#NAME?</v>
      </c>
      <c r="AO247" s="316" t="e">
        <f t="shared" ca="1" si="196"/>
        <v>#NAME?</v>
      </c>
      <c r="AP247" s="313" t="e">
        <f t="shared" ca="1" si="197"/>
        <v>#NAME?</v>
      </c>
      <c r="AQ247" s="314" t="e">
        <f t="shared" ca="1" si="184"/>
        <v>#NAME?</v>
      </c>
      <c r="AR247" s="315" t="e">
        <f t="shared" ca="1" si="198"/>
        <v>#NAME?</v>
      </c>
      <c r="AS247" s="316" t="e">
        <f t="shared" ca="1" si="199"/>
        <v>#NAME?</v>
      </c>
      <c r="AT247" s="315" t="e">
        <f t="shared" ca="1" si="200"/>
        <v>#NAME?</v>
      </c>
      <c r="AU247" s="317">
        <v>427.8</v>
      </c>
      <c r="AV247" s="315" t="e">
        <f t="shared" ca="1" si="201"/>
        <v>#NAME?</v>
      </c>
      <c r="AW247" s="318" t="e">
        <f ca="1">0.0001*BicubicInterpolation('Drag Coef Table'!$B$4:$L$28,AV247,AC247)</f>
        <v>#NAME?</v>
      </c>
      <c r="AX247" s="319" t="e">
        <f t="shared" ca="1" si="202"/>
        <v>#NAME?</v>
      </c>
      <c r="AY247" s="318" t="e">
        <f t="shared" ca="1" si="203"/>
        <v>#NAME?</v>
      </c>
      <c r="AZ247" s="320" t="e">
        <f t="shared" ca="1" si="204"/>
        <v>#NAME?</v>
      </c>
      <c r="BA247" s="321" t="e">
        <f t="shared" ca="1" si="205"/>
        <v>#NAME?</v>
      </c>
      <c r="BB247" s="322" t="e">
        <f t="shared" ca="1" si="206"/>
        <v>#NAME?</v>
      </c>
      <c r="BC247" s="323">
        <v>75.196700000000007</v>
      </c>
      <c r="BD247" s="324" t="e">
        <f t="shared" ca="1" si="207"/>
        <v>#NAME?</v>
      </c>
      <c r="BE247" s="325" t="e">
        <f t="shared" ca="1" si="208"/>
        <v>#NAME?</v>
      </c>
      <c r="BF247" s="324" t="e">
        <f ca="1">BicubicInterpolation('TSFC Eff Table'!$B$4:$E$69,2,BB247)</f>
        <v>#NAME?</v>
      </c>
      <c r="BG247" s="326" t="e">
        <f t="shared" ca="1" si="209"/>
        <v>#NAME?</v>
      </c>
      <c r="BH247" s="694" t="e">
        <f ca="1">IF( S247="LRCINOP",   (1+(0.03/10)*Z247*(1+0.2*AC247^2) )*BicubicInterpolation( 'LRC INOP FF'!$C$4:$AA$21, Y247, U247 )-200, IF(S247 ="HOLDINGINOP", (1+(0.03/10)*Z247*(1+0.2*AC247^2) )*BicubicInterpolation( 'Holding INOP FF'!$C$4:$J$13,  Y247,  U247)/1.05-200,   BA247*BG247))</f>
        <v>#NAME?</v>
      </c>
      <c r="BI247" s="344" t="e">
        <f t="shared" ca="1" si="168"/>
        <v>#NAME?</v>
      </c>
      <c r="BJ247" s="322" t="e">
        <f t="shared" ca="1" si="210"/>
        <v>#NAME?</v>
      </c>
      <c r="BK247" s="338" t="e">
        <f t="shared" ca="1" si="169"/>
        <v>#NAME?</v>
      </c>
      <c r="BL247" s="327" t="e">
        <f t="shared" ca="1" si="211"/>
        <v>#NAME?</v>
      </c>
      <c r="BM247" s="328">
        <f t="shared" si="212"/>
        <v>200</v>
      </c>
      <c r="BN247" s="329" t="e">
        <f t="shared" ca="1" si="213"/>
        <v>#NAME?</v>
      </c>
      <c r="BO247" s="344" t="e">
        <f t="shared" ca="1" si="170"/>
        <v>#NAME?</v>
      </c>
      <c r="BP247" s="320" t="e">
        <f t="shared" ca="1" si="214"/>
        <v>#NAME?</v>
      </c>
      <c r="BQ247" s="344" t="e">
        <f t="shared" ca="1" si="171"/>
        <v>#NAME?</v>
      </c>
      <c r="BR247" s="347" t="e">
        <f t="shared" ca="1" si="172"/>
        <v>#NAME?</v>
      </c>
      <c r="BS247" s="326" t="e">
        <f t="shared" ca="1" si="215"/>
        <v>#NAME?</v>
      </c>
      <c r="BT247" s="437" t="e">
        <f t="shared" ca="1" si="185"/>
        <v>#NAME?</v>
      </c>
      <c r="BU247" s="437" t="e">
        <f t="shared" ca="1" si="186"/>
        <v>#NAME?</v>
      </c>
      <c r="BV247" s="441" t="e">
        <f t="shared" ca="1" si="187"/>
        <v>#NAME?</v>
      </c>
      <c r="BW247" s="442" t="e">
        <f t="shared" ca="1" si="188"/>
        <v>#NAME?</v>
      </c>
      <c r="BX247" s="470" t="e">
        <f t="shared" ca="1" si="161"/>
        <v>#NAME?</v>
      </c>
      <c r="BY247" s="484" t="e">
        <f t="shared" ca="1" si="173"/>
        <v>#NAME?</v>
      </c>
      <c r="BZ247" s="176"/>
    </row>
    <row r="248" spans="9:78" s="177" customFormat="1" ht="17.75" customHeight="1" x14ac:dyDescent="0.2">
      <c r="I248" s="366">
        <v>164</v>
      </c>
      <c r="J248" s="414">
        <f t="shared" si="174"/>
        <v>41705.826388889262</v>
      </c>
      <c r="K248" s="435" t="e">
        <f t="shared" ca="1" si="175"/>
        <v>#NAME?</v>
      </c>
      <c r="L248" s="435" t="e">
        <f t="shared" ca="1" si="162"/>
        <v>#NAME?</v>
      </c>
      <c r="M248" s="664" t="e">
        <f t="shared" ca="1" si="216"/>
        <v>#NAME?</v>
      </c>
      <c r="N248" s="664" t="e">
        <f t="shared" ca="1" si="217"/>
        <v>#NAME?</v>
      </c>
      <c r="O248" s="140" t="e">
        <f t="shared" ca="1" si="163"/>
        <v>#NAME?</v>
      </c>
      <c r="P248" s="352" t="e">
        <f t="shared" ca="1" si="176"/>
        <v>#NAME?</v>
      </c>
      <c r="Q248" s="665" t="e">
        <f t="shared" ca="1" si="156"/>
        <v>#NAME?</v>
      </c>
      <c r="R248" s="352" t="e">
        <f t="shared" ca="1" si="189"/>
        <v>#NAME?</v>
      </c>
      <c r="S248" s="662" t="e">
        <f t="shared" ca="1" si="164"/>
        <v>#NAME?</v>
      </c>
      <c r="T248" s="443" t="e">
        <f t="shared" ca="1" si="157"/>
        <v>#NAME?</v>
      </c>
      <c r="U248" s="369" t="e">
        <f t="shared" ca="1" si="158"/>
        <v>#NAME?</v>
      </c>
      <c r="V248" s="454" t="e">
        <f t="shared" ca="1" si="165"/>
        <v>#NAME?</v>
      </c>
      <c r="W248" s="457">
        <f t="shared" si="166"/>
        <v>1000</v>
      </c>
      <c r="X248" s="463" t="e">
        <f t="shared" ca="1" si="167"/>
        <v>#NAME?</v>
      </c>
      <c r="Y248" s="455" t="e">
        <f t="shared" ca="1" si="177"/>
        <v>#NAME?</v>
      </c>
      <c r="Z248" s="699">
        <f t="shared" si="159"/>
        <v>8.5</v>
      </c>
      <c r="AA248" s="355" t="str">
        <f t="shared" si="160"/>
        <v>ON</v>
      </c>
      <c r="AB248" s="357">
        <f t="shared" si="190"/>
        <v>1.4999999999999999E-2</v>
      </c>
      <c r="AC248" s="356" t="e">
        <f ca="1">IF(  Y247=0,0,IF(OR(S248="KCAS",S248="INOP",S248="MEFE"),   ( (5*( (   (((1+0.2*(T248/661.4786)^2)^3.5 -1)  )/( (1-6.8755856*10^-6 *100*Y248)^5.2558797) +1)^(2/7) -1) )^0.5),IF(S248="MACH",T248, IF(S248="LRC",BicubicInterpolation( 'LRC Mach'!$C$4:$AL$21, Y248,U248),  IF(S248="MRC",BicubicInterpolation( 'MRC Mach'!$C$3:$T$18, Y248,U248),  IF(S248="M0.84",0.84,  IF(S248="CI52",BicubicInterpolation('CI=52 Mach'!$C$3:$T$18, Y248,U248),  IF(S248="HOLDING",BicubicInterpolation(  'Holding Mach'!$C$4:$M$13, Y248,U248),                         IF(S248="LRCINOP", BicubicInterpolation('LRC INOP Mach'!$C$4:$AA$21,Y248,U248), IF(S248="HOLDINGINOP",  BicubicInterpolation('Holding INOP Mach'!$N$4:$U$13,Y248,U248),         "XXX" )))))))   )))</f>
        <v>#NAME?</v>
      </c>
      <c r="AD248" s="313" t="e">
        <f t="shared" ca="1" si="191"/>
        <v>#NAME?</v>
      </c>
      <c r="AE248" s="314" t="e">
        <f t="shared" ca="1" si="178"/>
        <v>#NAME?</v>
      </c>
      <c r="AF248" s="313" t="e">
        <f t="shared" ca="1" si="192"/>
        <v>#NAME?</v>
      </c>
      <c r="AG248" s="314" t="e">
        <f t="shared" ca="1" si="179"/>
        <v>#NAME?</v>
      </c>
      <c r="AH248" s="313" t="e">
        <f t="shared" ca="1" si="193"/>
        <v>#NAME?</v>
      </c>
      <c r="AI248" s="314" t="e">
        <f t="shared" ca="1" si="180"/>
        <v>#NAME?</v>
      </c>
      <c r="AJ248" s="315" t="e">
        <f t="shared" ca="1" si="181"/>
        <v>#NAME?</v>
      </c>
      <c r="AK248" s="568" t="e">
        <f t="shared" ca="1" si="194"/>
        <v>#NAME?</v>
      </c>
      <c r="AL248" s="313" t="e">
        <f t="shared" ca="1" si="195"/>
        <v>#NAME?</v>
      </c>
      <c r="AM248" s="313" t="e">
        <f t="shared" ca="1" si="182"/>
        <v>#NAME?</v>
      </c>
      <c r="AN248" s="313" t="e">
        <f t="shared" ca="1" si="183"/>
        <v>#NAME?</v>
      </c>
      <c r="AO248" s="316" t="e">
        <f t="shared" ca="1" si="196"/>
        <v>#NAME?</v>
      </c>
      <c r="AP248" s="313" t="e">
        <f t="shared" ca="1" si="197"/>
        <v>#NAME?</v>
      </c>
      <c r="AQ248" s="314" t="e">
        <f t="shared" ca="1" si="184"/>
        <v>#NAME?</v>
      </c>
      <c r="AR248" s="315" t="e">
        <f t="shared" ca="1" si="198"/>
        <v>#NAME?</v>
      </c>
      <c r="AS248" s="316" t="e">
        <f t="shared" ca="1" si="199"/>
        <v>#NAME?</v>
      </c>
      <c r="AT248" s="315" t="e">
        <f t="shared" ca="1" si="200"/>
        <v>#NAME?</v>
      </c>
      <c r="AU248" s="317">
        <v>427.8</v>
      </c>
      <c r="AV248" s="315" t="e">
        <f t="shared" ca="1" si="201"/>
        <v>#NAME?</v>
      </c>
      <c r="AW248" s="318" t="e">
        <f ca="1">0.0001*BicubicInterpolation('Drag Coef Table'!$B$4:$L$28,AV248,AC248)</f>
        <v>#NAME?</v>
      </c>
      <c r="AX248" s="319" t="e">
        <f t="shared" ca="1" si="202"/>
        <v>#NAME?</v>
      </c>
      <c r="AY248" s="318" t="e">
        <f t="shared" ca="1" si="203"/>
        <v>#NAME?</v>
      </c>
      <c r="AZ248" s="320" t="e">
        <f t="shared" ca="1" si="204"/>
        <v>#NAME?</v>
      </c>
      <c r="BA248" s="321" t="e">
        <f t="shared" ca="1" si="205"/>
        <v>#NAME?</v>
      </c>
      <c r="BB248" s="322" t="e">
        <f t="shared" ca="1" si="206"/>
        <v>#NAME?</v>
      </c>
      <c r="BC248" s="323">
        <v>75.196700000000007</v>
      </c>
      <c r="BD248" s="324" t="e">
        <f t="shared" ca="1" si="207"/>
        <v>#NAME?</v>
      </c>
      <c r="BE248" s="325" t="e">
        <f t="shared" ca="1" si="208"/>
        <v>#NAME?</v>
      </c>
      <c r="BF248" s="324" t="e">
        <f ca="1">BicubicInterpolation('TSFC Eff Table'!$B$4:$E$69,2,BB248)</f>
        <v>#NAME?</v>
      </c>
      <c r="BG248" s="326" t="e">
        <f t="shared" ca="1" si="209"/>
        <v>#NAME?</v>
      </c>
      <c r="BH248" s="694" t="e">
        <f ca="1">IF( S248="LRCINOP",   (1+(0.03/10)*Z248*(1+0.2*AC248^2) )*BicubicInterpolation( 'LRC INOP FF'!$C$4:$AA$21, Y248, U248 )-200, IF(S248 ="HOLDINGINOP", (1+(0.03/10)*Z248*(1+0.2*AC248^2) )*BicubicInterpolation( 'Holding INOP FF'!$C$4:$J$13,  Y248,  U248)/1.05-200,   BA248*BG248))</f>
        <v>#NAME?</v>
      </c>
      <c r="BI248" s="344" t="e">
        <f t="shared" ca="1" si="168"/>
        <v>#NAME?</v>
      </c>
      <c r="BJ248" s="322" t="e">
        <f t="shared" ca="1" si="210"/>
        <v>#NAME?</v>
      </c>
      <c r="BK248" s="338" t="e">
        <f t="shared" ca="1" si="169"/>
        <v>#NAME?</v>
      </c>
      <c r="BL248" s="327" t="e">
        <f t="shared" ca="1" si="211"/>
        <v>#NAME?</v>
      </c>
      <c r="BM248" s="328">
        <f t="shared" si="212"/>
        <v>200</v>
      </c>
      <c r="BN248" s="329" t="e">
        <f t="shared" ca="1" si="213"/>
        <v>#NAME?</v>
      </c>
      <c r="BO248" s="344" t="e">
        <f t="shared" ca="1" si="170"/>
        <v>#NAME?</v>
      </c>
      <c r="BP248" s="320" t="e">
        <f t="shared" ca="1" si="214"/>
        <v>#NAME?</v>
      </c>
      <c r="BQ248" s="344" t="e">
        <f t="shared" ca="1" si="171"/>
        <v>#NAME?</v>
      </c>
      <c r="BR248" s="347" t="e">
        <f t="shared" ca="1" si="172"/>
        <v>#NAME?</v>
      </c>
      <c r="BS248" s="326" t="e">
        <f t="shared" ca="1" si="215"/>
        <v>#NAME?</v>
      </c>
      <c r="BT248" s="437" t="e">
        <f t="shared" ca="1" si="185"/>
        <v>#NAME?</v>
      </c>
      <c r="BU248" s="437" t="e">
        <f t="shared" ca="1" si="186"/>
        <v>#NAME?</v>
      </c>
      <c r="BV248" s="441" t="e">
        <f t="shared" ca="1" si="187"/>
        <v>#NAME?</v>
      </c>
      <c r="BW248" s="442" t="e">
        <f t="shared" ca="1" si="188"/>
        <v>#NAME?</v>
      </c>
      <c r="BX248" s="470" t="e">
        <f t="shared" ca="1" si="161"/>
        <v>#NAME?</v>
      </c>
      <c r="BY248" s="484" t="e">
        <f t="shared" ca="1" si="173"/>
        <v>#NAME?</v>
      </c>
      <c r="BZ248" s="176"/>
    </row>
    <row r="249" spans="9:78" s="177" customFormat="1" ht="17.75" customHeight="1" x14ac:dyDescent="0.2">
      <c r="I249" s="366">
        <v>165</v>
      </c>
      <c r="J249" s="414">
        <f t="shared" si="174"/>
        <v>41705.827083333708</v>
      </c>
      <c r="K249" s="435" t="e">
        <f t="shared" ca="1" si="175"/>
        <v>#NAME?</v>
      </c>
      <c r="L249" s="435" t="e">
        <f t="shared" ca="1" si="162"/>
        <v>#NAME?</v>
      </c>
      <c r="M249" s="664" t="e">
        <f t="shared" ca="1" si="216"/>
        <v>#NAME?</v>
      </c>
      <c r="N249" s="664" t="e">
        <f t="shared" ca="1" si="217"/>
        <v>#NAME?</v>
      </c>
      <c r="O249" s="140" t="e">
        <f t="shared" ca="1" si="163"/>
        <v>#NAME?</v>
      </c>
      <c r="P249" s="352" t="e">
        <f t="shared" ca="1" si="176"/>
        <v>#NAME?</v>
      </c>
      <c r="Q249" s="665" t="e">
        <f t="shared" ca="1" si="156"/>
        <v>#NAME?</v>
      </c>
      <c r="R249" s="352" t="e">
        <f t="shared" ca="1" si="189"/>
        <v>#NAME?</v>
      </c>
      <c r="S249" s="662" t="e">
        <f t="shared" ca="1" si="164"/>
        <v>#NAME?</v>
      </c>
      <c r="T249" s="443" t="e">
        <f t="shared" ca="1" si="157"/>
        <v>#NAME?</v>
      </c>
      <c r="U249" s="369" t="e">
        <f t="shared" ca="1" si="158"/>
        <v>#NAME?</v>
      </c>
      <c r="V249" s="454" t="e">
        <f t="shared" ca="1" si="165"/>
        <v>#NAME?</v>
      </c>
      <c r="W249" s="457">
        <f t="shared" si="166"/>
        <v>1000</v>
      </c>
      <c r="X249" s="463" t="e">
        <f t="shared" ca="1" si="167"/>
        <v>#NAME?</v>
      </c>
      <c r="Y249" s="455" t="e">
        <f t="shared" ca="1" si="177"/>
        <v>#NAME?</v>
      </c>
      <c r="Z249" s="699">
        <f t="shared" si="159"/>
        <v>8.5</v>
      </c>
      <c r="AA249" s="355" t="str">
        <f t="shared" si="160"/>
        <v>ON</v>
      </c>
      <c r="AB249" s="357">
        <f t="shared" si="190"/>
        <v>1.4999999999999999E-2</v>
      </c>
      <c r="AC249" s="356" t="e">
        <f ca="1">IF(  Y248=0,0,IF(OR(S249="KCAS",S249="INOP",S249="MEFE"),   ( (5*( (   (((1+0.2*(T249/661.4786)^2)^3.5 -1)  )/( (1-6.8755856*10^-6 *100*Y249)^5.2558797) +1)^(2/7) -1) )^0.5),IF(S249="MACH",T249, IF(S249="LRC",BicubicInterpolation( 'LRC Mach'!$C$4:$AL$21, Y249,U249),  IF(S249="MRC",BicubicInterpolation( 'MRC Mach'!$C$3:$T$18, Y249,U249),  IF(S249="M0.84",0.84,  IF(S249="CI52",BicubicInterpolation('CI=52 Mach'!$C$3:$T$18, Y249,U249),  IF(S249="HOLDING",BicubicInterpolation(  'Holding Mach'!$C$4:$M$13, Y249,U249),                         IF(S249="LRCINOP", BicubicInterpolation('LRC INOP Mach'!$C$4:$AA$21,Y249,U249), IF(S249="HOLDINGINOP",  BicubicInterpolation('Holding INOP Mach'!$N$4:$U$13,Y249,U249),         "XXX" )))))))   )))</f>
        <v>#NAME?</v>
      </c>
      <c r="AD249" s="313" t="e">
        <f t="shared" ca="1" si="191"/>
        <v>#NAME?</v>
      </c>
      <c r="AE249" s="314" t="e">
        <f t="shared" ca="1" si="178"/>
        <v>#NAME?</v>
      </c>
      <c r="AF249" s="313" t="e">
        <f t="shared" ca="1" si="192"/>
        <v>#NAME?</v>
      </c>
      <c r="AG249" s="314" t="e">
        <f t="shared" ca="1" si="179"/>
        <v>#NAME?</v>
      </c>
      <c r="AH249" s="313" t="e">
        <f t="shared" ca="1" si="193"/>
        <v>#NAME?</v>
      </c>
      <c r="AI249" s="314" t="e">
        <f t="shared" ca="1" si="180"/>
        <v>#NAME?</v>
      </c>
      <c r="AJ249" s="315" t="e">
        <f t="shared" ca="1" si="181"/>
        <v>#NAME?</v>
      </c>
      <c r="AK249" s="568" t="e">
        <f t="shared" ca="1" si="194"/>
        <v>#NAME?</v>
      </c>
      <c r="AL249" s="313" t="e">
        <f t="shared" ca="1" si="195"/>
        <v>#NAME?</v>
      </c>
      <c r="AM249" s="313" t="e">
        <f t="shared" ca="1" si="182"/>
        <v>#NAME?</v>
      </c>
      <c r="AN249" s="313" t="e">
        <f t="shared" ca="1" si="183"/>
        <v>#NAME?</v>
      </c>
      <c r="AO249" s="316" t="e">
        <f t="shared" ca="1" si="196"/>
        <v>#NAME?</v>
      </c>
      <c r="AP249" s="313" t="e">
        <f t="shared" ca="1" si="197"/>
        <v>#NAME?</v>
      </c>
      <c r="AQ249" s="314" t="e">
        <f t="shared" ca="1" si="184"/>
        <v>#NAME?</v>
      </c>
      <c r="AR249" s="315" t="e">
        <f t="shared" ca="1" si="198"/>
        <v>#NAME?</v>
      </c>
      <c r="AS249" s="316" t="e">
        <f t="shared" ca="1" si="199"/>
        <v>#NAME?</v>
      </c>
      <c r="AT249" s="315" t="e">
        <f t="shared" ca="1" si="200"/>
        <v>#NAME?</v>
      </c>
      <c r="AU249" s="317">
        <v>427.8</v>
      </c>
      <c r="AV249" s="315" t="e">
        <f t="shared" ca="1" si="201"/>
        <v>#NAME?</v>
      </c>
      <c r="AW249" s="318" t="e">
        <f ca="1">0.0001*BicubicInterpolation('Drag Coef Table'!$B$4:$L$28,AV249,AC249)</f>
        <v>#NAME?</v>
      </c>
      <c r="AX249" s="319" t="e">
        <f t="shared" ca="1" si="202"/>
        <v>#NAME?</v>
      </c>
      <c r="AY249" s="318" t="e">
        <f t="shared" ca="1" si="203"/>
        <v>#NAME?</v>
      </c>
      <c r="AZ249" s="320" t="e">
        <f t="shared" ca="1" si="204"/>
        <v>#NAME?</v>
      </c>
      <c r="BA249" s="321" t="e">
        <f t="shared" ca="1" si="205"/>
        <v>#NAME?</v>
      </c>
      <c r="BB249" s="322" t="e">
        <f t="shared" ca="1" si="206"/>
        <v>#NAME?</v>
      </c>
      <c r="BC249" s="323">
        <v>75.196700000000007</v>
      </c>
      <c r="BD249" s="324" t="e">
        <f t="shared" ca="1" si="207"/>
        <v>#NAME?</v>
      </c>
      <c r="BE249" s="325" t="e">
        <f t="shared" ca="1" si="208"/>
        <v>#NAME?</v>
      </c>
      <c r="BF249" s="324" t="e">
        <f ca="1">BicubicInterpolation('TSFC Eff Table'!$B$4:$E$69,2,BB249)</f>
        <v>#NAME?</v>
      </c>
      <c r="BG249" s="326" t="e">
        <f t="shared" ca="1" si="209"/>
        <v>#NAME?</v>
      </c>
      <c r="BH249" s="694" t="e">
        <f ca="1">IF( S249="LRCINOP",   (1+(0.03/10)*Z249*(1+0.2*AC249^2) )*BicubicInterpolation( 'LRC INOP FF'!$C$4:$AA$21, Y249, U249 )-200, IF(S249 ="HOLDINGINOP", (1+(0.03/10)*Z249*(1+0.2*AC249^2) )*BicubicInterpolation( 'Holding INOP FF'!$C$4:$J$13,  Y249,  U249)/1.05-200,   BA249*BG249))</f>
        <v>#NAME?</v>
      </c>
      <c r="BI249" s="344" t="e">
        <f t="shared" ca="1" si="168"/>
        <v>#NAME?</v>
      </c>
      <c r="BJ249" s="322" t="e">
        <f t="shared" ca="1" si="210"/>
        <v>#NAME?</v>
      </c>
      <c r="BK249" s="338" t="e">
        <f t="shared" ca="1" si="169"/>
        <v>#NAME?</v>
      </c>
      <c r="BL249" s="327" t="e">
        <f t="shared" ca="1" si="211"/>
        <v>#NAME?</v>
      </c>
      <c r="BM249" s="328">
        <f t="shared" si="212"/>
        <v>200</v>
      </c>
      <c r="BN249" s="329" t="e">
        <f t="shared" ca="1" si="213"/>
        <v>#NAME?</v>
      </c>
      <c r="BO249" s="344" t="e">
        <f t="shared" ca="1" si="170"/>
        <v>#NAME?</v>
      </c>
      <c r="BP249" s="320" t="e">
        <f t="shared" ca="1" si="214"/>
        <v>#NAME?</v>
      </c>
      <c r="BQ249" s="344" t="e">
        <f t="shared" ca="1" si="171"/>
        <v>#NAME?</v>
      </c>
      <c r="BR249" s="347" t="e">
        <f t="shared" ca="1" si="172"/>
        <v>#NAME?</v>
      </c>
      <c r="BS249" s="326" t="e">
        <f t="shared" ca="1" si="215"/>
        <v>#NAME?</v>
      </c>
      <c r="BT249" s="437" t="e">
        <f t="shared" ca="1" si="185"/>
        <v>#NAME?</v>
      </c>
      <c r="BU249" s="437" t="e">
        <f t="shared" ca="1" si="186"/>
        <v>#NAME?</v>
      </c>
      <c r="BV249" s="441" t="e">
        <f t="shared" ca="1" si="187"/>
        <v>#NAME?</v>
      </c>
      <c r="BW249" s="442" t="e">
        <f t="shared" ca="1" si="188"/>
        <v>#NAME?</v>
      </c>
      <c r="BX249" s="470" t="e">
        <f t="shared" ca="1" si="161"/>
        <v>#NAME?</v>
      </c>
      <c r="BY249" s="484" t="e">
        <f t="shared" ca="1" si="173"/>
        <v>#NAME?</v>
      </c>
      <c r="BZ249" s="176"/>
    </row>
    <row r="250" spans="9:78" s="177" customFormat="1" ht="17.75" customHeight="1" x14ac:dyDescent="0.2">
      <c r="I250" s="366">
        <v>166</v>
      </c>
      <c r="J250" s="414">
        <f t="shared" si="174"/>
        <v>41705.827777778155</v>
      </c>
      <c r="K250" s="435" t="e">
        <f t="shared" ca="1" si="175"/>
        <v>#NAME?</v>
      </c>
      <c r="L250" s="435" t="e">
        <f t="shared" ca="1" si="162"/>
        <v>#NAME?</v>
      </c>
      <c r="M250" s="664" t="e">
        <f t="shared" ca="1" si="216"/>
        <v>#NAME?</v>
      </c>
      <c r="N250" s="664" t="e">
        <f t="shared" ca="1" si="217"/>
        <v>#NAME?</v>
      </c>
      <c r="O250" s="140" t="e">
        <f t="shared" ca="1" si="163"/>
        <v>#NAME?</v>
      </c>
      <c r="P250" s="352" t="e">
        <f t="shared" ca="1" si="176"/>
        <v>#NAME?</v>
      </c>
      <c r="Q250" s="665" t="e">
        <f t="shared" ca="1" si="156"/>
        <v>#NAME?</v>
      </c>
      <c r="R250" s="352" t="e">
        <f t="shared" ca="1" si="189"/>
        <v>#NAME?</v>
      </c>
      <c r="S250" s="662" t="e">
        <f t="shared" ca="1" si="164"/>
        <v>#NAME?</v>
      </c>
      <c r="T250" s="443" t="e">
        <f t="shared" ca="1" si="157"/>
        <v>#NAME?</v>
      </c>
      <c r="U250" s="369" t="e">
        <f t="shared" ca="1" si="158"/>
        <v>#NAME?</v>
      </c>
      <c r="V250" s="454" t="e">
        <f t="shared" ca="1" si="165"/>
        <v>#NAME?</v>
      </c>
      <c r="W250" s="457">
        <f t="shared" si="166"/>
        <v>1000</v>
      </c>
      <c r="X250" s="463" t="e">
        <f t="shared" ca="1" si="167"/>
        <v>#NAME?</v>
      </c>
      <c r="Y250" s="455" t="e">
        <f t="shared" ca="1" si="177"/>
        <v>#NAME?</v>
      </c>
      <c r="Z250" s="699">
        <f t="shared" si="159"/>
        <v>8.5</v>
      </c>
      <c r="AA250" s="355" t="str">
        <f t="shared" si="160"/>
        <v>ON</v>
      </c>
      <c r="AB250" s="357">
        <f t="shared" si="190"/>
        <v>1.4999999999999999E-2</v>
      </c>
      <c r="AC250" s="356" t="e">
        <f ca="1">IF(  Y249=0,0,IF(OR(S250="KCAS",S250="INOP",S250="MEFE"),   ( (5*( (   (((1+0.2*(T250/661.4786)^2)^3.5 -1)  )/( (1-6.8755856*10^-6 *100*Y250)^5.2558797) +1)^(2/7) -1) )^0.5),IF(S250="MACH",T250, IF(S250="LRC",BicubicInterpolation( 'LRC Mach'!$C$4:$AL$21, Y250,U250),  IF(S250="MRC",BicubicInterpolation( 'MRC Mach'!$C$3:$T$18, Y250,U250),  IF(S250="M0.84",0.84,  IF(S250="CI52",BicubicInterpolation('CI=52 Mach'!$C$3:$T$18, Y250,U250),  IF(S250="HOLDING",BicubicInterpolation(  'Holding Mach'!$C$4:$M$13, Y250,U250),                         IF(S250="LRCINOP", BicubicInterpolation('LRC INOP Mach'!$C$4:$AA$21,Y250,U250), IF(S250="HOLDINGINOP",  BicubicInterpolation('Holding INOP Mach'!$N$4:$U$13,Y250,U250),         "XXX" )))))))   )))</f>
        <v>#NAME?</v>
      </c>
      <c r="AD250" s="313" t="e">
        <f t="shared" ca="1" si="191"/>
        <v>#NAME?</v>
      </c>
      <c r="AE250" s="314" t="e">
        <f t="shared" ca="1" si="178"/>
        <v>#NAME?</v>
      </c>
      <c r="AF250" s="313" t="e">
        <f t="shared" ca="1" si="192"/>
        <v>#NAME?</v>
      </c>
      <c r="AG250" s="314" t="e">
        <f t="shared" ca="1" si="179"/>
        <v>#NAME?</v>
      </c>
      <c r="AH250" s="313" t="e">
        <f t="shared" ca="1" si="193"/>
        <v>#NAME?</v>
      </c>
      <c r="AI250" s="314" t="e">
        <f t="shared" ca="1" si="180"/>
        <v>#NAME?</v>
      </c>
      <c r="AJ250" s="315" t="e">
        <f t="shared" ca="1" si="181"/>
        <v>#NAME?</v>
      </c>
      <c r="AK250" s="568" t="e">
        <f t="shared" ca="1" si="194"/>
        <v>#NAME?</v>
      </c>
      <c r="AL250" s="313" t="e">
        <f t="shared" ca="1" si="195"/>
        <v>#NAME?</v>
      </c>
      <c r="AM250" s="313" t="e">
        <f t="shared" ca="1" si="182"/>
        <v>#NAME?</v>
      </c>
      <c r="AN250" s="313" t="e">
        <f t="shared" ca="1" si="183"/>
        <v>#NAME?</v>
      </c>
      <c r="AO250" s="316" t="e">
        <f t="shared" ca="1" si="196"/>
        <v>#NAME?</v>
      </c>
      <c r="AP250" s="313" t="e">
        <f t="shared" ca="1" si="197"/>
        <v>#NAME?</v>
      </c>
      <c r="AQ250" s="314" t="e">
        <f t="shared" ca="1" si="184"/>
        <v>#NAME?</v>
      </c>
      <c r="AR250" s="315" t="e">
        <f t="shared" ca="1" si="198"/>
        <v>#NAME?</v>
      </c>
      <c r="AS250" s="316" t="e">
        <f t="shared" ca="1" si="199"/>
        <v>#NAME?</v>
      </c>
      <c r="AT250" s="315" t="e">
        <f t="shared" ca="1" si="200"/>
        <v>#NAME?</v>
      </c>
      <c r="AU250" s="317">
        <v>427.8</v>
      </c>
      <c r="AV250" s="315" t="e">
        <f t="shared" ca="1" si="201"/>
        <v>#NAME?</v>
      </c>
      <c r="AW250" s="318" t="e">
        <f ca="1">0.0001*BicubicInterpolation('Drag Coef Table'!$B$4:$L$28,AV250,AC250)</f>
        <v>#NAME?</v>
      </c>
      <c r="AX250" s="319" t="e">
        <f t="shared" ca="1" si="202"/>
        <v>#NAME?</v>
      </c>
      <c r="AY250" s="318" t="e">
        <f t="shared" ca="1" si="203"/>
        <v>#NAME?</v>
      </c>
      <c r="AZ250" s="320" t="e">
        <f t="shared" ca="1" si="204"/>
        <v>#NAME?</v>
      </c>
      <c r="BA250" s="321" t="e">
        <f t="shared" ca="1" si="205"/>
        <v>#NAME?</v>
      </c>
      <c r="BB250" s="322" t="e">
        <f t="shared" ca="1" si="206"/>
        <v>#NAME?</v>
      </c>
      <c r="BC250" s="323">
        <v>75.196700000000007</v>
      </c>
      <c r="BD250" s="324" t="e">
        <f t="shared" ca="1" si="207"/>
        <v>#NAME?</v>
      </c>
      <c r="BE250" s="325" t="e">
        <f t="shared" ca="1" si="208"/>
        <v>#NAME?</v>
      </c>
      <c r="BF250" s="324" t="e">
        <f ca="1">BicubicInterpolation('TSFC Eff Table'!$B$4:$E$69,2,BB250)</f>
        <v>#NAME?</v>
      </c>
      <c r="BG250" s="326" t="e">
        <f t="shared" ca="1" si="209"/>
        <v>#NAME?</v>
      </c>
      <c r="BH250" s="694" t="e">
        <f ca="1">IF( S250="LRCINOP",   (1+(0.03/10)*Z250*(1+0.2*AC250^2) )*BicubicInterpolation( 'LRC INOP FF'!$C$4:$AA$21, Y250, U250 )-200, IF(S250 ="HOLDINGINOP", (1+(0.03/10)*Z250*(1+0.2*AC250^2) )*BicubicInterpolation( 'Holding INOP FF'!$C$4:$J$13,  Y250,  U250)/1.05-200,   BA250*BG250))</f>
        <v>#NAME?</v>
      </c>
      <c r="BI250" s="344" t="e">
        <f t="shared" ca="1" si="168"/>
        <v>#NAME?</v>
      </c>
      <c r="BJ250" s="322" t="e">
        <f t="shared" ca="1" si="210"/>
        <v>#NAME?</v>
      </c>
      <c r="BK250" s="338" t="e">
        <f t="shared" ca="1" si="169"/>
        <v>#NAME?</v>
      </c>
      <c r="BL250" s="327" t="e">
        <f t="shared" ca="1" si="211"/>
        <v>#NAME?</v>
      </c>
      <c r="BM250" s="328">
        <f t="shared" si="212"/>
        <v>200</v>
      </c>
      <c r="BN250" s="329" t="e">
        <f t="shared" ca="1" si="213"/>
        <v>#NAME?</v>
      </c>
      <c r="BO250" s="344" t="e">
        <f t="shared" ca="1" si="170"/>
        <v>#NAME?</v>
      </c>
      <c r="BP250" s="320" t="e">
        <f t="shared" ca="1" si="214"/>
        <v>#NAME?</v>
      </c>
      <c r="BQ250" s="344" t="e">
        <f t="shared" ca="1" si="171"/>
        <v>#NAME?</v>
      </c>
      <c r="BR250" s="347" t="e">
        <f t="shared" ca="1" si="172"/>
        <v>#NAME?</v>
      </c>
      <c r="BS250" s="326" t="e">
        <f t="shared" ca="1" si="215"/>
        <v>#NAME?</v>
      </c>
      <c r="BT250" s="437" t="e">
        <f t="shared" ca="1" si="185"/>
        <v>#NAME?</v>
      </c>
      <c r="BU250" s="437" t="e">
        <f t="shared" ca="1" si="186"/>
        <v>#NAME?</v>
      </c>
      <c r="BV250" s="441" t="e">
        <f t="shared" ca="1" si="187"/>
        <v>#NAME?</v>
      </c>
      <c r="BW250" s="442" t="e">
        <f t="shared" ca="1" si="188"/>
        <v>#NAME?</v>
      </c>
      <c r="BX250" s="470" t="e">
        <f t="shared" ca="1" si="161"/>
        <v>#NAME?</v>
      </c>
      <c r="BY250" s="484" t="e">
        <f t="shared" ca="1" si="173"/>
        <v>#NAME?</v>
      </c>
      <c r="BZ250" s="176"/>
    </row>
    <row r="251" spans="9:78" s="177" customFormat="1" ht="17.75" customHeight="1" x14ac:dyDescent="0.2">
      <c r="I251" s="366">
        <v>167</v>
      </c>
      <c r="J251" s="414">
        <f t="shared" si="174"/>
        <v>41705.828472222602</v>
      </c>
      <c r="K251" s="435" t="e">
        <f t="shared" ca="1" si="175"/>
        <v>#NAME?</v>
      </c>
      <c r="L251" s="435" t="e">
        <f t="shared" ca="1" si="162"/>
        <v>#NAME?</v>
      </c>
      <c r="M251" s="664" t="e">
        <f t="shared" ca="1" si="216"/>
        <v>#NAME?</v>
      </c>
      <c r="N251" s="664" t="e">
        <f t="shared" ca="1" si="217"/>
        <v>#NAME?</v>
      </c>
      <c r="O251" s="140" t="e">
        <f t="shared" ca="1" si="163"/>
        <v>#NAME?</v>
      </c>
      <c r="P251" s="352" t="e">
        <f t="shared" ca="1" si="176"/>
        <v>#NAME?</v>
      </c>
      <c r="Q251" s="665" t="e">
        <f t="shared" ca="1" si="156"/>
        <v>#NAME?</v>
      </c>
      <c r="R251" s="352" t="e">
        <f t="shared" ca="1" si="189"/>
        <v>#NAME?</v>
      </c>
      <c r="S251" s="662" t="e">
        <f t="shared" ca="1" si="164"/>
        <v>#NAME?</v>
      </c>
      <c r="T251" s="443" t="e">
        <f t="shared" ca="1" si="157"/>
        <v>#NAME?</v>
      </c>
      <c r="U251" s="369" t="e">
        <f t="shared" ca="1" si="158"/>
        <v>#NAME?</v>
      </c>
      <c r="V251" s="454" t="e">
        <f t="shared" ca="1" si="165"/>
        <v>#NAME?</v>
      </c>
      <c r="W251" s="457">
        <f t="shared" si="166"/>
        <v>1000</v>
      </c>
      <c r="X251" s="463" t="e">
        <f t="shared" ca="1" si="167"/>
        <v>#NAME?</v>
      </c>
      <c r="Y251" s="455" t="e">
        <f t="shared" ca="1" si="177"/>
        <v>#NAME?</v>
      </c>
      <c r="Z251" s="699">
        <f t="shared" si="159"/>
        <v>8.5</v>
      </c>
      <c r="AA251" s="355" t="str">
        <f t="shared" si="160"/>
        <v>ON</v>
      </c>
      <c r="AB251" s="357">
        <f t="shared" si="190"/>
        <v>1.4999999999999999E-2</v>
      </c>
      <c r="AC251" s="356" t="e">
        <f ca="1">IF(  Y250=0,0,IF(OR(S251="KCAS",S251="INOP",S251="MEFE"),   ( (5*( (   (((1+0.2*(T251/661.4786)^2)^3.5 -1)  )/( (1-6.8755856*10^-6 *100*Y251)^5.2558797) +1)^(2/7) -1) )^0.5),IF(S251="MACH",T251, IF(S251="LRC",BicubicInterpolation( 'LRC Mach'!$C$4:$AL$21, Y251,U251),  IF(S251="MRC",BicubicInterpolation( 'MRC Mach'!$C$3:$T$18, Y251,U251),  IF(S251="M0.84",0.84,  IF(S251="CI52",BicubicInterpolation('CI=52 Mach'!$C$3:$T$18, Y251,U251),  IF(S251="HOLDING",BicubicInterpolation(  'Holding Mach'!$C$4:$M$13, Y251,U251),                         IF(S251="LRCINOP", BicubicInterpolation('LRC INOP Mach'!$C$4:$AA$21,Y251,U251), IF(S251="HOLDINGINOP",  BicubicInterpolation('Holding INOP Mach'!$N$4:$U$13,Y251,U251),         "XXX" )))))))   )))</f>
        <v>#NAME?</v>
      </c>
      <c r="AD251" s="313" t="e">
        <f t="shared" ca="1" si="191"/>
        <v>#NAME?</v>
      </c>
      <c r="AE251" s="314" t="e">
        <f t="shared" ca="1" si="178"/>
        <v>#NAME?</v>
      </c>
      <c r="AF251" s="313" t="e">
        <f t="shared" ca="1" si="192"/>
        <v>#NAME?</v>
      </c>
      <c r="AG251" s="314" t="e">
        <f t="shared" ca="1" si="179"/>
        <v>#NAME?</v>
      </c>
      <c r="AH251" s="313" t="e">
        <f t="shared" ca="1" si="193"/>
        <v>#NAME?</v>
      </c>
      <c r="AI251" s="314" t="e">
        <f t="shared" ca="1" si="180"/>
        <v>#NAME?</v>
      </c>
      <c r="AJ251" s="315" t="e">
        <f t="shared" ca="1" si="181"/>
        <v>#NAME?</v>
      </c>
      <c r="AK251" s="568" t="e">
        <f t="shared" ca="1" si="194"/>
        <v>#NAME?</v>
      </c>
      <c r="AL251" s="313" t="e">
        <f t="shared" ca="1" si="195"/>
        <v>#NAME?</v>
      </c>
      <c r="AM251" s="313" t="e">
        <f t="shared" ca="1" si="182"/>
        <v>#NAME?</v>
      </c>
      <c r="AN251" s="313" t="e">
        <f t="shared" ca="1" si="183"/>
        <v>#NAME?</v>
      </c>
      <c r="AO251" s="316" t="e">
        <f t="shared" ca="1" si="196"/>
        <v>#NAME?</v>
      </c>
      <c r="AP251" s="313" t="e">
        <f t="shared" ca="1" si="197"/>
        <v>#NAME?</v>
      </c>
      <c r="AQ251" s="314" t="e">
        <f t="shared" ca="1" si="184"/>
        <v>#NAME?</v>
      </c>
      <c r="AR251" s="315" t="e">
        <f t="shared" ca="1" si="198"/>
        <v>#NAME?</v>
      </c>
      <c r="AS251" s="316" t="e">
        <f t="shared" ca="1" si="199"/>
        <v>#NAME?</v>
      </c>
      <c r="AT251" s="315" t="e">
        <f t="shared" ca="1" si="200"/>
        <v>#NAME?</v>
      </c>
      <c r="AU251" s="317">
        <v>427.8</v>
      </c>
      <c r="AV251" s="315" t="e">
        <f t="shared" ca="1" si="201"/>
        <v>#NAME?</v>
      </c>
      <c r="AW251" s="318" t="e">
        <f ca="1">0.0001*BicubicInterpolation('Drag Coef Table'!$B$4:$L$28,AV251,AC251)</f>
        <v>#NAME?</v>
      </c>
      <c r="AX251" s="319" t="e">
        <f t="shared" ca="1" si="202"/>
        <v>#NAME?</v>
      </c>
      <c r="AY251" s="318" t="e">
        <f t="shared" ca="1" si="203"/>
        <v>#NAME?</v>
      </c>
      <c r="AZ251" s="320" t="e">
        <f t="shared" ca="1" si="204"/>
        <v>#NAME?</v>
      </c>
      <c r="BA251" s="321" t="e">
        <f t="shared" ca="1" si="205"/>
        <v>#NAME?</v>
      </c>
      <c r="BB251" s="322" t="e">
        <f t="shared" ca="1" si="206"/>
        <v>#NAME?</v>
      </c>
      <c r="BC251" s="323">
        <v>75.196700000000007</v>
      </c>
      <c r="BD251" s="324" t="e">
        <f t="shared" ca="1" si="207"/>
        <v>#NAME?</v>
      </c>
      <c r="BE251" s="325" t="e">
        <f t="shared" ca="1" si="208"/>
        <v>#NAME?</v>
      </c>
      <c r="BF251" s="324" t="e">
        <f ca="1">BicubicInterpolation('TSFC Eff Table'!$B$4:$E$69,2,BB251)</f>
        <v>#NAME?</v>
      </c>
      <c r="BG251" s="326" t="e">
        <f t="shared" ca="1" si="209"/>
        <v>#NAME?</v>
      </c>
      <c r="BH251" s="694" t="e">
        <f ca="1">IF( S251="LRCINOP",   (1+(0.03/10)*Z251*(1+0.2*AC251^2) )*BicubicInterpolation( 'LRC INOP FF'!$C$4:$AA$21, Y251, U251 )-200, IF(S251 ="HOLDINGINOP", (1+(0.03/10)*Z251*(1+0.2*AC251^2) )*BicubicInterpolation( 'Holding INOP FF'!$C$4:$J$13,  Y251,  U251)/1.05-200,   BA251*BG251))</f>
        <v>#NAME?</v>
      </c>
      <c r="BI251" s="344" t="e">
        <f t="shared" ca="1" si="168"/>
        <v>#NAME?</v>
      </c>
      <c r="BJ251" s="322" t="e">
        <f t="shared" ca="1" si="210"/>
        <v>#NAME?</v>
      </c>
      <c r="BK251" s="338" t="e">
        <f t="shared" ca="1" si="169"/>
        <v>#NAME?</v>
      </c>
      <c r="BL251" s="327" t="e">
        <f t="shared" ca="1" si="211"/>
        <v>#NAME?</v>
      </c>
      <c r="BM251" s="328">
        <f t="shared" si="212"/>
        <v>200</v>
      </c>
      <c r="BN251" s="329" t="e">
        <f t="shared" ca="1" si="213"/>
        <v>#NAME?</v>
      </c>
      <c r="BO251" s="344" t="e">
        <f t="shared" ca="1" si="170"/>
        <v>#NAME?</v>
      </c>
      <c r="BP251" s="320" t="e">
        <f t="shared" ca="1" si="214"/>
        <v>#NAME?</v>
      </c>
      <c r="BQ251" s="344" t="e">
        <f t="shared" ca="1" si="171"/>
        <v>#NAME?</v>
      </c>
      <c r="BR251" s="347" t="e">
        <f t="shared" ca="1" si="172"/>
        <v>#NAME?</v>
      </c>
      <c r="BS251" s="326" t="e">
        <f t="shared" ca="1" si="215"/>
        <v>#NAME?</v>
      </c>
      <c r="BT251" s="437" t="e">
        <f t="shared" ca="1" si="185"/>
        <v>#NAME?</v>
      </c>
      <c r="BU251" s="437" t="e">
        <f t="shared" ca="1" si="186"/>
        <v>#NAME?</v>
      </c>
      <c r="BV251" s="441" t="e">
        <f t="shared" ca="1" si="187"/>
        <v>#NAME?</v>
      </c>
      <c r="BW251" s="442" t="e">
        <f t="shared" ca="1" si="188"/>
        <v>#NAME?</v>
      </c>
      <c r="BX251" s="470" t="e">
        <f t="shared" ca="1" si="161"/>
        <v>#NAME?</v>
      </c>
      <c r="BY251" s="484" t="e">
        <f t="shared" ca="1" si="173"/>
        <v>#NAME?</v>
      </c>
      <c r="BZ251" s="176"/>
    </row>
    <row r="252" spans="9:78" s="177" customFormat="1" ht="17.75" customHeight="1" x14ac:dyDescent="0.2">
      <c r="I252" s="366">
        <v>168</v>
      </c>
      <c r="J252" s="414">
        <f t="shared" si="174"/>
        <v>41705.829166667048</v>
      </c>
      <c r="K252" s="435" t="e">
        <f t="shared" ca="1" si="175"/>
        <v>#NAME?</v>
      </c>
      <c r="L252" s="435" t="e">
        <f t="shared" ca="1" si="162"/>
        <v>#NAME?</v>
      </c>
      <c r="M252" s="664" t="e">
        <f t="shared" ca="1" si="216"/>
        <v>#NAME?</v>
      </c>
      <c r="N252" s="664" t="e">
        <f t="shared" ca="1" si="217"/>
        <v>#NAME?</v>
      </c>
      <c r="O252" s="140" t="e">
        <f t="shared" ca="1" si="163"/>
        <v>#NAME?</v>
      </c>
      <c r="P252" s="352" t="e">
        <f t="shared" ca="1" si="176"/>
        <v>#NAME?</v>
      </c>
      <c r="Q252" s="665" t="e">
        <f t="shared" ca="1" si="156"/>
        <v>#NAME?</v>
      </c>
      <c r="R252" s="352" t="e">
        <f t="shared" ca="1" si="189"/>
        <v>#NAME?</v>
      </c>
      <c r="S252" s="662" t="e">
        <f t="shared" ca="1" si="164"/>
        <v>#NAME?</v>
      </c>
      <c r="T252" s="443" t="e">
        <f t="shared" ca="1" si="157"/>
        <v>#NAME?</v>
      </c>
      <c r="U252" s="369" t="e">
        <f t="shared" ca="1" si="158"/>
        <v>#NAME?</v>
      </c>
      <c r="V252" s="454" t="e">
        <f t="shared" ca="1" si="165"/>
        <v>#NAME?</v>
      </c>
      <c r="W252" s="457">
        <f t="shared" si="166"/>
        <v>1000</v>
      </c>
      <c r="X252" s="463" t="e">
        <f t="shared" ca="1" si="167"/>
        <v>#NAME?</v>
      </c>
      <c r="Y252" s="455" t="e">
        <f t="shared" ca="1" si="177"/>
        <v>#NAME?</v>
      </c>
      <c r="Z252" s="699">
        <f t="shared" si="159"/>
        <v>8.5</v>
      </c>
      <c r="AA252" s="355" t="str">
        <f t="shared" si="160"/>
        <v>ON</v>
      </c>
      <c r="AB252" s="357">
        <f t="shared" si="190"/>
        <v>1.4999999999999999E-2</v>
      </c>
      <c r="AC252" s="356" t="e">
        <f ca="1">IF(  Y251=0,0,IF(OR(S252="KCAS",S252="INOP",S252="MEFE"),   ( (5*( (   (((1+0.2*(T252/661.4786)^2)^3.5 -1)  )/( (1-6.8755856*10^-6 *100*Y252)^5.2558797) +1)^(2/7) -1) )^0.5),IF(S252="MACH",T252, IF(S252="LRC",BicubicInterpolation( 'LRC Mach'!$C$4:$AL$21, Y252,U252),  IF(S252="MRC",BicubicInterpolation( 'MRC Mach'!$C$3:$T$18, Y252,U252),  IF(S252="M0.84",0.84,  IF(S252="CI52",BicubicInterpolation('CI=52 Mach'!$C$3:$T$18, Y252,U252),  IF(S252="HOLDING",BicubicInterpolation(  'Holding Mach'!$C$4:$M$13, Y252,U252),                         IF(S252="LRCINOP", BicubicInterpolation('LRC INOP Mach'!$C$4:$AA$21,Y252,U252), IF(S252="HOLDINGINOP",  BicubicInterpolation('Holding INOP Mach'!$N$4:$U$13,Y252,U252),         "XXX" )))))))   )))</f>
        <v>#NAME?</v>
      </c>
      <c r="AD252" s="313" t="e">
        <f t="shared" ca="1" si="191"/>
        <v>#NAME?</v>
      </c>
      <c r="AE252" s="314" t="e">
        <f t="shared" ca="1" si="178"/>
        <v>#NAME?</v>
      </c>
      <c r="AF252" s="313" t="e">
        <f t="shared" ca="1" si="192"/>
        <v>#NAME?</v>
      </c>
      <c r="AG252" s="314" t="e">
        <f t="shared" ca="1" si="179"/>
        <v>#NAME?</v>
      </c>
      <c r="AH252" s="313" t="e">
        <f t="shared" ca="1" si="193"/>
        <v>#NAME?</v>
      </c>
      <c r="AI252" s="314" t="e">
        <f t="shared" ca="1" si="180"/>
        <v>#NAME?</v>
      </c>
      <c r="AJ252" s="315" t="e">
        <f t="shared" ca="1" si="181"/>
        <v>#NAME?</v>
      </c>
      <c r="AK252" s="568" t="e">
        <f t="shared" ca="1" si="194"/>
        <v>#NAME?</v>
      </c>
      <c r="AL252" s="313" t="e">
        <f t="shared" ca="1" si="195"/>
        <v>#NAME?</v>
      </c>
      <c r="AM252" s="313" t="e">
        <f t="shared" ca="1" si="182"/>
        <v>#NAME?</v>
      </c>
      <c r="AN252" s="313" t="e">
        <f t="shared" ca="1" si="183"/>
        <v>#NAME?</v>
      </c>
      <c r="AO252" s="316" t="e">
        <f t="shared" ca="1" si="196"/>
        <v>#NAME?</v>
      </c>
      <c r="AP252" s="313" t="e">
        <f t="shared" ca="1" si="197"/>
        <v>#NAME?</v>
      </c>
      <c r="AQ252" s="314" t="e">
        <f t="shared" ca="1" si="184"/>
        <v>#NAME?</v>
      </c>
      <c r="AR252" s="315" t="e">
        <f t="shared" ca="1" si="198"/>
        <v>#NAME?</v>
      </c>
      <c r="AS252" s="316" t="e">
        <f t="shared" ca="1" si="199"/>
        <v>#NAME?</v>
      </c>
      <c r="AT252" s="315" t="e">
        <f t="shared" ca="1" si="200"/>
        <v>#NAME?</v>
      </c>
      <c r="AU252" s="317">
        <v>427.8</v>
      </c>
      <c r="AV252" s="315" t="e">
        <f t="shared" ca="1" si="201"/>
        <v>#NAME?</v>
      </c>
      <c r="AW252" s="318" t="e">
        <f ca="1">0.0001*BicubicInterpolation('Drag Coef Table'!$B$4:$L$28,AV252,AC252)</f>
        <v>#NAME?</v>
      </c>
      <c r="AX252" s="319" t="e">
        <f t="shared" ca="1" si="202"/>
        <v>#NAME?</v>
      </c>
      <c r="AY252" s="318" t="e">
        <f t="shared" ca="1" si="203"/>
        <v>#NAME?</v>
      </c>
      <c r="AZ252" s="320" t="e">
        <f t="shared" ca="1" si="204"/>
        <v>#NAME?</v>
      </c>
      <c r="BA252" s="321" t="e">
        <f t="shared" ca="1" si="205"/>
        <v>#NAME?</v>
      </c>
      <c r="BB252" s="322" t="e">
        <f t="shared" ca="1" si="206"/>
        <v>#NAME?</v>
      </c>
      <c r="BC252" s="323">
        <v>75.196700000000007</v>
      </c>
      <c r="BD252" s="324" t="e">
        <f t="shared" ca="1" si="207"/>
        <v>#NAME?</v>
      </c>
      <c r="BE252" s="325" t="e">
        <f t="shared" ca="1" si="208"/>
        <v>#NAME?</v>
      </c>
      <c r="BF252" s="324" t="e">
        <f ca="1">BicubicInterpolation('TSFC Eff Table'!$B$4:$E$69,2,BB252)</f>
        <v>#NAME?</v>
      </c>
      <c r="BG252" s="326" t="e">
        <f t="shared" ca="1" si="209"/>
        <v>#NAME?</v>
      </c>
      <c r="BH252" s="694" t="e">
        <f ca="1">IF( S252="LRCINOP",   (1+(0.03/10)*Z252*(1+0.2*AC252^2) )*BicubicInterpolation( 'LRC INOP FF'!$C$4:$AA$21, Y252, U252 )-200, IF(S252 ="HOLDINGINOP", (1+(0.03/10)*Z252*(1+0.2*AC252^2) )*BicubicInterpolation( 'Holding INOP FF'!$C$4:$J$13,  Y252,  U252)/1.05-200,   BA252*BG252))</f>
        <v>#NAME?</v>
      </c>
      <c r="BI252" s="344" t="e">
        <f t="shared" ca="1" si="168"/>
        <v>#NAME?</v>
      </c>
      <c r="BJ252" s="322" t="e">
        <f t="shared" ca="1" si="210"/>
        <v>#NAME?</v>
      </c>
      <c r="BK252" s="338" t="e">
        <f t="shared" ca="1" si="169"/>
        <v>#NAME?</v>
      </c>
      <c r="BL252" s="327" t="e">
        <f t="shared" ca="1" si="211"/>
        <v>#NAME?</v>
      </c>
      <c r="BM252" s="328">
        <f t="shared" si="212"/>
        <v>200</v>
      </c>
      <c r="BN252" s="329" t="e">
        <f t="shared" ca="1" si="213"/>
        <v>#NAME?</v>
      </c>
      <c r="BO252" s="344" t="e">
        <f t="shared" ca="1" si="170"/>
        <v>#NAME?</v>
      </c>
      <c r="BP252" s="320" t="e">
        <f t="shared" ca="1" si="214"/>
        <v>#NAME?</v>
      </c>
      <c r="BQ252" s="344" t="e">
        <f t="shared" ca="1" si="171"/>
        <v>#NAME?</v>
      </c>
      <c r="BR252" s="347" t="e">
        <f t="shared" ca="1" si="172"/>
        <v>#NAME?</v>
      </c>
      <c r="BS252" s="326" t="e">
        <f t="shared" ca="1" si="215"/>
        <v>#NAME?</v>
      </c>
      <c r="BT252" s="437" t="e">
        <f t="shared" ca="1" si="185"/>
        <v>#NAME?</v>
      </c>
      <c r="BU252" s="437" t="e">
        <f t="shared" ca="1" si="186"/>
        <v>#NAME?</v>
      </c>
      <c r="BV252" s="441" t="e">
        <f t="shared" ca="1" si="187"/>
        <v>#NAME?</v>
      </c>
      <c r="BW252" s="442" t="e">
        <f t="shared" ca="1" si="188"/>
        <v>#NAME?</v>
      </c>
      <c r="BX252" s="470" t="e">
        <f t="shared" ca="1" si="161"/>
        <v>#NAME?</v>
      </c>
      <c r="BY252" s="484" t="e">
        <f t="shared" ca="1" si="173"/>
        <v>#NAME?</v>
      </c>
      <c r="BZ252" s="176"/>
    </row>
    <row r="253" spans="9:78" s="177" customFormat="1" ht="17.75" customHeight="1" x14ac:dyDescent="0.2">
      <c r="I253" s="366">
        <v>169</v>
      </c>
      <c r="J253" s="414">
        <f t="shared" si="174"/>
        <v>41705.829861111495</v>
      </c>
      <c r="K253" s="435" t="e">
        <f t="shared" ca="1" si="175"/>
        <v>#NAME?</v>
      </c>
      <c r="L253" s="435" t="e">
        <f t="shared" ca="1" si="162"/>
        <v>#NAME?</v>
      </c>
      <c r="M253" s="664" t="e">
        <f t="shared" ca="1" si="216"/>
        <v>#NAME?</v>
      </c>
      <c r="N253" s="664" t="e">
        <f t="shared" ca="1" si="217"/>
        <v>#NAME?</v>
      </c>
      <c r="O253" s="140" t="e">
        <f t="shared" ca="1" si="163"/>
        <v>#NAME?</v>
      </c>
      <c r="P253" s="352" t="e">
        <f t="shared" ca="1" si="176"/>
        <v>#NAME?</v>
      </c>
      <c r="Q253" s="665" t="e">
        <f t="shared" ca="1" si="156"/>
        <v>#NAME?</v>
      </c>
      <c r="R253" s="352" t="e">
        <f t="shared" ca="1" si="189"/>
        <v>#NAME?</v>
      </c>
      <c r="S253" s="662" t="e">
        <f t="shared" ca="1" si="164"/>
        <v>#NAME?</v>
      </c>
      <c r="T253" s="443" t="e">
        <f t="shared" ca="1" si="157"/>
        <v>#NAME?</v>
      </c>
      <c r="U253" s="369" t="e">
        <f t="shared" ca="1" si="158"/>
        <v>#NAME?</v>
      </c>
      <c r="V253" s="454" t="e">
        <f t="shared" ca="1" si="165"/>
        <v>#NAME?</v>
      </c>
      <c r="W253" s="457">
        <f t="shared" si="166"/>
        <v>1000</v>
      </c>
      <c r="X253" s="463" t="e">
        <f t="shared" ca="1" si="167"/>
        <v>#NAME?</v>
      </c>
      <c r="Y253" s="455" t="e">
        <f t="shared" ca="1" si="177"/>
        <v>#NAME?</v>
      </c>
      <c r="Z253" s="699">
        <f t="shared" si="159"/>
        <v>8.5</v>
      </c>
      <c r="AA253" s="355" t="str">
        <f t="shared" si="160"/>
        <v>ON</v>
      </c>
      <c r="AB253" s="357">
        <f t="shared" si="190"/>
        <v>1.4999999999999999E-2</v>
      </c>
      <c r="AC253" s="356" t="e">
        <f ca="1">IF(  Y252=0,0,IF(OR(S253="KCAS",S253="INOP",S253="MEFE"),   ( (5*( (   (((1+0.2*(T253/661.4786)^2)^3.5 -1)  )/( (1-6.8755856*10^-6 *100*Y253)^5.2558797) +1)^(2/7) -1) )^0.5),IF(S253="MACH",T253, IF(S253="LRC",BicubicInterpolation( 'LRC Mach'!$C$4:$AL$21, Y253,U253),  IF(S253="MRC",BicubicInterpolation( 'MRC Mach'!$C$3:$T$18, Y253,U253),  IF(S253="M0.84",0.84,  IF(S253="CI52",BicubicInterpolation('CI=52 Mach'!$C$3:$T$18, Y253,U253),  IF(S253="HOLDING",BicubicInterpolation(  'Holding Mach'!$C$4:$M$13, Y253,U253),                         IF(S253="LRCINOP", BicubicInterpolation('LRC INOP Mach'!$C$4:$AA$21,Y253,U253), IF(S253="HOLDINGINOP",  BicubicInterpolation('Holding INOP Mach'!$N$4:$U$13,Y253,U253),         "XXX" )))))))   )))</f>
        <v>#NAME?</v>
      </c>
      <c r="AD253" s="313" t="e">
        <f t="shared" ca="1" si="191"/>
        <v>#NAME?</v>
      </c>
      <c r="AE253" s="314" t="e">
        <f t="shared" ca="1" si="178"/>
        <v>#NAME?</v>
      </c>
      <c r="AF253" s="313" t="e">
        <f t="shared" ca="1" si="192"/>
        <v>#NAME?</v>
      </c>
      <c r="AG253" s="314" t="e">
        <f t="shared" ca="1" si="179"/>
        <v>#NAME?</v>
      </c>
      <c r="AH253" s="313" t="e">
        <f t="shared" ca="1" si="193"/>
        <v>#NAME?</v>
      </c>
      <c r="AI253" s="314" t="e">
        <f t="shared" ca="1" si="180"/>
        <v>#NAME?</v>
      </c>
      <c r="AJ253" s="315" t="e">
        <f t="shared" ca="1" si="181"/>
        <v>#NAME?</v>
      </c>
      <c r="AK253" s="568" t="e">
        <f t="shared" ca="1" si="194"/>
        <v>#NAME?</v>
      </c>
      <c r="AL253" s="313" t="e">
        <f t="shared" ca="1" si="195"/>
        <v>#NAME?</v>
      </c>
      <c r="AM253" s="313" t="e">
        <f t="shared" ca="1" si="182"/>
        <v>#NAME?</v>
      </c>
      <c r="AN253" s="313" t="e">
        <f t="shared" ca="1" si="183"/>
        <v>#NAME?</v>
      </c>
      <c r="AO253" s="316" t="e">
        <f t="shared" ca="1" si="196"/>
        <v>#NAME?</v>
      </c>
      <c r="AP253" s="313" t="e">
        <f t="shared" ca="1" si="197"/>
        <v>#NAME?</v>
      </c>
      <c r="AQ253" s="314" t="e">
        <f t="shared" ca="1" si="184"/>
        <v>#NAME?</v>
      </c>
      <c r="AR253" s="315" t="e">
        <f t="shared" ca="1" si="198"/>
        <v>#NAME?</v>
      </c>
      <c r="AS253" s="316" t="e">
        <f t="shared" ca="1" si="199"/>
        <v>#NAME?</v>
      </c>
      <c r="AT253" s="315" t="e">
        <f t="shared" ca="1" si="200"/>
        <v>#NAME?</v>
      </c>
      <c r="AU253" s="317">
        <v>427.8</v>
      </c>
      <c r="AV253" s="315" t="e">
        <f t="shared" ca="1" si="201"/>
        <v>#NAME?</v>
      </c>
      <c r="AW253" s="318" t="e">
        <f ca="1">0.0001*BicubicInterpolation('Drag Coef Table'!$B$4:$L$28,AV253,AC253)</f>
        <v>#NAME?</v>
      </c>
      <c r="AX253" s="319" t="e">
        <f t="shared" ca="1" si="202"/>
        <v>#NAME?</v>
      </c>
      <c r="AY253" s="318" t="e">
        <f t="shared" ca="1" si="203"/>
        <v>#NAME?</v>
      </c>
      <c r="AZ253" s="320" t="e">
        <f t="shared" ca="1" si="204"/>
        <v>#NAME?</v>
      </c>
      <c r="BA253" s="321" t="e">
        <f t="shared" ca="1" si="205"/>
        <v>#NAME?</v>
      </c>
      <c r="BB253" s="322" t="e">
        <f t="shared" ca="1" si="206"/>
        <v>#NAME?</v>
      </c>
      <c r="BC253" s="323">
        <v>75.196700000000007</v>
      </c>
      <c r="BD253" s="324" t="e">
        <f t="shared" ca="1" si="207"/>
        <v>#NAME?</v>
      </c>
      <c r="BE253" s="325" t="e">
        <f t="shared" ca="1" si="208"/>
        <v>#NAME?</v>
      </c>
      <c r="BF253" s="324" t="e">
        <f ca="1">BicubicInterpolation('TSFC Eff Table'!$B$4:$E$69,2,BB253)</f>
        <v>#NAME?</v>
      </c>
      <c r="BG253" s="326" t="e">
        <f t="shared" ca="1" si="209"/>
        <v>#NAME?</v>
      </c>
      <c r="BH253" s="694" t="e">
        <f ca="1">IF( S253="LRCINOP",   (1+(0.03/10)*Z253*(1+0.2*AC253^2) )*BicubicInterpolation( 'LRC INOP FF'!$C$4:$AA$21, Y253, U253 )-200, IF(S253 ="HOLDINGINOP", (1+(0.03/10)*Z253*(1+0.2*AC253^2) )*BicubicInterpolation( 'Holding INOP FF'!$C$4:$J$13,  Y253,  U253)/1.05-200,   BA253*BG253))</f>
        <v>#NAME?</v>
      </c>
      <c r="BI253" s="344" t="e">
        <f t="shared" ca="1" si="168"/>
        <v>#NAME?</v>
      </c>
      <c r="BJ253" s="322" t="e">
        <f t="shared" ca="1" si="210"/>
        <v>#NAME?</v>
      </c>
      <c r="BK253" s="338" t="e">
        <f t="shared" ca="1" si="169"/>
        <v>#NAME?</v>
      </c>
      <c r="BL253" s="327" t="e">
        <f t="shared" ca="1" si="211"/>
        <v>#NAME?</v>
      </c>
      <c r="BM253" s="328">
        <f t="shared" si="212"/>
        <v>200</v>
      </c>
      <c r="BN253" s="329" t="e">
        <f t="shared" ca="1" si="213"/>
        <v>#NAME?</v>
      </c>
      <c r="BO253" s="344" t="e">
        <f t="shared" ca="1" si="170"/>
        <v>#NAME?</v>
      </c>
      <c r="BP253" s="320" t="e">
        <f t="shared" ca="1" si="214"/>
        <v>#NAME?</v>
      </c>
      <c r="BQ253" s="344" t="e">
        <f t="shared" ca="1" si="171"/>
        <v>#NAME?</v>
      </c>
      <c r="BR253" s="347" t="e">
        <f t="shared" ca="1" si="172"/>
        <v>#NAME?</v>
      </c>
      <c r="BS253" s="326" t="e">
        <f t="shared" ca="1" si="215"/>
        <v>#NAME?</v>
      </c>
      <c r="BT253" s="437" t="e">
        <f t="shared" ca="1" si="185"/>
        <v>#NAME?</v>
      </c>
      <c r="BU253" s="437" t="e">
        <f t="shared" ca="1" si="186"/>
        <v>#NAME?</v>
      </c>
      <c r="BV253" s="441" t="e">
        <f t="shared" ca="1" si="187"/>
        <v>#NAME?</v>
      </c>
      <c r="BW253" s="442" t="e">
        <f t="shared" ca="1" si="188"/>
        <v>#NAME?</v>
      </c>
      <c r="BX253" s="470" t="e">
        <f t="shared" ca="1" si="161"/>
        <v>#NAME?</v>
      </c>
      <c r="BY253" s="484" t="e">
        <f t="shared" ca="1" si="173"/>
        <v>#NAME?</v>
      </c>
      <c r="BZ253" s="176"/>
    </row>
    <row r="254" spans="9:78" s="177" customFormat="1" ht="17.75" customHeight="1" x14ac:dyDescent="0.2">
      <c r="I254" s="366">
        <v>170</v>
      </c>
      <c r="J254" s="414">
        <f t="shared" si="174"/>
        <v>41705.830555555942</v>
      </c>
      <c r="K254" s="435" t="e">
        <f t="shared" ca="1" si="175"/>
        <v>#NAME?</v>
      </c>
      <c r="L254" s="435" t="e">
        <f t="shared" ca="1" si="162"/>
        <v>#NAME?</v>
      </c>
      <c r="M254" s="664" t="e">
        <f t="shared" ca="1" si="216"/>
        <v>#NAME?</v>
      </c>
      <c r="N254" s="664" t="e">
        <f t="shared" ca="1" si="217"/>
        <v>#NAME?</v>
      </c>
      <c r="O254" s="140" t="e">
        <f t="shared" ca="1" si="163"/>
        <v>#NAME?</v>
      </c>
      <c r="P254" s="352" t="e">
        <f t="shared" ca="1" si="176"/>
        <v>#NAME?</v>
      </c>
      <c r="Q254" s="665" t="e">
        <f t="shared" ca="1" si="156"/>
        <v>#NAME?</v>
      </c>
      <c r="R254" s="352" t="e">
        <f t="shared" ca="1" si="189"/>
        <v>#NAME?</v>
      </c>
      <c r="S254" s="662" t="e">
        <f t="shared" ca="1" si="164"/>
        <v>#NAME?</v>
      </c>
      <c r="T254" s="443" t="e">
        <f t="shared" ca="1" si="157"/>
        <v>#NAME?</v>
      </c>
      <c r="U254" s="369" t="e">
        <f t="shared" ca="1" si="158"/>
        <v>#NAME?</v>
      </c>
      <c r="V254" s="454" t="e">
        <f t="shared" ca="1" si="165"/>
        <v>#NAME?</v>
      </c>
      <c r="W254" s="457">
        <f t="shared" si="166"/>
        <v>1000</v>
      </c>
      <c r="X254" s="463" t="e">
        <f t="shared" ca="1" si="167"/>
        <v>#NAME?</v>
      </c>
      <c r="Y254" s="455" t="e">
        <f t="shared" ca="1" si="177"/>
        <v>#NAME?</v>
      </c>
      <c r="Z254" s="699">
        <f t="shared" si="159"/>
        <v>8.5</v>
      </c>
      <c r="AA254" s="355" t="str">
        <f t="shared" si="160"/>
        <v>ON</v>
      </c>
      <c r="AB254" s="357">
        <f t="shared" si="190"/>
        <v>1.4999999999999999E-2</v>
      </c>
      <c r="AC254" s="356" t="e">
        <f ca="1">IF(  Y253=0,0,IF(OR(S254="KCAS",S254="INOP",S254="MEFE"),   ( (5*( (   (((1+0.2*(T254/661.4786)^2)^3.5 -1)  )/( (1-6.8755856*10^-6 *100*Y254)^5.2558797) +1)^(2/7) -1) )^0.5),IF(S254="MACH",T254, IF(S254="LRC",BicubicInterpolation( 'LRC Mach'!$C$4:$AL$21, Y254,U254),  IF(S254="MRC",BicubicInterpolation( 'MRC Mach'!$C$3:$T$18, Y254,U254),  IF(S254="M0.84",0.84,  IF(S254="CI52",BicubicInterpolation('CI=52 Mach'!$C$3:$T$18, Y254,U254),  IF(S254="HOLDING",BicubicInterpolation(  'Holding Mach'!$C$4:$M$13, Y254,U254),                         IF(S254="LRCINOP", BicubicInterpolation('LRC INOP Mach'!$C$4:$AA$21,Y254,U254), IF(S254="HOLDINGINOP",  BicubicInterpolation('Holding INOP Mach'!$N$4:$U$13,Y254,U254),         "XXX" )))))))   )))</f>
        <v>#NAME?</v>
      </c>
      <c r="AD254" s="313" t="e">
        <f t="shared" ca="1" si="191"/>
        <v>#NAME?</v>
      </c>
      <c r="AE254" s="314" t="e">
        <f t="shared" ca="1" si="178"/>
        <v>#NAME?</v>
      </c>
      <c r="AF254" s="313" t="e">
        <f t="shared" ca="1" si="192"/>
        <v>#NAME?</v>
      </c>
      <c r="AG254" s="314" t="e">
        <f t="shared" ca="1" si="179"/>
        <v>#NAME?</v>
      </c>
      <c r="AH254" s="313" t="e">
        <f t="shared" ca="1" si="193"/>
        <v>#NAME?</v>
      </c>
      <c r="AI254" s="314" t="e">
        <f t="shared" ca="1" si="180"/>
        <v>#NAME?</v>
      </c>
      <c r="AJ254" s="315" t="e">
        <f t="shared" ca="1" si="181"/>
        <v>#NAME?</v>
      </c>
      <c r="AK254" s="568" t="e">
        <f t="shared" ca="1" si="194"/>
        <v>#NAME?</v>
      </c>
      <c r="AL254" s="313" t="e">
        <f t="shared" ca="1" si="195"/>
        <v>#NAME?</v>
      </c>
      <c r="AM254" s="313" t="e">
        <f t="shared" ca="1" si="182"/>
        <v>#NAME?</v>
      </c>
      <c r="AN254" s="313" t="e">
        <f t="shared" ca="1" si="183"/>
        <v>#NAME?</v>
      </c>
      <c r="AO254" s="316" t="e">
        <f t="shared" ca="1" si="196"/>
        <v>#NAME?</v>
      </c>
      <c r="AP254" s="313" t="e">
        <f t="shared" ca="1" si="197"/>
        <v>#NAME?</v>
      </c>
      <c r="AQ254" s="314" t="e">
        <f t="shared" ca="1" si="184"/>
        <v>#NAME?</v>
      </c>
      <c r="AR254" s="315" t="e">
        <f t="shared" ca="1" si="198"/>
        <v>#NAME?</v>
      </c>
      <c r="AS254" s="316" t="e">
        <f t="shared" ca="1" si="199"/>
        <v>#NAME?</v>
      </c>
      <c r="AT254" s="315" t="e">
        <f t="shared" ca="1" si="200"/>
        <v>#NAME?</v>
      </c>
      <c r="AU254" s="317">
        <v>427.8</v>
      </c>
      <c r="AV254" s="315" t="e">
        <f t="shared" ca="1" si="201"/>
        <v>#NAME?</v>
      </c>
      <c r="AW254" s="318" t="e">
        <f ca="1">0.0001*BicubicInterpolation('Drag Coef Table'!$B$4:$L$28,AV254,AC254)</f>
        <v>#NAME?</v>
      </c>
      <c r="AX254" s="319" t="e">
        <f t="shared" ca="1" si="202"/>
        <v>#NAME?</v>
      </c>
      <c r="AY254" s="318" t="e">
        <f t="shared" ca="1" si="203"/>
        <v>#NAME?</v>
      </c>
      <c r="AZ254" s="320" t="e">
        <f t="shared" ca="1" si="204"/>
        <v>#NAME?</v>
      </c>
      <c r="BA254" s="321" t="e">
        <f t="shared" ca="1" si="205"/>
        <v>#NAME?</v>
      </c>
      <c r="BB254" s="322" t="e">
        <f t="shared" ca="1" si="206"/>
        <v>#NAME?</v>
      </c>
      <c r="BC254" s="323">
        <v>75.196700000000007</v>
      </c>
      <c r="BD254" s="324" t="e">
        <f t="shared" ca="1" si="207"/>
        <v>#NAME?</v>
      </c>
      <c r="BE254" s="325" t="e">
        <f t="shared" ca="1" si="208"/>
        <v>#NAME?</v>
      </c>
      <c r="BF254" s="324" t="e">
        <f ca="1">BicubicInterpolation('TSFC Eff Table'!$B$4:$E$69,2,BB254)</f>
        <v>#NAME?</v>
      </c>
      <c r="BG254" s="326" t="e">
        <f t="shared" ca="1" si="209"/>
        <v>#NAME?</v>
      </c>
      <c r="BH254" s="694" t="e">
        <f ca="1">IF( S254="LRCINOP",   (1+(0.03/10)*Z254*(1+0.2*AC254^2) )*BicubicInterpolation( 'LRC INOP FF'!$C$4:$AA$21, Y254, U254 )-200, IF(S254 ="HOLDINGINOP", (1+(0.03/10)*Z254*(1+0.2*AC254^2) )*BicubicInterpolation( 'Holding INOP FF'!$C$4:$J$13,  Y254,  U254)/1.05-200,   BA254*BG254))</f>
        <v>#NAME?</v>
      </c>
      <c r="BI254" s="344" t="e">
        <f t="shared" ca="1" si="168"/>
        <v>#NAME?</v>
      </c>
      <c r="BJ254" s="322" t="e">
        <f t="shared" ca="1" si="210"/>
        <v>#NAME?</v>
      </c>
      <c r="BK254" s="338" t="e">
        <f t="shared" ca="1" si="169"/>
        <v>#NAME?</v>
      </c>
      <c r="BL254" s="327" t="e">
        <f t="shared" ca="1" si="211"/>
        <v>#NAME?</v>
      </c>
      <c r="BM254" s="328">
        <f t="shared" si="212"/>
        <v>200</v>
      </c>
      <c r="BN254" s="329" t="e">
        <f t="shared" ca="1" si="213"/>
        <v>#NAME?</v>
      </c>
      <c r="BO254" s="344" t="e">
        <f t="shared" ca="1" si="170"/>
        <v>#NAME?</v>
      </c>
      <c r="BP254" s="320" t="e">
        <f t="shared" ca="1" si="214"/>
        <v>#NAME?</v>
      </c>
      <c r="BQ254" s="344" t="e">
        <f t="shared" ca="1" si="171"/>
        <v>#NAME?</v>
      </c>
      <c r="BR254" s="347" t="e">
        <f t="shared" ca="1" si="172"/>
        <v>#NAME?</v>
      </c>
      <c r="BS254" s="326" t="e">
        <f t="shared" ca="1" si="215"/>
        <v>#NAME?</v>
      </c>
      <c r="BT254" s="437" t="e">
        <f t="shared" ca="1" si="185"/>
        <v>#NAME?</v>
      </c>
      <c r="BU254" s="437" t="e">
        <f t="shared" ca="1" si="186"/>
        <v>#NAME?</v>
      </c>
      <c r="BV254" s="441" t="e">
        <f t="shared" ca="1" si="187"/>
        <v>#NAME?</v>
      </c>
      <c r="BW254" s="442" t="e">
        <f t="shared" ca="1" si="188"/>
        <v>#NAME?</v>
      </c>
      <c r="BX254" s="470" t="e">
        <f t="shared" ca="1" si="161"/>
        <v>#NAME?</v>
      </c>
      <c r="BY254" s="484" t="e">
        <f t="shared" ca="1" si="173"/>
        <v>#NAME?</v>
      </c>
      <c r="BZ254" s="176"/>
    </row>
    <row r="255" spans="9:78" s="177" customFormat="1" ht="17.75" customHeight="1" x14ac:dyDescent="0.2">
      <c r="I255" s="366">
        <v>171</v>
      </c>
      <c r="J255" s="414">
        <f t="shared" si="174"/>
        <v>41705.831250000389</v>
      </c>
      <c r="K255" s="435" t="e">
        <f t="shared" ca="1" si="175"/>
        <v>#NAME?</v>
      </c>
      <c r="L255" s="435" t="e">
        <f t="shared" ca="1" si="162"/>
        <v>#NAME?</v>
      </c>
      <c r="M255" s="664" t="e">
        <f t="shared" ca="1" si="216"/>
        <v>#NAME?</v>
      </c>
      <c r="N255" s="664" t="e">
        <f t="shared" ca="1" si="217"/>
        <v>#NAME?</v>
      </c>
      <c r="O255" s="140" t="e">
        <f t="shared" ca="1" si="163"/>
        <v>#NAME?</v>
      </c>
      <c r="P255" s="352" t="e">
        <f t="shared" ca="1" si="176"/>
        <v>#NAME?</v>
      </c>
      <c r="Q255" s="665" t="e">
        <f t="shared" ca="1" si="156"/>
        <v>#NAME?</v>
      </c>
      <c r="R255" s="352" t="e">
        <f t="shared" ca="1" si="189"/>
        <v>#NAME?</v>
      </c>
      <c r="S255" s="662" t="e">
        <f t="shared" ca="1" si="164"/>
        <v>#NAME?</v>
      </c>
      <c r="T255" s="443" t="e">
        <f t="shared" ca="1" si="157"/>
        <v>#NAME?</v>
      </c>
      <c r="U255" s="369" t="e">
        <f t="shared" ca="1" si="158"/>
        <v>#NAME?</v>
      </c>
      <c r="V255" s="454" t="e">
        <f t="shared" ca="1" si="165"/>
        <v>#NAME?</v>
      </c>
      <c r="W255" s="457">
        <f t="shared" si="166"/>
        <v>1000</v>
      </c>
      <c r="X255" s="463" t="e">
        <f t="shared" ca="1" si="167"/>
        <v>#NAME?</v>
      </c>
      <c r="Y255" s="455" t="e">
        <f t="shared" ca="1" si="177"/>
        <v>#NAME?</v>
      </c>
      <c r="Z255" s="699">
        <f t="shared" si="159"/>
        <v>8.5</v>
      </c>
      <c r="AA255" s="355" t="str">
        <f t="shared" si="160"/>
        <v>ON</v>
      </c>
      <c r="AB255" s="357">
        <f t="shared" si="190"/>
        <v>1.4999999999999999E-2</v>
      </c>
      <c r="AC255" s="356" t="e">
        <f ca="1">IF(  Y254=0,0,IF(OR(S255="KCAS",S255="INOP",S255="MEFE"),   ( (5*( (   (((1+0.2*(T255/661.4786)^2)^3.5 -1)  )/( (1-6.8755856*10^-6 *100*Y255)^5.2558797) +1)^(2/7) -1) )^0.5),IF(S255="MACH",T255, IF(S255="LRC",BicubicInterpolation( 'LRC Mach'!$C$4:$AL$21, Y255,U255),  IF(S255="MRC",BicubicInterpolation( 'MRC Mach'!$C$3:$T$18, Y255,U255),  IF(S255="M0.84",0.84,  IF(S255="CI52",BicubicInterpolation('CI=52 Mach'!$C$3:$T$18, Y255,U255),  IF(S255="HOLDING",BicubicInterpolation(  'Holding Mach'!$C$4:$M$13, Y255,U255),                         IF(S255="LRCINOP", BicubicInterpolation('LRC INOP Mach'!$C$4:$AA$21,Y255,U255), IF(S255="HOLDINGINOP",  BicubicInterpolation('Holding INOP Mach'!$N$4:$U$13,Y255,U255),         "XXX" )))))))   )))</f>
        <v>#NAME?</v>
      </c>
      <c r="AD255" s="313" t="e">
        <f t="shared" ca="1" si="191"/>
        <v>#NAME?</v>
      </c>
      <c r="AE255" s="314" t="e">
        <f t="shared" ca="1" si="178"/>
        <v>#NAME?</v>
      </c>
      <c r="AF255" s="313" t="e">
        <f t="shared" ca="1" si="192"/>
        <v>#NAME?</v>
      </c>
      <c r="AG255" s="314" t="e">
        <f t="shared" ca="1" si="179"/>
        <v>#NAME?</v>
      </c>
      <c r="AH255" s="313" t="e">
        <f t="shared" ca="1" si="193"/>
        <v>#NAME?</v>
      </c>
      <c r="AI255" s="314" t="e">
        <f t="shared" ca="1" si="180"/>
        <v>#NAME?</v>
      </c>
      <c r="AJ255" s="315" t="e">
        <f t="shared" ca="1" si="181"/>
        <v>#NAME?</v>
      </c>
      <c r="AK255" s="568" t="e">
        <f t="shared" ca="1" si="194"/>
        <v>#NAME?</v>
      </c>
      <c r="AL255" s="313" t="e">
        <f t="shared" ca="1" si="195"/>
        <v>#NAME?</v>
      </c>
      <c r="AM255" s="313" t="e">
        <f t="shared" ca="1" si="182"/>
        <v>#NAME?</v>
      </c>
      <c r="AN255" s="313" t="e">
        <f t="shared" ca="1" si="183"/>
        <v>#NAME?</v>
      </c>
      <c r="AO255" s="316" t="e">
        <f t="shared" ca="1" si="196"/>
        <v>#NAME?</v>
      </c>
      <c r="AP255" s="313" t="e">
        <f t="shared" ca="1" si="197"/>
        <v>#NAME?</v>
      </c>
      <c r="AQ255" s="314" t="e">
        <f t="shared" ca="1" si="184"/>
        <v>#NAME?</v>
      </c>
      <c r="AR255" s="315" t="e">
        <f t="shared" ca="1" si="198"/>
        <v>#NAME?</v>
      </c>
      <c r="AS255" s="316" t="e">
        <f t="shared" ca="1" si="199"/>
        <v>#NAME?</v>
      </c>
      <c r="AT255" s="315" t="e">
        <f t="shared" ca="1" si="200"/>
        <v>#NAME?</v>
      </c>
      <c r="AU255" s="317">
        <v>427.8</v>
      </c>
      <c r="AV255" s="315" t="e">
        <f t="shared" ca="1" si="201"/>
        <v>#NAME?</v>
      </c>
      <c r="AW255" s="318" t="e">
        <f ca="1">0.0001*BicubicInterpolation('Drag Coef Table'!$B$4:$L$28,AV255,AC255)</f>
        <v>#NAME?</v>
      </c>
      <c r="AX255" s="319" t="e">
        <f t="shared" ca="1" si="202"/>
        <v>#NAME?</v>
      </c>
      <c r="AY255" s="318" t="e">
        <f t="shared" ca="1" si="203"/>
        <v>#NAME?</v>
      </c>
      <c r="AZ255" s="320" t="e">
        <f t="shared" ca="1" si="204"/>
        <v>#NAME?</v>
      </c>
      <c r="BA255" s="321" t="e">
        <f t="shared" ca="1" si="205"/>
        <v>#NAME?</v>
      </c>
      <c r="BB255" s="322" t="e">
        <f t="shared" ca="1" si="206"/>
        <v>#NAME?</v>
      </c>
      <c r="BC255" s="323">
        <v>75.196700000000007</v>
      </c>
      <c r="BD255" s="324" t="e">
        <f t="shared" ca="1" si="207"/>
        <v>#NAME?</v>
      </c>
      <c r="BE255" s="325" t="e">
        <f t="shared" ca="1" si="208"/>
        <v>#NAME?</v>
      </c>
      <c r="BF255" s="324" t="e">
        <f ca="1">BicubicInterpolation('TSFC Eff Table'!$B$4:$E$69,2,BB255)</f>
        <v>#NAME?</v>
      </c>
      <c r="BG255" s="326" t="e">
        <f t="shared" ca="1" si="209"/>
        <v>#NAME?</v>
      </c>
      <c r="BH255" s="694" t="e">
        <f ca="1">IF( S255="LRCINOP",   (1+(0.03/10)*Z255*(1+0.2*AC255^2) )*BicubicInterpolation( 'LRC INOP FF'!$C$4:$AA$21, Y255, U255 )-200, IF(S255 ="HOLDINGINOP", (1+(0.03/10)*Z255*(1+0.2*AC255^2) )*BicubicInterpolation( 'Holding INOP FF'!$C$4:$J$13,  Y255,  U255)/1.05-200,   BA255*BG255))</f>
        <v>#NAME?</v>
      </c>
      <c r="BI255" s="344" t="e">
        <f t="shared" ca="1" si="168"/>
        <v>#NAME?</v>
      </c>
      <c r="BJ255" s="322" t="e">
        <f t="shared" ca="1" si="210"/>
        <v>#NAME?</v>
      </c>
      <c r="BK255" s="338" t="e">
        <f t="shared" ca="1" si="169"/>
        <v>#NAME?</v>
      </c>
      <c r="BL255" s="327" t="e">
        <f t="shared" ca="1" si="211"/>
        <v>#NAME?</v>
      </c>
      <c r="BM255" s="328">
        <f t="shared" si="212"/>
        <v>200</v>
      </c>
      <c r="BN255" s="329" t="e">
        <f t="shared" ca="1" si="213"/>
        <v>#NAME?</v>
      </c>
      <c r="BO255" s="344" t="e">
        <f t="shared" ca="1" si="170"/>
        <v>#NAME?</v>
      </c>
      <c r="BP255" s="320" t="e">
        <f t="shared" ca="1" si="214"/>
        <v>#NAME?</v>
      </c>
      <c r="BQ255" s="344" t="e">
        <f t="shared" ca="1" si="171"/>
        <v>#NAME?</v>
      </c>
      <c r="BR255" s="347" t="e">
        <f t="shared" ca="1" si="172"/>
        <v>#NAME?</v>
      </c>
      <c r="BS255" s="326" t="e">
        <f t="shared" ca="1" si="215"/>
        <v>#NAME?</v>
      </c>
      <c r="BT255" s="437" t="e">
        <f t="shared" ca="1" si="185"/>
        <v>#NAME?</v>
      </c>
      <c r="BU255" s="437" t="e">
        <f t="shared" ca="1" si="186"/>
        <v>#NAME?</v>
      </c>
      <c r="BV255" s="441" t="e">
        <f t="shared" ca="1" si="187"/>
        <v>#NAME?</v>
      </c>
      <c r="BW255" s="442" t="e">
        <f t="shared" ca="1" si="188"/>
        <v>#NAME?</v>
      </c>
      <c r="BX255" s="470" t="e">
        <f t="shared" ca="1" si="161"/>
        <v>#NAME?</v>
      </c>
      <c r="BY255" s="484" t="e">
        <f t="shared" ca="1" si="173"/>
        <v>#NAME?</v>
      </c>
      <c r="BZ255" s="176"/>
    </row>
    <row r="256" spans="9:78" s="177" customFormat="1" ht="17.75" customHeight="1" x14ac:dyDescent="0.2">
      <c r="I256" s="366">
        <v>172</v>
      </c>
      <c r="J256" s="414">
        <f t="shared" si="174"/>
        <v>41705.831944444835</v>
      </c>
      <c r="K256" s="435" t="e">
        <f t="shared" ca="1" si="175"/>
        <v>#NAME?</v>
      </c>
      <c r="L256" s="435" t="e">
        <f t="shared" ca="1" si="162"/>
        <v>#NAME?</v>
      </c>
      <c r="M256" s="664" t="e">
        <f t="shared" ca="1" si="216"/>
        <v>#NAME?</v>
      </c>
      <c r="N256" s="664" t="e">
        <f t="shared" ca="1" si="217"/>
        <v>#NAME?</v>
      </c>
      <c r="O256" s="140" t="e">
        <f t="shared" ca="1" si="163"/>
        <v>#NAME?</v>
      </c>
      <c r="P256" s="352" t="e">
        <f t="shared" ca="1" si="176"/>
        <v>#NAME?</v>
      </c>
      <c r="Q256" s="665" t="e">
        <f t="shared" ca="1" si="156"/>
        <v>#NAME?</v>
      </c>
      <c r="R256" s="352" t="e">
        <f t="shared" ca="1" si="189"/>
        <v>#NAME?</v>
      </c>
      <c r="S256" s="662" t="e">
        <f t="shared" ca="1" si="164"/>
        <v>#NAME?</v>
      </c>
      <c r="T256" s="443" t="e">
        <f t="shared" ca="1" si="157"/>
        <v>#NAME?</v>
      </c>
      <c r="U256" s="369" t="e">
        <f t="shared" ca="1" si="158"/>
        <v>#NAME?</v>
      </c>
      <c r="V256" s="454" t="e">
        <f t="shared" ca="1" si="165"/>
        <v>#NAME?</v>
      </c>
      <c r="W256" s="457">
        <f t="shared" si="166"/>
        <v>1000</v>
      </c>
      <c r="X256" s="463" t="e">
        <f t="shared" ca="1" si="167"/>
        <v>#NAME?</v>
      </c>
      <c r="Y256" s="455" t="e">
        <f t="shared" ca="1" si="177"/>
        <v>#NAME?</v>
      </c>
      <c r="Z256" s="699">
        <f t="shared" si="159"/>
        <v>8.5</v>
      </c>
      <c r="AA256" s="355" t="str">
        <f t="shared" si="160"/>
        <v>ON</v>
      </c>
      <c r="AB256" s="357">
        <f t="shared" si="190"/>
        <v>1.4999999999999999E-2</v>
      </c>
      <c r="AC256" s="356" t="e">
        <f ca="1">IF(  Y255=0,0,IF(OR(S256="KCAS",S256="INOP",S256="MEFE"),   ( (5*( (   (((1+0.2*(T256/661.4786)^2)^3.5 -1)  )/( (1-6.8755856*10^-6 *100*Y256)^5.2558797) +1)^(2/7) -1) )^0.5),IF(S256="MACH",T256, IF(S256="LRC",BicubicInterpolation( 'LRC Mach'!$C$4:$AL$21, Y256,U256),  IF(S256="MRC",BicubicInterpolation( 'MRC Mach'!$C$3:$T$18, Y256,U256),  IF(S256="M0.84",0.84,  IF(S256="CI52",BicubicInterpolation('CI=52 Mach'!$C$3:$T$18, Y256,U256),  IF(S256="HOLDING",BicubicInterpolation(  'Holding Mach'!$C$4:$M$13, Y256,U256),                         IF(S256="LRCINOP", BicubicInterpolation('LRC INOP Mach'!$C$4:$AA$21,Y256,U256), IF(S256="HOLDINGINOP",  BicubicInterpolation('Holding INOP Mach'!$N$4:$U$13,Y256,U256),         "XXX" )))))))   )))</f>
        <v>#NAME?</v>
      </c>
      <c r="AD256" s="313" t="e">
        <f t="shared" ca="1" si="191"/>
        <v>#NAME?</v>
      </c>
      <c r="AE256" s="314" t="e">
        <f t="shared" ca="1" si="178"/>
        <v>#NAME?</v>
      </c>
      <c r="AF256" s="313" t="e">
        <f t="shared" ca="1" si="192"/>
        <v>#NAME?</v>
      </c>
      <c r="AG256" s="314" t="e">
        <f t="shared" ca="1" si="179"/>
        <v>#NAME?</v>
      </c>
      <c r="AH256" s="313" t="e">
        <f t="shared" ca="1" si="193"/>
        <v>#NAME?</v>
      </c>
      <c r="AI256" s="314" t="e">
        <f t="shared" ca="1" si="180"/>
        <v>#NAME?</v>
      </c>
      <c r="AJ256" s="315" t="e">
        <f t="shared" ca="1" si="181"/>
        <v>#NAME?</v>
      </c>
      <c r="AK256" s="568" t="e">
        <f t="shared" ca="1" si="194"/>
        <v>#NAME?</v>
      </c>
      <c r="AL256" s="313" t="e">
        <f t="shared" ca="1" si="195"/>
        <v>#NAME?</v>
      </c>
      <c r="AM256" s="313" t="e">
        <f t="shared" ca="1" si="182"/>
        <v>#NAME?</v>
      </c>
      <c r="AN256" s="313" t="e">
        <f t="shared" ca="1" si="183"/>
        <v>#NAME?</v>
      </c>
      <c r="AO256" s="316" t="e">
        <f t="shared" ca="1" si="196"/>
        <v>#NAME?</v>
      </c>
      <c r="AP256" s="313" t="e">
        <f t="shared" ca="1" si="197"/>
        <v>#NAME?</v>
      </c>
      <c r="AQ256" s="314" t="e">
        <f t="shared" ca="1" si="184"/>
        <v>#NAME?</v>
      </c>
      <c r="AR256" s="315" t="e">
        <f t="shared" ca="1" si="198"/>
        <v>#NAME?</v>
      </c>
      <c r="AS256" s="316" t="e">
        <f t="shared" ca="1" si="199"/>
        <v>#NAME?</v>
      </c>
      <c r="AT256" s="315" t="e">
        <f t="shared" ca="1" si="200"/>
        <v>#NAME?</v>
      </c>
      <c r="AU256" s="317">
        <v>427.8</v>
      </c>
      <c r="AV256" s="315" t="e">
        <f t="shared" ca="1" si="201"/>
        <v>#NAME?</v>
      </c>
      <c r="AW256" s="318" t="e">
        <f ca="1">0.0001*BicubicInterpolation('Drag Coef Table'!$B$4:$L$28,AV256,AC256)</f>
        <v>#NAME?</v>
      </c>
      <c r="AX256" s="319" t="e">
        <f t="shared" ca="1" si="202"/>
        <v>#NAME?</v>
      </c>
      <c r="AY256" s="318" t="e">
        <f t="shared" ca="1" si="203"/>
        <v>#NAME?</v>
      </c>
      <c r="AZ256" s="320" t="e">
        <f t="shared" ca="1" si="204"/>
        <v>#NAME?</v>
      </c>
      <c r="BA256" s="321" t="e">
        <f t="shared" ca="1" si="205"/>
        <v>#NAME?</v>
      </c>
      <c r="BB256" s="322" t="e">
        <f t="shared" ca="1" si="206"/>
        <v>#NAME?</v>
      </c>
      <c r="BC256" s="323">
        <v>75.196700000000007</v>
      </c>
      <c r="BD256" s="324" t="e">
        <f t="shared" ca="1" si="207"/>
        <v>#NAME?</v>
      </c>
      <c r="BE256" s="325" t="e">
        <f t="shared" ca="1" si="208"/>
        <v>#NAME?</v>
      </c>
      <c r="BF256" s="324" t="e">
        <f ca="1">BicubicInterpolation('TSFC Eff Table'!$B$4:$E$69,2,BB256)</f>
        <v>#NAME?</v>
      </c>
      <c r="BG256" s="326" t="e">
        <f t="shared" ca="1" si="209"/>
        <v>#NAME?</v>
      </c>
      <c r="BH256" s="694" t="e">
        <f ca="1">IF( S256="LRCINOP",   (1+(0.03/10)*Z256*(1+0.2*AC256^2) )*BicubicInterpolation( 'LRC INOP FF'!$C$4:$AA$21, Y256, U256 )-200, IF(S256 ="HOLDINGINOP", (1+(0.03/10)*Z256*(1+0.2*AC256^2) )*BicubicInterpolation( 'Holding INOP FF'!$C$4:$J$13,  Y256,  U256)/1.05-200,   BA256*BG256))</f>
        <v>#NAME?</v>
      </c>
      <c r="BI256" s="344" t="e">
        <f t="shared" ca="1" si="168"/>
        <v>#NAME?</v>
      </c>
      <c r="BJ256" s="322" t="e">
        <f t="shared" ca="1" si="210"/>
        <v>#NAME?</v>
      </c>
      <c r="BK256" s="338" t="e">
        <f t="shared" ca="1" si="169"/>
        <v>#NAME?</v>
      </c>
      <c r="BL256" s="327" t="e">
        <f t="shared" ca="1" si="211"/>
        <v>#NAME?</v>
      </c>
      <c r="BM256" s="328">
        <f t="shared" si="212"/>
        <v>200</v>
      </c>
      <c r="BN256" s="329" t="e">
        <f t="shared" ca="1" si="213"/>
        <v>#NAME?</v>
      </c>
      <c r="BO256" s="344" t="e">
        <f t="shared" ca="1" si="170"/>
        <v>#NAME?</v>
      </c>
      <c r="BP256" s="320" t="e">
        <f t="shared" ca="1" si="214"/>
        <v>#NAME?</v>
      </c>
      <c r="BQ256" s="344" t="e">
        <f t="shared" ca="1" si="171"/>
        <v>#NAME?</v>
      </c>
      <c r="BR256" s="347" t="e">
        <f t="shared" ca="1" si="172"/>
        <v>#NAME?</v>
      </c>
      <c r="BS256" s="326" t="e">
        <f t="shared" ca="1" si="215"/>
        <v>#NAME?</v>
      </c>
      <c r="BT256" s="437" t="e">
        <f t="shared" ca="1" si="185"/>
        <v>#NAME?</v>
      </c>
      <c r="BU256" s="437" t="e">
        <f t="shared" ca="1" si="186"/>
        <v>#NAME?</v>
      </c>
      <c r="BV256" s="441" t="e">
        <f t="shared" ca="1" si="187"/>
        <v>#NAME?</v>
      </c>
      <c r="BW256" s="442" t="e">
        <f t="shared" ca="1" si="188"/>
        <v>#NAME?</v>
      </c>
      <c r="BX256" s="470" t="e">
        <f t="shared" ca="1" si="161"/>
        <v>#NAME?</v>
      </c>
      <c r="BY256" s="484" t="e">
        <f t="shared" ca="1" si="173"/>
        <v>#NAME?</v>
      </c>
      <c r="BZ256" s="176"/>
    </row>
    <row r="257" spans="9:78" s="177" customFormat="1" ht="17.75" customHeight="1" x14ac:dyDescent="0.2">
      <c r="I257" s="366">
        <v>173</v>
      </c>
      <c r="J257" s="414">
        <f t="shared" si="174"/>
        <v>41705.832638889282</v>
      </c>
      <c r="K257" s="435" t="e">
        <f t="shared" ca="1" si="175"/>
        <v>#NAME?</v>
      </c>
      <c r="L257" s="435" t="e">
        <f t="shared" ca="1" si="162"/>
        <v>#NAME?</v>
      </c>
      <c r="M257" s="664" t="e">
        <f t="shared" ca="1" si="216"/>
        <v>#NAME?</v>
      </c>
      <c r="N257" s="664" t="e">
        <f t="shared" ca="1" si="217"/>
        <v>#NAME?</v>
      </c>
      <c r="O257" s="140" t="e">
        <f t="shared" ca="1" si="163"/>
        <v>#NAME?</v>
      </c>
      <c r="P257" s="352" t="e">
        <f t="shared" ca="1" si="176"/>
        <v>#NAME?</v>
      </c>
      <c r="Q257" s="665" t="e">
        <f t="shared" ca="1" si="156"/>
        <v>#NAME?</v>
      </c>
      <c r="R257" s="352" t="e">
        <f t="shared" ca="1" si="189"/>
        <v>#NAME?</v>
      </c>
      <c r="S257" s="662" t="e">
        <f t="shared" ca="1" si="164"/>
        <v>#NAME?</v>
      </c>
      <c r="T257" s="443" t="e">
        <f t="shared" ca="1" si="157"/>
        <v>#NAME?</v>
      </c>
      <c r="U257" s="369" t="e">
        <f t="shared" ca="1" si="158"/>
        <v>#NAME?</v>
      </c>
      <c r="V257" s="454" t="e">
        <f t="shared" ca="1" si="165"/>
        <v>#NAME?</v>
      </c>
      <c r="W257" s="457">
        <f t="shared" si="166"/>
        <v>1000</v>
      </c>
      <c r="X257" s="463" t="e">
        <f t="shared" ca="1" si="167"/>
        <v>#NAME?</v>
      </c>
      <c r="Y257" s="455" t="e">
        <f t="shared" ca="1" si="177"/>
        <v>#NAME?</v>
      </c>
      <c r="Z257" s="699">
        <f t="shared" si="159"/>
        <v>8.5</v>
      </c>
      <c r="AA257" s="355" t="str">
        <f t="shared" si="160"/>
        <v>ON</v>
      </c>
      <c r="AB257" s="357">
        <f t="shared" si="190"/>
        <v>1.4999999999999999E-2</v>
      </c>
      <c r="AC257" s="356" t="e">
        <f ca="1">IF(  Y256=0,0,IF(OR(S257="KCAS",S257="INOP",S257="MEFE"),   ( (5*( (   (((1+0.2*(T257/661.4786)^2)^3.5 -1)  )/( (1-6.8755856*10^-6 *100*Y257)^5.2558797) +1)^(2/7) -1) )^0.5),IF(S257="MACH",T257, IF(S257="LRC",BicubicInterpolation( 'LRC Mach'!$C$4:$AL$21, Y257,U257),  IF(S257="MRC",BicubicInterpolation( 'MRC Mach'!$C$3:$T$18, Y257,U257),  IF(S257="M0.84",0.84,  IF(S257="CI52",BicubicInterpolation('CI=52 Mach'!$C$3:$T$18, Y257,U257),  IF(S257="HOLDING",BicubicInterpolation(  'Holding Mach'!$C$4:$M$13, Y257,U257),                         IF(S257="LRCINOP", BicubicInterpolation('LRC INOP Mach'!$C$4:$AA$21,Y257,U257), IF(S257="HOLDINGINOP",  BicubicInterpolation('Holding INOP Mach'!$N$4:$U$13,Y257,U257),         "XXX" )))))))   )))</f>
        <v>#NAME?</v>
      </c>
      <c r="AD257" s="313" t="e">
        <f t="shared" ca="1" si="191"/>
        <v>#NAME?</v>
      </c>
      <c r="AE257" s="314" t="e">
        <f t="shared" ca="1" si="178"/>
        <v>#NAME?</v>
      </c>
      <c r="AF257" s="313" t="e">
        <f t="shared" ca="1" si="192"/>
        <v>#NAME?</v>
      </c>
      <c r="AG257" s="314" t="e">
        <f t="shared" ca="1" si="179"/>
        <v>#NAME?</v>
      </c>
      <c r="AH257" s="313" t="e">
        <f t="shared" ca="1" si="193"/>
        <v>#NAME?</v>
      </c>
      <c r="AI257" s="314" t="e">
        <f t="shared" ca="1" si="180"/>
        <v>#NAME?</v>
      </c>
      <c r="AJ257" s="315" t="e">
        <f t="shared" ca="1" si="181"/>
        <v>#NAME?</v>
      </c>
      <c r="AK257" s="568" t="e">
        <f t="shared" ca="1" si="194"/>
        <v>#NAME?</v>
      </c>
      <c r="AL257" s="313" t="e">
        <f t="shared" ca="1" si="195"/>
        <v>#NAME?</v>
      </c>
      <c r="AM257" s="313" t="e">
        <f t="shared" ca="1" si="182"/>
        <v>#NAME?</v>
      </c>
      <c r="AN257" s="313" t="e">
        <f t="shared" ca="1" si="183"/>
        <v>#NAME?</v>
      </c>
      <c r="AO257" s="316" t="e">
        <f t="shared" ca="1" si="196"/>
        <v>#NAME?</v>
      </c>
      <c r="AP257" s="313" t="e">
        <f t="shared" ca="1" si="197"/>
        <v>#NAME?</v>
      </c>
      <c r="AQ257" s="314" t="e">
        <f t="shared" ca="1" si="184"/>
        <v>#NAME?</v>
      </c>
      <c r="AR257" s="315" t="e">
        <f t="shared" ca="1" si="198"/>
        <v>#NAME?</v>
      </c>
      <c r="AS257" s="316" t="e">
        <f t="shared" ca="1" si="199"/>
        <v>#NAME?</v>
      </c>
      <c r="AT257" s="315" t="e">
        <f t="shared" ca="1" si="200"/>
        <v>#NAME?</v>
      </c>
      <c r="AU257" s="317">
        <v>427.8</v>
      </c>
      <c r="AV257" s="315" t="e">
        <f t="shared" ca="1" si="201"/>
        <v>#NAME?</v>
      </c>
      <c r="AW257" s="318" t="e">
        <f ca="1">0.0001*BicubicInterpolation('Drag Coef Table'!$B$4:$L$28,AV257,AC257)</f>
        <v>#NAME?</v>
      </c>
      <c r="AX257" s="319" t="e">
        <f t="shared" ca="1" si="202"/>
        <v>#NAME?</v>
      </c>
      <c r="AY257" s="318" t="e">
        <f t="shared" ca="1" si="203"/>
        <v>#NAME?</v>
      </c>
      <c r="AZ257" s="320" t="e">
        <f t="shared" ca="1" si="204"/>
        <v>#NAME?</v>
      </c>
      <c r="BA257" s="321" t="e">
        <f t="shared" ca="1" si="205"/>
        <v>#NAME?</v>
      </c>
      <c r="BB257" s="322" t="e">
        <f t="shared" ca="1" si="206"/>
        <v>#NAME?</v>
      </c>
      <c r="BC257" s="323">
        <v>75.196700000000007</v>
      </c>
      <c r="BD257" s="324" t="e">
        <f t="shared" ca="1" si="207"/>
        <v>#NAME?</v>
      </c>
      <c r="BE257" s="325" t="e">
        <f t="shared" ca="1" si="208"/>
        <v>#NAME?</v>
      </c>
      <c r="BF257" s="324" t="e">
        <f ca="1">BicubicInterpolation('TSFC Eff Table'!$B$4:$E$69,2,BB257)</f>
        <v>#NAME?</v>
      </c>
      <c r="BG257" s="326" t="e">
        <f t="shared" ca="1" si="209"/>
        <v>#NAME?</v>
      </c>
      <c r="BH257" s="694" t="e">
        <f ca="1">IF( S257="LRCINOP",   (1+(0.03/10)*Z257*(1+0.2*AC257^2) )*BicubicInterpolation( 'LRC INOP FF'!$C$4:$AA$21, Y257, U257 )-200, IF(S257 ="HOLDINGINOP", (1+(0.03/10)*Z257*(1+0.2*AC257^2) )*BicubicInterpolation( 'Holding INOP FF'!$C$4:$J$13,  Y257,  U257)/1.05-200,   BA257*BG257))</f>
        <v>#NAME?</v>
      </c>
      <c r="BI257" s="344" t="e">
        <f t="shared" ca="1" si="168"/>
        <v>#NAME?</v>
      </c>
      <c r="BJ257" s="322" t="e">
        <f t="shared" ca="1" si="210"/>
        <v>#NAME?</v>
      </c>
      <c r="BK257" s="338" t="e">
        <f t="shared" ca="1" si="169"/>
        <v>#NAME?</v>
      </c>
      <c r="BL257" s="327" t="e">
        <f t="shared" ca="1" si="211"/>
        <v>#NAME?</v>
      </c>
      <c r="BM257" s="328">
        <f t="shared" si="212"/>
        <v>200</v>
      </c>
      <c r="BN257" s="329" t="e">
        <f t="shared" ca="1" si="213"/>
        <v>#NAME?</v>
      </c>
      <c r="BO257" s="344" t="e">
        <f t="shared" ca="1" si="170"/>
        <v>#NAME?</v>
      </c>
      <c r="BP257" s="320" t="e">
        <f t="shared" ca="1" si="214"/>
        <v>#NAME?</v>
      </c>
      <c r="BQ257" s="344" t="e">
        <f t="shared" ca="1" si="171"/>
        <v>#NAME?</v>
      </c>
      <c r="BR257" s="347" t="e">
        <f t="shared" ca="1" si="172"/>
        <v>#NAME?</v>
      </c>
      <c r="BS257" s="326" t="e">
        <f t="shared" ca="1" si="215"/>
        <v>#NAME?</v>
      </c>
      <c r="BT257" s="437" t="e">
        <f t="shared" ca="1" si="185"/>
        <v>#NAME?</v>
      </c>
      <c r="BU257" s="437" t="e">
        <f t="shared" ca="1" si="186"/>
        <v>#NAME?</v>
      </c>
      <c r="BV257" s="441" t="e">
        <f t="shared" ca="1" si="187"/>
        <v>#NAME?</v>
      </c>
      <c r="BW257" s="442" t="e">
        <f t="shared" ca="1" si="188"/>
        <v>#NAME?</v>
      </c>
      <c r="BX257" s="470" t="e">
        <f t="shared" ca="1" si="161"/>
        <v>#NAME?</v>
      </c>
      <c r="BY257" s="484" t="e">
        <f t="shared" ca="1" si="173"/>
        <v>#NAME?</v>
      </c>
      <c r="BZ257" s="176"/>
    </row>
    <row r="258" spans="9:78" s="177" customFormat="1" ht="17.75" customHeight="1" x14ac:dyDescent="0.2">
      <c r="I258" s="366">
        <v>174</v>
      </c>
      <c r="J258" s="414">
        <f t="shared" si="174"/>
        <v>41705.833333333729</v>
      </c>
      <c r="K258" s="435" t="e">
        <f t="shared" ca="1" si="175"/>
        <v>#NAME?</v>
      </c>
      <c r="L258" s="435" t="e">
        <f t="shared" ca="1" si="162"/>
        <v>#NAME?</v>
      </c>
      <c r="M258" s="664" t="e">
        <f t="shared" ca="1" si="216"/>
        <v>#NAME?</v>
      </c>
      <c r="N258" s="664" t="e">
        <f t="shared" ca="1" si="217"/>
        <v>#NAME?</v>
      </c>
      <c r="O258" s="140" t="e">
        <f t="shared" ca="1" si="163"/>
        <v>#NAME?</v>
      </c>
      <c r="P258" s="352" t="e">
        <f t="shared" ca="1" si="176"/>
        <v>#NAME?</v>
      </c>
      <c r="Q258" s="665" t="e">
        <f t="shared" ca="1" si="156"/>
        <v>#NAME?</v>
      </c>
      <c r="R258" s="352" t="e">
        <f t="shared" ca="1" si="189"/>
        <v>#NAME?</v>
      </c>
      <c r="S258" s="662" t="e">
        <f t="shared" ca="1" si="164"/>
        <v>#NAME?</v>
      </c>
      <c r="T258" s="443" t="e">
        <f t="shared" ca="1" si="157"/>
        <v>#NAME?</v>
      </c>
      <c r="U258" s="369" t="e">
        <f t="shared" ca="1" si="158"/>
        <v>#NAME?</v>
      </c>
      <c r="V258" s="454" t="e">
        <f t="shared" ca="1" si="165"/>
        <v>#NAME?</v>
      </c>
      <c r="W258" s="457">
        <f t="shared" si="166"/>
        <v>1000</v>
      </c>
      <c r="X258" s="463" t="e">
        <f t="shared" ca="1" si="167"/>
        <v>#NAME?</v>
      </c>
      <c r="Y258" s="455" t="e">
        <f t="shared" ca="1" si="177"/>
        <v>#NAME?</v>
      </c>
      <c r="Z258" s="699">
        <f t="shared" si="159"/>
        <v>8.5</v>
      </c>
      <c r="AA258" s="355" t="str">
        <f t="shared" si="160"/>
        <v>ON</v>
      </c>
      <c r="AB258" s="357">
        <f t="shared" si="190"/>
        <v>1.4999999999999999E-2</v>
      </c>
      <c r="AC258" s="356" t="e">
        <f ca="1">IF(  Y257=0,0,IF(OR(S258="KCAS",S258="INOP",S258="MEFE"),   ( (5*( (   (((1+0.2*(T258/661.4786)^2)^3.5 -1)  )/( (1-6.8755856*10^-6 *100*Y258)^5.2558797) +1)^(2/7) -1) )^0.5),IF(S258="MACH",T258, IF(S258="LRC",BicubicInterpolation( 'LRC Mach'!$C$4:$AL$21, Y258,U258),  IF(S258="MRC",BicubicInterpolation( 'MRC Mach'!$C$3:$T$18, Y258,U258),  IF(S258="M0.84",0.84,  IF(S258="CI52",BicubicInterpolation('CI=52 Mach'!$C$3:$T$18, Y258,U258),  IF(S258="HOLDING",BicubicInterpolation(  'Holding Mach'!$C$4:$M$13, Y258,U258),                         IF(S258="LRCINOP", BicubicInterpolation('LRC INOP Mach'!$C$4:$AA$21,Y258,U258), IF(S258="HOLDINGINOP",  BicubicInterpolation('Holding INOP Mach'!$N$4:$U$13,Y258,U258),         "XXX" )))))))   )))</f>
        <v>#NAME?</v>
      </c>
      <c r="AD258" s="313" t="e">
        <f t="shared" ca="1" si="191"/>
        <v>#NAME?</v>
      </c>
      <c r="AE258" s="314" t="e">
        <f t="shared" ca="1" si="178"/>
        <v>#NAME?</v>
      </c>
      <c r="AF258" s="313" t="e">
        <f t="shared" ca="1" si="192"/>
        <v>#NAME?</v>
      </c>
      <c r="AG258" s="314" t="e">
        <f t="shared" ca="1" si="179"/>
        <v>#NAME?</v>
      </c>
      <c r="AH258" s="313" t="e">
        <f t="shared" ca="1" si="193"/>
        <v>#NAME?</v>
      </c>
      <c r="AI258" s="314" t="e">
        <f t="shared" ca="1" si="180"/>
        <v>#NAME?</v>
      </c>
      <c r="AJ258" s="315" t="e">
        <f t="shared" ca="1" si="181"/>
        <v>#NAME?</v>
      </c>
      <c r="AK258" s="568" t="e">
        <f t="shared" ca="1" si="194"/>
        <v>#NAME?</v>
      </c>
      <c r="AL258" s="313" t="e">
        <f t="shared" ca="1" si="195"/>
        <v>#NAME?</v>
      </c>
      <c r="AM258" s="313" t="e">
        <f t="shared" ca="1" si="182"/>
        <v>#NAME?</v>
      </c>
      <c r="AN258" s="313" t="e">
        <f t="shared" ca="1" si="183"/>
        <v>#NAME?</v>
      </c>
      <c r="AO258" s="316" t="e">
        <f t="shared" ca="1" si="196"/>
        <v>#NAME?</v>
      </c>
      <c r="AP258" s="313" t="e">
        <f t="shared" ca="1" si="197"/>
        <v>#NAME?</v>
      </c>
      <c r="AQ258" s="314" t="e">
        <f t="shared" ca="1" si="184"/>
        <v>#NAME?</v>
      </c>
      <c r="AR258" s="315" t="e">
        <f t="shared" ca="1" si="198"/>
        <v>#NAME?</v>
      </c>
      <c r="AS258" s="316" t="e">
        <f t="shared" ca="1" si="199"/>
        <v>#NAME?</v>
      </c>
      <c r="AT258" s="315" t="e">
        <f t="shared" ca="1" si="200"/>
        <v>#NAME?</v>
      </c>
      <c r="AU258" s="317">
        <v>427.8</v>
      </c>
      <c r="AV258" s="315" t="e">
        <f t="shared" ca="1" si="201"/>
        <v>#NAME?</v>
      </c>
      <c r="AW258" s="318" t="e">
        <f ca="1">0.0001*BicubicInterpolation('Drag Coef Table'!$B$4:$L$28,AV258,AC258)</f>
        <v>#NAME?</v>
      </c>
      <c r="AX258" s="319" t="e">
        <f t="shared" ca="1" si="202"/>
        <v>#NAME?</v>
      </c>
      <c r="AY258" s="318" t="e">
        <f t="shared" ca="1" si="203"/>
        <v>#NAME?</v>
      </c>
      <c r="AZ258" s="320" t="e">
        <f t="shared" ca="1" si="204"/>
        <v>#NAME?</v>
      </c>
      <c r="BA258" s="321" t="e">
        <f t="shared" ca="1" si="205"/>
        <v>#NAME?</v>
      </c>
      <c r="BB258" s="322" t="e">
        <f t="shared" ca="1" si="206"/>
        <v>#NAME?</v>
      </c>
      <c r="BC258" s="323">
        <v>75.196700000000007</v>
      </c>
      <c r="BD258" s="324" t="e">
        <f t="shared" ca="1" si="207"/>
        <v>#NAME?</v>
      </c>
      <c r="BE258" s="325" t="e">
        <f t="shared" ca="1" si="208"/>
        <v>#NAME?</v>
      </c>
      <c r="BF258" s="324" t="e">
        <f ca="1">BicubicInterpolation('TSFC Eff Table'!$B$4:$E$69,2,BB258)</f>
        <v>#NAME?</v>
      </c>
      <c r="BG258" s="326" t="e">
        <f t="shared" ca="1" si="209"/>
        <v>#NAME?</v>
      </c>
      <c r="BH258" s="694" t="e">
        <f ca="1">IF( S258="LRCINOP",   (1+(0.03/10)*Z258*(1+0.2*AC258^2) )*BicubicInterpolation( 'LRC INOP FF'!$C$4:$AA$21, Y258, U258 )-200, IF(S258 ="HOLDINGINOP", (1+(0.03/10)*Z258*(1+0.2*AC258^2) )*BicubicInterpolation( 'Holding INOP FF'!$C$4:$J$13,  Y258,  U258)/1.05-200,   BA258*BG258))</f>
        <v>#NAME?</v>
      </c>
      <c r="BI258" s="344" t="e">
        <f t="shared" ca="1" si="168"/>
        <v>#NAME?</v>
      </c>
      <c r="BJ258" s="322" t="e">
        <f t="shared" ca="1" si="210"/>
        <v>#NAME?</v>
      </c>
      <c r="BK258" s="338" t="e">
        <f t="shared" ca="1" si="169"/>
        <v>#NAME?</v>
      </c>
      <c r="BL258" s="327" t="e">
        <f t="shared" ca="1" si="211"/>
        <v>#NAME?</v>
      </c>
      <c r="BM258" s="328">
        <f t="shared" si="212"/>
        <v>200</v>
      </c>
      <c r="BN258" s="329" t="e">
        <f t="shared" ca="1" si="213"/>
        <v>#NAME?</v>
      </c>
      <c r="BO258" s="344" t="e">
        <f t="shared" ca="1" si="170"/>
        <v>#NAME?</v>
      </c>
      <c r="BP258" s="320" t="e">
        <f t="shared" ca="1" si="214"/>
        <v>#NAME?</v>
      </c>
      <c r="BQ258" s="344" t="e">
        <f t="shared" ca="1" si="171"/>
        <v>#NAME?</v>
      </c>
      <c r="BR258" s="347" t="e">
        <f t="shared" ca="1" si="172"/>
        <v>#NAME?</v>
      </c>
      <c r="BS258" s="326" t="e">
        <f t="shared" ca="1" si="215"/>
        <v>#NAME?</v>
      </c>
      <c r="BT258" s="437" t="e">
        <f t="shared" ca="1" si="185"/>
        <v>#NAME?</v>
      </c>
      <c r="BU258" s="437" t="e">
        <f t="shared" ca="1" si="186"/>
        <v>#NAME?</v>
      </c>
      <c r="BV258" s="441" t="e">
        <f t="shared" ca="1" si="187"/>
        <v>#NAME?</v>
      </c>
      <c r="BW258" s="442" t="e">
        <f t="shared" ca="1" si="188"/>
        <v>#NAME?</v>
      </c>
      <c r="BX258" s="470" t="e">
        <f t="shared" ca="1" si="161"/>
        <v>#NAME?</v>
      </c>
      <c r="BY258" s="484" t="e">
        <f t="shared" ca="1" si="173"/>
        <v>#NAME?</v>
      </c>
      <c r="BZ258" s="176"/>
    </row>
    <row r="259" spans="9:78" s="177" customFormat="1" ht="17.75" customHeight="1" x14ac:dyDescent="0.2">
      <c r="I259" s="366">
        <v>175</v>
      </c>
      <c r="J259" s="414">
        <f t="shared" si="174"/>
        <v>41705.834027778175</v>
      </c>
      <c r="K259" s="435" t="e">
        <f t="shared" ca="1" si="175"/>
        <v>#NAME?</v>
      </c>
      <c r="L259" s="435" t="e">
        <f t="shared" ca="1" si="162"/>
        <v>#NAME?</v>
      </c>
      <c r="M259" s="664" t="e">
        <f t="shared" ca="1" si="216"/>
        <v>#NAME?</v>
      </c>
      <c r="N259" s="664" t="e">
        <f t="shared" ca="1" si="217"/>
        <v>#NAME?</v>
      </c>
      <c r="O259" s="140" t="e">
        <f t="shared" ca="1" si="163"/>
        <v>#NAME?</v>
      </c>
      <c r="P259" s="352" t="e">
        <f t="shared" ca="1" si="176"/>
        <v>#NAME?</v>
      </c>
      <c r="Q259" s="665" t="e">
        <f t="shared" ca="1" si="156"/>
        <v>#NAME?</v>
      </c>
      <c r="R259" s="352" t="e">
        <f t="shared" ca="1" si="189"/>
        <v>#NAME?</v>
      </c>
      <c r="S259" s="662" t="e">
        <f t="shared" ca="1" si="164"/>
        <v>#NAME?</v>
      </c>
      <c r="T259" s="443" t="e">
        <f t="shared" ca="1" si="157"/>
        <v>#NAME?</v>
      </c>
      <c r="U259" s="369" t="e">
        <f t="shared" ca="1" si="158"/>
        <v>#NAME?</v>
      </c>
      <c r="V259" s="454" t="e">
        <f t="shared" ca="1" si="165"/>
        <v>#NAME?</v>
      </c>
      <c r="W259" s="457">
        <f t="shared" si="166"/>
        <v>1000</v>
      </c>
      <c r="X259" s="463" t="e">
        <f t="shared" ca="1" si="167"/>
        <v>#NAME?</v>
      </c>
      <c r="Y259" s="455" t="e">
        <f t="shared" ca="1" si="177"/>
        <v>#NAME?</v>
      </c>
      <c r="Z259" s="699">
        <f t="shared" si="159"/>
        <v>8.5</v>
      </c>
      <c r="AA259" s="355" t="str">
        <f t="shared" si="160"/>
        <v>ON</v>
      </c>
      <c r="AB259" s="357">
        <f t="shared" si="190"/>
        <v>1.4999999999999999E-2</v>
      </c>
      <c r="AC259" s="356" t="e">
        <f ca="1">IF(  Y258=0,0,IF(OR(S259="KCAS",S259="INOP",S259="MEFE"),   ( (5*( (   (((1+0.2*(T259/661.4786)^2)^3.5 -1)  )/( (1-6.8755856*10^-6 *100*Y259)^5.2558797) +1)^(2/7) -1) )^0.5),IF(S259="MACH",T259, IF(S259="LRC",BicubicInterpolation( 'LRC Mach'!$C$4:$AL$21, Y259,U259),  IF(S259="MRC",BicubicInterpolation( 'MRC Mach'!$C$3:$T$18, Y259,U259),  IF(S259="M0.84",0.84,  IF(S259="CI52",BicubicInterpolation('CI=52 Mach'!$C$3:$T$18, Y259,U259),  IF(S259="HOLDING",BicubicInterpolation(  'Holding Mach'!$C$4:$M$13, Y259,U259),                         IF(S259="LRCINOP", BicubicInterpolation('LRC INOP Mach'!$C$4:$AA$21,Y259,U259), IF(S259="HOLDINGINOP",  BicubicInterpolation('Holding INOP Mach'!$N$4:$U$13,Y259,U259),         "XXX" )))))))   )))</f>
        <v>#NAME?</v>
      </c>
      <c r="AD259" s="313" t="e">
        <f t="shared" ca="1" si="191"/>
        <v>#NAME?</v>
      </c>
      <c r="AE259" s="314" t="e">
        <f t="shared" ca="1" si="178"/>
        <v>#NAME?</v>
      </c>
      <c r="AF259" s="313" t="e">
        <f t="shared" ca="1" si="192"/>
        <v>#NAME?</v>
      </c>
      <c r="AG259" s="314" t="e">
        <f t="shared" ca="1" si="179"/>
        <v>#NAME?</v>
      </c>
      <c r="AH259" s="313" t="e">
        <f t="shared" ca="1" si="193"/>
        <v>#NAME?</v>
      </c>
      <c r="AI259" s="314" t="e">
        <f t="shared" ca="1" si="180"/>
        <v>#NAME?</v>
      </c>
      <c r="AJ259" s="315" t="e">
        <f t="shared" ca="1" si="181"/>
        <v>#NAME?</v>
      </c>
      <c r="AK259" s="568" t="e">
        <f t="shared" ca="1" si="194"/>
        <v>#NAME?</v>
      </c>
      <c r="AL259" s="313" t="e">
        <f t="shared" ca="1" si="195"/>
        <v>#NAME?</v>
      </c>
      <c r="AM259" s="313" t="e">
        <f t="shared" ca="1" si="182"/>
        <v>#NAME?</v>
      </c>
      <c r="AN259" s="313" t="e">
        <f t="shared" ca="1" si="183"/>
        <v>#NAME?</v>
      </c>
      <c r="AO259" s="316" t="e">
        <f t="shared" ca="1" si="196"/>
        <v>#NAME?</v>
      </c>
      <c r="AP259" s="313" t="e">
        <f t="shared" ca="1" si="197"/>
        <v>#NAME?</v>
      </c>
      <c r="AQ259" s="314" t="e">
        <f t="shared" ca="1" si="184"/>
        <v>#NAME?</v>
      </c>
      <c r="AR259" s="315" t="e">
        <f t="shared" ca="1" si="198"/>
        <v>#NAME?</v>
      </c>
      <c r="AS259" s="316" t="e">
        <f t="shared" ca="1" si="199"/>
        <v>#NAME?</v>
      </c>
      <c r="AT259" s="315" t="e">
        <f t="shared" ca="1" si="200"/>
        <v>#NAME?</v>
      </c>
      <c r="AU259" s="317">
        <v>427.8</v>
      </c>
      <c r="AV259" s="315" t="e">
        <f t="shared" ca="1" si="201"/>
        <v>#NAME?</v>
      </c>
      <c r="AW259" s="318" t="e">
        <f ca="1">0.0001*BicubicInterpolation('Drag Coef Table'!$B$4:$L$28,AV259,AC259)</f>
        <v>#NAME?</v>
      </c>
      <c r="AX259" s="319" t="e">
        <f t="shared" ca="1" si="202"/>
        <v>#NAME?</v>
      </c>
      <c r="AY259" s="318" t="e">
        <f t="shared" ca="1" si="203"/>
        <v>#NAME?</v>
      </c>
      <c r="AZ259" s="320" t="e">
        <f t="shared" ca="1" si="204"/>
        <v>#NAME?</v>
      </c>
      <c r="BA259" s="321" t="e">
        <f t="shared" ca="1" si="205"/>
        <v>#NAME?</v>
      </c>
      <c r="BB259" s="322" t="e">
        <f t="shared" ca="1" si="206"/>
        <v>#NAME?</v>
      </c>
      <c r="BC259" s="323">
        <v>75.196700000000007</v>
      </c>
      <c r="BD259" s="324" t="e">
        <f t="shared" ca="1" si="207"/>
        <v>#NAME?</v>
      </c>
      <c r="BE259" s="325" t="e">
        <f t="shared" ca="1" si="208"/>
        <v>#NAME?</v>
      </c>
      <c r="BF259" s="324" t="e">
        <f ca="1">BicubicInterpolation('TSFC Eff Table'!$B$4:$E$69,2,BB259)</f>
        <v>#NAME?</v>
      </c>
      <c r="BG259" s="326" t="e">
        <f t="shared" ca="1" si="209"/>
        <v>#NAME?</v>
      </c>
      <c r="BH259" s="694" t="e">
        <f ca="1">IF( S259="LRCINOP",   (1+(0.03/10)*Z259*(1+0.2*AC259^2) )*BicubicInterpolation( 'LRC INOP FF'!$C$4:$AA$21, Y259, U259 )-200, IF(S259 ="HOLDINGINOP", (1+(0.03/10)*Z259*(1+0.2*AC259^2) )*BicubicInterpolation( 'Holding INOP FF'!$C$4:$J$13,  Y259,  U259)/1.05-200,   BA259*BG259))</f>
        <v>#NAME?</v>
      </c>
      <c r="BI259" s="344" t="e">
        <f t="shared" ca="1" si="168"/>
        <v>#NAME?</v>
      </c>
      <c r="BJ259" s="322" t="e">
        <f t="shared" ca="1" si="210"/>
        <v>#NAME?</v>
      </c>
      <c r="BK259" s="338" t="e">
        <f t="shared" ca="1" si="169"/>
        <v>#NAME?</v>
      </c>
      <c r="BL259" s="327" t="e">
        <f t="shared" ca="1" si="211"/>
        <v>#NAME?</v>
      </c>
      <c r="BM259" s="328">
        <f t="shared" si="212"/>
        <v>200</v>
      </c>
      <c r="BN259" s="329" t="e">
        <f t="shared" ca="1" si="213"/>
        <v>#NAME?</v>
      </c>
      <c r="BO259" s="344" t="e">
        <f t="shared" ca="1" si="170"/>
        <v>#NAME?</v>
      </c>
      <c r="BP259" s="320" t="e">
        <f t="shared" ca="1" si="214"/>
        <v>#NAME?</v>
      </c>
      <c r="BQ259" s="344" t="e">
        <f t="shared" ca="1" si="171"/>
        <v>#NAME?</v>
      </c>
      <c r="BR259" s="347" t="e">
        <f t="shared" ca="1" si="172"/>
        <v>#NAME?</v>
      </c>
      <c r="BS259" s="326" t="e">
        <f t="shared" ca="1" si="215"/>
        <v>#NAME?</v>
      </c>
      <c r="BT259" s="437" t="e">
        <f t="shared" ca="1" si="185"/>
        <v>#NAME?</v>
      </c>
      <c r="BU259" s="437" t="e">
        <f t="shared" ca="1" si="186"/>
        <v>#NAME?</v>
      </c>
      <c r="BV259" s="441" t="e">
        <f t="shared" ca="1" si="187"/>
        <v>#NAME?</v>
      </c>
      <c r="BW259" s="442" t="e">
        <f t="shared" ca="1" si="188"/>
        <v>#NAME?</v>
      </c>
      <c r="BX259" s="470" t="e">
        <f t="shared" ca="1" si="161"/>
        <v>#NAME?</v>
      </c>
      <c r="BY259" s="484" t="e">
        <f t="shared" ca="1" si="173"/>
        <v>#NAME?</v>
      </c>
      <c r="BZ259" s="176"/>
    </row>
    <row r="260" spans="9:78" s="177" customFormat="1" ht="17.75" customHeight="1" x14ac:dyDescent="0.2">
      <c r="I260" s="366">
        <v>176</v>
      </c>
      <c r="J260" s="414">
        <f t="shared" si="174"/>
        <v>41705.834722222622</v>
      </c>
      <c r="K260" s="435" t="e">
        <f t="shared" ca="1" si="175"/>
        <v>#NAME?</v>
      </c>
      <c r="L260" s="435" t="e">
        <f t="shared" ca="1" si="162"/>
        <v>#NAME?</v>
      </c>
      <c r="M260" s="664" t="e">
        <f t="shared" ca="1" si="216"/>
        <v>#NAME?</v>
      </c>
      <c r="N260" s="664" t="e">
        <f t="shared" ca="1" si="217"/>
        <v>#NAME?</v>
      </c>
      <c r="O260" s="140" t="e">
        <f t="shared" ca="1" si="163"/>
        <v>#NAME?</v>
      </c>
      <c r="P260" s="352" t="e">
        <f t="shared" ca="1" si="176"/>
        <v>#NAME?</v>
      </c>
      <c r="Q260" s="665" t="e">
        <f t="shared" ca="1" si="156"/>
        <v>#NAME?</v>
      </c>
      <c r="R260" s="352" t="e">
        <f t="shared" ca="1" si="189"/>
        <v>#NAME?</v>
      </c>
      <c r="S260" s="662" t="e">
        <f t="shared" ca="1" si="164"/>
        <v>#NAME?</v>
      </c>
      <c r="T260" s="443" t="e">
        <f t="shared" ca="1" si="157"/>
        <v>#NAME?</v>
      </c>
      <c r="U260" s="369" t="e">
        <f t="shared" ca="1" si="158"/>
        <v>#NAME?</v>
      </c>
      <c r="V260" s="454" t="e">
        <f t="shared" ca="1" si="165"/>
        <v>#NAME?</v>
      </c>
      <c r="W260" s="457">
        <f t="shared" si="166"/>
        <v>1000</v>
      </c>
      <c r="X260" s="463" t="e">
        <f t="shared" ca="1" si="167"/>
        <v>#NAME?</v>
      </c>
      <c r="Y260" s="455" t="e">
        <f t="shared" ca="1" si="177"/>
        <v>#NAME?</v>
      </c>
      <c r="Z260" s="699">
        <f t="shared" si="159"/>
        <v>8.5</v>
      </c>
      <c r="AA260" s="355" t="str">
        <f t="shared" si="160"/>
        <v>ON</v>
      </c>
      <c r="AB260" s="357">
        <f t="shared" si="190"/>
        <v>1.4999999999999999E-2</v>
      </c>
      <c r="AC260" s="356" t="e">
        <f ca="1">IF(  Y259=0,0,IF(OR(S260="KCAS",S260="INOP",S260="MEFE"),   ( (5*( (   (((1+0.2*(T260/661.4786)^2)^3.5 -1)  )/( (1-6.8755856*10^-6 *100*Y260)^5.2558797) +1)^(2/7) -1) )^0.5),IF(S260="MACH",T260, IF(S260="LRC",BicubicInterpolation( 'LRC Mach'!$C$4:$AL$21, Y260,U260),  IF(S260="MRC",BicubicInterpolation( 'MRC Mach'!$C$3:$T$18, Y260,U260),  IF(S260="M0.84",0.84,  IF(S260="CI52",BicubicInterpolation('CI=52 Mach'!$C$3:$T$18, Y260,U260),  IF(S260="HOLDING",BicubicInterpolation(  'Holding Mach'!$C$4:$M$13, Y260,U260),                         IF(S260="LRCINOP", BicubicInterpolation('LRC INOP Mach'!$C$4:$AA$21,Y260,U260), IF(S260="HOLDINGINOP",  BicubicInterpolation('Holding INOP Mach'!$N$4:$U$13,Y260,U260),         "XXX" )))))))   )))</f>
        <v>#NAME?</v>
      </c>
      <c r="AD260" s="313" t="e">
        <f t="shared" ca="1" si="191"/>
        <v>#NAME?</v>
      </c>
      <c r="AE260" s="314" t="e">
        <f t="shared" ca="1" si="178"/>
        <v>#NAME?</v>
      </c>
      <c r="AF260" s="313" t="e">
        <f t="shared" ca="1" si="192"/>
        <v>#NAME?</v>
      </c>
      <c r="AG260" s="314" t="e">
        <f t="shared" ca="1" si="179"/>
        <v>#NAME?</v>
      </c>
      <c r="AH260" s="313" t="e">
        <f t="shared" ca="1" si="193"/>
        <v>#NAME?</v>
      </c>
      <c r="AI260" s="314" t="e">
        <f t="shared" ca="1" si="180"/>
        <v>#NAME?</v>
      </c>
      <c r="AJ260" s="315" t="e">
        <f t="shared" ca="1" si="181"/>
        <v>#NAME?</v>
      </c>
      <c r="AK260" s="568" t="e">
        <f t="shared" ca="1" si="194"/>
        <v>#NAME?</v>
      </c>
      <c r="AL260" s="313" t="e">
        <f t="shared" ca="1" si="195"/>
        <v>#NAME?</v>
      </c>
      <c r="AM260" s="313" t="e">
        <f t="shared" ca="1" si="182"/>
        <v>#NAME?</v>
      </c>
      <c r="AN260" s="313" t="e">
        <f t="shared" ca="1" si="183"/>
        <v>#NAME?</v>
      </c>
      <c r="AO260" s="316" t="e">
        <f t="shared" ca="1" si="196"/>
        <v>#NAME?</v>
      </c>
      <c r="AP260" s="313" t="e">
        <f t="shared" ca="1" si="197"/>
        <v>#NAME?</v>
      </c>
      <c r="AQ260" s="314" t="e">
        <f t="shared" ca="1" si="184"/>
        <v>#NAME?</v>
      </c>
      <c r="AR260" s="315" t="e">
        <f t="shared" ca="1" si="198"/>
        <v>#NAME?</v>
      </c>
      <c r="AS260" s="316" t="e">
        <f t="shared" ca="1" si="199"/>
        <v>#NAME?</v>
      </c>
      <c r="AT260" s="315" t="e">
        <f t="shared" ca="1" si="200"/>
        <v>#NAME?</v>
      </c>
      <c r="AU260" s="317">
        <v>427.8</v>
      </c>
      <c r="AV260" s="315" t="e">
        <f t="shared" ca="1" si="201"/>
        <v>#NAME?</v>
      </c>
      <c r="AW260" s="318" t="e">
        <f ca="1">0.0001*BicubicInterpolation('Drag Coef Table'!$B$4:$L$28,AV260,AC260)</f>
        <v>#NAME?</v>
      </c>
      <c r="AX260" s="319" t="e">
        <f t="shared" ca="1" si="202"/>
        <v>#NAME?</v>
      </c>
      <c r="AY260" s="318" t="e">
        <f t="shared" ca="1" si="203"/>
        <v>#NAME?</v>
      </c>
      <c r="AZ260" s="320" t="e">
        <f t="shared" ca="1" si="204"/>
        <v>#NAME?</v>
      </c>
      <c r="BA260" s="321" t="e">
        <f t="shared" ca="1" si="205"/>
        <v>#NAME?</v>
      </c>
      <c r="BB260" s="322" t="e">
        <f t="shared" ca="1" si="206"/>
        <v>#NAME?</v>
      </c>
      <c r="BC260" s="323">
        <v>75.196700000000007</v>
      </c>
      <c r="BD260" s="324" t="e">
        <f t="shared" ca="1" si="207"/>
        <v>#NAME?</v>
      </c>
      <c r="BE260" s="325" t="e">
        <f t="shared" ca="1" si="208"/>
        <v>#NAME?</v>
      </c>
      <c r="BF260" s="324" t="e">
        <f ca="1">BicubicInterpolation('TSFC Eff Table'!$B$4:$E$69,2,BB260)</f>
        <v>#NAME?</v>
      </c>
      <c r="BG260" s="326" t="e">
        <f t="shared" ca="1" si="209"/>
        <v>#NAME?</v>
      </c>
      <c r="BH260" s="694" t="e">
        <f ca="1">IF( S260="LRCINOP",   (1+(0.03/10)*Z260*(1+0.2*AC260^2) )*BicubicInterpolation( 'LRC INOP FF'!$C$4:$AA$21, Y260, U260 )-200, IF(S260 ="HOLDINGINOP", (1+(0.03/10)*Z260*(1+0.2*AC260^2) )*BicubicInterpolation( 'Holding INOP FF'!$C$4:$J$13,  Y260,  U260)/1.05-200,   BA260*BG260))</f>
        <v>#NAME?</v>
      </c>
      <c r="BI260" s="344" t="e">
        <f t="shared" ca="1" si="168"/>
        <v>#NAME?</v>
      </c>
      <c r="BJ260" s="322" t="e">
        <f t="shared" ca="1" si="210"/>
        <v>#NAME?</v>
      </c>
      <c r="BK260" s="338" t="e">
        <f t="shared" ca="1" si="169"/>
        <v>#NAME?</v>
      </c>
      <c r="BL260" s="327" t="e">
        <f t="shared" ca="1" si="211"/>
        <v>#NAME?</v>
      </c>
      <c r="BM260" s="328">
        <f t="shared" si="212"/>
        <v>200</v>
      </c>
      <c r="BN260" s="329" t="e">
        <f t="shared" ca="1" si="213"/>
        <v>#NAME?</v>
      </c>
      <c r="BO260" s="344" t="e">
        <f t="shared" ca="1" si="170"/>
        <v>#NAME?</v>
      </c>
      <c r="BP260" s="320" t="e">
        <f t="shared" ca="1" si="214"/>
        <v>#NAME?</v>
      </c>
      <c r="BQ260" s="344" t="e">
        <f t="shared" ca="1" si="171"/>
        <v>#NAME?</v>
      </c>
      <c r="BR260" s="347" t="e">
        <f t="shared" ca="1" si="172"/>
        <v>#NAME?</v>
      </c>
      <c r="BS260" s="326" t="e">
        <f t="shared" ca="1" si="215"/>
        <v>#NAME?</v>
      </c>
      <c r="BT260" s="437" t="e">
        <f t="shared" ca="1" si="185"/>
        <v>#NAME?</v>
      </c>
      <c r="BU260" s="437" t="e">
        <f t="shared" ca="1" si="186"/>
        <v>#NAME?</v>
      </c>
      <c r="BV260" s="441" t="e">
        <f t="shared" ca="1" si="187"/>
        <v>#NAME?</v>
      </c>
      <c r="BW260" s="442" t="e">
        <f t="shared" ca="1" si="188"/>
        <v>#NAME?</v>
      </c>
      <c r="BX260" s="470" t="e">
        <f t="shared" ca="1" si="161"/>
        <v>#NAME?</v>
      </c>
      <c r="BY260" s="484" t="e">
        <f t="shared" ca="1" si="173"/>
        <v>#NAME?</v>
      </c>
      <c r="BZ260" s="176"/>
    </row>
    <row r="261" spans="9:78" s="177" customFormat="1" ht="17.75" customHeight="1" x14ac:dyDescent="0.2">
      <c r="I261" s="366">
        <v>177</v>
      </c>
      <c r="J261" s="414">
        <f t="shared" si="174"/>
        <v>41705.835416667069</v>
      </c>
      <c r="K261" s="435" t="e">
        <f t="shared" ca="1" si="175"/>
        <v>#NAME?</v>
      </c>
      <c r="L261" s="435" t="e">
        <f t="shared" ca="1" si="162"/>
        <v>#NAME?</v>
      </c>
      <c r="M261" s="664" t="e">
        <f t="shared" ca="1" si="216"/>
        <v>#NAME?</v>
      </c>
      <c r="N261" s="664" t="e">
        <f t="shared" ca="1" si="217"/>
        <v>#NAME?</v>
      </c>
      <c r="O261" s="140" t="e">
        <f t="shared" ca="1" si="163"/>
        <v>#NAME?</v>
      </c>
      <c r="P261" s="352" t="e">
        <f t="shared" ca="1" si="176"/>
        <v>#NAME?</v>
      </c>
      <c r="Q261" s="665" t="e">
        <f t="shared" ref="Q261:Q324" ca="1" si="218">IF(S261="MEFE",  0,    IF(S261="INOP",    $C$36*AQ261/0.2243,     IF(V261&lt;Y260,             IF(OR(S261="KCAS",S261="HOLDING",S261="HOLDINGINOP",S261="LRCINOP"),   $C$32,    (1+$C$30*ABS(X261)/1000)*BN261  ),      IF(V261&gt;Y260,   BN261*(1+$C$29*W261/1000),   IF(AND($C$34=1, OR(S261="HOLDING", S261="HOLDINGINOP")  ),1.05,1)*BN261    ))))</f>
        <v>#NAME?</v>
      </c>
      <c r="R261" s="352" t="e">
        <f t="shared" ca="1" si="189"/>
        <v>#NAME?</v>
      </c>
      <c r="S261" s="662" t="e">
        <f t="shared" ca="1" si="164"/>
        <v>#NAME?</v>
      </c>
      <c r="T261" s="443" t="e">
        <f t="shared" ca="1" si="157"/>
        <v>#NAME?</v>
      </c>
      <c r="U261" s="369" t="e">
        <f t="shared" ca="1" si="158"/>
        <v>#NAME?</v>
      </c>
      <c r="V261" s="454" t="e">
        <f t="shared" ca="1" si="165"/>
        <v>#NAME?</v>
      </c>
      <c r="W261" s="457">
        <f t="shared" si="166"/>
        <v>1000</v>
      </c>
      <c r="X261" s="463" t="e">
        <f t="shared" ca="1" si="167"/>
        <v>#NAME?</v>
      </c>
      <c r="Y261" s="455" t="e">
        <f t="shared" ca="1" si="177"/>
        <v>#NAME?</v>
      </c>
      <c r="Z261" s="699">
        <f t="shared" si="159"/>
        <v>8.5</v>
      </c>
      <c r="AA261" s="355" t="str">
        <f t="shared" si="160"/>
        <v>ON</v>
      </c>
      <c r="AB261" s="357">
        <f t="shared" si="190"/>
        <v>1.4999999999999999E-2</v>
      </c>
      <c r="AC261" s="356" t="e">
        <f ca="1">IF(  Y260=0,0,IF(OR(S261="KCAS",S261="INOP",S261="MEFE"),   ( (5*( (   (((1+0.2*(T261/661.4786)^2)^3.5 -1)  )/( (1-6.8755856*10^-6 *100*Y261)^5.2558797) +1)^(2/7) -1) )^0.5),IF(S261="MACH",T261, IF(S261="LRC",BicubicInterpolation( 'LRC Mach'!$C$4:$AL$21, Y261,U261),  IF(S261="MRC",BicubicInterpolation( 'MRC Mach'!$C$3:$T$18, Y261,U261),  IF(S261="M0.84",0.84,  IF(S261="CI52",BicubicInterpolation('CI=52 Mach'!$C$3:$T$18, Y261,U261),  IF(S261="HOLDING",BicubicInterpolation(  'Holding Mach'!$C$4:$M$13, Y261,U261),                         IF(S261="LRCINOP", BicubicInterpolation('LRC INOP Mach'!$C$4:$AA$21,Y261,U261), IF(S261="HOLDINGINOP",  BicubicInterpolation('Holding INOP Mach'!$N$4:$U$13,Y261,U261),         "XXX" )))))))   )))</f>
        <v>#NAME?</v>
      </c>
      <c r="AD261" s="313" t="e">
        <f t="shared" ca="1" si="191"/>
        <v>#NAME?</v>
      </c>
      <c r="AE261" s="314" t="e">
        <f t="shared" ca="1" si="178"/>
        <v>#NAME?</v>
      </c>
      <c r="AF261" s="313" t="e">
        <f t="shared" ca="1" si="192"/>
        <v>#NAME?</v>
      </c>
      <c r="AG261" s="314" t="e">
        <f t="shared" ca="1" si="179"/>
        <v>#NAME?</v>
      </c>
      <c r="AH261" s="313" t="e">
        <f t="shared" ca="1" si="193"/>
        <v>#NAME?</v>
      </c>
      <c r="AI261" s="314" t="e">
        <f t="shared" ca="1" si="180"/>
        <v>#NAME?</v>
      </c>
      <c r="AJ261" s="315" t="e">
        <f t="shared" ca="1" si="181"/>
        <v>#NAME?</v>
      </c>
      <c r="AK261" s="568" t="e">
        <f t="shared" ca="1" si="194"/>
        <v>#NAME?</v>
      </c>
      <c r="AL261" s="313" t="e">
        <f t="shared" ca="1" si="195"/>
        <v>#NAME?</v>
      </c>
      <c r="AM261" s="313" t="e">
        <f t="shared" ca="1" si="182"/>
        <v>#NAME?</v>
      </c>
      <c r="AN261" s="313" t="e">
        <f t="shared" ca="1" si="183"/>
        <v>#NAME?</v>
      </c>
      <c r="AO261" s="316" t="e">
        <f t="shared" ca="1" si="196"/>
        <v>#NAME?</v>
      </c>
      <c r="AP261" s="313" t="e">
        <f t="shared" ca="1" si="197"/>
        <v>#NAME?</v>
      </c>
      <c r="AQ261" s="314" t="e">
        <f t="shared" ca="1" si="184"/>
        <v>#NAME?</v>
      </c>
      <c r="AR261" s="315" t="e">
        <f t="shared" ca="1" si="198"/>
        <v>#NAME?</v>
      </c>
      <c r="AS261" s="316" t="e">
        <f t="shared" ca="1" si="199"/>
        <v>#NAME?</v>
      </c>
      <c r="AT261" s="315" t="e">
        <f t="shared" ca="1" si="200"/>
        <v>#NAME?</v>
      </c>
      <c r="AU261" s="317">
        <v>427.8</v>
      </c>
      <c r="AV261" s="315" t="e">
        <f t="shared" ca="1" si="201"/>
        <v>#NAME?</v>
      </c>
      <c r="AW261" s="318" t="e">
        <f ca="1">0.0001*BicubicInterpolation('Drag Coef Table'!$B$4:$L$28,AV261,AC261)</f>
        <v>#NAME?</v>
      </c>
      <c r="AX261" s="319" t="e">
        <f t="shared" ca="1" si="202"/>
        <v>#NAME?</v>
      </c>
      <c r="AY261" s="318" t="e">
        <f t="shared" ca="1" si="203"/>
        <v>#NAME?</v>
      </c>
      <c r="AZ261" s="320" t="e">
        <f t="shared" ca="1" si="204"/>
        <v>#NAME?</v>
      </c>
      <c r="BA261" s="321" t="e">
        <f t="shared" ca="1" si="205"/>
        <v>#NAME?</v>
      </c>
      <c r="BB261" s="322" t="e">
        <f t="shared" ca="1" si="206"/>
        <v>#NAME?</v>
      </c>
      <c r="BC261" s="323">
        <v>75.196700000000007</v>
      </c>
      <c r="BD261" s="324" t="e">
        <f t="shared" ca="1" si="207"/>
        <v>#NAME?</v>
      </c>
      <c r="BE261" s="325" t="e">
        <f t="shared" ca="1" si="208"/>
        <v>#NAME?</v>
      </c>
      <c r="BF261" s="324" t="e">
        <f ca="1">BicubicInterpolation('TSFC Eff Table'!$B$4:$E$69,2,BB261)</f>
        <v>#NAME?</v>
      </c>
      <c r="BG261" s="326" t="e">
        <f t="shared" ca="1" si="209"/>
        <v>#NAME?</v>
      </c>
      <c r="BH261" s="694" t="e">
        <f ca="1">IF( S261="LRCINOP",   (1+(0.03/10)*Z261*(1+0.2*AC261^2) )*BicubicInterpolation( 'LRC INOP FF'!$C$4:$AA$21, Y261, U261 )-200, IF(S261 ="HOLDINGINOP", (1+(0.03/10)*Z261*(1+0.2*AC261^2) )*BicubicInterpolation( 'Holding INOP FF'!$C$4:$J$13,  Y261,  U261)/1.05-200,   BA261*BG261))</f>
        <v>#NAME?</v>
      </c>
      <c r="BI261" s="344" t="e">
        <f t="shared" ca="1" si="168"/>
        <v>#NAME?</v>
      </c>
      <c r="BJ261" s="322" t="e">
        <f t="shared" ca="1" si="210"/>
        <v>#NAME?</v>
      </c>
      <c r="BK261" s="338" t="e">
        <f t="shared" ca="1" si="169"/>
        <v>#NAME?</v>
      </c>
      <c r="BL261" s="327" t="e">
        <f t="shared" ca="1" si="211"/>
        <v>#NAME?</v>
      </c>
      <c r="BM261" s="328">
        <f t="shared" si="212"/>
        <v>200</v>
      </c>
      <c r="BN261" s="329" t="e">
        <f t="shared" ca="1" si="213"/>
        <v>#NAME?</v>
      </c>
      <c r="BO261" s="344" t="e">
        <f t="shared" ca="1" si="170"/>
        <v>#NAME?</v>
      </c>
      <c r="BP261" s="320" t="e">
        <f t="shared" ca="1" si="214"/>
        <v>#NAME?</v>
      </c>
      <c r="BQ261" s="344" t="e">
        <f t="shared" ca="1" si="171"/>
        <v>#NAME?</v>
      </c>
      <c r="BR261" s="347" t="e">
        <f t="shared" ca="1" si="172"/>
        <v>#NAME?</v>
      </c>
      <c r="BS261" s="326" t="e">
        <f t="shared" ca="1" si="215"/>
        <v>#NAME?</v>
      </c>
      <c r="BT261" s="437" t="e">
        <f t="shared" ca="1" si="185"/>
        <v>#NAME?</v>
      </c>
      <c r="BU261" s="437" t="e">
        <f t="shared" ca="1" si="186"/>
        <v>#NAME?</v>
      </c>
      <c r="BV261" s="441" t="e">
        <f t="shared" ca="1" si="187"/>
        <v>#NAME?</v>
      </c>
      <c r="BW261" s="442" t="e">
        <f t="shared" ca="1" si="188"/>
        <v>#NAME?</v>
      </c>
      <c r="BX261" s="470" t="e">
        <f t="shared" ca="1" si="161"/>
        <v>#NAME?</v>
      </c>
      <c r="BY261" s="484" t="e">
        <f t="shared" ca="1" si="173"/>
        <v>#NAME?</v>
      </c>
      <c r="BZ261" s="176"/>
    </row>
    <row r="262" spans="9:78" s="177" customFormat="1" ht="17.75" customHeight="1" x14ac:dyDescent="0.2">
      <c r="I262" s="366">
        <v>178</v>
      </c>
      <c r="J262" s="414">
        <f t="shared" si="174"/>
        <v>41705.836111111515</v>
      </c>
      <c r="K262" s="435" t="e">
        <f t="shared" ca="1" si="175"/>
        <v>#NAME?</v>
      </c>
      <c r="L262" s="435" t="e">
        <f t="shared" ca="1" si="162"/>
        <v>#NAME?</v>
      </c>
      <c r="M262" s="664" t="e">
        <f t="shared" ca="1" si="216"/>
        <v>#NAME?</v>
      </c>
      <c r="N262" s="664" t="e">
        <f t="shared" ca="1" si="217"/>
        <v>#NAME?</v>
      </c>
      <c r="O262" s="140" t="e">
        <f t="shared" ca="1" si="163"/>
        <v>#NAME?</v>
      </c>
      <c r="P262" s="352" t="e">
        <f t="shared" ca="1" si="176"/>
        <v>#NAME?</v>
      </c>
      <c r="Q262" s="665" t="e">
        <f t="shared" ca="1" si="218"/>
        <v>#NAME?</v>
      </c>
      <c r="R262" s="352" t="e">
        <f t="shared" ca="1" si="189"/>
        <v>#NAME?</v>
      </c>
      <c r="S262" s="662" t="e">
        <f t="shared" ca="1" si="164"/>
        <v>#NAME?</v>
      </c>
      <c r="T262" s="443" t="e">
        <f t="shared" ca="1" si="157"/>
        <v>#NAME?</v>
      </c>
      <c r="U262" s="369" t="e">
        <f t="shared" ca="1" si="158"/>
        <v>#NAME?</v>
      </c>
      <c r="V262" s="454" t="e">
        <f t="shared" ca="1" si="165"/>
        <v>#NAME?</v>
      </c>
      <c r="W262" s="457">
        <f t="shared" si="166"/>
        <v>1000</v>
      </c>
      <c r="X262" s="463" t="e">
        <f t="shared" ca="1" si="167"/>
        <v>#NAME?</v>
      </c>
      <c r="Y262" s="455" t="e">
        <f t="shared" ca="1" si="177"/>
        <v>#NAME?</v>
      </c>
      <c r="Z262" s="699">
        <f t="shared" si="159"/>
        <v>8.5</v>
      </c>
      <c r="AA262" s="355" t="str">
        <f t="shared" si="160"/>
        <v>ON</v>
      </c>
      <c r="AB262" s="357">
        <f t="shared" si="190"/>
        <v>1.4999999999999999E-2</v>
      </c>
      <c r="AC262" s="356" t="e">
        <f ca="1">IF(  Y261=0,0,IF(OR(S262="KCAS",S262="INOP",S262="MEFE"),   ( (5*( (   (((1+0.2*(T262/661.4786)^2)^3.5 -1)  )/( (1-6.8755856*10^-6 *100*Y262)^5.2558797) +1)^(2/7) -1) )^0.5),IF(S262="MACH",T262, IF(S262="LRC",BicubicInterpolation( 'LRC Mach'!$C$4:$AL$21, Y262,U262),  IF(S262="MRC",BicubicInterpolation( 'MRC Mach'!$C$3:$T$18, Y262,U262),  IF(S262="M0.84",0.84,  IF(S262="CI52",BicubicInterpolation('CI=52 Mach'!$C$3:$T$18, Y262,U262),  IF(S262="HOLDING",BicubicInterpolation(  'Holding Mach'!$C$4:$M$13, Y262,U262),                         IF(S262="LRCINOP", BicubicInterpolation('LRC INOP Mach'!$C$4:$AA$21,Y262,U262), IF(S262="HOLDINGINOP",  BicubicInterpolation('Holding INOP Mach'!$N$4:$U$13,Y262,U262),         "XXX" )))))))   )))</f>
        <v>#NAME?</v>
      </c>
      <c r="AD262" s="313" t="e">
        <f t="shared" ca="1" si="191"/>
        <v>#NAME?</v>
      </c>
      <c r="AE262" s="314" t="e">
        <f t="shared" ca="1" si="178"/>
        <v>#NAME?</v>
      </c>
      <c r="AF262" s="313" t="e">
        <f t="shared" ca="1" si="192"/>
        <v>#NAME?</v>
      </c>
      <c r="AG262" s="314" t="e">
        <f t="shared" ca="1" si="179"/>
        <v>#NAME?</v>
      </c>
      <c r="AH262" s="313" t="e">
        <f t="shared" ca="1" si="193"/>
        <v>#NAME?</v>
      </c>
      <c r="AI262" s="314" t="e">
        <f t="shared" ca="1" si="180"/>
        <v>#NAME?</v>
      </c>
      <c r="AJ262" s="315" t="e">
        <f t="shared" ca="1" si="181"/>
        <v>#NAME?</v>
      </c>
      <c r="AK262" s="568" t="e">
        <f t="shared" ca="1" si="194"/>
        <v>#NAME?</v>
      </c>
      <c r="AL262" s="313" t="e">
        <f t="shared" ca="1" si="195"/>
        <v>#NAME?</v>
      </c>
      <c r="AM262" s="313" t="e">
        <f t="shared" ca="1" si="182"/>
        <v>#NAME?</v>
      </c>
      <c r="AN262" s="313" t="e">
        <f t="shared" ca="1" si="183"/>
        <v>#NAME?</v>
      </c>
      <c r="AO262" s="316" t="e">
        <f t="shared" ca="1" si="196"/>
        <v>#NAME?</v>
      </c>
      <c r="AP262" s="313" t="e">
        <f t="shared" ca="1" si="197"/>
        <v>#NAME?</v>
      </c>
      <c r="AQ262" s="314" t="e">
        <f t="shared" ca="1" si="184"/>
        <v>#NAME?</v>
      </c>
      <c r="AR262" s="315" t="e">
        <f t="shared" ca="1" si="198"/>
        <v>#NAME?</v>
      </c>
      <c r="AS262" s="316" t="e">
        <f t="shared" ca="1" si="199"/>
        <v>#NAME?</v>
      </c>
      <c r="AT262" s="315" t="e">
        <f t="shared" ca="1" si="200"/>
        <v>#NAME?</v>
      </c>
      <c r="AU262" s="317">
        <v>427.8</v>
      </c>
      <c r="AV262" s="315" t="e">
        <f t="shared" ca="1" si="201"/>
        <v>#NAME?</v>
      </c>
      <c r="AW262" s="318" t="e">
        <f ca="1">0.0001*BicubicInterpolation('Drag Coef Table'!$B$4:$L$28,AV262,AC262)</f>
        <v>#NAME?</v>
      </c>
      <c r="AX262" s="319" t="e">
        <f t="shared" ca="1" si="202"/>
        <v>#NAME?</v>
      </c>
      <c r="AY262" s="318" t="e">
        <f t="shared" ca="1" si="203"/>
        <v>#NAME?</v>
      </c>
      <c r="AZ262" s="320" t="e">
        <f t="shared" ca="1" si="204"/>
        <v>#NAME?</v>
      </c>
      <c r="BA262" s="321" t="e">
        <f t="shared" ca="1" si="205"/>
        <v>#NAME?</v>
      </c>
      <c r="BB262" s="322" t="e">
        <f t="shared" ca="1" si="206"/>
        <v>#NAME?</v>
      </c>
      <c r="BC262" s="323">
        <v>75.196700000000007</v>
      </c>
      <c r="BD262" s="324" t="e">
        <f t="shared" ca="1" si="207"/>
        <v>#NAME?</v>
      </c>
      <c r="BE262" s="325" t="e">
        <f t="shared" ca="1" si="208"/>
        <v>#NAME?</v>
      </c>
      <c r="BF262" s="324" t="e">
        <f ca="1">BicubicInterpolation('TSFC Eff Table'!$B$4:$E$69,2,BB262)</f>
        <v>#NAME?</v>
      </c>
      <c r="BG262" s="326" t="e">
        <f t="shared" ca="1" si="209"/>
        <v>#NAME?</v>
      </c>
      <c r="BH262" s="694" t="e">
        <f ca="1">IF( S262="LRCINOP",   (1+(0.03/10)*Z262*(1+0.2*AC262^2) )*BicubicInterpolation( 'LRC INOP FF'!$C$4:$AA$21, Y262, U262 )-200, IF(S262 ="HOLDINGINOP", (1+(0.03/10)*Z262*(1+0.2*AC262^2) )*BicubicInterpolation( 'Holding INOP FF'!$C$4:$J$13,  Y262,  U262)/1.05-200,   BA262*BG262))</f>
        <v>#NAME?</v>
      </c>
      <c r="BI262" s="344" t="e">
        <f t="shared" ca="1" si="168"/>
        <v>#NAME?</v>
      </c>
      <c r="BJ262" s="322" t="e">
        <f t="shared" ca="1" si="210"/>
        <v>#NAME?</v>
      </c>
      <c r="BK262" s="338" t="e">
        <f t="shared" ca="1" si="169"/>
        <v>#NAME?</v>
      </c>
      <c r="BL262" s="327" t="e">
        <f t="shared" ca="1" si="211"/>
        <v>#NAME?</v>
      </c>
      <c r="BM262" s="328">
        <f t="shared" si="212"/>
        <v>200</v>
      </c>
      <c r="BN262" s="329" t="e">
        <f t="shared" ca="1" si="213"/>
        <v>#NAME?</v>
      </c>
      <c r="BO262" s="344" t="e">
        <f t="shared" ca="1" si="170"/>
        <v>#NAME?</v>
      </c>
      <c r="BP262" s="320" t="e">
        <f t="shared" ca="1" si="214"/>
        <v>#NAME?</v>
      </c>
      <c r="BQ262" s="344" t="e">
        <f t="shared" ca="1" si="171"/>
        <v>#NAME?</v>
      </c>
      <c r="BR262" s="347" t="e">
        <f t="shared" ca="1" si="172"/>
        <v>#NAME?</v>
      </c>
      <c r="BS262" s="326" t="e">
        <f t="shared" ca="1" si="215"/>
        <v>#NAME?</v>
      </c>
      <c r="BT262" s="437" t="e">
        <f t="shared" ca="1" si="185"/>
        <v>#NAME?</v>
      </c>
      <c r="BU262" s="437" t="e">
        <f t="shared" ca="1" si="186"/>
        <v>#NAME?</v>
      </c>
      <c r="BV262" s="441" t="e">
        <f t="shared" ca="1" si="187"/>
        <v>#NAME?</v>
      </c>
      <c r="BW262" s="442" t="e">
        <f t="shared" ca="1" si="188"/>
        <v>#NAME?</v>
      </c>
      <c r="BX262" s="470" t="e">
        <f t="shared" ca="1" si="161"/>
        <v>#NAME?</v>
      </c>
      <c r="BY262" s="484" t="e">
        <f t="shared" ca="1" si="173"/>
        <v>#NAME?</v>
      </c>
      <c r="BZ262" s="176"/>
    </row>
    <row r="263" spans="9:78" s="177" customFormat="1" ht="17.75" customHeight="1" x14ac:dyDescent="0.2">
      <c r="I263" s="366">
        <v>179</v>
      </c>
      <c r="J263" s="414">
        <f t="shared" si="174"/>
        <v>41705.836805555962</v>
      </c>
      <c r="K263" s="435" t="e">
        <f t="shared" ca="1" si="175"/>
        <v>#NAME?</v>
      </c>
      <c r="L263" s="435" t="e">
        <f t="shared" ca="1" si="162"/>
        <v>#NAME?</v>
      </c>
      <c r="M263" s="664" t="e">
        <f t="shared" ca="1" si="216"/>
        <v>#NAME?</v>
      </c>
      <c r="N263" s="664" t="e">
        <f t="shared" ca="1" si="217"/>
        <v>#NAME?</v>
      </c>
      <c r="O263" s="140" t="e">
        <f t="shared" ca="1" si="163"/>
        <v>#NAME?</v>
      </c>
      <c r="P263" s="352" t="e">
        <f t="shared" ca="1" si="176"/>
        <v>#NAME?</v>
      </c>
      <c r="Q263" s="665" t="e">
        <f t="shared" ca="1" si="218"/>
        <v>#NAME?</v>
      </c>
      <c r="R263" s="352" t="e">
        <f t="shared" ca="1" si="189"/>
        <v>#NAME?</v>
      </c>
      <c r="S263" s="662" t="e">
        <f t="shared" ca="1" si="164"/>
        <v>#NAME?</v>
      </c>
      <c r="T263" s="443" t="e">
        <f t="shared" ca="1" si="157"/>
        <v>#NAME?</v>
      </c>
      <c r="U263" s="369" t="e">
        <f t="shared" ca="1" si="158"/>
        <v>#NAME?</v>
      </c>
      <c r="V263" s="454" t="e">
        <f t="shared" ca="1" si="165"/>
        <v>#NAME?</v>
      </c>
      <c r="W263" s="457">
        <f t="shared" si="166"/>
        <v>1000</v>
      </c>
      <c r="X263" s="463" t="e">
        <f t="shared" ca="1" si="167"/>
        <v>#NAME?</v>
      </c>
      <c r="Y263" s="455" t="e">
        <f t="shared" ca="1" si="177"/>
        <v>#NAME?</v>
      </c>
      <c r="Z263" s="699">
        <f t="shared" si="159"/>
        <v>8.5</v>
      </c>
      <c r="AA263" s="355" t="str">
        <f t="shared" si="160"/>
        <v>ON</v>
      </c>
      <c r="AB263" s="357">
        <f t="shared" si="190"/>
        <v>1.4999999999999999E-2</v>
      </c>
      <c r="AC263" s="356" t="e">
        <f ca="1">IF(  Y262=0,0,IF(OR(S263="KCAS",S263="INOP",S263="MEFE"),   ( (5*( (   (((1+0.2*(T263/661.4786)^2)^3.5 -1)  )/( (1-6.8755856*10^-6 *100*Y263)^5.2558797) +1)^(2/7) -1) )^0.5),IF(S263="MACH",T263, IF(S263="LRC",BicubicInterpolation( 'LRC Mach'!$C$4:$AL$21, Y263,U263),  IF(S263="MRC",BicubicInterpolation( 'MRC Mach'!$C$3:$T$18, Y263,U263),  IF(S263="M0.84",0.84,  IF(S263="CI52",BicubicInterpolation('CI=52 Mach'!$C$3:$T$18, Y263,U263),  IF(S263="HOLDING",BicubicInterpolation(  'Holding Mach'!$C$4:$M$13, Y263,U263),                         IF(S263="LRCINOP", BicubicInterpolation('LRC INOP Mach'!$C$4:$AA$21,Y263,U263), IF(S263="HOLDINGINOP",  BicubicInterpolation('Holding INOP Mach'!$N$4:$U$13,Y263,U263),         "XXX" )))))))   )))</f>
        <v>#NAME?</v>
      </c>
      <c r="AD263" s="313" t="e">
        <f t="shared" ca="1" si="191"/>
        <v>#NAME?</v>
      </c>
      <c r="AE263" s="314" t="e">
        <f t="shared" ca="1" si="178"/>
        <v>#NAME?</v>
      </c>
      <c r="AF263" s="313" t="e">
        <f t="shared" ca="1" si="192"/>
        <v>#NAME?</v>
      </c>
      <c r="AG263" s="314" t="e">
        <f t="shared" ca="1" si="179"/>
        <v>#NAME?</v>
      </c>
      <c r="AH263" s="313" t="e">
        <f t="shared" ca="1" si="193"/>
        <v>#NAME?</v>
      </c>
      <c r="AI263" s="314" t="e">
        <f t="shared" ca="1" si="180"/>
        <v>#NAME?</v>
      </c>
      <c r="AJ263" s="315" t="e">
        <f t="shared" ca="1" si="181"/>
        <v>#NAME?</v>
      </c>
      <c r="AK263" s="568" t="e">
        <f t="shared" ca="1" si="194"/>
        <v>#NAME?</v>
      </c>
      <c r="AL263" s="313" t="e">
        <f t="shared" ca="1" si="195"/>
        <v>#NAME?</v>
      </c>
      <c r="AM263" s="313" t="e">
        <f t="shared" ca="1" si="182"/>
        <v>#NAME?</v>
      </c>
      <c r="AN263" s="313" t="e">
        <f t="shared" ca="1" si="183"/>
        <v>#NAME?</v>
      </c>
      <c r="AO263" s="316" t="e">
        <f t="shared" ca="1" si="196"/>
        <v>#NAME?</v>
      </c>
      <c r="AP263" s="313" t="e">
        <f t="shared" ca="1" si="197"/>
        <v>#NAME?</v>
      </c>
      <c r="AQ263" s="314" t="e">
        <f t="shared" ca="1" si="184"/>
        <v>#NAME?</v>
      </c>
      <c r="AR263" s="315" t="e">
        <f t="shared" ca="1" si="198"/>
        <v>#NAME?</v>
      </c>
      <c r="AS263" s="316" t="e">
        <f t="shared" ca="1" si="199"/>
        <v>#NAME?</v>
      </c>
      <c r="AT263" s="315" t="e">
        <f t="shared" ca="1" si="200"/>
        <v>#NAME?</v>
      </c>
      <c r="AU263" s="317">
        <v>427.8</v>
      </c>
      <c r="AV263" s="315" t="e">
        <f t="shared" ca="1" si="201"/>
        <v>#NAME?</v>
      </c>
      <c r="AW263" s="318" t="e">
        <f ca="1">0.0001*BicubicInterpolation('Drag Coef Table'!$B$4:$L$28,AV263,AC263)</f>
        <v>#NAME?</v>
      </c>
      <c r="AX263" s="319" t="e">
        <f t="shared" ca="1" si="202"/>
        <v>#NAME?</v>
      </c>
      <c r="AY263" s="318" t="e">
        <f t="shared" ca="1" si="203"/>
        <v>#NAME?</v>
      </c>
      <c r="AZ263" s="320" t="e">
        <f t="shared" ca="1" si="204"/>
        <v>#NAME?</v>
      </c>
      <c r="BA263" s="321" t="e">
        <f t="shared" ca="1" si="205"/>
        <v>#NAME?</v>
      </c>
      <c r="BB263" s="322" t="e">
        <f t="shared" ca="1" si="206"/>
        <v>#NAME?</v>
      </c>
      <c r="BC263" s="323">
        <v>75.196700000000007</v>
      </c>
      <c r="BD263" s="324" t="e">
        <f t="shared" ca="1" si="207"/>
        <v>#NAME?</v>
      </c>
      <c r="BE263" s="325" t="e">
        <f t="shared" ca="1" si="208"/>
        <v>#NAME?</v>
      </c>
      <c r="BF263" s="324" t="e">
        <f ca="1">BicubicInterpolation('TSFC Eff Table'!$B$4:$E$69,2,BB263)</f>
        <v>#NAME?</v>
      </c>
      <c r="BG263" s="326" t="e">
        <f t="shared" ca="1" si="209"/>
        <v>#NAME?</v>
      </c>
      <c r="BH263" s="694" t="e">
        <f ca="1">IF( S263="LRCINOP",   (1+(0.03/10)*Z263*(1+0.2*AC263^2) )*BicubicInterpolation( 'LRC INOP FF'!$C$4:$AA$21, Y263, U263 )-200, IF(S263 ="HOLDINGINOP", (1+(0.03/10)*Z263*(1+0.2*AC263^2) )*BicubicInterpolation( 'Holding INOP FF'!$C$4:$J$13,  Y263,  U263)/1.05-200,   BA263*BG263))</f>
        <v>#NAME?</v>
      </c>
      <c r="BI263" s="344" t="e">
        <f t="shared" ca="1" si="168"/>
        <v>#NAME?</v>
      </c>
      <c r="BJ263" s="322" t="e">
        <f t="shared" ca="1" si="210"/>
        <v>#NAME?</v>
      </c>
      <c r="BK263" s="338" t="e">
        <f t="shared" ca="1" si="169"/>
        <v>#NAME?</v>
      </c>
      <c r="BL263" s="327" t="e">
        <f t="shared" ca="1" si="211"/>
        <v>#NAME?</v>
      </c>
      <c r="BM263" s="328">
        <f t="shared" si="212"/>
        <v>200</v>
      </c>
      <c r="BN263" s="329" t="e">
        <f t="shared" ca="1" si="213"/>
        <v>#NAME?</v>
      </c>
      <c r="BO263" s="344" t="e">
        <f t="shared" ca="1" si="170"/>
        <v>#NAME?</v>
      </c>
      <c r="BP263" s="320" t="e">
        <f t="shared" ca="1" si="214"/>
        <v>#NAME?</v>
      </c>
      <c r="BQ263" s="344" t="e">
        <f t="shared" ca="1" si="171"/>
        <v>#NAME?</v>
      </c>
      <c r="BR263" s="347" t="e">
        <f t="shared" ca="1" si="172"/>
        <v>#NAME?</v>
      </c>
      <c r="BS263" s="326" t="e">
        <f t="shared" ca="1" si="215"/>
        <v>#NAME?</v>
      </c>
      <c r="BT263" s="437" t="e">
        <f t="shared" ca="1" si="185"/>
        <v>#NAME?</v>
      </c>
      <c r="BU263" s="437" t="e">
        <f t="shared" ca="1" si="186"/>
        <v>#NAME?</v>
      </c>
      <c r="BV263" s="441" t="e">
        <f t="shared" ca="1" si="187"/>
        <v>#NAME?</v>
      </c>
      <c r="BW263" s="442" t="e">
        <f t="shared" ca="1" si="188"/>
        <v>#NAME?</v>
      </c>
      <c r="BX263" s="470" t="e">
        <f t="shared" ca="1" si="161"/>
        <v>#NAME?</v>
      </c>
      <c r="BY263" s="484" t="e">
        <f t="shared" ca="1" si="173"/>
        <v>#NAME?</v>
      </c>
      <c r="BZ263" s="176"/>
    </row>
    <row r="264" spans="9:78" s="177" customFormat="1" ht="17.75" customHeight="1" x14ac:dyDescent="0.2">
      <c r="I264" s="366">
        <v>180</v>
      </c>
      <c r="J264" s="414">
        <f t="shared" si="174"/>
        <v>41705.837500000409</v>
      </c>
      <c r="K264" s="435" t="e">
        <f t="shared" ca="1" si="175"/>
        <v>#NAME?</v>
      </c>
      <c r="L264" s="435" t="e">
        <f t="shared" ca="1" si="162"/>
        <v>#NAME?</v>
      </c>
      <c r="M264" s="664" t="e">
        <f t="shared" ca="1" si="216"/>
        <v>#NAME?</v>
      </c>
      <c r="N264" s="664" t="e">
        <f t="shared" ca="1" si="217"/>
        <v>#NAME?</v>
      </c>
      <c r="O264" s="140" t="e">
        <f t="shared" ca="1" si="163"/>
        <v>#NAME?</v>
      </c>
      <c r="P264" s="352" t="e">
        <f t="shared" ca="1" si="176"/>
        <v>#NAME?</v>
      </c>
      <c r="Q264" s="665" t="e">
        <f t="shared" ca="1" si="218"/>
        <v>#NAME?</v>
      </c>
      <c r="R264" s="352" t="e">
        <f t="shared" ca="1" si="189"/>
        <v>#NAME?</v>
      </c>
      <c r="S264" s="662" t="e">
        <f t="shared" ca="1" si="164"/>
        <v>#NAME?</v>
      </c>
      <c r="T264" s="443" t="e">
        <f t="shared" ca="1" si="157"/>
        <v>#NAME?</v>
      </c>
      <c r="U264" s="369" t="e">
        <f t="shared" ca="1" si="158"/>
        <v>#NAME?</v>
      </c>
      <c r="V264" s="454" t="e">
        <f t="shared" ca="1" si="165"/>
        <v>#NAME?</v>
      </c>
      <c r="W264" s="457">
        <f t="shared" si="166"/>
        <v>1000</v>
      </c>
      <c r="X264" s="463" t="e">
        <f t="shared" ca="1" si="167"/>
        <v>#NAME?</v>
      </c>
      <c r="Y264" s="455" t="e">
        <f t="shared" ca="1" si="177"/>
        <v>#NAME?</v>
      </c>
      <c r="Z264" s="699">
        <f t="shared" si="159"/>
        <v>8.5</v>
      </c>
      <c r="AA264" s="355" t="str">
        <f t="shared" si="160"/>
        <v>ON</v>
      </c>
      <c r="AB264" s="357">
        <f t="shared" si="190"/>
        <v>1.4999999999999999E-2</v>
      </c>
      <c r="AC264" s="356" t="e">
        <f ca="1">IF(  Y263=0,0,IF(OR(S264="KCAS",S264="INOP",S264="MEFE"),   ( (5*( (   (((1+0.2*(T264/661.4786)^2)^3.5 -1)  )/( (1-6.8755856*10^-6 *100*Y264)^5.2558797) +1)^(2/7) -1) )^0.5),IF(S264="MACH",T264, IF(S264="LRC",BicubicInterpolation( 'LRC Mach'!$C$4:$AL$21, Y264,U264),  IF(S264="MRC",BicubicInterpolation( 'MRC Mach'!$C$3:$T$18, Y264,U264),  IF(S264="M0.84",0.84,  IF(S264="CI52",BicubicInterpolation('CI=52 Mach'!$C$3:$T$18, Y264,U264),  IF(S264="HOLDING",BicubicInterpolation(  'Holding Mach'!$C$4:$M$13, Y264,U264),                         IF(S264="LRCINOP", BicubicInterpolation('LRC INOP Mach'!$C$4:$AA$21,Y264,U264), IF(S264="HOLDINGINOP",  BicubicInterpolation('Holding INOP Mach'!$N$4:$U$13,Y264,U264),         "XXX" )))))))   )))</f>
        <v>#NAME?</v>
      </c>
      <c r="AD264" s="313" t="e">
        <f t="shared" ca="1" si="191"/>
        <v>#NAME?</v>
      </c>
      <c r="AE264" s="314" t="e">
        <f t="shared" ca="1" si="178"/>
        <v>#NAME?</v>
      </c>
      <c r="AF264" s="313" t="e">
        <f t="shared" ca="1" si="192"/>
        <v>#NAME?</v>
      </c>
      <c r="AG264" s="314" t="e">
        <f t="shared" ca="1" si="179"/>
        <v>#NAME?</v>
      </c>
      <c r="AH264" s="313" t="e">
        <f t="shared" ca="1" si="193"/>
        <v>#NAME?</v>
      </c>
      <c r="AI264" s="314" t="e">
        <f t="shared" ca="1" si="180"/>
        <v>#NAME?</v>
      </c>
      <c r="AJ264" s="315" t="e">
        <f t="shared" ca="1" si="181"/>
        <v>#NAME?</v>
      </c>
      <c r="AK264" s="568" t="e">
        <f t="shared" ca="1" si="194"/>
        <v>#NAME?</v>
      </c>
      <c r="AL264" s="313" t="e">
        <f t="shared" ca="1" si="195"/>
        <v>#NAME?</v>
      </c>
      <c r="AM264" s="313" t="e">
        <f t="shared" ca="1" si="182"/>
        <v>#NAME?</v>
      </c>
      <c r="AN264" s="313" t="e">
        <f t="shared" ca="1" si="183"/>
        <v>#NAME?</v>
      </c>
      <c r="AO264" s="316" t="e">
        <f t="shared" ca="1" si="196"/>
        <v>#NAME?</v>
      </c>
      <c r="AP264" s="313" t="e">
        <f t="shared" ca="1" si="197"/>
        <v>#NAME?</v>
      </c>
      <c r="AQ264" s="314" t="e">
        <f t="shared" ca="1" si="184"/>
        <v>#NAME?</v>
      </c>
      <c r="AR264" s="315" t="e">
        <f t="shared" ca="1" si="198"/>
        <v>#NAME?</v>
      </c>
      <c r="AS264" s="316" t="e">
        <f t="shared" ca="1" si="199"/>
        <v>#NAME?</v>
      </c>
      <c r="AT264" s="315" t="e">
        <f t="shared" ca="1" si="200"/>
        <v>#NAME?</v>
      </c>
      <c r="AU264" s="317">
        <v>427.8</v>
      </c>
      <c r="AV264" s="315" t="e">
        <f t="shared" ca="1" si="201"/>
        <v>#NAME?</v>
      </c>
      <c r="AW264" s="318" t="e">
        <f ca="1">0.0001*BicubicInterpolation('Drag Coef Table'!$B$4:$L$28,AV264,AC264)</f>
        <v>#NAME?</v>
      </c>
      <c r="AX264" s="319" t="e">
        <f t="shared" ca="1" si="202"/>
        <v>#NAME?</v>
      </c>
      <c r="AY264" s="318" t="e">
        <f t="shared" ca="1" si="203"/>
        <v>#NAME?</v>
      </c>
      <c r="AZ264" s="320" t="e">
        <f t="shared" ca="1" si="204"/>
        <v>#NAME?</v>
      </c>
      <c r="BA264" s="321" t="e">
        <f t="shared" ca="1" si="205"/>
        <v>#NAME?</v>
      </c>
      <c r="BB264" s="322" t="e">
        <f t="shared" ca="1" si="206"/>
        <v>#NAME?</v>
      </c>
      <c r="BC264" s="323">
        <v>75.196700000000007</v>
      </c>
      <c r="BD264" s="324" t="e">
        <f t="shared" ca="1" si="207"/>
        <v>#NAME?</v>
      </c>
      <c r="BE264" s="325" t="e">
        <f t="shared" ca="1" si="208"/>
        <v>#NAME?</v>
      </c>
      <c r="BF264" s="324" t="e">
        <f ca="1">BicubicInterpolation('TSFC Eff Table'!$B$4:$E$69,2,BB264)</f>
        <v>#NAME?</v>
      </c>
      <c r="BG264" s="326" t="e">
        <f t="shared" ca="1" si="209"/>
        <v>#NAME?</v>
      </c>
      <c r="BH264" s="694" t="e">
        <f ca="1">IF( S264="LRCINOP",   (1+(0.03/10)*Z264*(1+0.2*AC264^2) )*BicubicInterpolation( 'LRC INOP FF'!$C$4:$AA$21, Y264, U264 )-200, IF(S264 ="HOLDINGINOP", (1+(0.03/10)*Z264*(1+0.2*AC264^2) )*BicubicInterpolation( 'Holding INOP FF'!$C$4:$J$13,  Y264,  U264)/1.05-200,   BA264*BG264))</f>
        <v>#NAME?</v>
      </c>
      <c r="BI264" s="344" t="e">
        <f t="shared" ca="1" si="168"/>
        <v>#NAME?</v>
      </c>
      <c r="BJ264" s="322" t="e">
        <f t="shared" ca="1" si="210"/>
        <v>#NAME?</v>
      </c>
      <c r="BK264" s="338" t="e">
        <f t="shared" ca="1" si="169"/>
        <v>#NAME?</v>
      </c>
      <c r="BL264" s="327" t="e">
        <f t="shared" ca="1" si="211"/>
        <v>#NAME?</v>
      </c>
      <c r="BM264" s="328">
        <f t="shared" si="212"/>
        <v>200</v>
      </c>
      <c r="BN264" s="329" t="e">
        <f t="shared" ca="1" si="213"/>
        <v>#NAME?</v>
      </c>
      <c r="BO264" s="344" t="e">
        <f t="shared" ca="1" si="170"/>
        <v>#NAME?</v>
      </c>
      <c r="BP264" s="320" t="e">
        <f t="shared" ca="1" si="214"/>
        <v>#NAME?</v>
      </c>
      <c r="BQ264" s="344" t="e">
        <f t="shared" ca="1" si="171"/>
        <v>#NAME?</v>
      </c>
      <c r="BR264" s="347" t="e">
        <f t="shared" ca="1" si="172"/>
        <v>#NAME?</v>
      </c>
      <c r="BS264" s="326" t="e">
        <f t="shared" ca="1" si="215"/>
        <v>#NAME?</v>
      </c>
      <c r="BT264" s="437" t="e">
        <f t="shared" ca="1" si="185"/>
        <v>#NAME?</v>
      </c>
      <c r="BU264" s="437" t="e">
        <f t="shared" ca="1" si="186"/>
        <v>#NAME?</v>
      </c>
      <c r="BV264" s="441" t="e">
        <f t="shared" ca="1" si="187"/>
        <v>#NAME?</v>
      </c>
      <c r="BW264" s="442" t="e">
        <f t="shared" ca="1" si="188"/>
        <v>#NAME?</v>
      </c>
      <c r="BX264" s="470" t="e">
        <f t="shared" ca="1" si="161"/>
        <v>#NAME?</v>
      </c>
      <c r="BY264" s="484" t="e">
        <f t="shared" ca="1" si="173"/>
        <v>#NAME?</v>
      </c>
      <c r="BZ264" s="176"/>
    </row>
    <row r="265" spans="9:78" s="177" customFormat="1" ht="17.75" customHeight="1" x14ac:dyDescent="0.2">
      <c r="I265" s="366">
        <v>181</v>
      </c>
      <c r="J265" s="414">
        <f t="shared" si="174"/>
        <v>41705.838194444856</v>
      </c>
      <c r="K265" s="435" t="e">
        <f t="shared" ca="1" si="175"/>
        <v>#NAME?</v>
      </c>
      <c r="L265" s="435" t="e">
        <f t="shared" ca="1" si="162"/>
        <v>#NAME?</v>
      </c>
      <c r="M265" s="664" t="e">
        <f t="shared" ca="1" si="216"/>
        <v>#NAME?</v>
      </c>
      <c r="N265" s="664" t="e">
        <f t="shared" ca="1" si="217"/>
        <v>#NAME?</v>
      </c>
      <c r="O265" s="140" t="e">
        <f t="shared" ca="1" si="163"/>
        <v>#NAME?</v>
      </c>
      <c r="P265" s="352" t="e">
        <f t="shared" ca="1" si="176"/>
        <v>#NAME?</v>
      </c>
      <c r="Q265" s="665" t="e">
        <f t="shared" ca="1" si="218"/>
        <v>#NAME?</v>
      </c>
      <c r="R265" s="352" t="e">
        <f t="shared" ca="1" si="189"/>
        <v>#NAME?</v>
      </c>
      <c r="S265" s="662" t="e">
        <f t="shared" ca="1" si="164"/>
        <v>#NAME?</v>
      </c>
      <c r="T265" s="443" t="e">
        <f t="shared" ca="1" si="157"/>
        <v>#NAME?</v>
      </c>
      <c r="U265" s="369" t="e">
        <f t="shared" ca="1" si="158"/>
        <v>#NAME?</v>
      </c>
      <c r="V265" s="454" t="e">
        <f t="shared" ca="1" si="165"/>
        <v>#NAME?</v>
      </c>
      <c r="W265" s="457">
        <f t="shared" si="166"/>
        <v>1000</v>
      </c>
      <c r="X265" s="463" t="e">
        <f t="shared" ca="1" si="167"/>
        <v>#NAME?</v>
      </c>
      <c r="Y265" s="455" t="e">
        <f t="shared" ca="1" si="177"/>
        <v>#NAME?</v>
      </c>
      <c r="Z265" s="699">
        <f t="shared" si="159"/>
        <v>8.5</v>
      </c>
      <c r="AA265" s="355" t="str">
        <f t="shared" si="160"/>
        <v>ON</v>
      </c>
      <c r="AB265" s="357">
        <f t="shared" si="190"/>
        <v>1.4999999999999999E-2</v>
      </c>
      <c r="AC265" s="356" t="e">
        <f ca="1">IF(  Y264=0,0,IF(OR(S265="KCAS",S265="INOP",S265="MEFE"),   ( (5*( (   (((1+0.2*(T265/661.4786)^2)^3.5 -1)  )/( (1-6.8755856*10^-6 *100*Y265)^5.2558797) +1)^(2/7) -1) )^0.5),IF(S265="MACH",T265, IF(S265="LRC",BicubicInterpolation( 'LRC Mach'!$C$4:$AL$21, Y265,U265),  IF(S265="MRC",BicubicInterpolation( 'MRC Mach'!$C$3:$T$18, Y265,U265),  IF(S265="M0.84",0.84,  IF(S265="CI52",BicubicInterpolation('CI=52 Mach'!$C$3:$T$18, Y265,U265),  IF(S265="HOLDING",BicubicInterpolation(  'Holding Mach'!$C$4:$M$13, Y265,U265),                         IF(S265="LRCINOP", BicubicInterpolation('LRC INOP Mach'!$C$4:$AA$21,Y265,U265), IF(S265="HOLDINGINOP",  BicubicInterpolation('Holding INOP Mach'!$N$4:$U$13,Y265,U265),         "XXX" )))))))   )))</f>
        <v>#NAME?</v>
      </c>
      <c r="AD265" s="313" t="e">
        <f t="shared" ca="1" si="191"/>
        <v>#NAME?</v>
      </c>
      <c r="AE265" s="314" t="e">
        <f t="shared" ca="1" si="178"/>
        <v>#NAME?</v>
      </c>
      <c r="AF265" s="313" t="e">
        <f t="shared" ca="1" si="192"/>
        <v>#NAME?</v>
      </c>
      <c r="AG265" s="314" t="e">
        <f t="shared" ca="1" si="179"/>
        <v>#NAME?</v>
      </c>
      <c r="AH265" s="313" t="e">
        <f t="shared" ca="1" si="193"/>
        <v>#NAME?</v>
      </c>
      <c r="AI265" s="314" t="e">
        <f t="shared" ca="1" si="180"/>
        <v>#NAME?</v>
      </c>
      <c r="AJ265" s="315" t="e">
        <f t="shared" ca="1" si="181"/>
        <v>#NAME?</v>
      </c>
      <c r="AK265" s="568" t="e">
        <f t="shared" ca="1" si="194"/>
        <v>#NAME?</v>
      </c>
      <c r="AL265" s="313" t="e">
        <f t="shared" ca="1" si="195"/>
        <v>#NAME?</v>
      </c>
      <c r="AM265" s="313" t="e">
        <f t="shared" ca="1" si="182"/>
        <v>#NAME?</v>
      </c>
      <c r="AN265" s="313" t="e">
        <f t="shared" ca="1" si="183"/>
        <v>#NAME?</v>
      </c>
      <c r="AO265" s="316" t="e">
        <f t="shared" ca="1" si="196"/>
        <v>#NAME?</v>
      </c>
      <c r="AP265" s="313" t="e">
        <f t="shared" ca="1" si="197"/>
        <v>#NAME?</v>
      </c>
      <c r="AQ265" s="314" t="e">
        <f t="shared" ca="1" si="184"/>
        <v>#NAME?</v>
      </c>
      <c r="AR265" s="315" t="e">
        <f t="shared" ca="1" si="198"/>
        <v>#NAME?</v>
      </c>
      <c r="AS265" s="316" t="e">
        <f t="shared" ca="1" si="199"/>
        <v>#NAME?</v>
      </c>
      <c r="AT265" s="315" t="e">
        <f t="shared" ca="1" si="200"/>
        <v>#NAME?</v>
      </c>
      <c r="AU265" s="317">
        <v>427.8</v>
      </c>
      <c r="AV265" s="315" t="e">
        <f t="shared" ca="1" si="201"/>
        <v>#NAME?</v>
      </c>
      <c r="AW265" s="318" t="e">
        <f ca="1">0.0001*BicubicInterpolation('Drag Coef Table'!$B$4:$L$28,AV265,AC265)</f>
        <v>#NAME?</v>
      </c>
      <c r="AX265" s="319" t="e">
        <f t="shared" ca="1" si="202"/>
        <v>#NAME?</v>
      </c>
      <c r="AY265" s="318" t="e">
        <f t="shared" ca="1" si="203"/>
        <v>#NAME?</v>
      </c>
      <c r="AZ265" s="320" t="e">
        <f t="shared" ca="1" si="204"/>
        <v>#NAME?</v>
      </c>
      <c r="BA265" s="321" t="e">
        <f t="shared" ca="1" si="205"/>
        <v>#NAME?</v>
      </c>
      <c r="BB265" s="322" t="e">
        <f t="shared" ca="1" si="206"/>
        <v>#NAME?</v>
      </c>
      <c r="BC265" s="323">
        <v>75.196700000000007</v>
      </c>
      <c r="BD265" s="324" t="e">
        <f t="shared" ca="1" si="207"/>
        <v>#NAME?</v>
      </c>
      <c r="BE265" s="325" t="e">
        <f t="shared" ca="1" si="208"/>
        <v>#NAME?</v>
      </c>
      <c r="BF265" s="324" t="e">
        <f ca="1">BicubicInterpolation('TSFC Eff Table'!$B$4:$E$69,2,BB265)</f>
        <v>#NAME?</v>
      </c>
      <c r="BG265" s="326" t="e">
        <f t="shared" ca="1" si="209"/>
        <v>#NAME?</v>
      </c>
      <c r="BH265" s="694" t="e">
        <f ca="1">IF( S265="LRCINOP",   (1+(0.03/10)*Z265*(1+0.2*AC265^2) )*BicubicInterpolation( 'LRC INOP FF'!$C$4:$AA$21, Y265, U265 )-200, IF(S265 ="HOLDINGINOP", (1+(0.03/10)*Z265*(1+0.2*AC265^2) )*BicubicInterpolation( 'Holding INOP FF'!$C$4:$J$13,  Y265,  U265)/1.05-200,   BA265*BG265))</f>
        <v>#NAME?</v>
      </c>
      <c r="BI265" s="344" t="e">
        <f t="shared" ca="1" si="168"/>
        <v>#NAME?</v>
      </c>
      <c r="BJ265" s="322" t="e">
        <f t="shared" ca="1" si="210"/>
        <v>#NAME?</v>
      </c>
      <c r="BK265" s="338" t="e">
        <f t="shared" ca="1" si="169"/>
        <v>#NAME?</v>
      </c>
      <c r="BL265" s="327" t="e">
        <f t="shared" ca="1" si="211"/>
        <v>#NAME?</v>
      </c>
      <c r="BM265" s="328">
        <f t="shared" si="212"/>
        <v>200</v>
      </c>
      <c r="BN265" s="329" t="e">
        <f t="shared" ca="1" si="213"/>
        <v>#NAME?</v>
      </c>
      <c r="BO265" s="344" t="e">
        <f t="shared" ca="1" si="170"/>
        <v>#NAME?</v>
      </c>
      <c r="BP265" s="320" t="e">
        <f t="shared" ca="1" si="214"/>
        <v>#NAME?</v>
      </c>
      <c r="BQ265" s="344" t="e">
        <f t="shared" ca="1" si="171"/>
        <v>#NAME?</v>
      </c>
      <c r="BR265" s="347" t="e">
        <f t="shared" ca="1" si="172"/>
        <v>#NAME?</v>
      </c>
      <c r="BS265" s="326" t="e">
        <f t="shared" ca="1" si="215"/>
        <v>#NAME?</v>
      </c>
      <c r="BT265" s="437" t="e">
        <f t="shared" ca="1" si="185"/>
        <v>#NAME?</v>
      </c>
      <c r="BU265" s="437" t="e">
        <f t="shared" ca="1" si="186"/>
        <v>#NAME?</v>
      </c>
      <c r="BV265" s="441" t="e">
        <f t="shared" ca="1" si="187"/>
        <v>#NAME?</v>
      </c>
      <c r="BW265" s="442" t="e">
        <f t="shared" ca="1" si="188"/>
        <v>#NAME?</v>
      </c>
      <c r="BX265" s="470" t="e">
        <f t="shared" ca="1" si="161"/>
        <v>#NAME?</v>
      </c>
      <c r="BY265" s="484" t="e">
        <f t="shared" ca="1" si="173"/>
        <v>#NAME?</v>
      </c>
      <c r="BZ265" s="176"/>
    </row>
    <row r="266" spans="9:78" s="177" customFormat="1" ht="17.75" customHeight="1" x14ac:dyDescent="0.2">
      <c r="I266" s="366">
        <v>182</v>
      </c>
      <c r="J266" s="414">
        <f t="shared" si="174"/>
        <v>41705.838888889302</v>
      </c>
      <c r="K266" s="435" t="e">
        <f t="shared" ca="1" si="175"/>
        <v>#NAME?</v>
      </c>
      <c r="L266" s="435" t="e">
        <f t="shared" ca="1" si="162"/>
        <v>#NAME?</v>
      </c>
      <c r="M266" s="664" t="e">
        <f t="shared" ca="1" si="216"/>
        <v>#NAME?</v>
      </c>
      <c r="N266" s="664" t="e">
        <f t="shared" ca="1" si="217"/>
        <v>#NAME?</v>
      </c>
      <c r="O266" s="140" t="e">
        <f t="shared" ca="1" si="163"/>
        <v>#NAME?</v>
      </c>
      <c r="P266" s="352" t="e">
        <f t="shared" ca="1" si="176"/>
        <v>#NAME?</v>
      </c>
      <c r="Q266" s="665" t="e">
        <f t="shared" ca="1" si="218"/>
        <v>#NAME?</v>
      </c>
      <c r="R266" s="352" t="e">
        <f t="shared" ca="1" si="189"/>
        <v>#NAME?</v>
      </c>
      <c r="S266" s="662" t="e">
        <f t="shared" ca="1" si="164"/>
        <v>#NAME?</v>
      </c>
      <c r="T266" s="443" t="e">
        <f t="shared" ca="1" si="157"/>
        <v>#NAME?</v>
      </c>
      <c r="U266" s="369" t="e">
        <f t="shared" ca="1" si="158"/>
        <v>#NAME?</v>
      </c>
      <c r="V266" s="454" t="e">
        <f t="shared" ca="1" si="165"/>
        <v>#NAME?</v>
      </c>
      <c r="W266" s="457">
        <f t="shared" si="166"/>
        <v>1000</v>
      </c>
      <c r="X266" s="463" t="e">
        <f t="shared" ca="1" si="167"/>
        <v>#NAME?</v>
      </c>
      <c r="Y266" s="455" t="e">
        <f t="shared" ca="1" si="177"/>
        <v>#NAME?</v>
      </c>
      <c r="Z266" s="699">
        <f t="shared" si="159"/>
        <v>8.5</v>
      </c>
      <c r="AA266" s="355" t="str">
        <f t="shared" si="160"/>
        <v>ON</v>
      </c>
      <c r="AB266" s="357">
        <f t="shared" si="190"/>
        <v>1.4999999999999999E-2</v>
      </c>
      <c r="AC266" s="356" t="e">
        <f ca="1">IF(  Y265=0,0,IF(OR(S266="KCAS",S266="INOP",S266="MEFE"),   ( (5*( (   (((1+0.2*(T266/661.4786)^2)^3.5 -1)  )/( (1-6.8755856*10^-6 *100*Y266)^5.2558797) +1)^(2/7) -1) )^0.5),IF(S266="MACH",T266, IF(S266="LRC",BicubicInterpolation( 'LRC Mach'!$C$4:$AL$21, Y266,U266),  IF(S266="MRC",BicubicInterpolation( 'MRC Mach'!$C$3:$T$18, Y266,U266),  IF(S266="M0.84",0.84,  IF(S266="CI52",BicubicInterpolation('CI=52 Mach'!$C$3:$T$18, Y266,U266),  IF(S266="HOLDING",BicubicInterpolation(  'Holding Mach'!$C$4:$M$13, Y266,U266),                         IF(S266="LRCINOP", BicubicInterpolation('LRC INOP Mach'!$C$4:$AA$21,Y266,U266), IF(S266="HOLDINGINOP",  BicubicInterpolation('Holding INOP Mach'!$N$4:$U$13,Y266,U266),         "XXX" )))))))   )))</f>
        <v>#NAME?</v>
      </c>
      <c r="AD266" s="313" t="e">
        <f t="shared" ca="1" si="191"/>
        <v>#NAME?</v>
      </c>
      <c r="AE266" s="314" t="e">
        <f t="shared" ca="1" si="178"/>
        <v>#NAME?</v>
      </c>
      <c r="AF266" s="313" t="e">
        <f t="shared" ca="1" si="192"/>
        <v>#NAME?</v>
      </c>
      <c r="AG266" s="314" t="e">
        <f t="shared" ca="1" si="179"/>
        <v>#NAME?</v>
      </c>
      <c r="AH266" s="313" t="e">
        <f t="shared" ca="1" si="193"/>
        <v>#NAME?</v>
      </c>
      <c r="AI266" s="314" t="e">
        <f t="shared" ca="1" si="180"/>
        <v>#NAME?</v>
      </c>
      <c r="AJ266" s="315" t="e">
        <f t="shared" ca="1" si="181"/>
        <v>#NAME?</v>
      </c>
      <c r="AK266" s="568" t="e">
        <f t="shared" ca="1" si="194"/>
        <v>#NAME?</v>
      </c>
      <c r="AL266" s="313" t="e">
        <f t="shared" ca="1" si="195"/>
        <v>#NAME?</v>
      </c>
      <c r="AM266" s="313" t="e">
        <f t="shared" ca="1" si="182"/>
        <v>#NAME?</v>
      </c>
      <c r="AN266" s="313" t="e">
        <f t="shared" ca="1" si="183"/>
        <v>#NAME?</v>
      </c>
      <c r="AO266" s="316" t="e">
        <f t="shared" ca="1" si="196"/>
        <v>#NAME?</v>
      </c>
      <c r="AP266" s="313" t="e">
        <f t="shared" ca="1" si="197"/>
        <v>#NAME?</v>
      </c>
      <c r="AQ266" s="314" t="e">
        <f t="shared" ca="1" si="184"/>
        <v>#NAME?</v>
      </c>
      <c r="AR266" s="315" t="e">
        <f t="shared" ca="1" si="198"/>
        <v>#NAME?</v>
      </c>
      <c r="AS266" s="316" t="e">
        <f t="shared" ca="1" si="199"/>
        <v>#NAME?</v>
      </c>
      <c r="AT266" s="315" t="e">
        <f t="shared" ca="1" si="200"/>
        <v>#NAME?</v>
      </c>
      <c r="AU266" s="317">
        <v>427.8</v>
      </c>
      <c r="AV266" s="315" t="e">
        <f t="shared" ca="1" si="201"/>
        <v>#NAME?</v>
      </c>
      <c r="AW266" s="318" t="e">
        <f ca="1">0.0001*BicubicInterpolation('Drag Coef Table'!$B$4:$L$28,AV266,AC266)</f>
        <v>#NAME?</v>
      </c>
      <c r="AX266" s="319" t="e">
        <f t="shared" ca="1" si="202"/>
        <v>#NAME?</v>
      </c>
      <c r="AY266" s="318" t="e">
        <f t="shared" ca="1" si="203"/>
        <v>#NAME?</v>
      </c>
      <c r="AZ266" s="320" t="e">
        <f t="shared" ca="1" si="204"/>
        <v>#NAME?</v>
      </c>
      <c r="BA266" s="321" t="e">
        <f t="shared" ca="1" si="205"/>
        <v>#NAME?</v>
      </c>
      <c r="BB266" s="322" t="e">
        <f t="shared" ca="1" si="206"/>
        <v>#NAME?</v>
      </c>
      <c r="BC266" s="323">
        <v>75.196700000000007</v>
      </c>
      <c r="BD266" s="324" t="e">
        <f t="shared" ca="1" si="207"/>
        <v>#NAME?</v>
      </c>
      <c r="BE266" s="325" t="e">
        <f t="shared" ca="1" si="208"/>
        <v>#NAME?</v>
      </c>
      <c r="BF266" s="324" t="e">
        <f ca="1">BicubicInterpolation('TSFC Eff Table'!$B$4:$E$69,2,BB266)</f>
        <v>#NAME?</v>
      </c>
      <c r="BG266" s="326" t="e">
        <f t="shared" ca="1" si="209"/>
        <v>#NAME?</v>
      </c>
      <c r="BH266" s="694" t="e">
        <f ca="1">IF( S266="LRCINOP",   (1+(0.03/10)*Z266*(1+0.2*AC266^2) )*BicubicInterpolation( 'LRC INOP FF'!$C$4:$AA$21, Y266, U266 )-200, IF(S266 ="HOLDINGINOP", (1+(0.03/10)*Z266*(1+0.2*AC266^2) )*BicubicInterpolation( 'Holding INOP FF'!$C$4:$J$13,  Y266,  U266)/1.05-200,   BA266*BG266))</f>
        <v>#NAME?</v>
      </c>
      <c r="BI266" s="344" t="e">
        <f t="shared" ca="1" si="168"/>
        <v>#NAME?</v>
      </c>
      <c r="BJ266" s="322" t="e">
        <f t="shared" ca="1" si="210"/>
        <v>#NAME?</v>
      </c>
      <c r="BK266" s="338" t="e">
        <f t="shared" ca="1" si="169"/>
        <v>#NAME?</v>
      </c>
      <c r="BL266" s="327" t="e">
        <f t="shared" ca="1" si="211"/>
        <v>#NAME?</v>
      </c>
      <c r="BM266" s="328">
        <f t="shared" si="212"/>
        <v>200</v>
      </c>
      <c r="BN266" s="329" t="e">
        <f t="shared" ca="1" si="213"/>
        <v>#NAME?</v>
      </c>
      <c r="BO266" s="344" t="e">
        <f t="shared" ca="1" si="170"/>
        <v>#NAME?</v>
      </c>
      <c r="BP266" s="320" t="e">
        <f t="shared" ca="1" si="214"/>
        <v>#NAME?</v>
      </c>
      <c r="BQ266" s="344" t="e">
        <f t="shared" ca="1" si="171"/>
        <v>#NAME?</v>
      </c>
      <c r="BR266" s="347" t="e">
        <f t="shared" ca="1" si="172"/>
        <v>#NAME?</v>
      </c>
      <c r="BS266" s="326" t="e">
        <f t="shared" ca="1" si="215"/>
        <v>#NAME?</v>
      </c>
      <c r="BT266" s="437" t="e">
        <f t="shared" ca="1" si="185"/>
        <v>#NAME?</v>
      </c>
      <c r="BU266" s="437" t="e">
        <f t="shared" ca="1" si="186"/>
        <v>#NAME?</v>
      </c>
      <c r="BV266" s="441" t="e">
        <f t="shared" ca="1" si="187"/>
        <v>#NAME?</v>
      </c>
      <c r="BW266" s="442" t="e">
        <f t="shared" ca="1" si="188"/>
        <v>#NAME?</v>
      </c>
      <c r="BX266" s="470" t="e">
        <f t="shared" ca="1" si="161"/>
        <v>#NAME?</v>
      </c>
      <c r="BY266" s="484" t="e">
        <f t="shared" ca="1" si="173"/>
        <v>#NAME?</v>
      </c>
      <c r="BZ266" s="176"/>
    </row>
    <row r="267" spans="9:78" s="177" customFormat="1" ht="17.75" customHeight="1" x14ac:dyDescent="0.2">
      <c r="I267" s="366">
        <v>183</v>
      </c>
      <c r="J267" s="414">
        <f t="shared" si="174"/>
        <v>41705.839583333749</v>
      </c>
      <c r="K267" s="435" t="e">
        <f t="shared" ca="1" si="175"/>
        <v>#NAME?</v>
      </c>
      <c r="L267" s="435" t="e">
        <f t="shared" ca="1" si="162"/>
        <v>#NAME?</v>
      </c>
      <c r="M267" s="664" t="e">
        <f t="shared" ca="1" si="216"/>
        <v>#NAME?</v>
      </c>
      <c r="N267" s="664" t="e">
        <f t="shared" ca="1" si="217"/>
        <v>#NAME?</v>
      </c>
      <c r="O267" s="140" t="e">
        <f t="shared" ca="1" si="163"/>
        <v>#NAME?</v>
      </c>
      <c r="P267" s="352" t="e">
        <f t="shared" ca="1" si="176"/>
        <v>#NAME?</v>
      </c>
      <c r="Q267" s="665" t="e">
        <f t="shared" ca="1" si="218"/>
        <v>#NAME?</v>
      </c>
      <c r="R267" s="352" t="e">
        <f t="shared" ca="1" si="189"/>
        <v>#NAME?</v>
      </c>
      <c r="S267" s="662" t="e">
        <f t="shared" ca="1" si="164"/>
        <v>#NAME?</v>
      </c>
      <c r="T267" s="443" t="e">
        <f t="shared" ca="1" si="157"/>
        <v>#NAME?</v>
      </c>
      <c r="U267" s="369" t="e">
        <f t="shared" ca="1" si="158"/>
        <v>#NAME?</v>
      </c>
      <c r="V267" s="454" t="e">
        <f t="shared" ca="1" si="165"/>
        <v>#NAME?</v>
      </c>
      <c r="W267" s="457">
        <f t="shared" si="166"/>
        <v>1000</v>
      </c>
      <c r="X267" s="463" t="e">
        <f t="shared" ca="1" si="167"/>
        <v>#NAME?</v>
      </c>
      <c r="Y267" s="455" t="e">
        <f t="shared" ca="1" si="177"/>
        <v>#NAME?</v>
      </c>
      <c r="Z267" s="699">
        <f t="shared" si="159"/>
        <v>8.5</v>
      </c>
      <c r="AA267" s="355" t="str">
        <f t="shared" si="160"/>
        <v>ON</v>
      </c>
      <c r="AB267" s="357">
        <f t="shared" si="190"/>
        <v>1.4999999999999999E-2</v>
      </c>
      <c r="AC267" s="356" t="e">
        <f ca="1">IF(  Y266=0,0,IF(OR(S267="KCAS",S267="INOP",S267="MEFE"),   ( (5*( (   (((1+0.2*(T267/661.4786)^2)^3.5 -1)  )/( (1-6.8755856*10^-6 *100*Y267)^5.2558797) +1)^(2/7) -1) )^0.5),IF(S267="MACH",T267, IF(S267="LRC",BicubicInterpolation( 'LRC Mach'!$C$4:$AL$21, Y267,U267),  IF(S267="MRC",BicubicInterpolation( 'MRC Mach'!$C$3:$T$18, Y267,U267),  IF(S267="M0.84",0.84,  IF(S267="CI52",BicubicInterpolation('CI=52 Mach'!$C$3:$T$18, Y267,U267),  IF(S267="HOLDING",BicubicInterpolation(  'Holding Mach'!$C$4:$M$13, Y267,U267),                         IF(S267="LRCINOP", BicubicInterpolation('LRC INOP Mach'!$C$4:$AA$21,Y267,U267), IF(S267="HOLDINGINOP",  BicubicInterpolation('Holding INOP Mach'!$N$4:$U$13,Y267,U267),         "XXX" )))))))   )))</f>
        <v>#NAME?</v>
      </c>
      <c r="AD267" s="313" t="e">
        <f t="shared" ca="1" si="191"/>
        <v>#NAME?</v>
      </c>
      <c r="AE267" s="314" t="e">
        <f t="shared" ca="1" si="178"/>
        <v>#NAME?</v>
      </c>
      <c r="AF267" s="313" t="e">
        <f t="shared" ca="1" si="192"/>
        <v>#NAME?</v>
      </c>
      <c r="AG267" s="314" t="e">
        <f t="shared" ca="1" si="179"/>
        <v>#NAME?</v>
      </c>
      <c r="AH267" s="313" t="e">
        <f t="shared" ca="1" si="193"/>
        <v>#NAME?</v>
      </c>
      <c r="AI267" s="314" t="e">
        <f t="shared" ca="1" si="180"/>
        <v>#NAME?</v>
      </c>
      <c r="AJ267" s="315" t="e">
        <f t="shared" ca="1" si="181"/>
        <v>#NAME?</v>
      </c>
      <c r="AK267" s="568" t="e">
        <f t="shared" ca="1" si="194"/>
        <v>#NAME?</v>
      </c>
      <c r="AL267" s="313" t="e">
        <f t="shared" ca="1" si="195"/>
        <v>#NAME?</v>
      </c>
      <c r="AM267" s="313" t="e">
        <f t="shared" ca="1" si="182"/>
        <v>#NAME?</v>
      </c>
      <c r="AN267" s="313" t="e">
        <f t="shared" ca="1" si="183"/>
        <v>#NAME?</v>
      </c>
      <c r="AO267" s="316" t="e">
        <f t="shared" ca="1" si="196"/>
        <v>#NAME?</v>
      </c>
      <c r="AP267" s="313" t="e">
        <f t="shared" ca="1" si="197"/>
        <v>#NAME?</v>
      </c>
      <c r="AQ267" s="314" t="e">
        <f t="shared" ca="1" si="184"/>
        <v>#NAME?</v>
      </c>
      <c r="AR267" s="315" t="e">
        <f t="shared" ca="1" si="198"/>
        <v>#NAME?</v>
      </c>
      <c r="AS267" s="316" t="e">
        <f t="shared" ca="1" si="199"/>
        <v>#NAME?</v>
      </c>
      <c r="AT267" s="315" t="e">
        <f t="shared" ca="1" si="200"/>
        <v>#NAME?</v>
      </c>
      <c r="AU267" s="317">
        <v>427.8</v>
      </c>
      <c r="AV267" s="315" t="e">
        <f t="shared" ca="1" si="201"/>
        <v>#NAME?</v>
      </c>
      <c r="AW267" s="318" t="e">
        <f ca="1">0.0001*BicubicInterpolation('Drag Coef Table'!$B$4:$L$28,AV267,AC267)</f>
        <v>#NAME?</v>
      </c>
      <c r="AX267" s="319" t="e">
        <f t="shared" ca="1" si="202"/>
        <v>#NAME?</v>
      </c>
      <c r="AY267" s="318" t="e">
        <f t="shared" ca="1" si="203"/>
        <v>#NAME?</v>
      </c>
      <c r="AZ267" s="320" t="e">
        <f t="shared" ca="1" si="204"/>
        <v>#NAME?</v>
      </c>
      <c r="BA267" s="321" t="e">
        <f t="shared" ca="1" si="205"/>
        <v>#NAME?</v>
      </c>
      <c r="BB267" s="322" t="e">
        <f t="shared" ca="1" si="206"/>
        <v>#NAME?</v>
      </c>
      <c r="BC267" s="323">
        <v>75.196700000000007</v>
      </c>
      <c r="BD267" s="324" t="e">
        <f t="shared" ca="1" si="207"/>
        <v>#NAME?</v>
      </c>
      <c r="BE267" s="325" t="e">
        <f t="shared" ca="1" si="208"/>
        <v>#NAME?</v>
      </c>
      <c r="BF267" s="324" t="e">
        <f ca="1">BicubicInterpolation('TSFC Eff Table'!$B$4:$E$69,2,BB267)</f>
        <v>#NAME?</v>
      </c>
      <c r="BG267" s="326" t="e">
        <f t="shared" ca="1" si="209"/>
        <v>#NAME?</v>
      </c>
      <c r="BH267" s="694" t="e">
        <f ca="1">IF( S267="LRCINOP",   (1+(0.03/10)*Z267*(1+0.2*AC267^2) )*BicubicInterpolation( 'LRC INOP FF'!$C$4:$AA$21, Y267, U267 )-200, IF(S267 ="HOLDINGINOP", (1+(0.03/10)*Z267*(1+0.2*AC267^2) )*BicubicInterpolation( 'Holding INOP FF'!$C$4:$J$13,  Y267,  U267)/1.05-200,   BA267*BG267))</f>
        <v>#NAME?</v>
      </c>
      <c r="BI267" s="344" t="e">
        <f t="shared" ca="1" si="168"/>
        <v>#NAME?</v>
      </c>
      <c r="BJ267" s="322" t="e">
        <f t="shared" ca="1" si="210"/>
        <v>#NAME?</v>
      </c>
      <c r="BK267" s="338" t="e">
        <f t="shared" ca="1" si="169"/>
        <v>#NAME?</v>
      </c>
      <c r="BL267" s="327" t="e">
        <f t="shared" ca="1" si="211"/>
        <v>#NAME?</v>
      </c>
      <c r="BM267" s="328">
        <f t="shared" si="212"/>
        <v>200</v>
      </c>
      <c r="BN267" s="329" t="e">
        <f t="shared" ca="1" si="213"/>
        <v>#NAME?</v>
      </c>
      <c r="BO267" s="344" t="e">
        <f t="shared" ca="1" si="170"/>
        <v>#NAME?</v>
      </c>
      <c r="BP267" s="320" t="e">
        <f t="shared" ca="1" si="214"/>
        <v>#NAME?</v>
      </c>
      <c r="BQ267" s="344" t="e">
        <f t="shared" ca="1" si="171"/>
        <v>#NAME?</v>
      </c>
      <c r="BR267" s="347" t="e">
        <f t="shared" ca="1" si="172"/>
        <v>#NAME?</v>
      </c>
      <c r="BS267" s="326" t="e">
        <f t="shared" ca="1" si="215"/>
        <v>#NAME?</v>
      </c>
      <c r="BT267" s="437" t="e">
        <f t="shared" ca="1" si="185"/>
        <v>#NAME?</v>
      </c>
      <c r="BU267" s="437" t="e">
        <f t="shared" ca="1" si="186"/>
        <v>#NAME?</v>
      </c>
      <c r="BV267" s="441" t="e">
        <f t="shared" ca="1" si="187"/>
        <v>#NAME?</v>
      </c>
      <c r="BW267" s="442" t="e">
        <f t="shared" ca="1" si="188"/>
        <v>#NAME?</v>
      </c>
      <c r="BX267" s="470" t="e">
        <f t="shared" ca="1" si="161"/>
        <v>#NAME?</v>
      </c>
      <c r="BY267" s="484" t="e">
        <f t="shared" ca="1" si="173"/>
        <v>#NAME?</v>
      </c>
      <c r="BZ267" s="176"/>
    </row>
    <row r="268" spans="9:78" s="177" customFormat="1" ht="17.75" customHeight="1" x14ac:dyDescent="0.2">
      <c r="I268" s="366">
        <v>184</v>
      </c>
      <c r="J268" s="414">
        <f t="shared" si="174"/>
        <v>41705.840277778196</v>
      </c>
      <c r="K268" s="435" t="e">
        <f t="shared" ca="1" si="175"/>
        <v>#NAME?</v>
      </c>
      <c r="L268" s="435" t="e">
        <f t="shared" ca="1" si="162"/>
        <v>#NAME?</v>
      </c>
      <c r="M268" s="664" t="e">
        <f t="shared" ca="1" si="216"/>
        <v>#NAME?</v>
      </c>
      <c r="N268" s="664" t="e">
        <f t="shared" ca="1" si="217"/>
        <v>#NAME?</v>
      </c>
      <c r="O268" s="140" t="e">
        <f t="shared" ca="1" si="163"/>
        <v>#NAME?</v>
      </c>
      <c r="P268" s="352" t="e">
        <f t="shared" ca="1" si="176"/>
        <v>#NAME?</v>
      </c>
      <c r="Q268" s="665" t="e">
        <f t="shared" ca="1" si="218"/>
        <v>#NAME?</v>
      </c>
      <c r="R268" s="352" t="e">
        <f t="shared" ca="1" si="189"/>
        <v>#NAME?</v>
      </c>
      <c r="S268" s="662" t="e">
        <f t="shared" ca="1" si="164"/>
        <v>#NAME?</v>
      </c>
      <c r="T268" s="443" t="e">
        <f t="shared" ca="1" si="157"/>
        <v>#NAME?</v>
      </c>
      <c r="U268" s="369" t="e">
        <f t="shared" ca="1" si="158"/>
        <v>#NAME?</v>
      </c>
      <c r="V268" s="454" t="e">
        <f t="shared" ca="1" si="165"/>
        <v>#NAME?</v>
      </c>
      <c r="W268" s="457">
        <f t="shared" si="166"/>
        <v>1000</v>
      </c>
      <c r="X268" s="463" t="e">
        <f t="shared" ca="1" si="167"/>
        <v>#NAME?</v>
      </c>
      <c r="Y268" s="455" t="e">
        <f t="shared" ca="1" si="177"/>
        <v>#NAME?</v>
      </c>
      <c r="Z268" s="699">
        <f t="shared" si="159"/>
        <v>8.5</v>
      </c>
      <c r="AA268" s="355" t="str">
        <f t="shared" si="160"/>
        <v>ON</v>
      </c>
      <c r="AB268" s="357">
        <f t="shared" si="190"/>
        <v>1.4999999999999999E-2</v>
      </c>
      <c r="AC268" s="356" t="e">
        <f ca="1">IF(  Y267=0,0,IF(OR(S268="KCAS",S268="INOP",S268="MEFE"),   ( (5*( (   (((1+0.2*(T268/661.4786)^2)^3.5 -1)  )/( (1-6.8755856*10^-6 *100*Y268)^5.2558797) +1)^(2/7) -1) )^0.5),IF(S268="MACH",T268, IF(S268="LRC",BicubicInterpolation( 'LRC Mach'!$C$4:$AL$21, Y268,U268),  IF(S268="MRC",BicubicInterpolation( 'MRC Mach'!$C$3:$T$18, Y268,U268),  IF(S268="M0.84",0.84,  IF(S268="CI52",BicubicInterpolation('CI=52 Mach'!$C$3:$T$18, Y268,U268),  IF(S268="HOLDING",BicubicInterpolation(  'Holding Mach'!$C$4:$M$13, Y268,U268),                         IF(S268="LRCINOP", BicubicInterpolation('LRC INOP Mach'!$C$4:$AA$21,Y268,U268), IF(S268="HOLDINGINOP",  BicubicInterpolation('Holding INOP Mach'!$N$4:$U$13,Y268,U268),         "XXX" )))))))   )))</f>
        <v>#NAME?</v>
      </c>
      <c r="AD268" s="313" t="e">
        <f t="shared" ca="1" si="191"/>
        <v>#NAME?</v>
      </c>
      <c r="AE268" s="314" t="e">
        <f t="shared" ca="1" si="178"/>
        <v>#NAME?</v>
      </c>
      <c r="AF268" s="313" t="e">
        <f t="shared" ca="1" si="192"/>
        <v>#NAME?</v>
      </c>
      <c r="AG268" s="314" t="e">
        <f t="shared" ca="1" si="179"/>
        <v>#NAME?</v>
      </c>
      <c r="AH268" s="313" t="e">
        <f t="shared" ca="1" si="193"/>
        <v>#NAME?</v>
      </c>
      <c r="AI268" s="314" t="e">
        <f t="shared" ca="1" si="180"/>
        <v>#NAME?</v>
      </c>
      <c r="AJ268" s="315" t="e">
        <f t="shared" ca="1" si="181"/>
        <v>#NAME?</v>
      </c>
      <c r="AK268" s="568" t="e">
        <f t="shared" ca="1" si="194"/>
        <v>#NAME?</v>
      </c>
      <c r="AL268" s="313" t="e">
        <f t="shared" ca="1" si="195"/>
        <v>#NAME?</v>
      </c>
      <c r="AM268" s="313" t="e">
        <f t="shared" ca="1" si="182"/>
        <v>#NAME?</v>
      </c>
      <c r="AN268" s="313" t="e">
        <f t="shared" ca="1" si="183"/>
        <v>#NAME?</v>
      </c>
      <c r="AO268" s="316" t="e">
        <f t="shared" ca="1" si="196"/>
        <v>#NAME?</v>
      </c>
      <c r="AP268" s="313" t="e">
        <f t="shared" ca="1" si="197"/>
        <v>#NAME?</v>
      </c>
      <c r="AQ268" s="314" t="e">
        <f t="shared" ca="1" si="184"/>
        <v>#NAME?</v>
      </c>
      <c r="AR268" s="315" t="e">
        <f t="shared" ca="1" si="198"/>
        <v>#NAME?</v>
      </c>
      <c r="AS268" s="316" t="e">
        <f t="shared" ca="1" si="199"/>
        <v>#NAME?</v>
      </c>
      <c r="AT268" s="315" t="e">
        <f t="shared" ca="1" si="200"/>
        <v>#NAME?</v>
      </c>
      <c r="AU268" s="317">
        <v>427.8</v>
      </c>
      <c r="AV268" s="315" t="e">
        <f t="shared" ca="1" si="201"/>
        <v>#NAME?</v>
      </c>
      <c r="AW268" s="318" t="e">
        <f ca="1">0.0001*BicubicInterpolation('Drag Coef Table'!$B$4:$L$28,AV268,AC268)</f>
        <v>#NAME?</v>
      </c>
      <c r="AX268" s="319" t="e">
        <f t="shared" ca="1" si="202"/>
        <v>#NAME?</v>
      </c>
      <c r="AY268" s="318" t="e">
        <f t="shared" ca="1" si="203"/>
        <v>#NAME?</v>
      </c>
      <c r="AZ268" s="320" t="e">
        <f t="shared" ca="1" si="204"/>
        <v>#NAME?</v>
      </c>
      <c r="BA268" s="321" t="e">
        <f t="shared" ca="1" si="205"/>
        <v>#NAME?</v>
      </c>
      <c r="BB268" s="322" t="e">
        <f t="shared" ca="1" si="206"/>
        <v>#NAME?</v>
      </c>
      <c r="BC268" s="323">
        <v>75.196700000000007</v>
      </c>
      <c r="BD268" s="324" t="e">
        <f t="shared" ca="1" si="207"/>
        <v>#NAME?</v>
      </c>
      <c r="BE268" s="325" t="e">
        <f t="shared" ca="1" si="208"/>
        <v>#NAME?</v>
      </c>
      <c r="BF268" s="324" t="e">
        <f ca="1">BicubicInterpolation('TSFC Eff Table'!$B$4:$E$69,2,BB268)</f>
        <v>#NAME?</v>
      </c>
      <c r="BG268" s="326" t="e">
        <f t="shared" ca="1" si="209"/>
        <v>#NAME?</v>
      </c>
      <c r="BH268" s="694" t="e">
        <f ca="1">IF( S268="LRCINOP",   (1+(0.03/10)*Z268*(1+0.2*AC268^2) )*BicubicInterpolation( 'LRC INOP FF'!$C$4:$AA$21, Y268, U268 )-200, IF(S268 ="HOLDINGINOP", (1+(0.03/10)*Z268*(1+0.2*AC268^2) )*BicubicInterpolation( 'Holding INOP FF'!$C$4:$J$13,  Y268,  U268)/1.05-200,   BA268*BG268))</f>
        <v>#NAME?</v>
      </c>
      <c r="BI268" s="344" t="e">
        <f t="shared" ca="1" si="168"/>
        <v>#NAME?</v>
      </c>
      <c r="BJ268" s="322" t="e">
        <f t="shared" ca="1" si="210"/>
        <v>#NAME?</v>
      </c>
      <c r="BK268" s="338" t="e">
        <f t="shared" ca="1" si="169"/>
        <v>#NAME?</v>
      </c>
      <c r="BL268" s="327" t="e">
        <f t="shared" ca="1" si="211"/>
        <v>#NAME?</v>
      </c>
      <c r="BM268" s="328">
        <f t="shared" si="212"/>
        <v>200</v>
      </c>
      <c r="BN268" s="329" t="e">
        <f t="shared" ca="1" si="213"/>
        <v>#NAME?</v>
      </c>
      <c r="BO268" s="344" t="e">
        <f t="shared" ca="1" si="170"/>
        <v>#NAME?</v>
      </c>
      <c r="BP268" s="320" t="e">
        <f t="shared" ca="1" si="214"/>
        <v>#NAME?</v>
      </c>
      <c r="BQ268" s="344" t="e">
        <f t="shared" ca="1" si="171"/>
        <v>#NAME?</v>
      </c>
      <c r="BR268" s="347" t="e">
        <f t="shared" ca="1" si="172"/>
        <v>#NAME?</v>
      </c>
      <c r="BS268" s="326" t="e">
        <f t="shared" ca="1" si="215"/>
        <v>#NAME?</v>
      </c>
      <c r="BT268" s="437" t="e">
        <f t="shared" ca="1" si="185"/>
        <v>#NAME?</v>
      </c>
      <c r="BU268" s="437" t="e">
        <f t="shared" ca="1" si="186"/>
        <v>#NAME?</v>
      </c>
      <c r="BV268" s="441" t="e">
        <f t="shared" ca="1" si="187"/>
        <v>#NAME?</v>
      </c>
      <c r="BW268" s="442" t="e">
        <f t="shared" ca="1" si="188"/>
        <v>#NAME?</v>
      </c>
      <c r="BX268" s="470" t="e">
        <f t="shared" ca="1" si="161"/>
        <v>#NAME?</v>
      </c>
      <c r="BY268" s="484" t="e">
        <f t="shared" ca="1" si="173"/>
        <v>#NAME?</v>
      </c>
      <c r="BZ268" s="176"/>
    </row>
    <row r="269" spans="9:78" s="177" customFormat="1" ht="17.75" customHeight="1" x14ac:dyDescent="0.2">
      <c r="I269" s="366">
        <v>185</v>
      </c>
      <c r="J269" s="414">
        <f t="shared" si="174"/>
        <v>41705.840972222642</v>
      </c>
      <c r="K269" s="435" t="e">
        <f t="shared" ca="1" si="175"/>
        <v>#NAME?</v>
      </c>
      <c r="L269" s="435" t="e">
        <f t="shared" ca="1" si="162"/>
        <v>#NAME?</v>
      </c>
      <c r="M269" s="664" t="e">
        <f t="shared" ca="1" si="216"/>
        <v>#NAME?</v>
      </c>
      <c r="N269" s="664" t="e">
        <f t="shared" ca="1" si="217"/>
        <v>#NAME?</v>
      </c>
      <c r="O269" s="140" t="e">
        <f t="shared" ca="1" si="163"/>
        <v>#NAME?</v>
      </c>
      <c r="P269" s="352" t="e">
        <f t="shared" ca="1" si="176"/>
        <v>#NAME?</v>
      </c>
      <c r="Q269" s="665" t="e">
        <f t="shared" ca="1" si="218"/>
        <v>#NAME?</v>
      </c>
      <c r="R269" s="352" t="e">
        <f t="shared" ca="1" si="189"/>
        <v>#NAME?</v>
      </c>
      <c r="S269" s="662" t="e">
        <f t="shared" ca="1" si="164"/>
        <v>#NAME?</v>
      </c>
      <c r="T269" s="443" t="e">
        <f t="shared" ca="1" si="157"/>
        <v>#NAME?</v>
      </c>
      <c r="U269" s="369" t="e">
        <f t="shared" ca="1" si="158"/>
        <v>#NAME?</v>
      </c>
      <c r="V269" s="454" t="e">
        <f t="shared" ca="1" si="165"/>
        <v>#NAME?</v>
      </c>
      <c r="W269" s="457">
        <f t="shared" si="166"/>
        <v>1000</v>
      </c>
      <c r="X269" s="463" t="e">
        <f t="shared" ca="1" si="167"/>
        <v>#NAME?</v>
      </c>
      <c r="Y269" s="455" t="e">
        <f t="shared" ca="1" si="177"/>
        <v>#NAME?</v>
      </c>
      <c r="Z269" s="699">
        <f t="shared" si="159"/>
        <v>8.5</v>
      </c>
      <c r="AA269" s="355" t="str">
        <f t="shared" si="160"/>
        <v>ON</v>
      </c>
      <c r="AB269" s="357">
        <f t="shared" si="190"/>
        <v>1.4999999999999999E-2</v>
      </c>
      <c r="AC269" s="356" t="e">
        <f ca="1">IF(  Y268=0,0,IF(OR(S269="KCAS",S269="INOP",S269="MEFE"),   ( (5*( (   (((1+0.2*(T269/661.4786)^2)^3.5 -1)  )/( (1-6.8755856*10^-6 *100*Y269)^5.2558797) +1)^(2/7) -1) )^0.5),IF(S269="MACH",T269, IF(S269="LRC",BicubicInterpolation( 'LRC Mach'!$C$4:$AL$21, Y269,U269),  IF(S269="MRC",BicubicInterpolation( 'MRC Mach'!$C$3:$T$18, Y269,U269),  IF(S269="M0.84",0.84,  IF(S269="CI52",BicubicInterpolation('CI=52 Mach'!$C$3:$T$18, Y269,U269),  IF(S269="HOLDING",BicubicInterpolation(  'Holding Mach'!$C$4:$M$13, Y269,U269),                         IF(S269="LRCINOP", BicubicInterpolation('LRC INOP Mach'!$C$4:$AA$21,Y269,U269), IF(S269="HOLDINGINOP",  BicubicInterpolation('Holding INOP Mach'!$N$4:$U$13,Y269,U269),         "XXX" )))))))   )))</f>
        <v>#NAME?</v>
      </c>
      <c r="AD269" s="313" t="e">
        <f t="shared" ca="1" si="191"/>
        <v>#NAME?</v>
      </c>
      <c r="AE269" s="314" t="e">
        <f t="shared" ca="1" si="178"/>
        <v>#NAME?</v>
      </c>
      <c r="AF269" s="313" t="e">
        <f t="shared" ca="1" si="192"/>
        <v>#NAME?</v>
      </c>
      <c r="AG269" s="314" t="e">
        <f t="shared" ca="1" si="179"/>
        <v>#NAME?</v>
      </c>
      <c r="AH269" s="313" t="e">
        <f t="shared" ca="1" si="193"/>
        <v>#NAME?</v>
      </c>
      <c r="AI269" s="314" t="e">
        <f t="shared" ca="1" si="180"/>
        <v>#NAME?</v>
      </c>
      <c r="AJ269" s="315" t="e">
        <f t="shared" ca="1" si="181"/>
        <v>#NAME?</v>
      </c>
      <c r="AK269" s="568" t="e">
        <f t="shared" ca="1" si="194"/>
        <v>#NAME?</v>
      </c>
      <c r="AL269" s="313" t="e">
        <f t="shared" ca="1" si="195"/>
        <v>#NAME?</v>
      </c>
      <c r="AM269" s="313" t="e">
        <f t="shared" ca="1" si="182"/>
        <v>#NAME?</v>
      </c>
      <c r="AN269" s="313" t="e">
        <f t="shared" ca="1" si="183"/>
        <v>#NAME?</v>
      </c>
      <c r="AO269" s="316" t="e">
        <f t="shared" ca="1" si="196"/>
        <v>#NAME?</v>
      </c>
      <c r="AP269" s="313" t="e">
        <f t="shared" ca="1" si="197"/>
        <v>#NAME?</v>
      </c>
      <c r="AQ269" s="314" t="e">
        <f t="shared" ca="1" si="184"/>
        <v>#NAME?</v>
      </c>
      <c r="AR269" s="315" t="e">
        <f t="shared" ca="1" si="198"/>
        <v>#NAME?</v>
      </c>
      <c r="AS269" s="316" t="e">
        <f t="shared" ca="1" si="199"/>
        <v>#NAME?</v>
      </c>
      <c r="AT269" s="315" t="e">
        <f t="shared" ca="1" si="200"/>
        <v>#NAME?</v>
      </c>
      <c r="AU269" s="317">
        <v>427.8</v>
      </c>
      <c r="AV269" s="315" t="e">
        <f t="shared" ca="1" si="201"/>
        <v>#NAME?</v>
      </c>
      <c r="AW269" s="318" t="e">
        <f ca="1">0.0001*BicubicInterpolation('Drag Coef Table'!$B$4:$L$28,AV269,AC269)</f>
        <v>#NAME?</v>
      </c>
      <c r="AX269" s="319" t="e">
        <f t="shared" ca="1" si="202"/>
        <v>#NAME?</v>
      </c>
      <c r="AY269" s="318" t="e">
        <f t="shared" ca="1" si="203"/>
        <v>#NAME?</v>
      </c>
      <c r="AZ269" s="320" t="e">
        <f t="shared" ca="1" si="204"/>
        <v>#NAME?</v>
      </c>
      <c r="BA269" s="321" t="e">
        <f t="shared" ca="1" si="205"/>
        <v>#NAME?</v>
      </c>
      <c r="BB269" s="322" t="e">
        <f t="shared" ca="1" si="206"/>
        <v>#NAME?</v>
      </c>
      <c r="BC269" s="323">
        <v>75.196700000000007</v>
      </c>
      <c r="BD269" s="324" t="e">
        <f t="shared" ca="1" si="207"/>
        <v>#NAME?</v>
      </c>
      <c r="BE269" s="325" t="e">
        <f t="shared" ca="1" si="208"/>
        <v>#NAME?</v>
      </c>
      <c r="BF269" s="324" t="e">
        <f ca="1">BicubicInterpolation('TSFC Eff Table'!$B$4:$E$69,2,BB269)</f>
        <v>#NAME?</v>
      </c>
      <c r="BG269" s="326" t="e">
        <f t="shared" ca="1" si="209"/>
        <v>#NAME?</v>
      </c>
      <c r="BH269" s="694" t="e">
        <f ca="1">IF( S269="LRCINOP",   (1+(0.03/10)*Z269*(1+0.2*AC269^2) )*BicubicInterpolation( 'LRC INOP FF'!$C$4:$AA$21, Y269, U269 )-200, IF(S269 ="HOLDINGINOP", (1+(0.03/10)*Z269*(1+0.2*AC269^2) )*BicubicInterpolation( 'Holding INOP FF'!$C$4:$J$13,  Y269,  U269)/1.05-200,   BA269*BG269))</f>
        <v>#NAME?</v>
      </c>
      <c r="BI269" s="344" t="e">
        <f t="shared" ca="1" si="168"/>
        <v>#NAME?</v>
      </c>
      <c r="BJ269" s="322" t="e">
        <f t="shared" ca="1" si="210"/>
        <v>#NAME?</v>
      </c>
      <c r="BK269" s="338" t="e">
        <f t="shared" ca="1" si="169"/>
        <v>#NAME?</v>
      </c>
      <c r="BL269" s="327" t="e">
        <f t="shared" ca="1" si="211"/>
        <v>#NAME?</v>
      </c>
      <c r="BM269" s="328">
        <f t="shared" si="212"/>
        <v>200</v>
      </c>
      <c r="BN269" s="329" t="e">
        <f t="shared" ca="1" si="213"/>
        <v>#NAME?</v>
      </c>
      <c r="BO269" s="344" t="e">
        <f t="shared" ca="1" si="170"/>
        <v>#NAME?</v>
      </c>
      <c r="BP269" s="320" t="e">
        <f t="shared" ca="1" si="214"/>
        <v>#NAME?</v>
      </c>
      <c r="BQ269" s="344" t="e">
        <f t="shared" ca="1" si="171"/>
        <v>#NAME?</v>
      </c>
      <c r="BR269" s="347" t="e">
        <f t="shared" ca="1" si="172"/>
        <v>#NAME?</v>
      </c>
      <c r="BS269" s="326" t="e">
        <f t="shared" ca="1" si="215"/>
        <v>#NAME?</v>
      </c>
      <c r="BT269" s="437" t="e">
        <f t="shared" ca="1" si="185"/>
        <v>#NAME?</v>
      </c>
      <c r="BU269" s="437" t="e">
        <f t="shared" ca="1" si="186"/>
        <v>#NAME?</v>
      </c>
      <c r="BV269" s="441" t="e">
        <f t="shared" ca="1" si="187"/>
        <v>#NAME?</v>
      </c>
      <c r="BW269" s="442" t="e">
        <f t="shared" ca="1" si="188"/>
        <v>#NAME?</v>
      </c>
      <c r="BX269" s="470" t="e">
        <f t="shared" ca="1" si="161"/>
        <v>#NAME?</v>
      </c>
      <c r="BY269" s="484" t="e">
        <f t="shared" ca="1" si="173"/>
        <v>#NAME?</v>
      </c>
      <c r="BZ269" s="176"/>
    </row>
    <row r="270" spans="9:78" s="177" customFormat="1" ht="17.75" customHeight="1" x14ac:dyDescent="0.2">
      <c r="I270" s="366">
        <v>186</v>
      </c>
      <c r="J270" s="414">
        <f t="shared" si="174"/>
        <v>41705.841666667089</v>
      </c>
      <c r="K270" s="435" t="e">
        <f t="shared" ca="1" si="175"/>
        <v>#NAME?</v>
      </c>
      <c r="L270" s="435" t="e">
        <f t="shared" ca="1" si="162"/>
        <v>#NAME?</v>
      </c>
      <c r="M270" s="664" t="e">
        <f t="shared" ca="1" si="216"/>
        <v>#NAME?</v>
      </c>
      <c r="N270" s="664" t="e">
        <f t="shared" ca="1" si="217"/>
        <v>#NAME?</v>
      </c>
      <c r="O270" s="140" t="e">
        <f t="shared" ca="1" si="163"/>
        <v>#NAME?</v>
      </c>
      <c r="P270" s="352" t="e">
        <f t="shared" ca="1" si="176"/>
        <v>#NAME?</v>
      </c>
      <c r="Q270" s="665" t="e">
        <f t="shared" ca="1" si="218"/>
        <v>#NAME?</v>
      </c>
      <c r="R270" s="352" t="e">
        <f t="shared" ca="1" si="189"/>
        <v>#NAME?</v>
      </c>
      <c r="S270" s="662" t="e">
        <f t="shared" ca="1" si="164"/>
        <v>#NAME?</v>
      </c>
      <c r="T270" s="443" t="e">
        <f t="shared" ca="1" si="157"/>
        <v>#NAME?</v>
      </c>
      <c r="U270" s="369" t="e">
        <f t="shared" ca="1" si="158"/>
        <v>#NAME?</v>
      </c>
      <c r="V270" s="454" t="e">
        <f t="shared" ca="1" si="165"/>
        <v>#NAME?</v>
      </c>
      <c r="W270" s="457">
        <f t="shared" si="166"/>
        <v>1000</v>
      </c>
      <c r="X270" s="463" t="e">
        <f t="shared" ca="1" si="167"/>
        <v>#NAME?</v>
      </c>
      <c r="Y270" s="455" t="e">
        <f t="shared" ca="1" si="177"/>
        <v>#NAME?</v>
      </c>
      <c r="Z270" s="699">
        <f t="shared" si="159"/>
        <v>8.5</v>
      </c>
      <c r="AA270" s="355" t="str">
        <f t="shared" si="160"/>
        <v>ON</v>
      </c>
      <c r="AB270" s="357">
        <f t="shared" si="190"/>
        <v>1.4999999999999999E-2</v>
      </c>
      <c r="AC270" s="356" t="e">
        <f ca="1">IF(  Y269=0,0,IF(OR(S270="KCAS",S270="INOP",S270="MEFE"),   ( (5*( (   (((1+0.2*(T270/661.4786)^2)^3.5 -1)  )/( (1-6.8755856*10^-6 *100*Y270)^5.2558797) +1)^(2/7) -1) )^0.5),IF(S270="MACH",T270, IF(S270="LRC",BicubicInterpolation( 'LRC Mach'!$C$4:$AL$21, Y270,U270),  IF(S270="MRC",BicubicInterpolation( 'MRC Mach'!$C$3:$T$18, Y270,U270),  IF(S270="M0.84",0.84,  IF(S270="CI52",BicubicInterpolation('CI=52 Mach'!$C$3:$T$18, Y270,U270),  IF(S270="HOLDING",BicubicInterpolation(  'Holding Mach'!$C$4:$M$13, Y270,U270),                         IF(S270="LRCINOP", BicubicInterpolation('LRC INOP Mach'!$C$4:$AA$21,Y270,U270), IF(S270="HOLDINGINOP",  BicubicInterpolation('Holding INOP Mach'!$N$4:$U$13,Y270,U270),         "XXX" )))))))   )))</f>
        <v>#NAME?</v>
      </c>
      <c r="AD270" s="313" t="e">
        <f t="shared" ca="1" si="191"/>
        <v>#NAME?</v>
      </c>
      <c r="AE270" s="314" t="e">
        <f t="shared" ca="1" si="178"/>
        <v>#NAME?</v>
      </c>
      <c r="AF270" s="313" t="e">
        <f t="shared" ca="1" si="192"/>
        <v>#NAME?</v>
      </c>
      <c r="AG270" s="314" t="e">
        <f t="shared" ca="1" si="179"/>
        <v>#NAME?</v>
      </c>
      <c r="AH270" s="313" t="e">
        <f t="shared" ca="1" si="193"/>
        <v>#NAME?</v>
      </c>
      <c r="AI270" s="314" t="e">
        <f t="shared" ca="1" si="180"/>
        <v>#NAME?</v>
      </c>
      <c r="AJ270" s="315" t="e">
        <f t="shared" ca="1" si="181"/>
        <v>#NAME?</v>
      </c>
      <c r="AK270" s="568" t="e">
        <f t="shared" ca="1" si="194"/>
        <v>#NAME?</v>
      </c>
      <c r="AL270" s="313" t="e">
        <f t="shared" ca="1" si="195"/>
        <v>#NAME?</v>
      </c>
      <c r="AM270" s="313" t="e">
        <f t="shared" ca="1" si="182"/>
        <v>#NAME?</v>
      </c>
      <c r="AN270" s="313" t="e">
        <f t="shared" ca="1" si="183"/>
        <v>#NAME?</v>
      </c>
      <c r="AO270" s="316" t="e">
        <f t="shared" ca="1" si="196"/>
        <v>#NAME?</v>
      </c>
      <c r="AP270" s="313" t="e">
        <f t="shared" ca="1" si="197"/>
        <v>#NAME?</v>
      </c>
      <c r="AQ270" s="314" t="e">
        <f t="shared" ca="1" si="184"/>
        <v>#NAME?</v>
      </c>
      <c r="AR270" s="315" t="e">
        <f t="shared" ca="1" si="198"/>
        <v>#NAME?</v>
      </c>
      <c r="AS270" s="316" t="e">
        <f t="shared" ca="1" si="199"/>
        <v>#NAME?</v>
      </c>
      <c r="AT270" s="315" t="e">
        <f t="shared" ca="1" si="200"/>
        <v>#NAME?</v>
      </c>
      <c r="AU270" s="317">
        <v>427.8</v>
      </c>
      <c r="AV270" s="315" t="e">
        <f t="shared" ca="1" si="201"/>
        <v>#NAME?</v>
      </c>
      <c r="AW270" s="318" t="e">
        <f ca="1">0.0001*BicubicInterpolation('Drag Coef Table'!$B$4:$L$28,AV270,AC270)</f>
        <v>#NAME?</v>
      </c>
      <c r="AX270" s="319" t="e">
        <f t="shared" ca="1" si="202"/>
        <v>#NAME?</v>
      </c>
      <c r="AY270" s="318" t="e">
        <f t="shared" ca="1" si="203"/>
        <v>#NAME?</v>
      </c>
      <c r="AZ270" s="320" t="e">
        <f t="shared" ca="1" si="204"/>
        <v>#NAME?</v>
      </c>
      <c r="BA270" s="321" t="e">
        <f t="shared" ca="1" si="205"/>
        <v>#NAME?</v>
      </c>
      <c r="BB270" s="322" t="e">
        <f t="shared" ca="1" si="206"/>
        <v>#NAME?</v>
      </c>
      <c r="BC270" s="323">
        <v>75.196700000000007</v>
      </c>
      <c r="BD270" s="324" t="e">
        <f t="shared" ca="1" si="207"/>
        <v>#NAME?</v>
      </c>
      <c r="BE270" s="325" t="e">
        <f t="shared" ca="1" si="208"/>
        <v>#NAME?</v>
      </c>
      <c r="BF270" s="324" t="e">
        <f ca="1">BicubicInterpolation('TSFC Eff Table'!$B$4:$E$69,2,BB270)</f>
        <v>#NAME?</v>
      </c>
      <c r="BG270" s="326" t="e">
        <f t="shared" ca="1" si="209"/>
        <v>#NAME?</v>
      </c>
      <c r="BH270" s="694" t="e">
        <f ca="1">IF( S270="LRCINOP",   (1+(0.03/10)*Z270*(1+0.2*AC270^2) )*BicubicInterpolation( 'LRC INOP FF'!$C$4:$AA$21, Y270, U270 )-200, IF(S270 ="HOLDINGINOP", (1+(0.03/10)*Z270*(1+0.2*AC270^2) )*BicubicInterpolation( 'Holding INOP FF'!$C$4:$J$13,  Y270,  U270)/1.05-200,   BA270*BG270))</f>
        <v>#NAME?</v>
      </c>
      <c r="BI270" s="344" t="e">
        <f t="shared" ca="1" si="168"/>
        <v>#NAME?</v>
      </c>
      <c r="BJ270" s="322" t="e">
        <f t="shared" ca="1" si="210"/>
        <v>#NAME?</v>
      </c>
      <c r="BK270" s="338" t="e">
        <f t="shared" ca="1" si="169"/>
        <v>#NAME?</v>
      </c>
      <c r="BL270" s="327" t="e">
        <f t="shared" ca="1" si="211"/>
        <v>#NAME?</v>
      </c>
      <c r="BM270" s="328">
        <f t="shared" si="212"/>
        <v>200</v>
      </c>
      <c r="BN270" s="329" t="e">
        <f t="shared" ca="1" si="213"/>
        <v>#NAME?</v>
      </c>
      <c r="BO270" s="344" t="e">
        <f t="shared" ca="1" si="170"/>
        <v>#NAME?</v>
      </c>
      <c r="BP270" s="320" t="e">
        <f t="shared" ca="1" si="214"/>
        <v>#NAME?</v>
      </c>
      <c r="BQ270" s="344" t="e">
        <f t="shared" ca="1" si="171"/>
        <v>#NAME?</v>
      </c>
      <c r="BR270" s="347" t="e">
        <f t="shared" ca="1" si="172"/>
        <v>#NAME?</v>
      </c>
      <c r="BS270" s="326" t="e">
        <f t="shared" ca="1" si="215"/>
        <v>#NAME?</v>
      </c>
      <c r="BT270" s="437" t="e">
        <f t="shared" ca="1" si="185"/>
        <v>#NAME?</v>
      </c>
      <c r="BU270" s="437" t="e">
        <f t="shared" ca="1" si="186"/>
        <v>#NAME?</v>
      </c>
      <c r="BV270" s="441" t="e">
        <f t="shared" ca="1" si="187"/>
        <v>#NAME?</v>
      </c>
      <c r="BW270" s="442" t="e">
        <f t="shared" ca="1" si="188"/>
        <v>#NAME?</v>
      </c>
      <c r="BX270" s="470" t="e">
        <f t="shared" ca="1" si="161"/>
        <v>#NAME?</v>
      </c>
      <c r="BY270" s="484" t="e">
        <f t="shared" ca="1" si="173"/>
        <v>#NAME?</v>
      </c>
      <c r="BZ270" s="176"/>
    </row>
    <row r="271" spans="9:78" s="177" customFormat="1" ht="17.75" customHeight="1" x14ac:dyDescent="0.2">
      <c r="I271" s="366">
        <v>187</v>
      </c>
      <c r="J271" s="414">
        <f t="shared" si="174"/>
        <v>41705.842361111536</v>
      </c>
      <c r="K271" s="435" t="e">
        <f t="shared" ca="1" si="175"/>
        <v>#NAME?</v>
      </c>
      <c r="L271" s="435" t="e">
        <f t="shared" ca="1" si="162"/>
        <v>#NAME?</v>
      </c>
      <c r="M271" s="664" t="e">
        <f t="shared" ca="1" si="216"/>
        <v>#NAME?</v>
      </c>
      <c r="N271" s="664" t="e">
        <f t="shared" ca="1" si="217"/>
        <v>#NAME?</v>
      </c>
      <c r="O271" s="140" t="e">
        <f t="shared" ca="1" si="163"/>
        <v>#NAME?</v>
      </c>
      <c r="P271" s="352" t="e">
        <f t="shared" ca="1" si="176"/>
        <v>#NAME?</v>
      </c>
      <c r="Q271" s="665" t="e">
        <f t="shared" ca="1" si="218"/>
        <v>#NAME?</v>
      </c>
      <c r="R271" s="352" t="e">
        <f t="shared" ca="1" si="189"/>
        <v>#NAME?</v>
      </c>
      <c r="S271" s="662" t="e">
        <f t="shared" ca="1" si="164"/>
        <v>#NAME?</v>
      </c>
      <c r="T271" s="443" t="e">
        <f t="shared" ca="1" si="157"/>
        <v>#NAME?</v>
      </c>
      <c r="U271" s="369" t="e">
        <f t="shared" ca="1" si="158"/>
        <v>#NAME?</v>
      </c>
      <c r="V271" s="454" t="e">
        <f t="shared" ca="1" si="165"/>
        <v>#NAME?</v>
      </c>
      <c r="W271" s="457">
        <f t="shared" si="166"/>
        <v>1000</v>
      </c>
      <c r="X271" s="463" t="e">
        <f t="shared" ca="1" si="167"/>
        <v>#NAME?</v>
      </c>
      <c r="Y271" s="455" t="e">
        <f t="shared" ca="1" si="177"/>
        <v>#NAME?</v>
      </c>
      <c r="Z271" s="699">
        <f t="shared" si="159"/>
        <v>8.5</v>
      </c>
      <c r="AA271" s="355" t="str">
        <f t="shared" si="160"/>
        <v>ON</v>
      </c>
      <c r="AB271" s="357">
        <f t="shared" si="190"/>
        <v>1.4999999999999999E-2</v>
      </c>
      <c r="AC271" s="356" t="e">
        <f ca="1">IF(  Y270=0,0,IF(OR(S271="KCAS",S271="INOP",S271="MEFE"),   ( (5*( (   (((1+0.2*(T271/661.4786)^2)^3.5 -1)  )/( (1-6.8755856*10^-6 *100*Y271)^5.2558797) +1)^(2/7) -1) )^0.5),IF(S271="MACH",T271, IF(S271="LRC",BicubicInterpolation( 'LRC Mach'!$C$4:$AL$21, Y271,U271),  IF(S271="MRC",BicubicInterpolation( 'MRC Mach'!$C$3:$T$18, Y271,U271),  IF(S271="M0.84",0.84,  IF(S271="CI52",BicubicInterpolation('CI=52 Mach'!$C$3:$T$18, Y271,U271),  IF(S271="HOLDING",BicubicInterpolation(  'Holding Mach'!$C$4:$M$13, Y271,U271),                         IF(S271="LRCINOP", BicubicInterpolation('LRC INOP Mach'!$C$4:$AA$21,Y271,U271), IF(S271="HOLDINGINOP",  BicubicInterpolation('Holding INOP Mach'!$N$4:$U$13,Y271,U271),         "XXX" )))))))   )))</f>
        <v>#NAME?</v>
      </c>
      <c r="AD271" s="313" t="e">
        <f t="shared" ca="1" si="191"/>
        <v>#NAME?</v>
      </c>
      <c r="AE271" s="314" t="e">
        <f t="shared" ca="1" si="178"/>
        <v>#NAME?</v>
      </c>
      <c r="AF271" s="313" t="e">
        <f t="shared" ca="1" si="192"/>
        <v>#NAME?</v>
      </c>
      <c r="AG271" s="314" t="e">
        <f t="shared" ca="1" si="179"/>
        <v>#NAME?</v>
      </c>
      <c r="AH271" s="313" t="e">
        <f t="shared" ca="1" si="193"/>
        <v>#NAME?</v>
      </c>
      <c r="AI271" s="314" t="e">
        <f t="shared" ca="1" si="180"/>
        <v>#NAME?</v>
      </c>
      <c r="AJ271" s="315" t="e">
        <f t="shared" ca="1" si="181"/>
        <v>#NAME?</v>
      </c>
      <c r="AK271" s="568" t="e">
        <f t="shared" ca="1" si="194"/>
        <v>#NAME?</v>
      </c>
      <c r="AL271" s="313" t="e">
        <f t="shared" ca="1" si="195"/>
        <v>#NAME?</v>
      </c>
      <c r="AM271" s="313" t="e">
        <f t="shared" ca="1" si="182"/>
        <v>#NAME?</v>
      </c>
      <c r="AN271" s="313" t="e">
        <f t="shared" ca="1" si="183"/>
        <v>#NAME?</v>
      </c>
      <c r="AO271" s="316" t="e">
        <f t="shared" ca="1" si="196"/>
        <v>#NAME?</v>
      </c>
      <c r="AP271" s="313" t="e">
        <f t="shared" ca="1" si="197"/>
        <v>#NAME?</v>
      </c>
      <c r="AQ271" s="314" t="e">
        <f t="shared" ca="1" si="184"/>
        <v>#NAME?</v>
      </c>
      <c r="AR271" s="315" t="e">
        <f t="shared" ca="1" si="198"/>
        <v>#NAME?</v>
      </c>
      <c r="AS271" s="316" t="e">
        <f t="shared" ca="1" si="199"/>
        <v>#NAME?</v>
      </c>
      <c r="AT271" s="315" t="e">
        <f t="shared" ca="1" si="200"/>
        <v>#NAME?</v>
      </c>
      <c r="AU271" s="317">
        <v>427.8</v>
      </c>
      <c r="AV271" s="315" t="e">
        <f t="shared" ca="1" si="201"/>
        <v>#NAME?</v>
      </c>
      <c r="AW271" s="318" t="e">
        <f ca="1">0.0001*BicubicInterpolation('Drag Coef Table'!$B$4:$L$28,AV271,AC271)</f>
        <v>#NAME?</v>
      </c>
      <c r="AX271" s="319" t="e">
        <f t="shared" ca="1" si="202"/>
        <v>#NAME?</v>
      </c>
      <c r="AY271" s="318" t="e">
        <f t="shared" ca="1" si="203"/>
        <v>#NAME?</v>
      </c>
      <c r="AZ271" s="320" t="e">
        <f t="shared" ca="1" si="204"/>
        <v>#NAME?</v>
      </c>
      <c r="BA271" s="321" t="e">
        <f t="shared" ca="1" si="205"/>
        <v>#NAME?</v>
      </c>
      <c r="BB271" s="322" t="e">
        <f t="shared" ca="1" si="206"/>
        <v>#NAME?</v>
      </c>
      <c r="BC271" s="323">
        <v>75.196700000000007</v>
      </c>
      <c r="BD271" s="324" t="e">
        <f t="shared" ca="1" si="207"/>
        <v>#NAME?</v>
      </c>
      <c r="BE271" s="325" t="e">
        <f t="shared" ca="1" si="208"/>
        <v>#NAME?</v>
      </c>
      <c r="BF271" s="324" t="e">
        <f ca="1">BicubicInterpolation('TSFC Eff Table'!$B$4:$E$69,2,BB271)</f>
        <v>#NAME?</v>
      </c>
      <c r="BG271" s="326" t="e">
        <f t="shared" ca="1" si="209"/>
        <v>#NAME?</v>
      </c>
      <c r="BH271" s="694" t="e">
        <f ca="1">IF( S271="LRCINOP",   (1+(0.03/10)*Z271*(1+0.2*AC271^2) )*BicubicInterpolation( 'LRC INOP FF'!$C$4:$AA$21, Y271, U271 )-200, IF(S271 ="HOLDINGINOP", (1+(0.03/10)*Z271*(1+0.2*AC271^2) )*BicubicInterpolation( 'Holding INOP FF'!$C$4:$J$13,  Y271,  U271)/1.05-200,   BA271*BG271))</f>
        <v>#NAME?</v>
      </c>
      <c r="BI271" s="344" t="e">
        <f t="shared" ca="1" si="168"/>
        <v>#NAME?</v>
      </c>
      <c r="BJ271" s="322" t="e">
        <f t="shared" ca="1" si="210"/>
        <v>#NAME?</v>
      </c>
      <c r="BK271" s="338" t="e">
        <f t="shared" ca="1" si="169"/>
        <v>#NAME?</v>
      </c>
      <c r="BL271" s="327" t="e">
        <f t="shared" ca="1" si="211"/>
        <v>#NAME?</v>
      </c>
      <c r="BM271" s="328">
        <f t="shared" si="212"/>
        <v>200</v>
      </c>
      <c r="BN271" s="329" t="e">
        <f t="shared" ca="1" si="213"/>
        <v>#NAME?</v>
      </c>
      <c r="BO271" s="344" t="e">
        <f t="shared" ca="1" si="170"/>
        <v>#NAME?</v>
      </c>
      <c r="BP271" s="320" t="e">
        <f t="shared" ca="1" si="214"/>
        <v>#NAME?</v>
      </c>
      <c r="BQ271" s="344" t="e">
        <f t="shared" ca="1" si="171"/>
        <v>#NAME?</v>
      </c>
      <c r="BR271" s="347" t="e">
        <f t="shared" ca="1" si="172"/>
        <v>#NAME?</v>
      </c>
      <c r="BS271" s="326" t="e">
        <f t="shared" ca="1" si="215"/>
        <v>#NAME?</v>
      </c>
      <c r="BT271" s="437" t="e">
        <f t="shared" ca="1" si="185"/>
        <v>#NAME?</v>
      </c>
      <c r="BU271" s="437" t="e">
        <f t="shared" ca="1" si="186"/>
        <v>#NAME?</v>
      </c>
      <c r="BV271" s="441" t="e">
        <f t="shared" ca="1" si="187"/>
        <v>#NAME?</v>
      </c>
      <c r="BW271" s="442" t="e">
        <f t="shared" ca="1" si="188"/>
        <v>#NAME?</v>
      </c>
      <c r="BX271" s="470" t="e">
        <f t="shared" ca="1" si="161"/>
        <v>#NAME?</v>
      </c>
      <c r="BY271" s="484" t="e">
        <f t="shared" ca="1" si="173"/>
        <v>#NAME?</v>
      </c>
      <c r="BZ271" s="176"/>
    </row>
    <row r="272" spans="9:78" s="177" customFormat="1" ht="17.75" customHeight="1" x14ac:dyDescent="0.2">
      <c r="I272" s="366">
        <v>188</v>
      </c>
      <c r="J272" s="414">
        <f t="shared" si="174"/>
        <v>41705.843055555983</v>
      </c>
      <c r="K272" s="435" t="e">
        <f t="shared" ca="1" si="175"/>
        <v>#NAME?</v>
      </c>
      <c r="L272" s="435" t="e">
        <f t="shared" ca="1" si="162"/>
        <v>#NAME?</v>
      </c>
      <c r="M272" s="664" t="e">
        <f t="shared" ca="1" si="216"/>
        <v>#NAME?</v>
      </c>
      <c r="N272" s="664" t="e">
        <f t="shared" ca="1" si="217"/>
        <v>#NAME?</v>
      </c>
      <c r="O272" s="140" t="e">
        <f t="shared" ca="1" si="163"/>
        <v>#NAME?</v>
      </c>
      <c r="P272" s="352" t="e">
        <f t="shared" ca="1" si="176"/>
        <v>#NAME?</v>
      </c>
      <c r="Q272" s="665" t="e">
        <f t="shared" ca="1" si="218"/>
        <v>#NAME?</v>
      </c>
      <c r="R272" s="352" t="e">
        <f t="shared" ca="1" si="189"/>
        <v>#NAME?</v>
      </c>
      <c r="S272" s="662" t="e">
        <f t="shared" ca="1" si="164"/>
        <v>#NAME?</v>
      </c>
      <c r="T272" s="443" t="e">
        <f t="shared" ca="1" si="157"/>
        <v>#NAME?</v>
      </c>
      <c r="U272" s="369" t="e">
        <f t="shared" ca="1" si="158"/>
        <v>#NAME?</v>
      </c>
      <c r="V272" s="454" t="e">
        <f t="shared" ca="1" si="165"/>
        <v>#NAME?</v>
      </c>
      <c r="W272" s="457">
        <f t="shared" si="166"/>
        <v>1000</v>
      </c>
      <c r="X272" s="463" t="e">
        <f t="shared" ca="1" si="167"/>
        <v>#NAME?</v>
      </c>
      <c r="Y272" s="455" t="e">
        <f t="shared" ca="1" si="177"/>
        <v>#NAME?</v>
      </c>
      <c r="Z272" s="699">
        <f t="shared" si="159"/>
        <v>8.5</v>
      </c>
      <c r="AA272" s="355" t="str">
        <f t="shared" si="160"/>
        <v>ON</v>
      </c>
      <c r="AB272" s="357">
        <f t="shared" si="190"/>
        <v>1.4999999999999999E-2</v>
      </c>
      <c r="AC272" s="356" t="e">
        <f ca="1">IF(  Y271=0,0,IF(OR(S272="KCAS",S272="INOP",S272="MEFE"),   ( (5*( (   (((1+0.2*(T272/661.4786)^2)^3.5 -1)  )/( (1-6.8755856*10^-6 *100*Y272)^5.2558797) +1)^(2/7) -1) )^0.5),IF(S272="MACH",T272, IF(S272="LRC",BicubicInterpolation( 'LRC Mach'!$C$4:$AL$21, Y272,U272),  IF(S272="MRC",BicubicInterpolation( 'MRC Mach'!$C$3:$T$18, Y272,U272),  IF(S272="M0.84",0.84,  IF(S272="CI52",BicubicInterpolation('CI=52 Mach'!$C$3:$T$18, Y272,U272),  IF(S272="HOLDING",BicubicInterpolation(  'Holding Mach'!$C$4:$M$13, Y272,U272),                         IF(S272="LRCINOP", BicubicInterpolation('LRC INOP Mach'!$C$4:$AA$21,Y272,U272), IF(S272="HOLDINGINOP",  BicubicInterpolation('Holding INOP Mach'!$N$4:$U$13,Y272,U272),         "XXX" )))))))   )))</f>
        <v>#NAME?</v>
      </c>
      <c r="AD272" s="313" t="e">
        <f t="shared" ca="1" si="191"/>
        <v>#NAME?</v>
      </c>
      <c r="AE272" s="314" t="e">
        <f t="shared" ca="1" si="178"/>
        <v>#NAME?</v>
      </c>
      <c r="AF272" s="313" t="e">
        <f t="shared" ca="1" si="192"/>
        <v>#NAME?</v>
      </c>
      <c r="AG272" s="314" t="e">
        <f t="shared" ca="1" si="179"/>
        <v>#NAME?</v>
      </c>
      <c r="AH272" s="313" t="e">
        <f t="shared" ca="1" si="193"/>
        <v>#NAME?</v>
      </c>
      <c r="AI272" s="314" t="e">
        <f t="shared" ca="1" si="180"/>
        <v>#NAME?</v>
      </c>
      <c r="AJ272" s="315" t="e">
        <f t="shared" ca="1" si="181"/>
        <v>#NAME?</v>
      </c>
      <c r="AK272" s="568" t="e">
        <f t="shared" ca="1" si="194"/>
        <v>#NAME?</v>
      </c>
      <c r="AL272" s="313" t="e">
        <f t="shared" ca="1" si="195"/>
        <v>#NAME?</v>
      </c>
      <c r="AM272" s="313" t="e">
        <f t="shared" ca="1" si="182"/>
        <v>#NAME?</v>
      </c>
      <c r="AN272" s="313" t="e">
        <f t="shared" ca="1" si="183"/>
        <v>#NAME?</v>
      </c>
      <c r="AO272" s="316" t="e">
        <f t="shared" ca="1" si="196"/>
        <v>#NAME?</v>
      </c>
      <c r="AP272" s="313" t="e">
        <f t="shared" ca="1" si="197"/>
        <v>#NAME?</v>
      </c>
      <c r="AQ272" s="314" t="e">
        <f t="shared" ca="1" si="184"/>
        <v>#NAME?</v>
      </c>
      <c r="AR272" s="315" t="e">
        <f t="shared" ca="1" si="198"/>
        <v>#NAME?</v>
      </c>
      <c r="AS272" s="316" t="e">
        <f t="shared" ca="1" si="199"/>
        <v>#NAME?</v>
      </c>
      <c r="AT272" s="315" t="e">
        <f t="shared" ca="1" si="200"/>
        <v>#NAME?</v>
      </c>
      <c r="AU272" s="317">
        <v>427.8</v>
      </c>
      <c r="AV272" s="315" t="e">
        <f t="shared" ca="1" si="201"/>
        <v>#NAME?</v>
      </c>
      <c r="AW272" s="318" t="e">
        <f ca="1">0.0001*BicubicInterpolation('Drag Coef Table'!$B$4:$L$28,AV272,AC272)</f>
        <v>#NAME?</v>
      </c>
      <c r="AX272" s="319" t="e">
        <f t="shared" ca="1" si="202"/>
        <v>#NAME?</v>
      </c>
      <c r="AY272" s="318" t="e">
        <f t="shared" ca="1" si="203"/>
        <v>#NAME?</v>
      </c>
      <c r="AZ272" s="320" t="e">
        <f t="shared" ca="1" si="204"/>
        <v>#NAME?</v>
      </c>
      <c r="BA272" s="321" t="e">
        <f t="shared" ca="1" si="205"/>
        <v>#NAME?</v>
      </c>
      <c r="BB272" s="322" t="e">
        <f t="shared" ca="1" si="206"/>
        <v>#NAME?</v>
      </c>
      <c r="BC272" s="323">
        <v>75.196700000000007</v>
      </c>
      <c r="BD272" s="324" t="e">
        <f t="shared" ca="1" si="207"/>
        <v>#NAME?</v>
      </c>
      <c r="BE272" s="325" t="e">
        <f t="shared" ca="1" si="208"/>
        <v>#NAME?</v>
      </c>
      <c r="BF272" s="324" t="e">
        <f ca="1">BicubicInterpolation('TSFC Eff Table'!$B$4:$E$69,2,BB272)</f>
        <v>#NAME?</v>
      </c>
      <c r="BG272" s="326" t="e">
        <f t="shared" ca="1" si="209"/>
        <v>#NAME?</v>
      </c>
      <c r="BH272" s="694" t="e">
        <f ca="1">IF( S272="LRCINOP",   (1+(0.03/10)*Z272*(1+0.2*AC272^2) )*BicubicInterpolation( 'LRC INOP FF'!$C$4:$AA$21, Y272, U272 )-200, IF(S272 ="HOLDINGINOP", (1+(0.03/10)*Z272*(1+0.2*AC272^2) )*BicubicInterpolation( 'Holding INOP FF'!$C$4:$J$13,  Y272,  U272)/1.05-200,   BA272*BG272))</f>
        <v>#NAME?</v>
      </c>
      <c r="BI272" s="344" t="e">
        <f t="shared" ca="1" si="168"/>
        <v>#NAME?</v>
      </c>
      <c r="BJ272" s="322" t="e">
        <f t="shared" ca="1" si="210"/>
        <v>#NAME?</v>
      </c>
      <c r="BK272" s="338" t="e">
        <f t="shared" ca="1" si="169"/>
        <v>#NAME?</v>
      </c>
      <c r="BL272" s="327" t="e">
        <f t="shared" ca="1" si="211"/>
        <v>#NAME?</v>
      </c>
      <c r="BM272" s="328">
        <f t="shared" si="212"/>
        <v>200</v>
      </c>
      <c r="BN272" s="329" t="e">
        <f t="shared" ca="1" si="213"/>
        <v>#NAME?</v>
      </c>
      <c r="BO272" s="344" t="e">
        <f t="shared" ca="1" si="170"/>
        <v>#NAME?</v>
      </c>
      <c r="BP272" s="320" t="e">
        <f t="shared" ca="1" si="214"/>
        <v>#NAME?</v>
      </c>
      <c r="BQ272" s="344" t="e">
        <f t="shared" ca="1" si="171"/>
        <v>#NAME?</v>
      </c>
      <c r="BR272" s="347" t="e">
        <f t="shared" ca="1" si="172"/>
        <v>#NAME?</v>
      </c>
      <c r="BS272" s="326" t="e">
        <f t="shared" ca="1" si="215"/>
        <v>#NAME?</v>
      </c>
      <c r="BT272" s="437" t="e">
        <f t="shared" ca="1" si="185"/>
        <v>#NAME?</v>
      </c>
      <c r="BU272" s="437" t="e">
        <f t="shared" ca="1" si="186"/>
        <v>#NAME?</v>
      </c>
      <c r="BV272" s="441" t="e">
        <f t="shared" ca="1" si="187"/>
        <v>#NAME?</v>
      </c>
      <c r="BW272" s="442" t="e">
        <f t="shared" ca="1" si="188"/>
        <v>#NAME?</v>
      </c>
      <c r="BX272" s="470" t="e">
        <f t="shared" ca="1" si="161"/>
        <v>#NAME?</v>
      </c>
      <c r="BY272" s="484" t="e">
        <f t="shared" ca="1" si="173"/>
        <v>#NAME?</v>
      </c>
      <c r="BZ272" s="176"/>
    </row>
    <row r="273" spans="9:78" s="177" customFormat="1" ht="17.75" customHeight="1" x14ac:dyDescent="0.2">
      <c r="I273" s="366">
        <v>189</v>
      </c>
      <c r="J273" s="414">
        <f t="shared" si="174"/>
        <v>41705.843750000429</v>
      </c>
      <c r="K273" s="435" t="e">
        <f t="shared" ca="1" si="175"/>
        <v>#NAME?</v>
      </c>
      <c r="L273" s="435" t="e">
        <f t="shared" ca="1" si="162"/>
        <v>#NAME?</v>
      </c>
      <c r="M273" s="664" t="e">
        <f t="shared" ca="1" si="216"/>
        <v>#NAME?</v>
      </c>
      <c r="N273" s="664" t="e">
        <f t="shared" ca="1" si="217"/>
        <v>#NAME?</v>
      </c>
      <c r="O273" s="140" t="e">
        <f t="shared" ca="1" si="163"/>
        <v>#NAME?</v>
      </c>
      <c r="P273" s="352" t="e">
        <f t="shared" ca="1" si="176"/>
        <v>#NAME?</v>
      </c>
      <c r="Q273" s="665" t="e">
        <f t="shared" ca="1" si="218"/>
        <v>#NAME?</v>
      </c>
      <c r="R273" s="352" t="e">
        <f t="shared" ca="1" si="189"/>
        <v>#NAME?</v>
      </c>
      <c r="S273" s="662" t="e">
        <f t="shared" ca="1" si="164"/>
        <v>#NAME?</v>
      </c>
      <c r="T273" s="443" t="e">
        <f t="shared" ca="1" si="157"/>
        <v>#NAME?</v>
      </c>
      <c r="U273" s="369" t="e">
        <f t="shared" ca="1" si="158"/>
        <v>#NAME?</v>
      </c>
      <c r="V273" s="454" t="e">
        <f t="shared" ca="1" si="165"/>
        <v>#NAME?</v>
      </c>
      <c r="W273" s="457">
        <f t="shared" si="166"/>
        <v>1000</v>
      </c>
      <c r="X273" s="463" t="e">
        <f t="shared" ca="1" si="167"/>
        <v>#NAME?</v>
      </c>
      <c r="Y273" s="455" t="e">
        <f t="shared" ca="1" si="177"/>
        <v>#NAME?</v>
      </c>
      <c r="Z273" s="699">
        <f t="shared" si="159"/>
        <v>8.5</v>
      </c>
      <c r="AA273" s="355" t="str">
        <f t="shared" si="160"/>
        <v>ON</v>
      </c>
      <c r="AB273" s="357">
        <f t="shared" si="190"/>
        <v>1.4999999999999999E-2</v>
      </c>
      <c r="AC273" s="356" t="e">
        <f ca="1">IF(  Y272=0,0,IF(OR(S273="KCAS",S273="INOP",S273="MEFE"),   ( (5*( (   (((1+0.2*(T273/661.4786)^2)^3.5 -1)  )/( (1-6.8755856*10^-6 *100*Y273)^5.2558797) +1)^(2/7) -1) )^0.5),IF(S273="MACH",T273, IF(S273="LRC",BicubicInterpolation( 'LRC Mach'!$C$4:$AL$21, Y273,U273),  IF(S273="MRC",BicubicInterpolation( 'MRC Mach'!$C$3:$T$18, Y273,U273),  IF(S273="M0.84",0.84,  IF(S273="CI52",BicubicInterpolation('CI=52 Mach'!$C$3:$T$18, Y273,U273),  IF(S273="HOLDING",BicubicInterpolation(  'Holding Mach'!$C$4:$M$13, Y273,U273),                         IF(S273="LRCINOP", BicubicInterpolation('LRC INOP Mach'!$C$4:$AA$21,Y273,U273), IF(S273="HOLDINGINOP",  BicubicInterpolation('Holding INOP Mach'!$N$4:$U$13,Y273,U273),         "XXX" )))))))   )))</f>
        <v>#NAME?</v>
      </c>
      <c r="AD273" s="313" t="e">
        <f t="shared" ca="1" si="191"/>
        <v>#NAME?</v>
      </c>
      <c r="AE273" s="314" t="e">
        <f t="shared" ca="1" si="178"/>
        <v>#NAME?</v>
      </c>
      <c r="AF273" s="313" t="e">
        <f t="shared" ca="1" si="192"/>
        <v>#NAME?</v>
      </c>
      <c r="AG273" s="314" t="e">
        <f t="shared" ca="1" si="179"/>
        <v>#NAME?</v>
      </c>
      <c r="AH273" s="313" t="e">
        <f t="shared" ca="1" si="193"/>
        <v>#NAME?</v>
      </c>
      <c r="AI273" s="314" t="e">
        <f t="shared" ca="1" si="180"/>
        <v>#NAME?</v>
      </c>
      <c r="AJ273" s="315" t="e">
        <f t="shared" ca="1" si="181"/>
        <v>#NAME?</v>
      </c>
      <c r="AK273" s="568" t="e">
        <f t="shared" ca="1" si="194"/>
        <v>#NAME?</v>
      </c>
      <c r="AL273" s="313" t="e">
        <f t="shared" ca="1" si="195"/>
        <v>#NAME?</v>
      </c>
      <c r="AM273" s="313" t="e">
        <f t="shared" ca="1" si="182"/>
        <v>#NAME?</v>
      </c>
      <c r="AN273" s="313" t="e">
        <f t="shared" ca="1" si="183"/>
        <v>#NAME?</v>
      </c>
      <c r="AO273" s="316" t="e">
        <f t="shared" ca="1" si="196"/>
        <v>#NAME?</v>
      </c>
      <c r="AP273" s="313" t="e">
        <f t="shared" ca="1" si="197"/>
        <v>#NAME?</v>
      </c>
      <c r="AQ273" s="314" t="e">
        <f t="shared" ca="1" si="184"/>
        <v>#NAME?</v>
      </c>
      <c r="AR273" s="315" t="e">
        <f t="shared" ca="1" si="198"/>
        <v>#NAME?</v>
      </c>
      <c r="AS273" s="316" t="e">
        <f t="shared" ca="1" si="199"/>
        <v>#NAME?</v>
      </c>
      <c r="AT273" s="315" t="e">
        <f t="shared" ca="1" si="200"/>
        <v>#NAME?</v>
      </c>
      <c r="AU273" s="317">
        <v>427.8</v>
      </c>
      <c r="AV273" s="315" t="e">
        <f t="shared" ca="1" si="201"/>
        <v>#NAME?</v>
      </c>
      <c r="AW273" s="318" t="e">
        <f ca="1">0.0001*BicubicInterpolation('Drag Coef Table'!$B$4:$L$28,AV273,AC273)</f>
        <v>#NAME?</v>
      </c>
      <c r="AX273" s="319" t="e">
        <f t="shared" ca="1" si="202"/>
        <v>#NAME?</v>
      </c>
      <c r="AY273" s="318" t="e">
        <f t="shared" ca="1" si="203"/>
        <v>#NAME?</v>
      </c>
      <c r="AZ273" s="320" t="e">
        <f t="shared" ca="1" si="204"/>
        <v>#NAME?</v>
      </c>
      <c r="BA273" s="321" t="e">
        <f t="shared" ca="1" si="205"/>
        <v>#NAME?</v>
      </c>
      <c r="BB273" s="322" t="e">
        <f t="shared" ca="1" si="206"/>
        <v>#NAME?</v>
      </c>
      <c r="BC273" s="323">
        <v>75.196700000000007</v>
      </c>
      <c r="BD273" s="324" t="e">
        <f t="shared" ca="1" si="207"/>
        <v>#NAME?</v>
      </c>
      <c r="BE273" s="325" t="e">
        <f t="shared" ca="1" si="208"/>
        <v>#NAME?</v>
      </c>
      <c r="BF273" s="324" t="e">
        <f ca="1">BicubicInterpolation('TSFC Eff Table'!$B$4:$E$69,2,BB273)</f>
        <v>#NAME?</v>
      </c>
      <c r="BG273" s="326" t="e">
        <f t="shared" ca="1" si="209"/>
        <v>#NAME?</v>
      </c>
      <c r="BH273" s="694" t="e">
        <f ca="1">IF( S273="LRCINOP",   (1+(0.03/10)*Z273*(1+0.2*AC273^2) )*BicubicInterpolation( 'LRC INOP FF'!$C$4:$AA$21, Y273, U273 )-200, IF(S273 ="HOLDINGINOP", (1+(0.03/10)*Z273*(1+0.2*AC273^2) )*BicubicInterpolation( 'Holding INOP FF'!$C$4:$J$13,  Y273,  U273)/1.05-200,   BA273*BG273))</f>
        <v>#NAME?</v>
      </c>
      <c r="BI273" s="344" t="e">
        <f t="shared" ca="1" si="168"/>
        <v>#NAME?</v>
      </c>
      <c r="BJ273" s="322" t="e">
        <f t="shared" ca="1" si="210"/>
        <v>#NAME?</v>
      </c>
      <c r="BK273" s="338" t="e">
        <f t="shared" ca="1" si="169"/>
        <v>#NAME?</v>
      </c>
      <c r="BL273" s="327" t="e">
        <f t="shared" ca="1" si="211"/>
        <v>#NAME?</v>
      </c>
      <c r="BM273" s="328">
        <f t="shared" si="212"/>
        <v>200</v>
      </c>
      <c r="BN273" s="329" t="e">
        <f t="shared" ca="1" si="213"/>
        <v>#NAME?</v>
      </c>
      <c r="BO273" s="344" t="e">
        <f t="shared" ca="1" si="170"/>
        <v>#NAME?</v>
      </c>
      <c r="BP273" s="320" t="e">
        <f t="shared" ca="1" si="214"/>
        <v>#NAME?</v>
      </c>
      <c r="BQ273" s="344" t="e">
        <f t="shared" ca="1" si="171"/>
        <v>#NAME?</v>
      </c>
      <c r="BR273" s="347" t="e">
        <f t="shared" ca="1" si="172"/>
        <v>#NAME?</v>
      </c>
      <c r="BS273" s="326" t="e">
        <f t="shared" ca="1" si="215"/>
        <v>#NAME?</v>
      </c>
      <c r="BT273" s="437" t="e">
        <f t="shared" ca="1" si="185"/>
        <v>#NAME?</v>
      </c>
      <c r="BU273" s="437" t="e">
        <f t="shared" ca="1" si="186"/>
        <v>#NAME?</v>
      </c>
      <c r="BV273" s="441" t="e">
        <f t="shared" ca="1" si="187"/>
        <v>#NAME?</v>
      </c>
      <c r="BW273" s="442" t="e">
        <f t="shared" ca="1" si="188"/>
        <v>#NAME?</v>
      </c>
      <c r="BX273" s="470" t="e">
        <f t="shared" ca="1" si="161"/>
        <v>#NAME?</v>
      </c>
      <c r="BY273" s="484" t="e">
        <f t="shared" ca="1" si="173"/>
        <v>#NAME?</v>
      </c>
      <c r="BZ273" s="176"/>
    </row>
    <row r="274" spans="9:78" s="177" customFormat="1" ht="17.75" customHeight="1" x14ac:dyDescent="0.2">
      <c r="I274" s="366">
        <v>190</v>
      </c>
      <c r="J274" s="414">
        <f t="shared" si="174"/>
        <v>41705.844444444876</v>
      </c>
      <c r="K274" s="435" t="e">
        <f t="shared" ca="1" si="175"/>
        <v>#NAME?</v>
      </c>
      <c r="L274" s="435" t="e">
        <f t="shared" ca="1" si="162"/>
        <v>#NAME?</v>
      </c>
      <c r="M274" s="664" t="e">
        <f t="shared" ca="1" si="216"/>
        <v>#NAME?</v>
      </c>
      <c r="N274" s="664" t="e">
        <f t="shared" ca="1" si="217"/>
        <v>#NAME?</v>
      </c>
      <c r="O274" s="140" t="e">
        <f t="shared" ca="1" si="163"/>
        <v>#NAME?</v>
      </c>
      <c r="P274" s="352" t="e">
        <f t="shared" ca="1" si="176"/>
        <v>#NAME?</v>
      </c>
      <c r="Q274" s="665" t="e">
        <f t="shared" ca="1" si="218"/>
        <v>#NAME?</v>
      </c>
      <c r="R274" s="352" t="e">
        <f t="shared" ca="1" si="189"/>
        <v>#NAME?</v>
      </c>
      <c r="S274" s="662" t="e">
        <f t="shared" ca="1" si="164"/>
        <v>#NAME?</v>
      </c>
      <c r="T274" s="443" t="e">
        <f t="shared" ca="1" si="157"/>
        <v>#NAME?</v>
      </c>
      <c r="U274" s="369" t="e">
        <f t="shared" ca="1" si="158"/>
        <v>#NAME?</v>
      </c>
      <c r="V274" s="454" t="e">
        <f t="shared" ca="1" si="165"/>
        <v>#NAME?</v>
      </c>
      <c r="W274" s="457">
        <f t="shared" si="166"/>
        <v>1000</v>
      </c>
      <c r="X274" s="463" t="e">
        <f t="shared" ca="1" si="167"/>
        <v>#NAME?</v>
      </c>
      <c r="Y274" s="455" t="e">
        <f t="shared" ca="1" si="177"/>
        <v>#NAME?</v>
      </c>
      <c r="Z274" s="699">
        <f t="shared" si="159"/>
        <v>8.5</v>
      </c>
      <c r="AA274" s="355" t="str">
        <f t="shared" si="160"/>
        <v>ON</v>
      </c>
      <c r="AB274" s="357">
        <f t="shared" si="190"/>
        <v>1.4999999999999999E-2</v>
      </c>
      <c r="AC274" s="356" t="e">
        <f ca="1">IF(  Y273=0,0,IF(OR(S274="KCAS",S274="INOP",S274="MEFE"),   ( (5*( (   (((1+0.2*(T274/661.4786)^2)^3.5 -1)  )/( (1-6.8755856*10^-6 *100*Y274)^5.2558797) +1)^(2/7) -1) )^0.5),IF(S274="MACH",T274, IF(S274="LRC",BicubicInterpolation( 'LRC Mach'!$C$4:$AL$21, Y274,U274),  IF(S274="MRC",BicubicInterpolation( 'MRC Mach'!$C$3:$T$18, Y274,U274),  IF(S274="M0.84",0.84,  IF(S274="CI52",BicubicInterpolation('CI=52 Mach'!$C$3:$T$18, Y274,U274),  IF(S274="HOLDING",BicubicInterpolation(  'Holding Mach'!$C$4:$M$13, Y274,U274),                         IF(S274="LRCINOP", BicubicInterpolation('LRC INOP Mach'!$C$4:$AA$21,Y274,U274), IF(S274="HOLDINGINOP",  BicubicInterpolation('Holding INOP Mach'!$N$4:$U$13,Y274,U274),         "XXX" )))))))   )))</f>
        <v>#NAME?</v>
      </c>
      <c r="AD274" s="313" t="e">
        <f t="shared" ca="1" si="191"/>
        <v>#NAME?</v>
      </c>
      <c r="AE274" s="314" t="e">
        <f t="shared" ca="1" si="178"/>
        <v>#NAME?</v>
      </c>
      <c r="AF274" s="313" t="e">
        <f t="shared" ca="1" si="192"/>
        <v>#NAME?</v>
      </c>
      <c r="AG274" s="314" t="e">
        <f t="shared" ca="1" si="179"/>
        <v>#NAME?</v>
      </c>
      <c r="AH274" s="313" t="e">
        <f t="shared" ca="1" si="193"/>
        <v>#NAME?</v>
      </c>
      <c r="AI274" s="314" t="e">
        <f t="shared" ca="1" si="180"/>
        <v>#NAME?</v>
      </c>
      <c r="AJ274" s="315" t="e">
        <f t="shared" ca="1" si="181"/>
        <v>#NAME?</v>
      </c>
      <c r="AK274" s="568" t="e">
        <f t="shared" ca="1" si="194"/>
        <v>#NAME?</v>
      </c>
      <c r="AL274" s="313" t="e">
        <f t="shared" ca="1" si="195"/>
        <v>#NAME?</v>
      </c>
      <c r="AM274" s="313" t="e">
        <f t="shared" ca="1" si="182"/>
        <v>#NAME?</v>
      </c>
      <c r="AN274" s="313" t="e">
        <f t="shared" ca="1" si="183"/>
        <v>#NAME?</v>
      </c>
      <c r="AO274" s="316" t="e">
        <f t="shared" ca="1" si="196"/>
        <v>#NAME?</v>
      </c>
      <c r="AP274" s="313" t="e">
        <f t="shared" ca="1" si="197"/>
        <v>#NAME?</v>
      </c>
      <c r="AQ274" s="314" t="e">
        <f t="shared" ca="1" si="184"/>
        <v>#NAME?</v>
      </c>
      <c r="AR274" s="315" t="e">
        <f t="shared" ca="1" si="198"/>
        <v>#NAME?</v>
      </c>
      <c r="AS274" s="316" t="e">
        <f t="shared" ca="1" si="199"/>
        <v>#NAME?</v>
      </c>
      <c r="AT274" s="315" t="e">
        <f t="shared" ca="1" si="200"/>
        <v>#NAME?</v>
      </c>
      <c r="AU274" s="317">
        <v>427.8</v>
      </c>
      <c r="AV274" s="315" t="e">
        <f t="shared" ca="1" si="201"/>
        <v>#NAME?</v>
      </c>
      <c r="AW274" s="318" t="e">
        <f ca="1">0.0001*BicubicInterpolation('Drag Coef Table'!$B$4:$L$28,AV274,AC274)</f>
        <v>#NAME?</v>
      </c>
      <c r="AX274" s="319" t="e">
        <f t="shared" ca="1" si="202"/>
        <v>#NAME?</v>
      </c>
      <c r="AY274" s="318" t="e">
        <f t="shared" ca="1" si="203"/>
        <v>#NAME?</v>
      </c>
      <c r="AZ274" s="320" t="e">
        <f t="shared" ca="1" si="204"/>
        <v>#NAME?</v>
      </c>
      <c r="BA274" s="321" t="e">
        <f t="shared" ca="1" si="205"/>
        <v>#NAME?</v>
      </c>
      <c r="BB274" s="322" t="e">
        <f t="shared" ca="1" si="206"/>
        <v>#NAME?</v>
      </c>
      <c r="BC274" s="323">
        <v>75.196700000000007</v>
      </c>
      <c r="BD274" s="324" t="e">
        <f t="shared" ca="1" si="207"/>
        <v>#NAME?</v>
      </c>
      <c r="BE274" s="325" t="e">
        <f t="shared" ca="1" si="208"/>
        <v>#NAME?</v>
      </c>
      <c r="BF274" s="324" t="e">
        <f ca="1">BicubicInterpolation('TSFC Eff Table'!$B$4:$E$69,2,BB274)</f>
        <v>#NAME?</v>
      </c>
      <c r="BG274" s="326" t="e">
        <f t="shared" ca="1" si="209"/>
        <v>#NAME?</v>
      </c>
      <c r="BH274" s="694" t="e">
        <f ca="1">IF( S274="LRCINOP",   (1+(0.03/10)*Z274*(1+0.2*AC274^2) )*BicubicInterpolation( 'LRC INOP FF'!$C$4:$AA$21, Y274, U274 )-200, IF(S274 ="HOLDINGINOP", (1+(0.03/10)*Z274*(1+0.2*AC274^2) )*BicubicInterpolation( 'Holding INOP FF'!$C$4:$J$13,  Y274,  U274)/1.05-200,   BA274*BG274))</f>
        <v>#NAME?</v>
      </c>
      <c r="BI274" s="344" t="e">
        <f t="shared" ca="1" si="168"/>
        <v>#NAME?</v>
      </c>
      <c r="BJ274" s="322" t="e">
        <f t="shared" ca="1" si="210"/>
        <v>#NAME?</v>
      </c>
      <c r="BK274" s="338" t="e">
        <f t="shared" ca="1" si="169"/>
        <v>#NAME?</v>
      </c>
      <c r="BL274" s="327" t="e">
        <f t="shared" ca="1" si="211"/>
        <v>#NAME?</v>
      </c>
      <c r="BM274" s="328">
        <f t="shared" si="212"/>
        <v>200</v>
      </c>
      <c r="BN274" s="329" t="e">
        <f t="shared" ca="1" si="213"/>
        <v>#NAME?</v>
      </c>
      <c r="BO274" s="344" t="e">
        <f t="shared" ca="1" si="170"/>
        <v>#NAME?</v>
      </c>
      <c r="BP274" s="320" t="e">
        <f t="shared" ca="1" si="214"/>
        <v>#NAME?</v>
      </c>
      <c r="BQ274" s="344" t="e">
        <f t="shared" ca="1" si="171"/>
        <v>#NAME?</v>
      </c>
      <c r="BR274" s="347" t="e">
        <f t="shared" ca="1" si="172"/>
        <v>#NAME?</v>
      </c>
      <c r="BS274" s="326" t="e">
        <f t="shared" ca="1" si="215"/>
        <v>#NAME?</v>
      </c>
      <c r="BT274" s="437" t="e">
        <f t="shared" ca="1" si="185"/>
        <v>#NAME?</v>
      </c>
      <c r="BU274" s="437" t="e">
        <f t="shared" ca="1" si="186"/>
        <v>#NAME?</v>
      </c>
      <c r="BV274" s="441" t="e">
        <f t="shared" ca="1" si="187"/>
        <v>#NAME?</v>
      </c>
      <c r="BW274" s="442" t="e">
        <f t="shared" ca="1" si="188"/>
        <v>#NAME?</v>
      </c>
      <c r="BX274" s="470" t="e">
        <f t="shared" ca="1" si="161"/>
        <v>#NAME?</v>
      </c>
      <c r="BY274" s="484" t="e">
        <f t="shared" ca="1" si="173"/>
        <v>#NAME?</v>
      </c>
      <c r="BZ274" s="176"/>
    </row>
    <row r="275" spans="9:78" s="177" customFormat="1" ht="17.75" customHeight="1" x14ac:dyDescent="0.2">
      <c r="I275" s="366">
        <v>191</v>
      </c>
      <c r="J275" s="414">
        <f t="shared" si="174"/>
        <v>41705.845138889323</v>
      </c>
      <c r="K275" s="435" t="e">
        <f t="shared" ca="1" si="175"/>
        <v>#NAME?</v>
      </c>
      <c r="L275" s="435" t="e">
        <f t="shared" ca="1" si="162"/>
        <v>#NAME?</v>
      </c>
      <c r="M275" s="664" t="e">
        <f t="shared" ca="1" si="216"/>
        <v>#NAME?</v>
      </c>
      <c r="N275" s="664" t="e">
        <f t="shared" ca="1" si="217"/>
        <v>#NAME?</v>
      </c>
      <c r="O275" s="140" t="e">
        <f t="shared" ca="1" si="163"/>
        <v>#NAME?</v>
      </c>
      <c r="P275" s="352" t="e">
        <f t="shared" ca="1" si="176"/>
        <v>#NAME?</v>
      </c>
      <c r="Q275" s="665" t="e">
        <f t="shared" ca="1" si="218"/>
        <v>#NAME?</v>
      </c>
      <c r="R275" s="352" t="e">
        <f t="shared" ca="1" si="189"/>
        <v>#NAME?</v>
      </c>
      <c r="S275" s="662" t="e">
        <f t="shared" ca="1" si="164"/>
        <v>#NAME?</v>
      </c>
      <c r="T275" s="443" t="e">
        <f t="shared" ca="1" si="157"/>
        <v>#NAME?</v>
      </c>
      <c r="U275" s="369" t="e">
        <f t="shared" ca="1" si="158"/>
        <v>#NAME?</v>
      </c>
      <c r="V275" s="454" t="e">
        <f t="shared" ca="1" si="165"/>
        <v>#NAME?</v>
      </c>
      <c r="W275" s="457">
        <f t="shared" si="166"/>
        <v>1000</v>
      </c>
      <c r="X275" s="463" t="e">
        <f t="shared" ca="1" si="167"/>
        <v>#NAME?</v>
      </c>
      <c r="Y275" s="455" t="e">
        <f t="shared" ca="1" si="177"/>
        <v>#NAME?</v>
      </c>
      <c r="Z275" s="699">
        <f t="shared" si="159"/>
        <v>8.5</v>
      </c>
      <c r="AA275" s="355" t="str">
        <f t="shared" si="160"/>
        <v>ON</v>
      </c>
      <c r="AB275" s="357">
        <f t="shared" si="190"/>
        <v>1.4999999999999999E-2</v>
      </c>
      <c r="AC275" s="356" t="e">
        <f ca="1">IF(  Y274=0,0,IF(OR(S275="KCAS",S275="INOP",S275="MEFE"),   ( (5*( (   (((1+0.2*(T275/661.4786)^2)^3.5 -1)  )/( (1-6.8755856*10^-6 *100*Y275)^5.2558797) +1)^(2/7) -1) )^0.5),IF(S275="MACH",T275, IF(S275="LRC",BicubicInterpolation( 'LRC Mach'!$C$4:$AL$21, Y275,U275),  IF(S275="MRC",BicubicInterpolation( 'MRC Mach'!$C$3:$T$18, Y275,U275),  IF(S275="M0.84",0.84,  IF(S275="CI52",BicubicInterpolation('CI=52 Mach'!$C$3:$T$18, Y275,U275),  IF(S275="HOLDING",BicubicInterpolation(  'Holding Mach'!$C$4:$M$13, Y275,U275),                         IF(S275="LRCINOP", BicubicInterpolation('LRC INOP Mach'!$C$4:$AA$21,Y275,U275), IF(S275="HOLDINGINOP",  BicubicInterpolation('Holding INOP Mach'!$N$4:$U$13,Y275,U275),         "XXX" )))))))   )))</f>
        <v>#NAME?</v>
      </c>
      <c r="AD275" s="313" t="e">
        <f t="shared" ca="1" si="191"/>
        <v>#NAME?</v>
      </c>
      <c r="AE275" s="314" t="e">
        <f t="shared" ca="1" si="178"/>
        <v>#NAME?</v>
      </c>
      <c r="AF275" s="313" t="e">
        <f t="shared" ca="1" si="192"/>
        <v>#NAME?</v>
      </c>
      <c r="AG275" s="314" t="e">
        <f t="shared" ca="1" si="179"/>
        <v>#NAME?</v>
      </c>
      <c r="AH275" s="313" t="e">
        <f t="shared" ca="1" si="193"/>
        <v>#NAME?</v>
      </c>
      <c r="AI275" s="314" t="e">
        <f t="shared" ca="1" si="180"/>
        <v>#NAME?</v>
      </c>
      <c r="AJ275" s="315" t="e">
        <f t="shared" ca="1" si="181"/>
        <v>#NAME?</v>
      </c>
      <c r="AK275" s="568" t="e">
        <f t="shared" ca="1" si="194"/>
        <v>#NAME?</v>
      </c>
      <c r="AL275" s="313" t="e">
        <f t="shared" ca="1" si="195"/>
        <v>#NAME?</v>
      </c>
      <c r="AM275" s="313" t="e">
        <f t="shared" ca="1" si="182"/>
        <v>#NAME?</v>
      </c>
      <c r="AN275" s="313" t="e">
        <f t="shared" ca="1" si="183"/>
        <v>#NAME?</v>
      </c>
      <c r="AO275" s="316" t="e">
        <f t="shared" ca="1" si="196"/>
        <v>#NAME?</v>
      </c>
      <c r="AP275" s="313" t="e">
        <f t="shared" ca="1" si="197"/>
        <v>#NAME?</v>
      </c>
      <c r="AQ275" s="314" t="e">
        <f t="shared" ca="1" si="184"/>
        <v>#NAME?</v>
      </c>
      <c r="AR275" s="315" t="e">
        <f t="shared" ca="1" si="198"/>
        <v>#NAME?</v>
      </c>
      <c r="AS275" s="316" t="e">
        <f t="shared" ca="1" si="199"/>
        <v>#NAME?</v>
      </c>
      <c r="AT275" s="315" t="e">
        <f t="shared" ca="1" si="200"/>
        <v>#NAME?</v>
      </c>
      <c r="AU275" s="317">
        <v>427.8</v>
      </c>
      <c r="AV275" s="315" t="e">
        <f t="shared" ca="1" si="201"/>
        <v>#NAME?</v>
      </c>
      <c r="AW275" s="318" t="e">
        <f ca="1">0.0001*BicubicInterpolation('Drag Coef Table'!$B$4:$L$28,AV275,AC275)</f>
        <v>#NAME?</v>
      </c>
      <c r="AX275" s="319" t="e">
        <f t="shared" ca="1" si="202"/>
        <v>#NAME?</v>
      </c>
      <c r="AY275" s="318" t="e">
        <f t="shared" ca="1" si="203"/>
        <v>#NAME?</v>
      </c>
      <c r="AZ275" s="320" t="e">
        <f t="shared" ca="1" si="204"/>
        <v>#NAME?</v>
      </c>
      <c r="BA275" s="321" t="e">
        <f t="shared" ca="1" si="205"/>
        <v>#NAME?</v>
      </c>
      <c r="BB275" s="322" t="e">
        <f t="shared" ca="1" si="206"/>
        <v>#NAME?</v>
      </c>
      <c r="BC275" s="323">
        <v>75.196700000000007</v>
      </c>
      <c r="BD275" s="324" t="e">
        <f t="shared" ca="1" si="207"/>
        <v>#NAME?</v>
      </c>
      <c r="BE275" s="325" t="e">
        <f t="shared" ca="1" si="208"/>
        <v>#NAME?</v>
      </c>
      <c r="BF275" s="324" t="e">
        <f ca="1">BicubicInterpolation('TSFC Eff Table'!$B$4:$E$69,2,BB275)</f>
        <v>#NAME?</v>
      </c>
      <c r="BG275" s="326" t="e">
        <f t="shared" ca="1" si="209"/>
        <v>#NAME?</v>
      </c>
      <c r="BH275" s="694" t="e">
        <f ca="1">IF( S275="LRCINOP",   (1+(0.03/10)*Z275*(1+0.2*AC275^2) )*BicubicInterpolation( 'LRC INOP FF'!$C$4:$AA$21, Y275, U275 )-200, IF(S275 ="HOLDINGINOP", (1+(0.03/10)*Z275*(1+0.2*AC275^2) )*BicubicInterpolation( 'Holding INOP FF'!$C$4:$J$13,  Y275,  U275)/1.05-200,   BA275*BG275))</f>
        <v>#NAME?</v>
      </c>
      <c r="BI275" s="344" t="e">
        <f t="shared" ca="1" si="168"/>
        <v>#NAME?</v>
      </c>
      <c r="BJ275" s="322" t="e">
        <f t="shared" ca="1" si="210"/>
        <v>#NAME?</v>
      </c>
      <c r="BK275" s="338" t="e">
        <f t="shared" ca="1" si="169"/>
        <v>#NAME?</v>
      </c>
      <c r="BL275" s="327" t="e">
        <f t="shared" ca="1" si="211"/>
        <v>#NAME?</v>
      </c>
      <c r="BM275" s="328">
        <f t="shared" si="212"/>
        <v>200</v>
      </c>
      <c r="BN275" s="329" t="e">
        <f t="shared" ca="1" si="213"/>
        <v>#NAME?</v>
      </c>
      <c r="BO275" s="344" t="e">
        <f t="shared" ca="1" si="170"/>
        <v>#NAME?</v>
      </c>
      <c r="BP275" s="320" t="e">
        <f t="shared" ca="1" si="214"/>
        <v>#NAME?</v>
      </c>
      <c r="BQ275" s="344" t="e">
        <f t="shared" ca="1" si="171"/>
        <v>#NAME?</v>
      </c>
      <c r="BR275" s="347" t="e">
        <f t="shared" ca="1" si="172"/>
        <v>#NAME?</v>
      </c>
      <c r="BS275" s="326" t="e">
        <f t="shared" ca="1" si="215"/>
        <v>#NAME?</v>
      </c>
      <c r="BT275" s="437" t="e">
        <f t="shared" ca="1" si="185"/>
        <v>#NAME?</v>
      </c>
      <c r="BU275" s="437" t="e">
        <f t="shared" ca="1" si="186"/>
        <v>#NAME?</v>
      </c>
      <c r="BV275" s="441" t="e">
        <f t="shared" ca="1" si="187"/>
        <v>#NAME?</v>
      </c>
      <c r="BW275" s="442" t="e">
        <f t="shared" ca="1" si="188"/>
        <v>#NAME?</v>
      </c>
      <c r="BX275" s="470" t="e">
        <f t="shared" ca="1" si="161"/>
        <v>#NAME?</v>
      </c>
      <c r="BY275" s="484" t="e">
        <f t="shared" ca="1" si="173"/>
        <v>#NAME?</v>
      </c>
      <c r="BZ275" s="176"/>
    </row>
    <row r="276" spans="9:78" s="177" customFormat="1" ht="17.75" customHeight="1" x14ac:dyDescent="0.2">
      <c r="I276" s="366">
        <v>192</v>
      </c>
      <c r="J276" s="414">
        <f t="shared" si="174"/>
        <v>41705.845833333769</v>
      </c>
      <c r="K276" s="435" t="e">
        <f t="shared" ca="1" si="175"/>
        <v>#NAME?</v>
      </c>
      <c r="L276" s="435" t="e">
        <f t="shared" ca="1" si="162"/>
        <v>#NAME?</v>
      </c>
      <c r="M276" s="664" t="e">
        <f t="shared" ca="1" si="216"/>
        <v>#NAME?</v>
      </c>
      <c r="N276" s="664" t="e">
        <f t="shared" ca="1" si="217"/>
        <v>#NAME?</v>
      </c>
      <c r="O276" s="140" t="e">
        <f t="shared" ca="1" si="163"/>
        <v>#NAME?</v>
      </c>
      <c r="P276" s="352" t="e">
        <f t="shared" ca="1" si="176"/>
        <v>#NAME?</v>
      </c>
      <c r="Q276" s="665" t="e">
        <f t="shared" ca="1" si="218"/>
        <v>#NAME?</v>
      </c>
      <c r="R276" s="352" t="e">
        <f t="shared" ca="1" si="189"/>
        <v>#NAME?</v>
      </c>
      <c r="S276" s="662" t="e">
        <f t="shared" ca="1" si="164"/>
        <v>#NAME?</v>
      </c>
      <c r="T276" s="443" t="e">
        <f t="shared" ca="1" si="157"/>
        <v>#NAME?</v>
      </c>
      <c r="U276" s="369" t="e">
        <f t="shared" ca="1" si="158"/>
        <v>#NAME?</v>
      </c>
      <c r="V276" s="454" t="e">
        <f t="shared" ca="1" si="165"/>
        <v>#NAME?</v>
      </c>
      <c r="W276" s="457">
        <f t="shared" si="166"/>
        <v>1000</v>
      </c>
      <c r="X276" s="463" t="e">
        <f t="shared" ca="1" si="167"/>
        <v>#NAME?</v>
      </c>
      <c r="Y276" s="455" t="e">
        <f t="shared" ca="1" si="177"/>
        <v>#NAME?</v>
      </c>
      <c r="Z276" s="699">
        <f t="shared" si="159"/>
        <v>8.5</v>
      </c>
      <c r="AA276" s="355" t="str">
        <f t="shared" si="160"/>
        <v>ON</v>
      </c>
      <c r="AB276" s="357">
        <f t="shared" si="190"/>
        <v>1.4999999999999999E-2</v>
      </c>
      <c r="AC276" s="356" t="e">
        <f ca="1">IF(  Y275=0,0,IF(OR(S276="KCAS",S276="INOP",S276="MEFE"),   ( (5*( (   (((1+0.2*(T276/661.4786)^2)^3.5 -1)  )/( (1-6.8755856*10^-6 *100*Y276)^5.2558797) +1)^(2/7) -1) )^0.5),IF(S276="MACH",T276, IF(S276="LRC",BicubicInterpolation( 'LRC Mach'!$C$4:$AL$21, Y276,U276),  IF(S276="MRC",BicubicInterpolation( 'MRC Mach'!$C$3:$T$18, Y276,U276),  IF(S276="M0.84",0.84,  IF(S276="CI52",BicubicInterpolation('CI=52 Mach'!$C$3:$T$18, Y276,U276),  IF(S276="HOLDING",BicubicInterpolation(  'Holding Mach'!$C$4:$M$13, Y276,U276),                         IF(S276="LRCINOP", BicubicInterpolation('LRC INOP Mach'!$C$4:$AA$21,Y276,U276), IF(S276="HOLDINGINOP",  BicubicInterpolation('Holding INOP Mach'!$N$4:$U$13,Y276,U276),         "XXX" )))))))   )))</f>
        <v>#NAME?</v>
      </c>
      <c r="AD276" s="313" t="e">
        <f t="shared" ca="1" si="191"/>
        <v>#NAME?</v>
      </c>
      <c r="AE276" s="314" t="e">
        <f t="shared" ca="1" si="178"/>
        <v>#NAME?</v>
      </c>
      <c r="AF276" s="313" t="e">
        <f t="shared" ca="1" si="192"/>
        <v>#NAME?</v>
      </c>
      <c r="AG276" s="314" t="e">
        <f t="shared" ca="1" si="179"/>
        <v>#NAME?</v>
      </c>
      <c r="AH276" s="313" t="e">
        <f t="shared" ca="1" si="193"/>
        <v>#NAME?</v>
      </c>
      <c r="AI276" s="314" t="e">
        <f t="shared" ca="1" si="180"/>
        <v>#NAME?</v>
      </c>
      <c r="AJ276" s="315" t="e">
        <f t="shared" ca="1" si="181"/>
        <v>#NAME?</v>
      </c>
      <c r="AK276" s="568" t="e">
        <f t="shared" ca="1" si="194"/>
        <v>#NAME?</v>
      </c>
      <c r="AL276" s="313" t="e">
        <f t="shared" ca="1" si="195"/>
        <v>#NAME?</v>
      </c>
      <c r="AM276" s="313" t="e">
        <f t="shared" ca="1" si="182"/>
        <v>#NAME?</v>
      </c>
      <c r="AN276" s="313" t="e">
        <f t="shared" ca="1" si="183"/>
        <v>#NAME?</v>
      </c>
      <c r="AO276" s="316" t="e">
        <f t="shared" ca="1" si="196"/>
        <v>#NAME?</v>
      </c>
      <c r="AP276" s="313" t="e">
        <f t="shared" ca="1" si="197"/>
        <v>#NAME?</v>
      </c>
      <c r="AQ276" s="314" t="e">
        <f t="shared" ca="1" si="184"/>
        <v>#NAME?</v>
      </c>
      <c r="AR276" s="315" t="e">
        <f t="shared" ca="1" si="198"/>
        <v>#NAME?</v>
      </c>
      <c r="AS276" s="316" t="e">
        <f t="shared" ca="1" si="199"/>
        <v>#NAME?</v>
      </c>
      <c r="AT276" s="315" t="e">
        <f t="shared" ca="1" si="200"/>
        <v>#NAME?</v>
      </c>
      <c r="AU276" s="317">
        <v>427.8</v>
      </c>
      <c r="AV276" s="315" t="e">
        <f t="shared" ca="1" si="201"/>
        <v>#NAME?</v>
      </c>
      <c r="AW276" s="318" t="e">
        <f ca="1">0.0001*BicubicInterpolation('Drag Coef Table'!$B$4:$L$28,AV276,AC276)</f>
        <v>#NAME?</v>
      </c>
      <c r="AX276" s="319" t="e">
        <f t="shared" ca="1" si="202"/>
        <v>#NAME?</v>
      </c>
      <c r="AY276" s="318" t="e">
        <f t="shared" ca="1" si="203"/>
        <v>#NAME?</v>
      </c>
      <c r="AZ276" s="320" t="e">
        <f t="shared" ca="1" si="204"/>
        <v>#NAME?</v>
      </c>
      <c r="BA276" s="321" t="e">
        <f t="shared" ca="1" si="205"/>
        <v>#NAME?</v>
      </c>
      <c r="BB276" s="322" t="e">
        <f t="shared" ca="1" si="206"/>
        <v>#NAME?</v>
      </c>
      <c r="BC276" s="323">
        <v>75.196700000000007</v>
      </c>
      <c r="BD276" s="324" t="e">
        <f t="shared" ca="1" si="207"/>
        <v>#NAME?</v>
      </c>
      <c r="BE276" s="325" t="e">
        <f t="shared" ca="1" si="208"/>
        <v>#NAME?</v>
      </c>
      <c r="BF276" s="324" t="e">
        <f ca="1">BicubicInterpolation('TSFC Eff Table'!$B$4:$E$69,2,BB276)</f>
        <v>#NAME?</v>
      </c>
      <c r="BG276" s="326" t="e">
        <f t="shared" ca="1" si="209"/>
        <v>#NAME?</v>
      </c>
      <c r="BH276" s="694" t="e">
        <f ca="1">IF( S276="LRCINOP",   (1+(0.03/10)*Z276*(1+0.2*AC276^2) )*BicubicInterpolation( 'LRC INOP FF'!$C$4:$AA$21, Y276, U276 )-200, IF(S276 ="HOLDINGINOP", (1+(0.03/10)*Z276*(1+0.2*AC276^2) )*BicubicInterpolation( 'Holding INOP FF'!$C$4:$J$13,  Y276,  U276)/1.05-200,   BA276*BG276))</f>
        <v>#NAME?</v>
      </c>
      <c r="BI276" s="344" t="e">
        <f t="shared" ca="1" si="168"/>
        <v>#NAME?</v>
      </c>
      <c r="BJ276" s="322" t="e">
        <f t="shared" ca="1" si="210"/>
        <v>#NAME?</v>
      </c>
      <c r="BK276" s="338" t="e">
        <f t="shared" ca="1" si="169"/>
        <v>#NAME?</v>
      </c>
      <c r="BL276" s="327" t="e">
        <f t="shared" ca="1" si="211"/>
        <v>#NAME?</v>
      </c>
      <c r="BM276" s="328">
        <f t="shared" si="212"/>
        <v>200</v>
      </c>
      <c r="BN276" s="329" t="e">
        <f t="shared" ca="1" si="213"/>
        <v>#NAME?</v>
      </c>
      <c r="BO276" s="344" t="e">
        <f t="shared" ca="1" si="170"/>
        <v>#NAME?</v>
      </c>
      <c r="BP276" s="320" t="e">
        <f t="shared" ca="1" si="214"/>
        <v>#NAME?</v>
      </c>
      <c r="BQ276" s="344" t="e">
        <f t="shared" ca="1" si="171"/>
        <v>#NAME?</v>
      </c>
      <c r="BR276" s="347" t="e">
        <f t="shared" ca="1" si="172"/>
        <v>#NAME?</v>
      </c>
      <c r="BS276" s="326" t="e">
        <f t="shared" ca="1" si="215"/>
        <v>#NAME?</v>
      </c>
      <c r="BT276" s="437" t="e">
        <f t="shared" ca="1" si="185"/>
        <v>#NAME?</v>
      </c>
      <c r="BU276" s="437" t="e">
        <f t="shared" ca="1" si="186"/>
        <v>#NAME?</v>
      </c>
      <c r="BV276" s="441" t="e">
        <f t="shared" ca="1" si="187"/>
        <v>#NAME?</v>
      </c>
      <c r="BW276" s="442" t="e">
        <f t="shared" ca="1" si="188"/>
        <v>#NAME?</v>
      </c>
      <c r="BX276" s="470" t="e">
        <f t="shared" ca="1" si="161"/>
        <v>#NAME?</v>
      </c>
      <c r="BY276" s="484" t="e">
        <f t="shared" ca="1" si="173"/>
        <v>#NAME?</v>
      </c>
      <c r="BZ276" s="176"/>
    </row>
    <row r="277" spans="9:78" s="177" customFormat="1" ht="17.75" customHeight="1" x14ac:dyDescent="0.2">
      <c r="I277" s="366">
        <v>193</v>
      </c>
      <c r="J277" s="414">
        <f t="shared" si="174"/>
        <v>41705.846527778216</v>
      </c>
      <c r="K277" s="435" t="e">
        <f t="shared" ca="1" si="175"/>
        <v>#NAME?</v>
      </c>
      <c r="L277" s="435" t="e">
        <f t="shared" ca="1" si="162"/>
        <v>#NAME?</v>
      </c>
      <c r="M277" s="664" t="e">
        <f t="shared" ca="1" si="216"/>
        <v>#NAME?</v>
      </c>
      <c r="N277" s="664" t="e">
        <f t="shared" ca="1" si="217"/>
        <v>#NAME?</v>
      </c>
      <c r="O277" s="140" t="e">
        <f t="shared" ca="1" si="163"/>
        <v>#NAME?</v>
      </c>
      <c r="P277" s="352" t="e">
        <f t="shared" ca="1" si="176"/>
        <v>#NAME?</v>
      </c>
      <c r="Q277" s="665" t="e">
        <f t="shared" ca="1" si="218"/>
        <v>#NAME?</v>
      </c>
      <c r="R277" s="352" t="e">
        <f t="shared" ca="1" si="189"/>
        <v>#NAME?</v>
      </c>
      <c r="S277" s="662" t="e">
        <f t="shared" ca="1" si="164"/>
        <v>#NAME?</v>
      </c>
      <c r="T277" s="443" t="e">
        <f t="shared" ref="T277:T340" ca="1" si="219">IF(AND(S277="MEFE",  S276="MEFE"), MAX(T276+$C$43,$C$39), IF(AND(S276="INOP",S277="MEFE"),  MAX(T276+$C$38,$C$39), IF(AND(S277="INOP",S276="INOP"), MAX(T276+$C$38,$C$39),IF(S277="INOP", AO276,IF($J277&lt;$C$12,$C$6,IF($J277&lt;$C$18,$C$14,$C$20))))))</f>
        <v>#NAME?</v>
      </c>
      <c r="U277" s="369" t="e">
        <f t="shared" ref="U277:U340" ca="1" si="220">P277</f>
        <v>#NAME?</v>
      </c>
      <c r="V277" s="454" t="e">
        <f t="shared" ca="1" si="165"/>
        <v>#NAME?</v>
      </c>
      <c r="W277" s="457">
        <f t="shared" si="166"/>
        <v>1000</v>
      </c>
      <c r="X277" s="463" t="e">
        <f t="shared" ca="1" si="167"/>
        <v>#NAME?</v>
      </c>
      <c r="Y277" s="455" t="e">
        <f t="shared" ca="1" si="177"/>
        <v>#NAME?</v>
      </c>
      <c r="Z277" s="699">
        <f t="shared" ref="Z277:Z340" si="221">IF(I277&gt;$M$83-1,$C$22,IF(I277&gt;$K$83-1,$C$16,$C$8))</f>
        <v>8.5</v>
      </c>
      <c r="AA277" s="355" t="str">
        <f t="shared" ref="AA277:AA340" si="222">IF(I277&lt;$K$83,$C$9, IF( I277&lt;$L$83, $C$17,$C$23))</f>
        <v>ON</v>
      </c>
      <c r="AB277" s="357">
        <f t="shared" si="190"/>
        <v>1.4999999999999999E-2</v>
      </c>
      <c r="AC277" s="356" t="e">
        <f ca="1">IF(  Y276=0,0,IF(OR(S277="KCAS",S277="INOP",S277="MEFE"),   ( (5*( (   (((1+0.2*(T277/661.4786)^2)^3.5 -1)  )/( (1-6.8755856*10^-6 *100*Y277)^5.2558797) +1)^(2/7) -1) )^0.5),IF(S277="MACH",T277, IF(S277="LRC",BicubicInterpolation( 'LRC Mach'!$C$4:$AL$21, Y277,U277),  IF(S277="MRC",BicubicInterpolation( 'MRC Mach'!$C$3:$T$18, Y277,U277),  IF(S277="M0.84",0.84,  IF(S277="CI52",BicubicInterpolation('CI=52 Mach'!$C$3:$T$18, Y277,U277),  IF(S277="HOLDING",BicubicInterpolation(  'Holding Mach'!$C$4:$M$13, Y277,U277),                         IF(S277="LRCINOP", BicubicInterpolation('LRC INOP Mach'!$C$4:$AA$21,Y277,U277), IF(S277="HOLDINGINOP",  BicubicInterpolation('Holding INOP Mach'!$N$4:$U$13,Y277,U277),         "XXX" )))))))   )))</f>
        <v>#NAME?</v>
      </c>
      <c r="AD277" s="313" t="e">
        <f t="shared" ca="1" si="191"/>
        <v>#NAME?</v>
      </c>
      <c r="AE277" s="314" t="e">
        <f t="shared" ca="1" si="178"/>
        <v>#NAME?</v>
      </c>
      <c r="AF277" s="313" t="e">
        <f t="shared" ca="1" si="192"/>
        <v>#NAME?</v>
      </c>
      <c r="AG277" s="314" t="e">
        <f t="shared" ca="1" si="179"/>
        <v>#NAME?</v>
      </c>
      <c r="AH277" s="313" t="e">
        <f t="shared" ca="1" si="193"/>
        <v>#NAME?</v>
      </c>
      <c r="AI277" s="314" t="e">
        <f t="shared" ca="1" si="180"/>
        <v>#NAME?</v>
      </c>
      <c r="AJ277" s="315" t="e">
        <f t="shared" ca="1" si="181"/>
        <v>#NAME?</v>
      </c>
      <c r="AK277" s="568" t="e">
        <f t="shared" ca="1" si="194"/>
        <v>#NAME?</v>
      </c>
      <c r="AL277" s="313" t="e">
        <f t="shared" ca="1" si="195"/>
        <v>#NAME?</v>
      </c>
      <c r="AM277" s="313" t="e">
        <f t="shared" ca="1" si="182"/>
        <v>#NAME?</v>
      </c>
      <c r="AN277" s="313" t="e">
        <f t="shared" ca="1" si="183"/>
        <v>#NAME?</v>
      </c>
      <c r="AO277" s="316" t="e">
        <f t="shared" ca="1" si="196"/>
        <v>#NAME?</v>
      </c>
      <c r="AP277" s="313" t="e">
        <f t="shared" ca="1" si="197"/>
        <v>#NAME?</v>
      </c>
      <c r="AQ277" s="314" t="e">
        <f t="shared" ca="1" si="184"/>
        <v>#NAME?</v>
      </c>
      <c r="AR277" s="315" t="e">
        <f t="shared" ca="1" si="198"/>
        <v>#NAME?</v>
      </c>
      <c r="AS277" s="316" t="e">
        <f t="shared" ca="1" si="199"/>
        <v>#NAME?</v>
      </c>
      <c r="AT277" s="315" t="e">
        <f t="shared" ca="1" si="200"/>
        <v>#NAME?</v>
      </c>
      <c r="AU277" s="317">
        <v>427.8</v>
      </c>
      <c r="AV277" s="315" t="e">
        <f t="shared" ca="1" si="201"/>
        <v>#NAME?</v>
      </c>
      <c r="AW277" s="318" t="e">
        <f ca="1">0.0001*BicubicInterpolation('Drag Coef Table'!$B$4:$L$28,AV277,AC277)</f>
        <v>#NAME?</v>
      </c>
      <c r="AX277" s="319" t="e">
        <f t="shared" ca="1" si="202"/>
        <v>#NAME?</v>
      </c>
      <c r="AY277" s="318" t="e">
        <f t="shared" ca="1" si="203"/>
        <v>#NAME?</v>
      </c>
      <c r="AZ277" s="320" t="e">
        <f t="shared" ca="1" si="204"/>
        <v>#NAME?</v>
      </c>
      <c r="BA277" s="321" t="e">
        <f t="shared" ca="1" si="205"/>
        <v>#NAME?</v>
      </c>
      <c r="BB277" s="322" t="e">
        <f t="shared" ca="1" si="206"/>
        <v>#NAME?</v>
      </c>
      <c r="BC277" s="323">
        <v>75.196700000000007</v>
      </c>
      <c r="BD277" s="324" t="e">
        <f t="shared" ca="1" si="207"/>
        <v>#NAME?</v>
      </c>
      <c r="BE277" s="325" t="e">
        <f t="shared" ca="1" si="208"/>
        <v>#NAME?</v>
      </c>
      <c r="BF277" s="324" t="e">
        <f ca="1">BicubicInterpolation('TSFC Eff Table'!$B$4:$E$69,2,BB277)</f>
        <v>#NAME?</v>
      </c>
      <c r="BG277" s="326" t="e">
        <f t="shared" ca="1" si="209"/>
        <v>#NAME?</v>
      </c>
      <c r="BH277" s="694" t="e">
        <f ca="1">IF( S277="LRCINOP",   (1+(0.03/10)*Z277*(1+0.2*AC277^2) )*BicubicInterpolation( 'LRC INOP FF'!$C$4:$AA$21, Y277, U277 )-200, IF(S277 ="HOLDINGINOP", (1+(0.03/10)*Z277*(1+0.2*AC277^2) )*BicubicInterpolation( 'Holding INOP FF'!$C$4:$J$13,  Y277,  U277)/1.05-200,   BA277*BG277))</f>
        <v>#NAME?</v>
      </c>
      <c r="BI277" s="344" t="e">
        <f t="shared" ca="1" si="168"/>
        <v>#NAME?</v>
      </c>
      <c r="BJ277" s="322" t="e">
        <f t="shared" ca="1" si="210"/>
        <v>#NAME?</v>
      </c>
      <c r="BK277" s="338" t="e">
        <f t="shared" ca="1" si="169"/>
        <v>#NAME?</v>
      </c>
      <c r="BL277" s="327" t="e">
        <f t="shared" ca="1" si="211"/>
        <v>#NAME?</v>
      </c>
      <c r="BM277" s="328">
        <f t="shared" si="212"/>
        <v>200</v>
      </c>
      <c r="BN277" s="329" t="e">
        <f t="shared" ca="1" si="213"/>
        <v>#NAME?</v>
      </c>
      <c r="BO277" s="344" t="e">
        <f t="shared" ca="1" si="170"/>
        <v>#NAME?</v>
      </c>
      <c r="BP277" s="320" t="e">
        <f t="shared" ca="1" si="214"/>
        <v>#NAME?</v>
      </c>
      <c r="BQ277" s="344" t="e">
        <f t="shared" ca="1" si="171"/>
        <v>#NAME?</v>
      </c>
      <c r="BR277" s="347" t="e">
        <f t="shared" ca="1" si="172"/>
        <v>#NAME?</v>
      </c>
      <c r="BS277" s="326" t="e">
        <f t="shared" ca="1" si="215"/>
        <v>#NAME?</v>
      </c>
      <c r="BT277" s="437" t="e">
        <f t="shared" ca="1" si="185"/>
        <v>#NAME?</v>
      </c>
      <c r="BU277" s="437" t="e">
        <f t="shared" ca="1" si="186"/>
        <v>#NAME?</v>
      </c>
      <c r="BV277" s="441" t="e">
        <f t="shared" ca="1" si="187"/>
        <v>#NAME?</v>
      </c>
      <c r="BW277" s="442" t="e">
        <f t="shared" ca="1" si="188"/>
        <v>#NAME?</v>
      </c>
      <c r="BX277" s="470" t="e">
        <f t="shared" ref="BX277:BX340" ca="1" si="223">IF(Y277=0,I277,"")</f>
        <v>#NAME?</v>
      </c>
      <c r="BY277" s="484" t="e">
        <f t="shared" ca="1" si="173"/>
        <v>#NAME?</v>
      </c>
      <c r="BZ277" s="176"/>
    </row>
    <row r="278" spans="9:78" s="177" customFormat="1" ht="17.75" customHeight="1" x14ac:dyDescent="0.2">
      <c r="I278" s="366">
        <v>194</v>
      </c>
      <c r="J278" s="414">
        <f t="shared" si="174"/>
        <v>41705.847222222663</v>
      </c>
      <c r="K278" s="435" t="e">
        <f t="shared" ca="1" si="175"/>
        <v>#NAME?</v>
      </c>
      <c r="L278" s="435" t="e">
        <f t="shared" ref="L278:L341" ca="1" si="224">IF(N278=0,0,Q278*(1+$C$79)/60)</f>
        <v>#NAME?</v>
      </c>
      <c r="M278" s="664" t="e">
        <f t="shared" ca="1" si="216"/>
        <v>#NAME?</v>
      </c>
      <c r="N278" s="664" t="e">
        <f t="shared" ca="1" si="217"/>
        <v>#NAME?</v>
      </c>
      <c r="O278" s="140" t="e">
        <f t="shared" ref="O278:O341" ca="1" si="225">M278+N278</f>
        <v>#NAME?</v>
      </c>
      <c r="P278" s="352" t="e">
        <f t="shared" ca="1" si="176"/>
        <v>#NAME?</v>
      </c>
      <c r="Q278" s="665" t="e">
        <f t="shared" ca="1" si="218"/>
        <v>#NAME?</v>
      </c>
      <c r="R278" s="352" t="e">
        <f t="shared" ca="1" si="189"/>
        <v>#NAME?</v>
      </c>
      <c r="S278" s="662" t="e">
        <f t="shared" ref="S278:S341" ca="1" si="226">IF(O278=0, "MEFE",IF(AND(  NOT(S277="LRCINOP"),NOT(S277="HOLDINGINOP"),  N278=0), "INOP",IF(I278&gt;$M$83-1,$C$19,IF(I278&gt;$K$83-1,$C$13,$C$5))))</f>
        <v>#NAME?</v>
      </c>
      <c r="T278" s="443" t="e">
        <f t="shared" ca="1" si="219"/>
        <v>#NAME?</v>
      </c>
      <c r="U278" s="369" t="e">
        <f t="shared" ca="1" si="220"/>
        <v>#NAME?</v>
      </c>
      <c r="V278" s="454" t="e">
        <f t="shared" ref="V278:V341" ca="1" si="227">IF(S277="MEFE",0,IF(AND(S277="INOP", T278=$C$39 ), MIN($C$40,V277 ),IF(J277&lt;$C$12,$C$7,IF(J277&lt;$C$18,$C$15,$C$21))))</f>
        <v>#NAME?</v>
      </c>
      <c r="W278" s="457">
        <f t="shared" ref="W278:W341" si="228">$C$27</f>
        <v>1000</v>
      </c>
      <c r="X278" s="463" t="e">
        <f t="shared" ref="X278:X341" ca="1" si="229">IF(   Y277=0,  0,   IF(S278="INOP", $C$41, IF(S278="MEFE", $C$42,IF(OR(S278="KCAS",S278="HOLDING"), $C$31,$C$28 ) ))             )</f>
        <v>#NAME?</v>
      </c>
      <c r="Y278" s="455" t="e">
        <f t="shared" ca="1" si="177"/>
        <v>#NAME?</v>
      </c>
      <c r="Z278" s="699">
        <f t="shared" si="221"/>
        <v>8.5</v>
      </c>
      <c r="AA278" s="355" t="str">
        <f t="shared" si="222"/>
        <v>ON</v>
      </c>
      <c r="AB278" s="357">
        <f t="shared" si="190"/>
        <v>1.4999999999999999E-2</v>
      </c>
      <c r="AC278" s="356" t="e">
        <f ca="1">IF(  Y277=0,0,IF(OR(S278="KCAS",S278="INOP",S278="MEFE"),   ( (5*( (   (((1+0.2*(T278/661.4786)^2)^3.5 -1)  )/( (1-6.8755856*10^-6 *100*Y278)^5.2558797) +1)^(2/7) -1) )^0.5),IF(S278="MACH",T278, IF(S278="LRC",BicubicInterpolation( 'LRC Mach'!$C$4:$AL$21, Y278,U278),  IF(S278="MRC",BicubicInterpolation( 'MRC Mach'!$C$3:$T$18, Y278,U278),  IF(S278="M0.84",0.84,  IF(S278="CI52",BicubicInterpolation('CI=52 Mach'!$C$3:$T$18, Y278,U278),  IF(S278="HOLDING",BicubicInterpolation(  'Holding Mach'!$C$4:$M$13, Y278,U278),                         IF(S278="LRCINOP", BicubicInterpolation('LRC INOP Mach'!$C$4:$AA$21,Y278,U278), IF(S278="HOLDINGINOP",  BicubicInterpolation('Holding INOP Mach'!$N$4:$U$13,Y278,U278),         "XXX" )))))))   )))</f>
        <v>#NAME?</v>
      </c>
      <c r="AD278" s="313" t="e">
        <f t="shared" ca="1" si="191"/>
        <v>#NAME?</v>
      </c>
      <c r="AE278" s="314" t="e">
        <f t="shared" ca="1" si="178"/>
        <v>#NAME?</v>
      </c>
      <c r="AF278" s="313" t="e">
        <f t="shared" ca="1" si="192"/>
        <v>#NAME?</v>
      </c>
      <c r="AG278" s="314" t="e">
        <f t="shared" ca="1" si="179"/>
        <v>#NAME?</v>
      </c>
      <c r="AH278" s="313" t="e">
        <f t="shared" ca="1" si="193"/>
        <v>#NAME?</v>
      </c>
      <c r="AI278" s="314" t="e">
        <f t="shared" ca="1" si="180"/>
        <v>#NAME?</v>
      </c>
      <c r="AJ278" s="315" t="e">
        <f t="shared" ca="1" si="181"/>
        <v>#NAME?</v>
      </c>
      <c r="AK278" s="568" t="e">
        <f t="shared" ca="1" si="194"/>
        <v>#NAME?</v>
      </c>
      <c r="AL278" s="313" t="e">
        <f t="shared" ca="1" si="195"/>
        <v>#NAME?</v>
      </c>
      <c r="AM278" s="313" t="e">
        <f t="shared" ca="1" si="182"/>
        <v>#NAME?</v>
      </c>
      <c r="AN278" s="313" t="e">
        <f t="shared" ca="1" si="183"/>
        <v>#NAME?</v>
      </c>
      <c r="AO278" s="316" t="e">
        <f t="shared" ca="1" si="196"/>
        <v>#NAME?</v>
      </c>
      <c r="AP278" s="313" t="e">
        <f t="shared" ca="1" si="197"/>
        <v>#NAME?</v>
      </c>
      <c r="AQ278" s="314" t="e">
        <f t="shared" ca="1" si="184"/>
        <v>#NAME?</v>
      </c>
      <c r="AR278" s="315" t="e">
        <f t="shared" ca="1" si="198"/>
        <v>#NAME?</v>
      </c>
      <c r="AS278" s="316" t="e">
        <f t="shared" ca="1" si="199"/>
        <v>#NAME?</v>
      </c>
      <c r="AT278" s="315" t="e">
        <f t="shared" ca="1" si="200"/>
        <v>#NAME?</v>
      </c>
      <c r="AU278" s="317">
        <v>427.8</v>
      </c>
      <c r="AV278" s="315" t="e">
        <f t="shared" ca="1" si="201"/>
        <v>#NAME?</v>
      </c>
      <c r="AW278" s="318" t="e">
        <f ca="1">0.0001*BicubicInterpolation('Drag Coef Table'!$B$4:$L$28,AV278,AC278)</f>
        <v>#NAME?</v>
      </c>
      <c r="AX278" s="319" t="e">
        <f t="shared" ca="1" si="202"/>
        <v>#NAME?</v>
      </c>
      <c r="AY278" s="318" t="e">
        <f t="shared" ca="1" si="203"/>
        <v>#NAME?</v>
      </c>
      <c r="AZ278" s="320" t="e">
        <f t="shared" ca="1" si="204"/>
        <v>#NAME?</v>
      </c>
      <c r="BA278" s="321" t="e">
        <f t="shared" ca="1" si="205"/>
        <v>#NAME?</v>
      </c>
      <c r="BB278" s="322" t="e">
        <f t="shared" ca="1" si="206"/>
        <v>#NAME?</v>
      </c>
      <c r="BC278" s="323">
        <v>75.196700000000007</v>
      </c>
      <c r="BD278" s="324" t="e">
        <f t="shared" ca="1" si="207"/>
        <v>#NAME?</v>
      </c>
      <c r="BE278" s="325" t="e">
        <f t="shared" ca="1" si="208"/>
        <v>#NAME?</v>
      </c>
      <c r="BF278" s="324" t="e">
        <f ca="1">BicubicInterpolation('TSFC Eff Table'!$B$4:$E$69,2,BB278)</f>
        <v>#NAME?</v>
      </c>
      <c r="BG278" s="326" t="e">
        <f t="shared" ca="1" si="209"/>
        <v>#NAME?</v>
      </c>
      <c r="BH278" s="694" t="e">
        <f ca="1">IF( S278="LRCINOP",   (1+(0.03/10)*Z278*(1+0.2*AC278^2) )*BicubicInterpolation( 'LRC INOP FF'!$C$4:$AA$21, Y278, U278 )-200, IF(S278 ="HOLDINGINOP", (1+(0.03/10)*Z278*(1+0.2*AC278^2) )*BicubicInterpolation( 'Holding INOP FF'!$C$4:$J$13,  Y278,  U278)/1.05-200,   BA278*BG278))</f>
        <v>#NAME?</v>
      </c>
      <c r="BI278" s="344" t="e">
        <f t="shared" ref="BI278:BI341" ca="1" si="230">IF( OR( S278="LRCINOP", S278 ="HOLDINGINOP"),BH278, BH278/2)</f>
        <v>#NAME?</v>
      </c>
      <c r="BJ278" s="322" t="e">
        <f t="shared" ca="1" si="210"/>
        <v>#NAME?</v>
      </c>
      <c r="BK278" s="338" t="e">
        <f t="shared" ref="BK278:BK341" ca="1" si="231">IF( OR( S278="LRCINOP", S278 ="HOLDINGINOP"),BJ278, 2*BJ278)</f>
        <v>#NAME?</v>
      </c>
      <c r="BL278" s="327" t="e">
        <f t="shared" ca="1" si="211"/>
        <v>#NAME?</v>
      </c>
      <c r="BM278" s="328">
        <f t="shared" si="212"/>
        <v>200</v>
      </c>
      <c r="BN278" s="329" t="e">
        <f t="shared" ca="1" si="213"/>
        <v>#NAME?</v>
      </c>
      <c r="BO278" s="344" t="e">
        <f t="shared" ref="BO278:BO341" ca="1" si="232">IF( OR( S278="LRCINOP", S278 ="HOLDINGINOP"), BN278, 2*BN278)</f>
        <v>#NAME?</v>
      </c>
      <c r="BP278" s="320" t="e">
        <f t="shared" ca="1" si="214"/>
        <v>#NAME?</v>
      </c>
      <c r="BQ278" s="344" t="e">
        <f t="shared" ref="BQ278:BQ341" ca="1" si="233">BN278*(1+$C$25)</f>
        <v>#NAME?</v>
      </c>
      <c r="BR278" s="347" t="e">
        <f t="shared" ref="BR278:BR341" ca="1" si="234">BO278*(1+$C$25)</f>
        <v>#NAME?</v>
      </c>
      <c r="BS278" s="326" t="e">
        <f t="shared" ca="1" si="215"/>
        <v>#NAME?</v>
      </c>
      <c r="BT278" s="437" t="e">
        <f t="shared" ca="1" si="185"/>
        <v>#NAME?</v>
      </c>
      <c r="BU278" s="437" t="e">
        <f t="shared" ca="1" si="186"/>
        <v>#NAME?</v>
      </c>
      <c r="BV278" s="441" t="e">
        <f t="shared" ca="1" si="187"/>
        <v>#NAME?</v>
      </c>
      <c r="BW278" s="442" t="e">
        <f t="shared" ca="1" si="188"/>
        <v>#NAME?</v>
      </c>
      <c r="BX278" s="470" t="e">
        <f t="shared" ca="1" si="223"/>
        <v>#NAME?</v>
      </c>
      <c r="BY278" s="484" t="e">
        <f t="shared" ref="BY278:BY341" ca="1" si="235">100*O278</f>
        <v>#NAME?</v>
      </c>
      <c r="BZ278" s="176"/>
    </row>
    <row r="279" spans="9:78" s="177" customFormat="1" ht="17.75" customHeight="1" x14ac:dyDescent="0.2">
      <c r="I279" s="366">
        <v>195</v>
      </c>
      <c r="J279" s="414">
        <f t="shared" ref="J279:J342" si="236">J278+1/1440</f>
        <v>41705.84791666711</v>
      </c>
      <c r="K279" s="435" t="e">
        <f t="shared" ref="K279:K342" ca="1" si="237">IF(M279=0,0,Q279*(1+$C$78)/60)</f>
        <v>#NAME?</v>
      </c>
      <c r="L279" s="435" t="e">
        <f t="shared" ca="1" si="224"/>
        <v>#NAME?</v>
      </c>
      <c r="M279" s="664" t="e">
        <f t="shared" ca="1" si="216"/>
        <v>#NAME?</v>
      </c>
      <c r="N279" s="664" t="e">
        <f t="shared" ca="1" si="217"/>
        <v>#NAME?</v>
      </c>
      <c r="O279" s="140" t="e">
        <f t="shared" ca="1" si="225"/>
        <v>#NAME?</v>
      </c>
      <c r="P279" s="352" t="e">
        <f t="shared" ref="P279:P342" ca="1" si="238">MAX(O279+$C$24,$C$24)</f>
        <v>#NAME?</v>
      </c>
      <c r="Q279" s="665" t="e">
        <f t="shared" ca="1" si="218"/>
        <v>#NAME?</v>
      </c>
      <c r="R279" s="352" t="e">
        <f t="shared" ca="1" si="189"/>
        <v>#NAME?</v>
      </c>
      <c r="S279" s="662" t="e">
        <f t="shared" ca="1" si="226"/>
        <v>#NAME?</v>
      </c>
      <c r="T279" s="443" t="e">
        <f t="shared" ca="1" si="219"/>
        <v>#NAME?</v>
      </c>
      <c r="U279" s="369" t="e">
        <f t="shared" ca="1" si="220"/>
        <v>#NAME?</v>
      </c>
      <c r="V279" s="454" t="e">
        <f t="shared" ca="1" si="227"/>
        <v>#NAME?</v>
      </c>
      <c r="W279" s="457">
        <f t="shared" si="228"/>
        <v>1000</v>
      </c>
      <c r="X279" s="463" t="e">
        <f t="shared" ca="1" si="229"/>
        <v>#NAME?</v>
      </c>
      <c r="Y279" s="455" t="e">
        <f t="shared" ref="Y279:Y342" ca="1" si="239">Y278   +   IF(   V279=Y278,   0,   IF(V279-Y278&lt;0, MAX(V279-Y278,X279/100), IF(    V279-Y278&gt;0,    MIN(V279-Y278, W279/100 ))))</f>
        <v>#NAME?</v>
      </c>
      <c r="Z279" s="699">
        <f t="shared" si="221"/>
        <v>8.5</v>
      </c>
      <c r="AA279" s="355" t="str">
        <f t="shared" si="222"/>
        <v>ON</v>
      </c>
      <c r="AB279" s="357">
        <f t="shared" si="190"/>
        <v>1.4999999999999999E-2</v>
      </c>
      <c r="AC279" s="356" t="e">
        <f ca="1">IF(  Y278=0,0,IF(OR(S279="KCAS",S279="INOP",S279="MEFE"),   ( (5*( (   (((1+0.2*(T279/661.4786)^2)^3.5 -1)  )/( (1-6.8755856*10^-6 *100*Y279)^5.2558797) +1)^(2/7) -1) )^0.5),IF(S279="MACH",T279, IF(S279="LRC",BicubicInterpolation( 'LRC Mach'!$C$4:$AL$21, Y279,U279),  IF(S279="MRC",BicubicInterpolation( 'MRC Mach'!$C$3:$T$18, Y279,U279),  IF(S279="M0.84",0.84,  IF(S279="CI52",BicubicInterpolation('CI=52 Mach'!$C$3:$T$18, Y279,U279),  IF(S279="HOLDING",BicubicInterpolation(  'Holding Mach'!$C$4:$M$13, Y279,U279),                         IF(S279="LRCINOP", BicubicInterpolation('LRC INOP Mach'!$C$4:$AA$21,Y279,U279), IF(S279="HOLDINGINOP",  BicubicInterpolation('Holding INOP Mach'!$N$4:$U$13,Y279,U279),         "XXX" )))))))   )))</f>
        <v>#NAME?</v>
      </c>
      <c r="AD279" s="313" t="e">
        <f t="shared" ca="1" si="191"/>
        <v>#NAME?</v>
      </c>
      <c r="AE279" s="314" t="e">
        <f t="shared" ref="AE279:AE342" ca="1" si="240">AD279/288.15</f>
        <v>#NAME?</v>
      </c>
      <c r="AF279" s="313" t="e">
        <f t="shared" ca="1" si="192"/>
        <v>#NAME?</v>
      </c>
      <c r="AG279" s="314" t="e">
        <f t="shared" ref="AG279:AG342" ca="1" si="241">AF279/288.15</f>
        <v>#NAME?</v>
      </c>
      <c r="AH279" s="313" t="e">
        <f t="shared" ca="1" si="193"/>
        <v>#NAME?</v>
      </c>
      <c r="AI279" s="314" t="e">
        <f t="shared" ref="AI279:AI342" ca="1" si="242">AH279/288.15</f>
        <v>#NAME?</v>
      </c>
      <c r="AJ279" s="315" t="e">
        <f t="shared" ref="AJ279:AJ342" ca="1" si="243">AI279^0.68</f>
        <v>#NAME?</v>
      </c>
      <c r="AK279" s="568" t="e">
        <f t="shared" ca="1" si="194"/>
        <v>#NAME?</v>
      </c>
      <c r="AL279" s="313" t="e">
        <f t="shared" ca="1" si="195"/>
        <v>#NAME?</v>
      </c>
      <c r="AM279" s="313" t="e">
        <f t="shared" ref="AM279:AM342" ca="1" si="244">AL279*0.5144444</f>
        <v>#NAME?</v>
      </c>
      <c r="AN279" s="313" t="e">
        <f t="shared" ref="AN279:AN342" ca="1" si="245">AN278+AVERAGE(AL278:AL279)/60</f>
        <v>#NAME?</v>
      </c>
      <c r="AO279" s="316" t="e">
        <f t="shared" ca="1" si="196"/>
        <v>#NAME?</v>
      </c>
      <c r="AP279" s="313" t="e">
        <f t="shared" ca="1" si="197"/>
        <v>#NAME?</v>
      </c>
      <c r="AQ279" s="314" t="e">
        <f t="shared" ref="AQ279:AQ342" ca="1" si="246">AP279/1013.25</f>
        <v>#NAME?</v>
      </c>
      <c r="AR279" s="315" t="e">
        <f t="shared" ca="1" si="198"/>
        <v>#NAME?</v>
      </c>
      <c r="AS279" s="316" t="e">
        <f t="shared" ca="1" si="199"/>
        <v>#NAME?</v>
      </c>
      <c r="AT279" s="315" t="e">
        <f t="shared" ca="1" si="200"/>
        <v>#NAME?</v>
      </c>
      <c r="AU279" s="317">
        <v>427.8</v>
      </c>
      <c r="AV279" s="315" t="e">
        <f t="shared" ca="1" si="201"/>
        <v>#NAME?</v>
      </c>
      <c r="AW279" s="318" t="e">
        <f ca="1">0.0001*BicubicInterpolation('Drag Coef Table'!$B$4:$L$28,AV279,AC279)</f>
        <v>#NAME?</v>
      </c>
      <c r="AX279" s="319" t="e">
        <f t="shared" ca="1" si="202"/>
        <v>#NAME?</v>
      </c>
      <c r="AY279" s="318" t="e">
        <f t="shared" ca="1" si="203"/>
        <v>#NAME?</v>
      </c>
      <c r="AZ279" s="320" t="e">
        <f t="shared" ca="1" si="204"/>
        <v>#NAME?</v>
      </c>
      <c r="BA279" s="321" t="e">
        <f t="shared" ca="1" si="205"/>
        <v>#NAME?</v>
      </c>
      <c r="BB279" s="322" t="e">
        <f t="shared" ca="1" si="206"/>
        <v>#NAME?</v>
      </c>
      <c r="BC279" s="323">
        <v>75.196700000000007</v>
      </c>
      <c r="BD279" s="324" t="e">
        <f t="shared" ca="1" si="207"/>
        <v>#NAME?</v>
      </c>
      <c r="BE279" s="325" t="e">
        <f t="shared" ca="1" si="208"/>
        <v>#NAME?</v>
      </c>
      <c r="BF279" s="324" t="e">
        <f ca="1">BicubicInterpolation('TSFC Eff Table'!$B$4:$E$69,2,BB279)</f>
        <v>#NAME?</v>
      </c>
      <c r="BG279" s="326" t="e">
        <f t="shared" ca="1" si="209"/>
        <v>#NAME?</v>
      </c>
      <c r="BH279" s="694" t="e">
        <f ca="1">IF( S279="LRCINOP",   (1+(0.03/10)*Z279*(1+0.2*AC279^2) )*BicubicInterpolation( 'LRC INOP FF'!$C$4:$AA$21, Y279, U279 )-200, IF(S279 ="HOLDINGINOP", (1+(0.03/10)*Z279*(1+0.2*AC279^2) )*BicubicInterpolation( 'Holding INOP FF'!$C$4:$J$13,  Y279,  U279)/1.05-200,   BA279*BG279))</f>
        <v>#NAME?</v>
      </c>
      <c r="BI279" s="344" t="e">
        <f t="shared" ca="1" si="230"/>
        <v>#NAME?</v>
      </c>
      <c r="BJ279" s="322" t="e">
        <f t="shared" ca="1" si="210"/>
        <v>#NAME?</v>
      </c>
      <c r="BK279" s="338" t="e">
        <f t="shared" ca="1" si="231"/>
        <v>#NAME?</v>
      </c>
      <c r="BL279" s="327" t="e">
        <f t="shared" ca="1" si="211"/>
        <v>#NAME?</v>
      </c>
      <c r="BM279" s="328">
        <f t="shared" si="212"/>
        <v>200</v>
      </c>
      <c r="BN279" s="329" t="e">
        <f t="shared" ca="1" si="213"/>
        <v>#NAME?</v>
      </c>
      <c r="BO279" s="344" t="e">
        <f t="shared" ca="1" si="232"/>
        <v>#NAME?</v>
      </c>
      <c r="BP279" s="320" t="e">
        <f t="shared" ca="1" si="214"/>
        <v>#NAME?</v>
      </c>
      <c r="BQ279" s="344" t="e">
        <f t="shared" ca="1" si="233"/>
        <v>#NAME?</v>
      </c>
      <c r="BR279" s="347" t="e">
        <f t="shared" ca="1" si="234"/>
        <v>#NAME?</v>
      </c>
      <c r="BS279" s="326" t="e">
        <f t="shared" ca="1" si="215"/>
        <v>#NAME?</v>
      </c>
      <c r="BT279" s="437" t="e">
        <f t="shared" ref="BT279:BT342" ca="1" si="247">IF(AND(M279=0,M278&gt;0),I279,"")</f>
        <v>#NAME?</v>
      </c>
      <c r="BU279" s="437" t="e">
        <f t="shared" ref="BU279:BU342" ca="1" si="248">IF(AND(N279=0,N278&gt;0),$I279,"")</f>
        <v>#NAME?</v>
      </c>
      <c r="BV279" s="441" t="e">
        <f t="shared" ref="BV279:BV342" ca="1" si="249">BV278+AC278</f>
        <v>#NAME?</v>
      </c>
      <c r="BW279" s="442" t="e">
        <f t="shared" ref="BW279:BW342" ca="1" si="250">BW278+AL278</f>
        <v>#NAME?</v>
      </c>
      <c r="BX279" s="470" t="e">
        <f t="shared" ca="1" si="223"/>
        <v>#NAME?</v>
      </c>
      <c r="BY279" s="484" t="e">
        <f t="shared" ca="1" si="235"/>
        <v>#NAME?</v>
      </c>
      <c r="BZ279" s="176"/>
    </row>
    <row r="280" spans="9:78" s="177" customFormat="1" ht="17.75" customHeight="1" x14ac:dyDescent="0.2">
      <c r="I280" s="366">
        <v>196</v>
      </c>
      <c r="J280" s="414">
        <f t="shared" si="236"/>
        <v>41705.848611111556</v>
      </c>
      <c r="K280" s="435" t="e">
        <f t="shared" ca="1" si="237"/>
        <v>#NAME?</v>
      </c>
      <c r="L280" s="435" t="e">
        <f t="shared" ca="1" si="224"/>
        <v>#NAME?</v>
      </c>
      <c r="M280" s="664" t="e">
        <f t="shared" ca="1" si="216"/>
        <v>#NAME?</v>
      </c>
      <c r="N280" s="664" t="e">
        <f t="shared" ca="1" si="217"/>
        <v>#NAME?</v>
      </c>
      <c r="O280" s="140" t="e">
        <f t="shared" ca="1" si="225"/>
        <v>#NAME?</v>
      </c>
      <c r="P280" s="352" t="e">
        <f t="shared" ca="1" si="238"/>
        <v>#NAME?</v>
      </c>
      <c r="Q280" s="665" t="e">
        <f t="shared" ca="1" si="218"/>
        <v>#NAME?</v>
      </c>
      <c r="R280" s="352" t="e">
        <f t="shared" ca="1" si="189"/>
        <v>#NAME?</v>
      </c>
      <c r="S280" s="662" t="e">
        <f t="shared" ca="1" si="226"/>
        <v>#NAME?</v>
      </c>
      <c r="T280" s="443" t="e">
        <f t="shared" ca="1" si="219"/>
        <v>#NAME?</v>
      </c>
      <c r="U280" s="369" t="e">
        <f t="shared" ca="1" si="220"/>
        <v>#NAME?</v>
      </c>
      <c r="V280" s="454" t="e">
        <f t="shared" ca="1" si="227"/>
        <v>#NAME?</v>
      </c>
      <c r="W280" s="457">
        <f t="shared" si="228"/>
        <v>1000</v>
      </c>
      <c r="X280" s="463" t="e">
        <f t="shared" ca="1" si="229"/>
        <v>#NAME?</v>
      </c>
      <c r="Y280" s="455" t="e">
        <f t="shared" ca="1" si="239"/>
        <v>#NAME?</v>
      </c>
      <c r="Z280" s="699">
        <f t="shared" si="221"/>
        <v>8.5</v>
      </c>
      <c r="AA280" s="355" t="str">
        <f t="shared" si="222"/>
        <v>ON</v>
      </c>
      <c r="AB280" s="357">
        <f t="shared" si="190"/>
        <v>1.4999999999999999E-2</v>
      </c>
      <c r="AC280" s="356" t="e">
        <f ca="1">IF(  Y279=0,0,IF(OR(S280="KCAS",S280="INOP",S280="MEFE"),   ( (5*( (   (((1+0.2*(T280/661.4786)^2)^3.5 -1)  )/( (1-6.8755856*10^-6 *100*Y280)^5.2558797) +1)^(2/7) -1) )^0.5),IF(S280="MACH",T280, IF(S280="LRC",BicubicInterpolation( 'LRC Mach'!$C$4:$AL$21, Y280,U280),  IF(S280="MRC",BicubicInterpolation( 'MRC Mach'!$C$3:$T$18, Y280,U280),  IF(S280="M0.84",0.84,  IF(S280="CI52",BicubicInterpolation('CI=52 Mach'!$C$3:$T$18, Y280,U280),  IF(S280="HOLDING",BicubicInterpolation(  'Holding Mach'!$C$4:$M$13, Y280,U280),                         IF(S280="LRCINOP", BicubicInterpolation('LRC INOP Mach'!$C$4:$AA$21,Y280,U280), IF(S280="HOLDINGINOP",  BicubicInterpolation('Holding INOP Mach'!$N$4:$U$13,Y280,U280),         "XXX" )))))))   )))</f>
        <v>#NAME?</v>
      </c>
      <c r="AD280" s="313" t="e">
        <f t="shared" ca="1" si="191"/>
        <v>#NAME?</v>
      </c>
      <c r="AE280" s="314" t="e">
        <f t="shared" ca="1" si="240"/>
        <v>#NAME?</v>
      </c>
      <c r="AF280" s="313" t="e">
        <f t="shared" ca="1" si="192"/>
        <v>#NAME?</v>
      </c>
      <c r="AG280" s="314" t="e">
        <f t="shared" ca="1" si="241"/>
        <v>#NAME?</v>
      </c>
      <c r="AH280" s="313" t="e">
        <f t="shared" ca="1" si="193"/>
        <v>#NAME?</v>
      </c>
      <c r="AI280" s="314" t="e">
        <f t="shared" ca="1" si="242"/>
        <v>#NAME?</v>
      </c>
      <c r="AJ280" s="315" t="e">
        <f t="shared" ca="1" si="243"/>
        <v>#NAME?</v>
      </c>
      <c r="AK280" s="568" t="e">
        <f t="shared" ca="1" si="194"/>
        <v>#NAME?</v>
      </c>
      <c r="AL280" s="313" t="e">
        <f t="shared" ca="1" si="195"/>
        <v>#NAME?</v>
      </c>
      <c r="AM280" s="313" t="e">
        <f t="shared" ca="1" si="244"/>
        <v>#NAME?</v>
      </c>
      <c r="AN280" s="313" t="e">
        <f t="shared" ca="1" si="245"/>
        <v>#NAME?</v>
      </c>
      <c r="AO280" s="316" t="e">
        <f t="shared" ca="1" si="196"/>
        <v>#NAME?</v>
      </c>
      <c r="AP280" s="313" t="e">
        <f t="shared" ca="1" si="197"/>
        <v>#NAME?</v>
      </c>
      <c r="AQ280" s="314" t="e">
        <f t="shared" ca="1" si="246"/>
        <v>#NAME?</v>
      </c>
      <c r="AR280" s="315" t="e">
        <f t="shared" ca="1" si="198"/>
        <v>#NAME?</v>
      </c>
      <c r="AS280" s="316" t="e">
        <f t="shared" ca="1" si="199"/>
        <v>#NAME?</v>
      </c>
      <c r="AT280" s="315" t="e">
        <f t="shared" ca="1" si="200"/>
        <v>#NAME?</v>
      </c>
      <c r="AU280" s="317">
        <v>427.8</v>
      </c>
      <c r="AV280" s="315" t="e">
        <f t="shared" ca="1" si="201"/>
        <v>#NAME?</v>
      </c>
      <c r="AW280" s="318" t="e">
        <f ca="1">0.0001*BicubicInterpolation('Drag Coef Table'!$B$4:$L$28,AV280,AC280)</f>
        <v>#NAME?</v>
      </c>
      <c r="AX280" s="319" t="e">
        <f t="shared" ca="1" si="202"/>
        <v>#NAME?</v>
      </c>
      <c r="AY280" s="318" t="e">
        <f t="shared" ca="1" si="203"/>
        <v>#NAME?</v>
      </c>
      <c r="AZ280" s="320" t="e">
        <f t="shared" ca="1" si="204"/>
        <v>#NAME?</v>
      </c>
      <c r="BA280" s="321" t="e">
        <f t="shared" ca="1" si="205"/>
        <v>#NAME?</v>
      </c>
      <c r="BB280" s="322" t="e">
        <f t="shared" ca="1" si="206"/>
        <v>#NAME?</v>
      </c>
      <c r="BC280" s="323">
        <v>75.196700000000007</v>
      </c>
      <c r="BD280" s="324" t="e">
        <f t="shared" ca="1" si="207"/>
        <v>#NAME?</v>
      </c>
      <c r="BE280" s="325" t="e">
        <f t="shared" ca="1" si="208"/>
        <v>#NAME?</v>
      </c>
      <c r="BF280" s="324" t="e">
        <f ca="1">BicubicInterpolation('TSFC Eff Table'!$B$4:$E$69,2,BB280)</f>
        <v>#NAME?</v>
      </c>
      <c r="BG280" s="326" t="e">
        <f t="shared" ca="1" si="209"/>
        <v>#NAME?</v>
      </c>
      <c r="BH280" s="694" t="e">
        <f ca="1">IF( S280="LRCINOP",   (1+(0.03/10)*Z280*(1+0.2*AC280^2) )*BicubicInterpolation( 'LRC INOP FF'!$C$4:$AA$21, Y280, U280 )-200, IF(S280 ="HOLDINGINOP", (1+(0.03/10)*Z280*(1+0.2*AC280^2) )*BicubicInterpolation( 'Holding INOP FF'!$C$4:$J$13,  Y280,  U280)/1.05-200,   BA280*BG280))</f>
        <v>#NAME?</v>
      </c>
      <c r="BI280" s="344" t="e">
        <f t="shared" ca="1" si="230"/>
        <v>#NAME?</v>
      </c>
      <c r="BJ280" s="322" t="e">
        <f t="shared" ca="1" si="210"/>
        <v>#NAME?</v>
      </c>
      <c r="BK280" s="338" t="e">
        <f t="shared" ca="1" si="231"/>
        <v>#NAME?</v>
      </c>
      <c r="BL280" s="327" t="e">
        <f t="shared" ca="1" si="211"/>
        <v>#NAME?</v>
      </c>
      <c r="BM280" s="328">
        <f t="shared" si="212"/>
        <v>200</v>
      </c>
      <c r="BN280" s="329" t="e">
        <f t="shared" ca="1" si="213"/>
        <v>#NAME?</v>
      </c>
      <c r="BO280" s="344" t="e">
        <f t="shared" ca="1" si="232"/>
        <v>#NAME?</v>
      </c>
      <c r="BP280" s="320" t="e">
        <f t="shared" ca="1" si="214"/>
        <v>#NAME?</v>
      </c>
      <c r="BQ280" s="344" t="e">
        <f t="shared" ca="1" si="233"/>
        <v>#NAME?</v>
      </c>
      <c r="BR280" s="347" t="e">
        <f t="shared" ca="1" si="234"/>
        <v>#NAME?</v>
      </c>
      <c r="BS280" s="326" t="e">
        <f t="shared" ca="1" si="215"/>
        <v>#NAME?</v>
      </c>
      <c r="BT280" s="437" t="e">
        <f t="shared" ca="1" si="247"/>
        <v>#NAME?</v>
      </c>
      <c r="BU280" s="437" t="e">
        <f t="shared" ca="1" si="248"/>
        <v>#NAME?</v>
      </c>
      <c r="BV280" s="441" t="e">
        <f t="shared" ca="1" si="249"/>
        <v>#NAME?</v>
      </c>
      <c r="BW280" s="442" t="e">
        <f t="shared" ca="1" si="250"/>
        <v>#NAME?</v>
      </c>
      <c r="BX280" s="470" t="e">
        <f t="shared" ca="1" si="223"/>
        <v>#NAME?</v>
      </c>
      <c r="BY280" s="484" t="e">
        <f t="shared" ca="1" si="235"/>
        <v>#NAME?</v>
      </c>
      <c r="BZ280" s="176"/>
    </row>
    <row r="281" spans="9:78" s="177" customFormat="1" ht="17.75" customHeight="1" x14ac:dyDescent="0.2">
      <c r="I281" s="366">
        <v>197</v>
      </c>
      <c r="J281" s="414">
        <f t="shared" si="236"/>
        <v>41705.849305556003</v>
      </c>
      <c r="K281" s="435" t="e">
        <f t="shared" ca="1" si="237"/>
        <v>#NAME?</v>
      </c>
      <c r="L281" s="435" t="e">
        <f t="shared" ca="1" si="224"/>
        <v>#NAME?</v>
      </c>
      <c r="M281" s="664" t="e">
        <f t="shared" ca="1" si="216"/>
        <v>#NAME?</v>
      </c>
      <c r="N281" s="664" t="e">
        <f t="shared" ca="1" si="217"/>
        <v>#NAME?</v>
      </c>
      <c r="O281" s="140" t="e">
        <f t="shared" ca="1" si="225"/>
        <v>#NAME?</v>
      </c>
      <c r="P281" s="352" t="e">
        <f t="shared" ca="1" si="238"/>
        <v>#NAME?</v>
      </c>
      <c r="Q281" s="665" t="e">
        <f t="shared" ca="1" si="218"/>
        <v>#NAME?</v>
      </c>
      <c r="R281" s="352" t="e">
        <f t="shared" ca="1" si="189"/>
        <v>#NAME?</v>
      </c>
      <c r="S281" s="662" t="e">
        <f t="shared" ca="1" si="226"/>
        <v>#NAME?</v>
      </c>
      <c r="T281" s="443" t="e">
        <f t="shared" ca="1" si="219"/>
        <v>#NAME?</v>
      </c>
      <c r="U281" s="369" t="e">
        <f t="shared" ca="1" si="220"/>
        <v>#NAME?</v>
      </c>
      <c r="V281" s="454" t="e">
        <f t="shared" ca="1" si="227"/>
        <v>#NAME?</v>
      </c>
      <c r="W281" s="457">
        <f t="shared" si="228"/>
        <v>1000</v>
      </c>
      <c r="X281" s="463" t="e">
        <f t="shared" ca="1" si="229"/>
        <v>#NAME?</v>
      </c>
      <c r="Y281" s="455" t="e">
        <f t="shared" ca="1" si="239"/>
        <v>#NAME?</v>
      </c>
      <c r="Z281" s="699">
        <f t="shared" si="221"/>
        <v>8.5</v>
      </c>
      <c r="AA281" s="355" t="str">
        <f t="shared" si="222"/>
        <v>ON</v>
      </c>
      <c r="AB281" s="357">
        <f t="shared" si="190"/>
        <v>1.4999999999999999E-2</v>
      </c>
      <c r="AC281" s="356" t="e">
        <f ca="1">IF(  Y280=0,0,IF(OR(S281="KCAS",S281="INOP",S281="MEFE"),   ( (5*( (   (((1+0.2*(T281/661.4786)^2)^3.5 -1)  )/( (1-6.8755856*10^-6 *100*Y281)^5.2558797) +1)^(2/7) -1) )^0.5),IF(S281="MACH",T281, IF(S281="LRC",BicubicInterpolation( 'LRC Mach'!$C$4:$AL$21, Y281,U281),  IF(S281="MRC",BicubicInterpolation( 'MRC Mach'!$C$3:$T$18, Y281,U281),  IF(S281="M0.84",0.84,  IF(S281="CI52",BicubicInterpolation('CI=52 Mach'!$C$3:$T$18, Y281,U281),  IF(S281="HOLDING",BicubicInterpolation(  'Holding Mach'!$C$4:$M$13, Y281,U281),                         IF(S281="LRCINOP", BicubicInterpolation('LRC INOP Mach'!$C$4:$AA$21,Y281,U281), IF(S281="HOLDINGINOP",  BicubicInterpolation('Holding INOP Mach'!$N$4:$U$13,Y281,U281),         "XXX" )))))))   )))</f>
        <v>#NAME?</v>
      </c>
      <c r="AD281" s="313" t="e">
        <f t="shared" ca="1" si="191"/>
        <v>#NAME?</v>
      </c>
      <c r="AE281" s="314" t="e">
        <f t="shared" ca="1" si="240"/>
        <v>#NAME?</v>
      </c>
      <c r="AF281" s="313" t="e">
        <f t="shared" ca="1" si="192"/>
        <v>#NAME?</v>
      </c>
      <c r="AG281" s="314" t="e">
        <f t="shared" ca="1" si="241"/>
        <v>#NAME?</v>
      </c>
      <c r="AH281" s="313" t="e">
        <f t="shared" ca="1" si="193"/>
        <v>#NAME?</v>
      </c>
      <c r="AI281" s="314" t="e">
        <f t="shared" ca="1" si="242"/>
        <v>#NAME?</v>
      </c>
      <c r="AJ281" s="315" t="e">
        <f t="shared" ca="1" si="243"/>
        <v>#NAME?</v>
      </c>
      <c r="AK281" s="568" t="e">
        <f t="shared" ca="1" si="194"/>
        <v>#NAME?</v>
      </c>
      <c r="AL281" s="313" t="e">
        <f t="shared" ca="1" si="195"/>
        <v>#NAME?</v>
      </c>
      <c r="AM281" s="313" t="e">
        <f t="shared" ca="1" si="244"/>
        <v>#NAME?</v>
      </c>
      <c r="AN281" s="313" t="e">
        <f t="shared" ca="1" si="245"/>
        <v>#NAME?</v>
      </c>
      <c r="AO281" s="316" t="e">
        <f t="shared" ca="1" si="196"/>
        <v>#NAME?</v>
      </c>
      <c r="AP281" s="313" t="e">
        <f t="shared" ca="1" si="197"/>
        <v>#NAME?</v>
      </c>
      <c r="AQ281" s="314" t="e">
        <f t="shared" ca="1" si="246"/>
        <v>#NAME?</v>
      </c>
      <c r="AR281" s="315" t="e">
        <f t="shared" ca="1" si="198"/>
        <v>#NAME?</v>
      </c>
      <c r="AS281" s="316" t="e">
        <f t="shared" ca="1" si="199"/>
        <v>#NAME?</v>
      </c>
      <c r="AT281" s="315" t="e">
        <f t="shared" ca="1" si="200"/>
        <v>#NAME?</v>
      </c>
      <c r="AU281" s="317">
        <v>427.8</v>
      </c>
      <c r="AV281" s="315" t="e">
        <f t="shared" ca="1" si="201"/>
        <v>#NAME?</v>
      </c>
      <c r="AW281" s="318" t="e">
        <f ca="1">0.0001*BicubicInterpolation('Drag Coef Table'!$B$4:$L$28,AV281,AC281)</f>
        <v>#NAME?</v>
      </c>
      <c r="AX281" s="319" t="e">
        <f t="shared" ca="1" si="202"/>
        <v>#NAME?</v>
      </c>
      <c r="AY281" s="318" t="e">
        <f t="shared" ca="1" si="203"/>
        <v>#NAME?</v>
      </c>
      <c r="AZ281" s="320" t="e">
        <f t="shared" ca="1" si="204"/>
        <v>#NAME?</v>
      </c>
      <c r="BA281" s="321" t="e">
        <f t="shared" ca="1" si="205"/>
        <v>#NAME?</v>
      </c>
      <c r="BB281" s="322" t="e">
        <f t="shared" ca="1" si="206"/>
        <v>#NAME?</v>
      </c>
      <c r="BC281" s="323">
        <v>75.196700000000007</v>
      </c>
      <c r="BD281" s="324" t="e">
        <f t="shared" ca="1" si="207"/>
        <v>#NAME?</v>
      </c>
      <c r="BE281" s="325" t="e">
        <f t="shared" ca="1" si="208"/>
        <v>#NAME?</v>
      </c>
      <c r="BF281" s="324" t="e">
        <f ca="1">BicubicInterpolation('TSFC Eff Table'!$B$4:$E$69,2,BB281)</f>
        <v>#NAME?</v>
      </c>
      <c r="BG281" s="326" t="e">
        <f t="shared" ca="1" si="209"/>
        <v>#NAME?</v>
      </c>
      <c r="BH281" s="694" t="e">
        <f ca="1">IF( S281="LRCINOP",   (1+(0.03/10)*Z281*(1+0.2*AC281^2) )*BicubicInterpolation( 'LRC INOP FF'!$C$4:$AA$21, Y281, U281 )-200, IF(S281 ="HOLDINGINOP", (1+(0.03/10)*Z281*(1+0.2*AC281^2) )*BicubicInterpolation( 'Holding INOP FF'!$C$4:$J$13,  Y281,  U281)/1.05-200,   BA281*BG281))</f>
        <v>#NAME?</v>
      </c>
      <c r="BI281" s="344" t="e">
        <f t="shared" ca="1" si="230"/>
        <v>#NAME?</v>
      </c>
      <c r="BJ281" s="322" t="e">
        <f t="shared" ca="1" si="210"/>
        <v>#NAME?</v>
      </c>
      <c r="BK281" s="338" t="e">
        <f t="shared" ca="1" si="231"/>
        <v>#NAME?</v>
      </c>
      <c r="BL281" s="327" t="e">
        <f t="shared" ca="1" si="211"/>
        <v>#NAME?</v>
      </c>
      <c r="BM281" s="328">
        <f t="shared" si="212"/>
        <v>200</v>
      </c>
      <c r="BN281" s="329" t="e">
        <f t="shared" ca="1" si="213"/>
        <v>#NAME?</v>
      </c>
      <c r="BO281" s="344" t="e">
        <f t="shared" ca="1" si="232"/>
        <v>#NAME?</v>
      </c>
      <c r="BP281" s="320" t="e">
        <f t="shared" ca="1" si="214"/>
        <v>#NAME?</v>
      </c>
      <c r="BQ281" s="344" t="e">
        <f t="shared" ca="1" si="233"/>
        <v>#NAME?</v>
      </c>
      <c r="BR281" s="347" t="e">
        <f t="shared" ca="1" si="234"/>
        <v>#NAME?</v>
      </c>
      <c r="BS281" s="326" t="e">
        <f t="shared" ca="1" si="215"/>
        <v>#NAME?</v>
      </c>
      <c r="BT281" s="437" t="e">
        <f t="shared" ca="1" si="247"/>
        <v>#NAME?</v>
      </c>
      <c r="BU281" s="437" t="e">
        <f t="shared" ca="1" si="248"/>
        <v>#NAME?</v>
      </c>
      <c r="BV281" s="441" t="e">
        <f t="shared" ca="1" si="249"/>
        <v>#NAME?</v>
      </c>
      <c r="BW281" s="442" t="e">
        <f t="shared" ca="1" si="250"/>
        <v>#NAME?</v>
      </c>
      <c r="BX281" s="470" t="e">
        <f t="shared" ca="1" si="223"/>
        <v>#NAME?</v>
      </c>
      <c r="BY281" s="484" t="e">
        <f t="shared" ca="1" si="235"/>
        <v>#NAME?</v>
      </c>
      <c r="BZ281" s="176"/>
    </row>
    <row r="282" spans="9:78" s="177" customFormat="1" ht="17.75" customHeight="1" x14ac:dyDescent="0.2">
      <c r="I282" s="366">
        <v>198</v>
      </c>
      <c r="J282" s="414">
        <f t="shared" si="236"/>
        <v>41705.85000000045</v>
      </c>
      <c r="K282" s="435" t="e">
        <f t="shared" ca="1" si="237"/>
        <v>#NAME?</v>
      </c>
      <c r="L282" s="435" t="e">
        <f t="shared" ca="1" si="224"/>
        <v>#NAME?</v>
      </c>
      <c r="M282" s="664" t="e">
        <f t="shared" ca="1" si="216"/>
        <v>#NAME?</v>
      </c>
      <c r="N282" s="664" t="e">
        <f t="shared" ca="1" si="217"/>
        <v>#NAME?</v>
      </c>
      <c r="O282" s="140" t="e">
        <f t="shared" ca="1" si="225"/>
        <v>#NAME?</v>
      </c>
      <c r="P282" s="352" t="e">
        <f t="shared" ca="1" si="238"/>
        <v>#NAME?</v>
      </c>
      <c r="Q282" s="665" t="e">
        <f t="shared" ca="1" si="218"/>
        <v>#NAME?</v>
      </c>
      <c r="R282" s="352" t="e">
        <f t="shared" ca="1" si="189"/>
        <v>#NAME?</v>
      </c>
      <c r="S282" s="662" t="e">
        <f t="shared" ca="1" si="226"/>
        <v>#NAME?</v>
      </c>
      <c r="T282" s="443" t="e">
        <f t="shared" ca="1" si="219"/>
        <v>#NAME?</v>
      </c>
      <c r="U282" s="369" t="e">
        <f t="shared" ca="1" si="220"/>
        <v>#NAME?</v>
      </c>
      <c r="V282" s="454" t="e">
        <f t="shared" ca="1" si="227"/>
        <v>#NAME?</v>
      </c>
      <c r="W282" s="457">
        <f t="shared" si="228"/>
        <v>1000</v>
      </c>
      <c r="X282" s="463" t="e">
        <f t="shared" ca="1" si="229"/>
        <v>#NAME?</v>
      </c>
      <c r="Y282" s="455" t="e">
        <f t="shared" ca="1" si="239"/>
        <v>#NAME?</v>
      </c>
      <c r="Z282" s="699">
        <f t="shared" si="221"/>
        <v>8.5</v>
      </c>
      <c r="AA282" s="355" t="str">
        <f t="shared" si="222"/>
        <v>ON</v>
      </c>
      <c r="AB282" s="357">
        <f t="shared" si="190"/>
        <v>1.4999999999999999E-2</v>
      </c>
      <c r="AC282" s="356" t="e">
        <f ca="1">IF(  Y281=0,0,IF(OR(S282="KCAS",S282="INOP",S282="MEFE"),   ( (5*( (   (((1+0.2*(T282/661.4786)^2)^3.5 -1)  )/( (1-6.8755856*10^-6 *100*Y282)^5.2558797) +1)^(2/7) -1) )^0.5),IF(S282="MACH",T282, IF(S282="LRC",BicubicInterpolation( 'LRC Mach'!$C$4:$AL$21, Y282,U282),  IF(S282="MRC",BicubicInterpolation( 'MRC Mach'!$C$3:$T$18, Y282,U282),  IF(S282="M0.84",0.84,  IF(S282="CI52",BicubicInterpolation('CI=52 Mach'!$C$3:$T$18, Y282,U282),  IF(S282="HOLDING",BicubicInterpolation(  'Holding Mach'!$C$4:$M$13, Y282,U282),                         IF(S282="LRCINOP", BicubicInterpolation('LRC INOP Mach'!$C$4:$AA$21,Y282,U282), IF(S282="HOLDINGINOP",  BicubicInterpolation('Holding INOP Mach'!$N$4:$U$13,Y282,U282),         "XXX" )))))))   )))</f>
        <v>#NAME?</v>
      </c>
      <c r="AD282" s="313" t="e">
        <f t="shared" ca="1" si="191"/>
        <v>#NAME?</v>
      </c>
      <c r="AE282" s="314" t="e">
        <f t="shared" ca="1" si="240"/>
        <v>#NAME?</v>
      </c>
      <c r="AF282" s="313" t="e">
        <f t="shared" ca="1" si="192"/>
        <v>#NAME?</v>
      </c>
      <c r="AG282" s="314" t="e">
        <f t="shared" ca="1" si="241"/>
        <v>#NAME?</v>
      </c>
      <c r="AH282" s="313" t="e">
        <f t="shared" ca="1" si="193"/>
        <v>#NAME?</v>
      </c>
      <c r="AI282" s="314" t="e">
        <f t="shared" ca="1" si="242"/>
        <v>#NAME?</v>
      </c>
      <c r="AJ282" s="315" t="e">
        <f t="shared" ca="1" si="243"/>
        <v>#NAME?</v>
      </c>
      <c r="AK282" s="568" t="e">
        <f t="shared" ca="1" si="194"/>
        <v>#NAME?</v>
      </c>
      <c r="AL282" s="313" t="e">
        <f t="shared" ca="1" si="195"/>
        <v>#NAME?</v>
      </c>
      <c r="AM282" s="313" t="e">
        <f t="shared" ca="1" si="244"/>
        <v>#NAME?</v>
      </c>
      <c r="AN282" s="313" t="e">
        <f t="shared" ca="1" si="245"/>
        <v>#NAME?</v>
      </c>
      <c r="AO282" s="316" t="e">
        <f t="shared" ca="1" si="196"/>
        <v>#NAME?</v>
      </c>
      <c r="AP282" s="313" t="e">
        <f t="shared" ca="1" si="197"/>
        <v>#NAME?</v>
      </c>
      <c r="AQ282" s="314" t="e">
        <f t="shared" ca="1" si="246"/>
        <v>#NAME?</v>
      </c>
      <c r="AR282" s="315" t="e">
        <f t="shared" ca="1" si="198"/>
        <v>#NAME?</v>
      </c>
      <c r="AS282" s="316" t="e">
        <f t="shared" ca="1" si="199"/>
        <v>#NAME?</v>
      </c>
      <c r="AT282" s="315" t="e">
        <f t="shared" ca="1" si="200"/>
        <v>#NAME?</v>
      </c>
      <c r="AU282" s="317">
        <v>427.8</v>
      </c>
      <c r="AV282" s="315" t="e">
        <f t="shared" ca="1" si="201"/>
        <v>#NAME?</v>
      </c>
      <c r="AW282" s="318" t="e">
        <f ca="1">0.0001*BicubicInterpolation('Drag Coef Table'!$B$4:$L$28,AV282,AC282)</f>
        <v>#NAME?</v>
      </c>
      <c r="AX282" s="319" t="e">
        <f t="shared" ca="1" si="202"/>
        <v>#NAME?</v>
      </c>
      <c r="AY282" s="318" t="e">
        <f t="shared" ca="1" si="203"/>
        <v>#NAME?</v>
      </c>
      <c r="AZ282" s="320" t="e">
        <f t="shared" ca="1" si="204"/>
        <v>#NAME?</v>
      </c>
      <c r="BA282" s="321" t="e">
        <f t="shared" ca="1" si="205"/>
        <v>#NAME?</v>
      </c>
      <c r="BB282" s="322" t="e">
        <f t="shared" ca="1" si="206"/>
        <v>#NAME?</v>
      </c>
      <c r="BC282" s="323">
        <v>75.196700000000007</v>
      </c>
      <c r="BD282" s="324" t="e">
        <f t="shared" ca="1" si="207"/>
        <v>#NAME?</v>
      </c>
      <c r="BE282" s="325" t="e">
        <f t="shared" ca="1" si="208"/>
        <v>#NAME?</v>
      </c>
      <c r="BF282" s="324" t="e">
        <f ca="1">BicubicInterpolation('TSFC Eff Table'!$B$4:$E$69,2,BB282)</f>
        <v>#NAME?</v>
      </c>
      <c r="BG282" s="326" t="e">
        <f t="shared" ca="1" si="209"/>
        <v>#NAME?</v>
      </c>
      <c r="BH282" s="694" t="e">
        <f ca="1">IF( S282="LRCINOP",   (1+(0.03/10)*Z282*(1+0.2*AC282^2) )*BicubicInterpolation( 'LRC INOP FF'!$C$4:$AA$21, Y282, U282 )-200, IF(S282 ="HOLDINGINOP", (1+(0.03/10)*Z282*(1+0.2*AC282^2) )*BicubicInterpolation( 'Holding INOP FF'!$C$4:$J$13,  Y282,  U282)/1.05-200,   BA282*BG282))</f>
        <v>#NAME?</v>
      </c>
      <c r="BI282" s="344" t="e">
        <f t="shared" ca="1" si="230"/>
        <v>#NAME?</v>
      </c>
      <c r="BJ282" s="322" t="e">
        <f t="shared" ca="1" si="210"/>
        <v>#NAME?</v>
      </c>
      <c r="BK282" s="338" t="e">
        <f t="shared" ca="1" si="231"/>
        <v>#NAME?</v>
      </c>
      <c r="BL282" s="327" t="e">
        <f t="shared" ca="1" si="211"/>
        <v>#NAME?</v>
      </c>
      <c r="BM282" s="328">
        <f t="shared" si="212"/>
        <v>200</v>
      </c>
      <c r="BN282" s="329" t="e">
        <f t="shared" ca="1" si="213"/>
        <v>#NAME?</v>
      </c>
      <c r="BO282" s="344" t="e">
        <f t="shared" ca="1" si="232"/>
        <v>#NAME?</v>
      </c>
      <c r="BP282" s="320" t="e">
        <f t="shared" ca="1" si="214"/>
        <v>#NAME?</v>
      </c>
      <c r="BQ282" s="344" t="e">
        <f t="shared" ca="1" si="233"/>
        <v>#NAME?</v>
      </c>
      <c r="BR282" s="347" t="e">
        <f t="shared" ca="1" si="234"/>
        <v>#NAME?</v>
      </c>
      <c r="BS282" s="326" t="e">
        <f t="shared" ca="1" si="215"/>
        <v>#NAME?</v>
      </c>
      <c r="BT282" s="437" t="e">
        <f t="shared" ca="1" si="247"/>
        <v>#NAME?</v>
      </c>
      <c r="BU282" s="437" t="e">
        <f t="shared" ca="1" si="248"/>
        <v>#NAME?</v>
      </c>
      <c r="BV282" s="441" t="e">
        <f t="shared" ca="1" si="249"/>
        <v>#NAME?</v>
      </c>
      <c r="BW282" s="442" t="e">
        <f t="shared" ca="1" si="250"/>
        <v>#NAME?</v>
      </c>
      <c r="BX282" s="470" t="e">
        <f t="shared" ca="1" si="223"/>
        <v>#NAME?</v>
      </c>
      <c r="BY282" s="484" t="e">
        <f t="shared" ca="1" si="235"/>
        <v>#NAME?</v>
      </c>
      <c r="BZ282" s="176"/>
    </row>
    <row r="283" spans="9:78" s="177" customFormat="1" ht="17.75" customHeight="1" x14ac:dyDescent="0.2">
      <c r="I283" s="366">
        <v>199</v>
      </c>
      <c r="J283" s="414">
        <f t="shared" si="236"/>
        <v>41705.850694444896</v>
      </c>
      <c r="K283" s="435" t="e">
        <f t="shared" ca="1" si="237"/>
        <v>#NAME?</v>
      </c>
      <c r="L283" s="435" t="e">
        <f t="shared" ca="1" si="224"/>
        <v>#NAME?</v>
      </c>
      <c r="M283" s="664" t="e">
        <f t="shared" ca="1" si="216"/>
        <v>#NAME?</v>
      </c>
      <c r="N283" s="664" t="e">
        <f t="shared" ca="1" si="217"/>
        <v>#NAME?</v>
      </c>
      <c r="O283" s="140" t="e">
        <f t="shared" ca="1" si="225"/>
        <v>#NAME?</v>
      </c>
      <c r="P283" s="352" t="e">
        <f t="shared" ca="1" si="238"/>
        <v>#NAME?</v>
      </c>
      <c r="Q283" s="665" t="e">
        <f t="shared" ca="1" si="218"/>
        <v>#NAME?</v>
      </c>
      <c r="R283" s="352" t="e">
        <f t="shared" ca="1" si="189"/>
        <v>#NAME?</v>
      </c>
      <c r="S283" s="662" t="e">
        <f t="shared" ca="1" si="226"/>
        <v>#NAME?</v>
      </c>
      <c r="T283" s="443" t="e">
        <f t="shared" ca="1" si="219"/>
        <v>#NAME?</v>
      </c>
      <c r="U283" s="369" t="e">
        <f t="shared" ca="1" si="220"/>
        <v>#NAME?</v>
      </c>
      <c r="V283" s="454" t="e">
        <f t="shared" ca="1" si="227"/>
        <v>#NAME?</v>
      </c>
      <c r="W283" s="457">
        <f t="shared" si="228"/>
        <v>1000</v>
      </c>
      <c r="X283" s="463" t="e">
        <f t="shared" ca="1" si="229"/>
        <v>#NAME?</v>
      </c>
      <c r="Y283" s="455" t="e">
        <f t="shared" ca="1" si="239"/>
        <v>#NAME?</v>
      </c>
      <c r="Z283" s="699">
        <f t="shared" si="221"/>
        <v>8.5</v>
      </c>
      <c r="AA283" s="355" t="str">
        <f t="shared" si="222"/>
        <v>ON</v>
      </c>
      <c r="AB283" s="357">
        <f t="shared" si="190"/>
        <v>1.4999999999999999E-2</v>
      </c>
      <c r="AC283" s="356" t="e">
        <f ca="1">IF(  Y282=0,0,IF(OR(S283="KCAS",S283="INOP",S283="MEFE"),   ( (5*( (   (((1+0.2*(T283/661.4786)^2)^3.5 -1)  )/( (1-6.8755856*10^-6 *100*Y283)^5.2558797) +1)^(2/7) -1) )^0.5),IF(S283="MACH",T283, IF(S283="LRC",BicubicInterpolation( 'LRC Mach'!$C$4:$AL$21, Y283,U283),  IF(S283="MRC",BicubicInterpolation( 'MRC Mach'!$C$3:$T$18, Y283,U283),  IF(S283="M0.84",0.84,  IF(S283="CI52",BicubicInterpolation('CI=52 Mach'!$C$3:$T$18, Y283,U283),  IF(S283="HOLDING",BicubicInterpolation(  'Holding Mach'!$C$4:$M$13, Y283,U283),                         IF(S283="LRCINOP", BicubicInterpolation('LRC INOP Mach'!$C$4:$AA$21,Y283,U283), IF(S283="HOLDINGINOP",  BicubicInterpolation('Holding INOP Mach'!$N$4:$U$13,Y283,U283),         "XXX" )))))))   )))</f>
        <v>#NAME?</v>
      </c>
      <c r="AD283" s="313" t="e">
        <f t="shared" ca="1" si="191"/>
        <v>#NAME?</v>
      </c>
      <c r="AE283" s="314" t="e">
        <f t="shared" ca="1" si="240"/>
        <v>#NAME?</v>
      </c>
      <c r="AF283" s="313" t="e">
        <f t="shared" ca="1" si="192"/>
        <v>#NAME?</v>
      </c>
      <c r="AG283" s="314" t="e">
        <f t="shared" ca="1" si="241"/>
        <v>#NAME?</v>
      </c>
      <c r="AH283" s="313" t="e">
        <f t="shared" ca="1" si="193"/>
        <v>#NAME?</v>
      </c>
      <c r="AI283" s="314" t="e">
        <f t="shared" ca="1" si="242"/>
        <v>#NAME?</v>
      </c>
      <c r="AJ283" s="315" t="e">
        <f t="shared" ca="1" si="243"/>
        <v>#NAME?</v>
      </c>
      <c r="AK283" s="568" t="e">
        <f t="shared" ca="1" si="194"/>
        <v>#NAME?</v>
      </c>
      <c r="AL283" s="313" t="e">
        <f t="shared" ca="1" si="195"/>
        <v>#NAME?</v>
      </c>
      <c r="AM283" s="313" t="e">
        <f t="shared" ca="1" si="244"/>
        <v>#NAME?</v>
      </c>
      <c r="AN283" s="313" t="e">
        <f t="shared" ca="1" si="245"/>
        <v>#NAME?</v>
      </c>
      <c r="AO283" s="316" t="e">
        <f t="shared" ca="1" si="196"/>
        <v>#NAME?</v>
      </c>
      <c r="AP283" s="313" t="e">
        <f t="shared" ca="1" si="197"/>
        <v>#NAME?</v>
      </c>
      <c r="AQ283" s="314" t="e">
        <f t="shared" ca="1" si="246"/>
        <v>#NAME?</v>
      </c>
      <c r="AR283" s="315" t="e">
        <f t="shared" ca="1" si="198"/>
        <v>#NAME?</v>
      </c>
      <c r="AS283" s="316" t="e">
        <f t="shared" ca="1" si="199"/>
        <v>#NAME?</v>
      </c>
      <c r="AT283" s="315" t="e">
        <f t="shared" ca="1" si="200"/>
        <v>#NAME?</v>
      </c>
      <c r="AU283" s="317">
        <v>427.8</v>
      </c>
      <c r="AV283" s="315" t="e">
        <f t="shared" ca="1" si="201"/>
        <v>#NAME?</v>
      </c>
      <c r="AW283" s="318" t="e">
        <f ca="1">0.0001*BicubicInterpolation('Drag Coef Table'!$B$4:$L$28,AV283,AC283)</f>
        <v>#NAME?</v>
      </c>
      <c r="AX283" s="319" t="e">
        <f t="shared" ca="1" si="202"/>
        <v>#NAME?</v>
      </c>
      <c r="AY283" s="318" t="e">
        <f t="shared" ca="1" si="203"/>
        <v>#NAME?</v>
      </c>
      <c r="AZ283" s="320" t="e">
        <f t="shared" ca="1" si="204"/>
        <v>#NAME?</v>
      </c>
      <c r="BA283" s="321" t="e">
        <f t="shared" ca="1" si="205"/>
        <v>#NAME?</v>
      </c>
      <c r="BB283" s="322" t="e">
        <f t="shared" ca="1" si="206"/>
        <v>#NAME?</v>
      </c>
      <c r="BC283" s="323">
        <v>75.196700000000007</v>
      </c>
      <c r="BD283" s="324" t="e">
        <f t="shared" ca="1" si="207"/>
        <v>#NAME?</v>
      </c>
      <c r="BE283" s="325" t="e">
        <f t="shared" ca="1" si="208"/>
        <v>#NAME?</v>
      </c>
      <c r="BF283" s="324" t="e">
        <f ca="1">BicubicInterpolation('TSFC Eff Table'!$B$4:$E$69,2,BB283)</f>
        <v>#NAME?</v>
      </c>
      <c r="BG283" s="326" t="e">
        <f t="shared" ca="1" si="209"/>
        <v>#NAME?</v>
      </c>
      <c r="BH283" s="694" t="e">
        <f ca="1">IF( S283="LRCINOP",   (1+(0.03/10)*Z283*(1+0.2*AC283^2) )*BicubicInterpolation( 'LRC INOP FF'!$C$4:$AA$21, Y283, U283 )-200, IF(S283 ="HOLDINGINOP", (1+(0.03/10)*Z283*(1+0.2*AC283^2) )*BicubicInterpolation( 'Holding INOP FF'!$C$4:$J$13,  Y283,  U283)/1.05-200,   BA283*BG283))</f>
        <v>#NAME?</v>
      </c>
      <c r="BI283" s="344" t="e">
        <f t="shared" ca="1" si="230"/>
        <v>#NAME?</v>
      </c>
      <c r="BJ283" s="322" t="e">
        <f t="shared" ca="1" si="210"/>
        <v>#NAME?</v>
      </c>
      <c r="BK283" s="338" t="e">
        <f t="shared" ca="1" si="231"/>
        <v>#NAME?</v>
      </c>
      <c r="BL283" s="327" t="e">
        <f t="shared" ca="1" si="211"/>
        <v>#NAME?</v>
      </c>
      <c r="BM283" s="328">
        <f t="shared" si="212"/>
        <v>200</v>
      </c>
      <c r="BN283" s="329" t="e">
        <f t="shared" ca="1" si="213"/>
        <v>#NAME?</v>
      </c>
      <c r="BO283" s="344" t="e">
        <f t="shared" ca="1" si="232"/>
        <v>#NAME?</v>
      </c>
      <c r="BP283" s="320" t="e">
        <f t="shared" ca="1" si="214"/>
        <v>#NAME?</v>
      </c>
      <c r="BQ283" s="344" t="e">
        <f t="shared" ca="1" si="233"/>
        <v>#NAME?</v>
      </c>
      <c r="BR283" s="347" t="e">
        <f t="shared" ca="1" si="234"/>
        <v>#NAME?</v>
      </c>
      <c r="BS283" s="326" t="e">
        <f t="shared" ca="1" si="215"/>
        <v>#NAME?</v>
      </c>
      <c r="BT283" s="437" t="e">
        <f t="shared" ca="1" si="247"/>
        <v>#NAME?</v>
      </c>
      <c r="BU283" s="437" t="e">
        <f t="shared" ca="1" si="248"/>
        <v>#NAME?</v>
      </c>
      <c r="BV283" s="441" t="e">
        <f t="shared" ca="1" si="249"/>
        <v>#NAME?</v>
      </c>
      <c r="BW283" s="442" t="e">
        <f t="shared" ca="1" si="250"/>
        <v>#NAME?</v>
      </c>
      <c r="BX283" s="470" t="e">
        <f t="shared" ca="1" si="223"/>
        <v>#NAME?</v>
      </c>
      <c r="BY283" s="484" t="e">
        <f t="shared" ca="1" si="235"/>
        <v>#NAME?</v>
      </c>
      <c r="BZ283" s="176"/>
    </row>
    <row r="284" spans="9:78" s="177" customFormat="1" ht="17.75" customHeight="1" x14ac:dyDescent="0.2">
      <c r="I284" s="366">
        <v>200</v>
      </c>
      <c r="J284" s="414">
        <f t="shared" si="236"/>
        <v>41705.851388889343</v>
      </c>
      <c r="K284" s="435" t="e">
        <f t="shared" ca="1" si="237"/>
        <v>#NAME?</v>
      </c>
      <c r="L284" s="435" t="e">
        <f t="shared" ca="1" si="224"/>
        <v>#NAME?</v>
      </c>
      <c r="M284" s="664" t="e">
        <f t="shared" ca="1" si="216"/>
        <v>#NAME?</v>
      </c>
      <c r="N284" s="664" t="e">
        <f t="shared" ca="1" si="217"/>
        <v>#NAME?</v>
      </c>
      <c r="O284" s="140" t="e">
        <f t="shared" ca="1" si="225"/>
        <v>#NAME?</v>
      </c>
      <c r="P284" s="352" t="e">
        <f t="shared" ca="1" si="238"/>
        <v>#NAME?</v>
      </c>
      <c r="Q284" s="665" t="e">
        <f t="shared" ca="1" si="218"/>
        <v>#NAME?</v>
      </c>
      <c r="R284" s="352" t="e">
        <f t="shared" ca="1" si="189"/>
        <v>#NAME?</v>
      </c>
      <c r="S284" s="662" t="e">
        <f t="shared" ca="1" si="226"/>
        <v>#NAME?</v>
      </c>
      <c r="T284" s="443" t="e">
        <f t="shared" ca="1" si="219"/>
        <v>#NAME?</v>
      </c>
      <c r="U284" s="369" t="e">
        <f t="shared" ca="1" si="220"/>
        <v>#NAME?</v>
      </c>
      <c r="V284" s="454" t="e">
        <f t="shared" ca="1" si="227"/>
        <v>#NAME?</v>
      </c>
      <c r="W284" s="457">
        <f t="shared" si="228"/>
        <v>1000</v>
      </c>
      <c r="X284" s="463" t="e">
        <f t="shared" ca="1" si="229"/>
        <v>#NAME?</v>
      </c>
      <c r="Y284" s="455" t="e">
        <f t="shared" ca="1" si="239"/>
        <v>#NAME?</v>
      </c>
      <c r="Z284" s="699">
        <f t="shared" si="221"/>
        <v>8.5</v>
      </c>
      <c r="AA284" s="355" t="str">
        <f t="shared" si="222"/>
        <v>ON</v>
      </c>
      <c r="AB284" s="357">
        <f t="shared" si="190"/>
        <v>1.4999999999999999E-2</v>
      </c>
      <c r="AC284" s="356" t="e">
        <f ca="1">IF(  Y283=0,0,IF(OR(S284="KCAS",S284="INOP",S284="MEFE"),   ( (5*( (   (((1+0.2*(T284/661.4786)^2)^3.5 -1)  )/( (1-6.8755856*10^-6 *100*Y284)^5.2558797) +1)^(2/7) -1) )^0.5),IF(S284="MACH",T284, IF(S284="LRC",BicubicInterpolation( 'LRC Mach'!$C$4:$AL$21, Y284,U284),  IF(S284="MRC",BicubicInterpolation( 'MRC Mach'!$C$3:$T$18, Y284,U284),  IF(S284="M0.84",0.84,  IF(S284="CI52",BicubicInterpolation('CI=52 Mach'!$C$3:$T$18, Y284,U284),  IF(S284="HOLDING",BicubicInterpolation(  'Holding Mach'!$C$4:$M$13, Y284,U284),                         IF(S284="LRCINOP", BicubicInterpolation('LRC INOP Mach'!$C$4:$AA$21,Y284,U284), IF(S284="HOLDINGINOP",  BicubicInterpolation('Holding INOP Mach'!$N$4:$U$13,Y284,U284),         "XXX" )))))))   )))</f>
        <v>#NAME?</v>
      </c>
      <c r="AD284" s="313" t="e">
        <f t="shared" ca="1" si="191"/>
        <v>#NAME?</v>
      </c>
      <c r="AE284" s="314" t="e">
        <f t="shared" ca="1" si="240"/>
        <v>#NAME?</v>
      </c>
      <c r="AF284" s="313" t="e">
        <f t="shared" ca="1" si="192"/>
        <v>#NAME?</v>
      </c>
      <c r="AG284" s="314" t="e">
        <f t="shared" ca="1" si="241"/>
        <v>#NAME?</v>
      </c>
      <c r="AH284" s="313" t="e">
        <f t="shared" ca="1" si="193"/>
        <v>#NAME?</v>
      </c>
      <c r="AI284" s="314" t="e">
        <f t="shared" ca="1" si="242"/>
        <v>#NAME?</v>
      </c>
      <c r="AJ284" s="315" t="e">
        <f t="shared" ca="1" si="243"/>
        <v>#NAME?</v>
      </c>
      <c r="AK284" s="568" t="e">
        <f t="shared" ca="1" si="194"/>
        <v>#NAME?</v>
      </c>
      <c r="AL284" s="313" t="e">
        <f t="shared" ca="1" si="195"/>
        <v>#NAME?</v>
      </c>
      <c r="AM284" s="313" t="e">
        <f t="shared" ca="1" si="244"/>
        <v>#NAME?</v>
      </c>
      <c r="AN284" s="313" t="e">
        <f t="shared" ca="1" si="245"/>
        <v>#NAME?</v>
      </c>
      <c r="AO284" s="316" t="e">
        <f t="shared" ca="1" si="196"/>
        <v>#NAME?</v>
      </c>
      <c r="AP284" s="313" t="e">
        <f t="shared" ca="1" si="197"/>
        <v>#NAME?</v>
      </c>
      <c r="AQ284" s="314" t="e">
        <f t="shared" ca="1" si="246"/>
        <v>#NAME?</v>
      </c>
      <c r="AR284" s="315" t="e">
        <f t="shared" ca="1" si="198"/>
        <v>#NAME?</v>
      </c>
      <c r="AS284" s="316" t="e">
        <f t="shared" ca="1" si="199"/>
        <v>#NAME?</v>
      </c>
      <c r="AT284" s="315" t="e">
        <f t="shared" ca="1" si="200"/>
        <v>#NAME?</v>
      </c>
      <c r="AU284" s="317">
        <v>427.8</v>
      </c>
      <c r="AV284" s="315" t="e">
        <f t="shared" ca="1" si="201"/>
        <v>#NAME?</v>
      </c>
      <c r="AW284" s="318" t="e">
        <f ca="1">0.0001*BicubicInterpolation('Drag Coef Table'!$B$4:$L$28,AV284,AC284)</f>
        <v>#NAME?</v>
      </c>
      <c r="AX284" s="319" t="e">
        <f t="shared" ca="1" si="202"/>
        <v>#NAME?</v>
      </c>
      <c r="AY284" s="318" t="e">
        <f t="shared" ca="1" si="203"/>
        <v>#NAME?</v>
      </c>
      <c r="AZ284" s="320" t="e">
        <f t="shared" ca="1" si="204"/>
        <v>#NAME?</v>
      </c>
      <c r="BA284" s="321" t="e">
        <f t="shared" ca="1" si="205"/>
        <v>#NAME?</v>
      </c>
      <c r="BB284" s="322" t="e">
        <f t="shared" ca="1" si="206"/>
        <v>#NAME?</v>
      </c>
      <c r="BC284" s="323">
        <v>75.196700000000007</v>
      </c>
      <c r="BD284" s="324" t="e">
        <f t="shared" ca="1" si="207"/>
        <v>#NAME?</v>
      </c>
      <c r="BE284" s="325" t="e">
        <f t="shared" ca="1" si="208"/>
        <v>#NAME?</v>
      </c>
      <c r="BF284" s="324" t="e">
        <f ca="1">BicubicInterpolation('TSFC Eff Table'!$B$4:$E$69,2,BB284)</f>
        <v>#NAME?</v>
      </c>
      <c r="BG284" s="326" t="e">
        <f t="shared" ca="1" si="209"/>
        <v>#NAME?</v>
      </c>
      <c r="BH284" s="694" t="e">
        <f ca="1">IF( S284="LRCINOP",   (1+(0.03/10)*Z284*(1+0.2*AC284^2) )*BicubicInterpolation( 'LRC INOP FF'!$C$4:$AA$21, Y284, U284 )-200, IF(S284 ="HOLDINGINOP", (1+(0.03/10)*Z284*(1+0.2*AC284^2) )*BicubicInterpolation( 'Holding INOP FF'!$C$4:$J$13,  Y284,  U284)/1.05-200,   BA284*BG284))</f>
        <v>#NAME?</v>
      </c>
      <c r="BI284" s="344" t="e">
        <f t="shared" ca="1" si="230"/>
        <v>#NAME?</v>
      </c>
      <c r="BJ284" s="322" t="e">
        <f t="shared" ca="1" si="210"/>
        <v>#NAME?</v>
      </c>
      <c r="BK284" s="338" t="e">
        <f t="shared" ca="1" si="231"/>
        <v>#NAME?</v>
      </c>
      <c r="BL284" s="327" t="e">
        <f t="shared" ca="1" si="211"/>
        <v>#NAME?</v>
      </c>
      <c r="BM284" s="328">
        <f t="shared" si="212"/>
        <v>200</v>
      </c>
      <c r="BN284" s="329" t="e">
        <f t="shared" ca="1" si="213"/>
        <v>#NAME?</v>
      </c>
      <c r="BO284" s="344" t="e">
        <f t="shared" ca="1" si="232"/>
        <v>#NAME?</v>
      </c>
      <c r="BP284" s="320" t="e">
        <f t="shared" ca="1" si="214"/>
        <v>#NAME?</v>
      </c>
      <c r="BQ284" s="344" t="e">
        <f t="shared" ca="1" si="233"/>
        <v>#NAME?</v>
      </c>
      <c r="BR284" s="347" t="e">
        <f t="shared" ca="1" si="234"/>
        <v>#NAME?</v>
      </c>
      <c r="BS284" s="326" t="e">
        <f t="shared" ca="1" si="215"/>
        <v>#NAME?</v>
      </c>
      <c r="BT284" s="437" t="e">
        <f t="shared" ca="1" si="247"/>
        <v>#NAME?</v>
      </c>
      <c r="BU284" s="437" t="e">
        <f t="shared" ca="1" si="248"/>
        <v>#NAME?</v>
      </c>
      <c r="BV284" s="441" t="e">
        <f t="shared" ca="1" si="249"/>
        <v>#NAME?</v>
      </c>
      <c r="BW284" s="442" t="e">
        <f t="shared" ca="1" si="250"/>
        <v>#NAME?</v>
      </c>
      <c r="BX284" s="470" t="e">
        <f t="shared" ca="1" si="223"/>
        <v>#NAME?</v>
      </c>
      <c r="BY284" s="484" t="e">
        <f t="shared" ca="1" si="235"/>
        <v>#NAME?</v>
      </c>
      <c r="BZ284" s="176"/>
    </row>
    <row r="285" spans="9:78" s="177" customFormat="1" ht="17.75" customHeight="1" x14ac:dyDescent="0.2">
      <c r="I285" s="366">
        <v>201</v>
      </c>
      <c r="J285" s="414">
        <f t="shared" si="236"/>
        <v>41705.85208333379</v>
      </c>
      <c r="K285" s="435" t="e">
        <f t="shared" ca="1" si="237"/>
        <v>#NAME?</v>
      </c>
      <c r="L285" s="435" t="e">
        <f t="shared" ca="1" si="224"/>
        <v>#NAME?</v>
      </c>
      <c r="M285" s="664" t="e">
        <f t="shared" ca="1" si="216"/>
        <v>#NAME?</v>
      </c>
      <c r="N285" s="664" t="e">
        <f t="shared" ca="1" si="217"/>
        <v>#NAME?</v>
      </c>
      <c r="O285" s="140" t="e">
        <f t="shared" ca="1" si="225"/>
        <v>#NAME?</v>
      </c>
      <c r="P285" s="352" t="e">
        <f t="shared" ca="1" si="238"/>
        <v>#NAME?</v>
      </c>
      <c r="Q285" s="665" t="e">
        <f t="shared" ca="1" si="218"/>
        <v>#NAME?</v>
      </c>
      <c r="R285" s="352" t="e">
        <f t="shared" ca="1" si="189"/>
        <v>#NAME?</v>
      </c>
      <c r="S285" s="662" t="e">
        <f t="shared" ca="1" si="226"/>
        <v>#NAME?</v>
      </c>
      <c r="T285" s="443" t="e">
        <f t="shared" ca="1" si="219"/>
        <v>#NAME?</v>
      </c>
      <c r="U285" s="369" t="e">
        <f t="shared" ca="1" si="220"/>
        <v>#NAME?</v>
      </c>
      <c r="V285" s="454" t="e">
        <f t="shared" ca="1" si="227"/>
        <v>#NAME?</v>
      </c>
      <c r="W285" s="457">
        <f t="shared" si="228"/>
        <v>1000</v>
      </c>
      <c r="X285" s="463" t="e">
        <f t="shared" ca="1" si="229"/>
        <v>#NAME?</v>
      </c>
      <c r="Y285" s="455" t="e">
        <f t="shared" ca="1" si="239"/>
        <v>#NAME?</v>
      </c>
      <c r="Z285" s="699">
        <f t="shared" si="221"/>
        <v>8.5</v>
      </c>
      <c r="AA285" s="355" t="str">
        <f t="shared" si="222"/>
        <v>ON</v>
      </c>
      <c r="AB285" s="357">
        <f t="shared" si="190"/>
        <v>1.4999999999999999E-2</v>
      </c>
      <c r="AC285" s="356" t="e">
        <f ca="1">IF(  Y284=0,0,IF(OR(S285="KCAS",S285="INOP",S285="MEFE"),   ( (5*( (   (((1+0.2*(T285/661.4786)^2)^3.5 -1)  )/( (1-6.8755856*10^-6 *100*Y285)^5.2558797) +1)^(2/7) -1) )^0.5),IF(S285="MACH",T285, IF(S285="LRC",BicubicInterpolation( 'LRC Mach'!$C$4:$AL$21, Y285,U285),  IF(S285="MRC",BicubicInterpolation( 'MRC Mach'!$C$3:$T$18, Y285,U285),  IF(S285="M0.84",0.84,  IF(S285="CI52",BicubicInterpolation('CI=52 Mach'!$C$3:$T$18, Y285,U285),  IF(S285="HOLDING",BicubicInterpolation(  'Holding Mach'!$C$4:$M$13, Y285,U285),                         IF(S285="LRCINOP", BicubicInterpolation('LRC INOP Mach'!$C$4:$AA$21,Y285,U285), IF(S285="HOLDINGINOP",  BicubicInterpolation('Holding INOP Mach'!$N$4:$U$13,Y285,U285),         "XXX" )))))))   )))</f>
        <v>#NAME?</v>
      </c>
      <c r="AD285" s="313" t="e">
        <f t="shared" ca="1" si="191"/>
        <v>#NAME?</v>
      </c>
      <c r="AE285" s="314" t="e">
        <f t="shared" ca="1" si="240"/>
        <v>#NAME?</v>
      </c>
      <c r="AF285" s="313" t="e">
        <f t="shared" ca="1" si="192"/>
        <v>#NAME?</v>
      </c>
      <c r="AG285" s="314" t="e">
        <f t="shared" ca="1" si="241"/>
        <v>#NAME?</v>
      </c>
      <c r="AH285" s="313" t="e">
        <f t="shared" ca="1" si="193"/>
        <v>#NAME?</v>
      </c>
      <c r="AI285" s="314" t="e">
        <f t="shared" ca="1" si="242"/>
        <v>#NAME?</v>
      </c>
      <c r="AJ285" s="315" t="e">
        <f t="shared" ca="1" si="243"/>
        <v>#NAME?</v>
      </c>
      <c r="AK285" s="568" t="e">
        <f t="shared" ca="1" si="194"/>
        <v>#NAME?</v>
      </c>
      <c r="AL285" s="313" t="e">
        <f t="shared" ca="1" si="195"/>
        <v>#NAME?</v>
      </c>
      <c r="AM285" s="313" t="e">
        <f t="shared" ca="1" si="244"/>
        <v>#NAME?</v>
      </c>
      <c r="AN285" s="313" t="e">
        <f t="shared" ca="1" si="245"/>
        <v>#NAME?</v>
      </c>
      <c r="AO285" s="316" t="e">
        <f t="shared" ca="1" si="196"/>
        <v>#NAME?</v>
      </c>
      <c r="AP285" s="313" t="e">
        <f t="shared" ca="1" si="197"/>
        <v>#NAME?</v>
      </c>
      <c r="AQ285" s="314" t="e">
        <f t="shared" ca="1" si="246"/>
        <v>#NAME?</v>
      </c>
      <c r="AR285" s="315" t="e">
        <f t="shared" ca="1" si="198"/>
        <v>#NAME?</v>
      </c>
      <c r="AS285" s="316" t="e">
        <f t="shared" ca="1" si="199"/>
        <v>#NAME?</v>
      </c>
      <c r="AT285" s="315" t="e">
        <f t="shared" ca="1" si="200"/>
        <v>#NAME?</v>
      </c>
      <c r="AU285" s="317">
        <v>427.8</v>
      </c>
      <c r="AV285" s="315" t="e">
        <f t="shared" ca="1" si="201"/>
        <v>#NAME?</v>
      </c>
      <c r="AW285" s="318" t="e">
        <f ca="1">0.0001*BicubicInterpolation('Drag Coef Table'!$B$4:$L$28,AV285,AC285)</f>
        <v>#NAME?</v>
      </c>
      <c r="AX285" s="319" t="e">
        <f t="shared" ca="1" si="202"/>
        <v>#NAME?</v>
      </c>
      <c r="AY285" s="318" t="e">
        <f t="shared" ca="1" si="203"/>
        <v>#NAME?</v>
      </c>
      <c r="AZ285" s="320" t="e">
        <f t="shared" ca="1" si="204"/>
        <v>#NAME?</v>
      </c>
      <c r="BA285" s="321" t="e">
        <f t="shared" ca="1" si="205"/>
        <v>#NAME?</v>
      </c>
      <c r="BB285" s="322" t="e">
        <f t="shared" ca="1" si="206"/>
        <v>#NAME?</v>
      </c>
      <c r="BC285" s="323">
        <v>75.196700000000007</v>
      </c>
      <c r="BD285" s="324" t="e">
        <f t="shared" ca="1" si="207"/>
        <v>#NAME?</v>
      </c>
      <c r="BE285" s="325" t="e">
        <f t="shared" ca="1" si="208"/>
        <v>#NAME?</v>
      </c>
      <c r="BF285" s="324" t="e">
        <f ca="1">BicubicInterpolation('TSFC Eff Table'!$B$4:$E$69,2,BB285)</f>
        <v>#NAME?</v>
      </c>
      <c r="BG285" s="326" t="e">
        <f t="shared" ca="1" si="209"/>
        <v>#NAME?</v>
      </c>
      <c r="BH285" s="694" t="e">
        <f ca="1">IF( S285="LRCINOP",   (1+(0.03/10)*Z285*(1+0.2*AC285^2) )*BicubicInterpolation( 'LRC INOP FF'!$C$4:$AA$21, Y285, U285 )-200, IF(S285 ="HOLDINGINOP", (1+(0.03/10)*Z285*(1+0.2*AC285^2) )*BicubicInterpolation( 'Holding INOP FF'!$C$4:$J$13,  Y285,  U285)/1.05-200,   BA285*BG285))</f>
        <v>#NAME?</v>
      </c>
      <c r="BI285" s="344" t="e">
        <f t="shared" ca="1" si="230"/>
        <v>#NAME?</v>
      </c>
      <c r="BJ285" s="322" t="e">
        <f t="shared" ca="1" si="210"/>
        <v>#NAME?</v>
      </c>
      <c r="BK285" s="338" t="e">
        <f t="shared" ca="1" si="231"/>
        <v>#NAME?</v>
      </c>
      <c r="BL285" s="327" t="e">
        <f t="shared" ca="1" si="211"/>
        <v>#NAME?</v>
      </c>
      <c r="BM285" s="328">
        <f t="shared" si="212"/>
        <v>200</v>
      </c>
      <c r="BN285" s="329" t="e">
        <f t="shared" ca="1" si="213"/>
        <v>#NAME?</v>
      </c>
      <c r="BO285" s="344" t="e">
        <f t="shared" ca="1" si="232"/>
        <v>#NAME?</v>
      </c>
      <c r="BP285" s="320" t="e">
        <f t="shared" ca="1" si="214"/>
        <v>#NAME?</v>
      </c>
      <c r="BQ285" s="344" t="e">
        <f t="shared" ca="1" si="233"/>
        <v>#NAME?</v>
      </c>
      <c r="BR285" s="347" t="e">
        <f t="shared" ca="1" si="234"/>
        <v>#NAME?</v>
      </c>
      <c r="BS285" s="326" t="e">
        <f t="shared" ca="1" si="215"/>
        <v>#NAME?</v>
      </c>
      <c r="BT285" s="437" t="e">
        <f t="shared" ca="1" si="247"/>
        <v>#NAME?</v>
      </c>
      <c r="BU285" s="437" t="e">
        <f t="shared" ca="1" si="248"/>
        <v>#NAME?</v>
      </c>
      <c r="BV285" s="441" t="e">
        <f t="shared" ca="1" si="249"/>
        <v>#NAME?</v>
      </c>
      <c r="BW285" s="442" t="e">
        <f t="shared" ca="1" si="250"/>
        <v>#NAME?</v>
      </c>
      <c r="BX285" s="470" t="e">
        <f t="shared" ca="1" si="223"/>
        <v>#NAME?</v>
      </c>
      <c r="BY285" s="484" t="e">
        <f t="shared" ca="1" si="235"/>
        <v>#NAME?</v>
      </c>
      <c r="BZ285" s="176"/>
    </row>
    <row r="286" spans="9:78" s="177" customFormat="1" ht="17.75" customHeight="1" x14ac:dyDescent="0.2">
      <c r="I286" s="366">
        <v>202</v>
      </c>
      <c r="J286" s="414">
        <f t="shared" si="236"/>
        <v>41705.852777778236</v>
      </c>
      <c r="K286" s="435" t="e">
        <f t="shared" ca="1" si="237"/>
        <v>#NAME?</v>
      </c>
      <c r="L286" s="435" t="e">
        <f t="shared" ca="1" si="224"/>
        <v>#NAME?</v>
      </c>
      <c r="M286" s="664" t="e">
        <f t="shared" ca="1" si="216"/>
        <v>#NAME?</v>
      </c>
      <c r="N286" s="664" t="e">
        <f t="shared" ca="1" si="217"/>
        <v>#NAME?</v>
      </c>
      <c r="O286" s="140" t="e">
        <f t="shared" ca="1" si="225"/>
        <v>#NAME?</v>
      </c>
      <c r="P286" s="352" t="e">
        <f t="shared" ca="1" si="238"/>
        <v>#NAME?</v>
      </c>
      <c r="Q286" s="665" t="e">
        <f t="shared" ca="1" si="218"/>
        <v>#NAME?</v>
      </c>
      <c r="R286" s="352" t="e">
        <f t="shared" ca="1" si="189"/>
        <v>#NAME?</v>
      </c>
      <c r="S286" s="662" t="e">
        <f t="shared" ca="1" si="226"/>
        <v>#NAME?</v>
      </c>
      <c r="T286" s="443" t="e">
        <f t="shared" ca="1" si="219"/>
        <v>#NAME?</v>
      </c>
      <c r="U286" s="369" t="e">
        <f t="shared" ca="1" si="220"/>
        <v>#NAME?</v>
      </c>
      <c r="V286" s="454" t="e">
        <f t="shared" ca="1" si="227"/>
        <v>#NAME?</v>
      </c>
      <c r="W286" s="457">
        <f t="shared" si="228"/>
        <v>1000</v>
      </c>
      <c r="X286" s="463" t="e">
        <f t="shared" ca="1" si="229"/>
        <v>#NAME?</v>
      </c>
      <c r="Y286" s="455" t="e">
        <f t="shared" ca="1" si="239"/>
        <v>#NAME?</v>
      </c>
      <c r="Z286" s="699">
        <f t="shared" si="221"/>
        <v>8.5</v>
      </c>
      <c r="AA286" s="355" t="str">
        <f t="shared" si="222"/>
        <v>ON</v>
      </c>
      <c r="AB286" s="357">
        <f t="shared" si="190"/>
        <v>1.4999999999999999E-2</v>
      </c>
      <c r="AC286" s="356" t="e">
        <f ca="1">IF(  Y285=0,0,IF(OR(S286="KCAS",S286="INOP",S286="MEFE"),   ( (5*( (   (((1+0.2*(T286/661.4786)^2)^3.5 -1)  )/( (1-6.8755856*10^-6 *100*Y286)^5.2558797) +1)^(2/7) -1) )^0.5),IF(S286="MACH",T286, IF(S286="LRC",BicubicInterpolation( 'LRC Mach'!$C$4:$AL$21, Y286,U286),  IF(S286="MRC",BicubicInterpolation( 'MRC Mach'!$C$3:$T$18, Y286,U286),  IF(S286="M0.84",0.84,  IF(S286="CI52",BicubicInterpolation('CI=52 Mach'!$C$3:$T$18, Y286,U286),  IF(S286="HOLDING",BicubicInterpolation(  'Holding Mach'!$C$4:$M$13, Y286,U286),                         IF(S286="LRCINOP", BicubicInterpolation('LRC INOP Mach'!$C$4:$AA$21,Y286,U286), IF(S286="HOLDINGINOP",  BicubicInterpolation('Holding INOP Mach'!$N$4:$U$13,Y286,U286),         "XXX" )))))))   )))</f>
        <v>#NAME?</v>
      </c>
      <c r="AD286" s="313" t="e">
        <f t="shared" ca="1" si="191"/>
        <v>#NAME?</v>
      </c>
      <c r="AE286" s="314" t="e">
        <f t="shared" ca="1" si="240"/>
        <v>#NAME?</v>
      </c>
      <c r="AF286" s="313" t="e">
        <f t="shared" ca="1" si="192"/>
        <v>#NAME?</v>
      </c>
      <c r="AG286" s="314" t="e">
        <f t="shared" ca="1" si="241"/>
        <v>#NAME?</v>
      </c>
      <c r="AH286" s="313" t="e">
        <f t="shared" ca="1" si="193"/>
        <v>#NAME?</v>
      </c>
      <c r="AI286" s="314" t="e">
        <f t="shared" ca="1" si="242"/>
        <v>#NAME?</v>
      </c>
      <c r="AJ286" s="315" t="e">
        <f t="shared" ca="1" si="243"/>
        <v>#NAME?</v>
      </c>
      <c r="AK286" s="568" t="e">
        <f t="shared" ca="1" si="194"/>
        <v>#NAME?</v>
      </c>
      <c r="AL286" s="313" t="e">
        <f t="shared" ca="1" si="195"/>
        <v>#NAME?</v>
      </c>
      <c r="AM286" s="313" t="e">
        <f t="shared" ca="1" si="244"/>
        <v>#NAME?</v>
      </c>
      <c r="AN286" s="313" t="e">
        <f t="shared" ca="1" si="245"/>
        <v>#NAME?</v>
      </c>
      <c r="AO286" s="316" t="e">
        <f t="shared" ca="1" si="196"/>
        <v>#NAME?</v>
      </c>
      <c r="AP286" s="313" t="e">
        <f t="shared" ca="1" si="197"/>
        <v>#NAME?</v>
      </c>
      <c r="AQ286" s="314" t="e">
        <f t="shared" ca="1" si="246"/>
        <v>#NAME?</v>
      </c>
      <c r="AR286" s="315" t="e">
        <f t="shared" ca="1" si="198"/>
        <v>#NAME?</v>
      </c>
      <c r="AS286" s="316" t="e">
        <f t="shared" ca="1" si="199"/>
        <v>#NAME?</v>
      </c>
      <c r="AT286" s="315" t="e">
        <f t="shared" ca="1" si="200"/>
        <v>#NAME?</v>
      </c>
      <c r="AU286" s="317">
        <v>427.8</v>
      </c>
      <c r="AV286" s="315" t="e">
        <f t="shared" ca="1" si="201"/>
        <v>#NAME?</v>
      </c>
      <c r="AW286" s="318" t="e">
        <f ca="1">0.0001*BicubicInterpolation('Drag Coef Table'!$B$4:$L$28,AV286,AC286)</f>
        <v>#NAME?</v>
      </c>
      <c r="AX286" s="319" t="e">
        <f t="shared" ca="1" si="202"/>
        <v>#NAME?</v>
      </c>
      <c r="AY286" s="318" t="e">
        <f t="shared" ca="1" si="203"/>
        <v>#NAME?</v>
      </c>
      <c r="AZ286" s="320" t="e">
        <f t="shared" ca="1" si="204"/>
        <v>#NAME?</v>
      </c>
      <c r="BA286" s="321" t="e">
        <f t="shared" ca="1" si="205"/>
        <v>#NAME?</v>
      </c>
      <c r="BB286" s="322" t="e">
        <f t="shared" ca="1" si="206"/>
        <v>#NAME?</v>
      </c>
      <c r="BC286" s="323">
        <v>75.196700000000007</v>
      </c>
      <c r="BD286" s="324" t="e">
        <f t="shared" ca="1" si="207"/>
        <v>#NAME?</v>
      </c>
      <c r="BE286" s="325" t="e">
        <f t="shared" ca="1" si="208"/>
        <v>#NAME?</v>
      </c>
      <c r="BF286" s="324" t="e">
        <f ca="1">BicubicInterpolation('TSFC Eff Table'!$B$4:$E$69,2,BB286)</f>
        <v>#NAME?</v>
      </c>
      <c r="BG286" s="326" t="e">
        <f t="shared" ca="1" si="209"/>
        <v>#NAME?</v>
      </c>
      <c r="BH286" s="694" t="e">
        <f ca="1">IF( S286="LRCINOP",   (1+(0.03/10)*Z286*(1+0.2*AC286^2) )*BicubicInterpolation( 'LRC INOP FF'!$C$4:$AA$21, Y286, U286 )-200, IF(S286 ="HOLDINGINOP", (1+(0.03/10)*Z286*(1+0.2*AC286^2) )*BicubicInterpolation( 'Holding INOP FF'!$C$4:$J$13,  Y286,  U286)/1.05-200,   BA286*BG286))</f>
        <v>#NAME?</v>
      </c>
      <c r="BI286" s="344" t="e">
        <f t="shared" ca="1" si="230"/>
        <v>#NAME?</v>
      </c>
      <c r="BJ286" s="322" t="e">
        <f t="shared" ca="1" si="210"/>
        <v>#NAME?</v>
      </c>
      <c r="BK286" s="338" t="e">
        <f t="shared" ca="1" si="231"/>
        <v>#NAME?</v>
      </c>
      <c r="BL286" s="327" t="e">
        <f t="shared" ca="1" si="211"/>
        <v>#NAME?</v>
      </c>
      <c r="BM286" s="328">
        <f t="shared" si="212"/>
        <v>200</v>
      </c>
      <c r="BN286" s="329" t="e">
        <f t="shared" ca="1" si="213"/>
        <v>#NAME?</v>
      </c>
      <c r="BO286" s="344" t="e">
        <f t="shared" ca="1" si="232"/>
        <v>#NAME?</v>
      </c>
      <c r="BP286" s="320" t="e">
        <f t="shared" ca="1" si="214"/>
        <v>#NAME?</v>
      </c>
      <c r="BQ286" s="344" t="e">
        <f t="shared" ca="1" si="233"/>
        <v>#NAME?</v>
      </c>
      <c r="BR286" s="347" t="e">
        <f t="shared" ca="1" si="234"/>
        <v>#NAME?</v>
      </c>
      <c r="BS286" s="326" t="e">
        <f t="shared" ca="1" si="215"/>
        <v>#NAME?</v>
      </c>
      <c r="BT286" s="437" t="e">
        <f t="shared" ca="1" si="247"/>
        <v>#NAME?</v>
      </c>
      <c r="BU286" s="437" t="e">
        <f t="shared" ca="1" si="248"/>
        <v>#NAME?</v>
      </c>
      <c r="BV286" s="441" t="e">
        <f t="shared" ca="1" si="249"/>
        <v>#NAME?</v>
      </c>
      <c r="BW286" s="442" t="e">
        <f t="shared" ca="1" si="250"/>
        <v>#NAME?</v>
      </c>
      <c r="BX286" s="470" t="e">
        <f t="shared" ca="1" si="223"/>
        <v>#NAME?</v>
      </c>
      <c r="BY286" s="484" t="e">
        <f t="shared" ca="1" si="235"/>
        <v>#NAME?</v>
      </c>
      <c r="BZ286" s="176"/>
    </row>
    <row r="287" spans="9:78" s="177" customFormat="1" ht="17.75" customHeight="1" x14ac:dyDescent="0.2">
      <c r="I287" s="366">
        <v>203</v>
      </c>
      <c r="J287" s="414">
        <f t="shared" si="236"/>
        <v>41705.853472222683</v>
      </c>
      <c r="K287" s="435" t="e">
        <f t="shared" ca="1" si="237"/>
        <v>#NAME?</v>
      </c>
      <c r="L287" s="435" t="e">
        <f t="shared" ca="1" si="224"/>
        <v>#NAME?</v>
      </c>
      <c r="M287" s="664" t="e">
        <f t="shared" ca="1" si="216"/>
        <v>#NAME?</v>
      </c>
      <c r="N287" s="664" t="e">
        <f t="shared" ca="1" si="217"/>
        <v>#NAME?</v>
      </c>
      <c r="O287" s="140" t="e">
        <f t="shared" ca="1" si="225"/>
        <v>#NAME?</v>
      </c>
      <c r="P287" s="352" t="e">
        <f t="shared" ca="1" si="238"/>
        <v>#NAME?</v>
      </c>
      <c r="Q287" s="665" t="e">
        <f t="shared" ca="1" si="218"/>
        <v>#NAME?</v>
      </c>
      <c r="R287" s="352" t="e">
        <f t="shared" ref="R287:R350" ca="1" si="251">AC287</f>
        <v>#NAME?</v>
      </c>
      <c r="S287" s="662" t="e">
        <f t="shared" ca="1" si="226"/>
        <v>#NAME?</v>
      </c>
      <c r="T287" s="443" t="e">
        <f t="shared" ca="1" si="219"/>
        <v>#NAME?</v>
      </c>
      <c r="U287" s="369" t="e">
        <f t="shared" ca="1" si="220"/>
        <v>#NAME?</v>
      </c>
      <c r="V287" s="454" t="e">
        <f t="shared" ca="1" si="227"/>
        <v>#NAME?</v>
      </c>
      <c r="W287" s="457">
        <f t="shared" si="228"/>
        <v>1000</v>
      </c>
      <c r="X287" s="463" t="e">
        <f t="shared" ca="1" si="229"/>
        <v>#NAME?</v>
      </c>
      <c r="Y287" s="455" t="e">
        <f t="shared" ca="1" si="239"/>
        <v>#NAME?</v>
      </c>
      <c r="Z287" s="699">
        <f t="shared" si="221"/>
        <v>8.5</v>
      </c>
      <c r="AA287" s="355" t="str">
        <f t="shared" si="222"/>
        <v>ON</v>
      </c>
      <c r="AB287" s="357">
        <f t="shared" ref="AB287:AB350" si="252">AB286</f>
        <v>1.4999999999999999E-2</v>
      </c>
      <c r="AC287" s="356" t="e">
        <f ca="1">IF(  Y286=0,0,IF(OR(S287="KCAS",S287="INOP",S287="MEFE"),   ( (5*( (   (((1+0.2*(T287/661.4786)^2)^3.5 -1)  )/( (1-6.8755856*10^-6 *100*Y287)^5.2558797) +1)^(2/7) -1) )^0.5),IF(S287="MACH",T287, IF(S287="LRC",BicubicInterpolation( 'LRC Mach'!$C$4:$AL$21, Y287,U287),  IF(S287="MRC",BicubicInterpolation( 'MRC Mach'!$C$3:$T$18, Y287,U287),  IF(S287="M0.84",0.84,  IF(S287="CI52",BicubicInterpolation('CI=52 Mach'!$C$3:$T$18, Y287,U287),  IF(S287="HOLDING",BicubicInterpolation(  'Holding Mach'!$C$4:$M$13, Y287,U287),                         IF(S287="LRCINOP", BicubicInterpolation('LRC INOP Mach'!$C$4:$AA$21,Y287,U287), IF(S287="HOLDINGINOP",  BicubicInterpolation('Holding INOP Mach'!$N$4:$U$13,Y287,U287),         "XXX" )))))))   )))</f>
        <v>#NAME?</v>
      </c>
      <c r="AD287" s="313" t="e">
        <f t="shared" ref="AD287:AD350" ca="1" si="253">IF(Y287&lt;360.8924,288.15-1.9812*Y287/10,216.65)</f>
        <v>#NAME?</v>
      </c>
      <c r="AE287" s="314" t="e">
        <f t="shared" ca="1" si="240"/>
        <v>#NAME?</v>
      </c>
      <c r="AF287" s="313" t="e">
        <f t="shared" ref="AF287:AF350" ca="1" si="254">AD287+Z287</f>
        <v>#NAME?</v>
      </c>
      <c r="AG287" s="314" t="e">
        <f t="shared" ca="1" si="241"/>
        <v>#NAME?</v>
      </c>
      <c r="AH287" s="313" t="e">
        <f t="shared" ref="AH287:AH350" ca="1" si="255">AF287*(1+0.2*AC287^2)</f>
        <v>#NAME?</v>
      </c>
      <c r="AI287" s="314" t="e">
        <f t="shared" ca="1" si="242"/>
        <v>#NAME?</v>
      </c>
      <c r="AJ287" s="315" t="e">
        <f t="shared" ca="1" si="243"/>
        <v>#NAME?</v>
      </c>
      <c r="AK287" s="568" t="e">
        <f t="shared" ref="AK287:AK350" ca="1" si="256">661.4786*SQRT(AG287)</f>
        <v>#NAME?</v>
      </c>
      <c r="AL287" s="313" t="e">
        <f t="shared" ref="AL287:AL350" ca="1" si="257">AC287*AK287</f>
        <v>#NAME?</v>
      </c>
      <c r="AM287" s="313" t="e">
        <f t="shared" ca="1" si="244"/>
        <v>#NAME?</v>
      </c>
      <c r="AN287" s="313" t="e">
        <f t="shared" ca="1" si="245"/>
        <v>#NAME?</v>
      </c>
      <c r="AO287" s="316" t="e">
        <f t="shared" ref="AO287:AO350" ca="1" si="258">661.4786*(5*((1 + ( (1-0.00068755856*Y287)^5.2558797)*((1 + AC287^2/5)^3.5 - 1))^(2/7) - 1))^0.5</f>
        <v>#NAME?</v>
      </c>
      <c r="AP287" s="313" t="e">
        <f t="shared" ref="AP287:AP350" ca="1" si="259">IF(Y287&lt;360.8924,1013.25*(1-0.0000068755856*100*Y287)^5.2558797,0.01*0.2233609*101325*EXP(-0.004806346*(Y287-360.8924)))</f>
        <v>#NAME?</v>
      </c>
      <c r="AQ287" s="314" t="e">
        <f t="shared" ca="1" si="246"/>
        <v>#NAME?</v>
      </c>
      <c r="AR287" s="315" t="e">
        <f t="shared" ref="AR287:AR350" ca="1" si="260">AQ287*(1+0.2*AC287^2)^3.5</f>
        <v>#NAME?</v>
      </c>
      <c r="AS287" s="316" t="e">
        <f t="shared" ref="AS287:AS350" ca="1" si="261">U287/AQ287</f>
        <v>#NAME?</v>
      </c>
      <c r="AT287" s="315" t="e">
        <f t="shared" ref="AT287:AT350" ca="1" si="262">1.225*AQ287/AG287</f>
        <v>#NAME?</v>
      </c>
      <c r="AU287" s="317">
        <v>427.8</v>
      </c>
      <c r="AV287" s="315" t="e">
        <f t="shared" ref="AV287:AV350" ca="1" si="263">1000*9.80665*U287/(0.5*AT287*AU287*(AM287)^2)</f>
        <v>#NAME?</v>
      </c>
      <c r="AW287" s="318" t="e">
        <f ca="1">0.0001*BicubicInterpolation('Drag Coef Table'!$B$4:$L$28,AV287,AC287)</f>
        <v>#NAME?</v>
      </c>
      <c r="AX287" s="319" t="e">
        <f t="shared" ref="AX287:AX350" ca="1" si="264">(-45.29)*0.0001*LOG10(  (  ( AG287 + 0.38312 ) / AG287^2    )   /   (   (AE287 +0.38312)/(AE287)^2  ) )</f>
        <v>#NAME?</v>
      </c>
      <c r="AY287" s="318" t="e">
        <f t="shared" ref="AY287:AY350" ca="1" si="265">AW287+AX287</f>
        <v>#NAME?</v>
      </c>
      <c r="AZ287" s="320" t="e">
        <f t="shared" ref="AZ287:AZ350" ca="1" si="266">AV287/AY287</f>
        <v>#NAME?</v>
      </c>
      <c r="BA287" s="321" t="e">
        <f t="shared" ref="BA287:BA350" ca="1" si="267">AY287*0.5*AT287*(AM287^2)*AU287/1000</f>
        <v>#NAME?</v>
      </c>
      <c r="BB287" s="322" t="e">
        <f t="shared" ref="BB287:BB350" ca="1" si="268">BA287/AQ287/9.80665</f>
        <v>#NAME?</v>
      </c>
      <c r="BC287" s="323">
        <v>75.196700000000007</v>
      </c>
      <c r="BD287" s="324" t="e">
        <f t="shared" ref="BD287:BD350" ca="1" si="269">AG287^0.68</f>
        <v>#NAME?</v>
      </c>
      <c r="BE287" s="325" t="e">
        <f t="shared" ref="BE287:BE350" ca="1" si="270">AC287^0.53</f>
        <v>#NAME?</v>
      </c>
      <c r="BF287" s="324" t="e">
        <f ca="1">BicubicInterpolation('TSFC Eff Table'!$B$4:$E$69,2,BB287)</f>
        <v>#NAME?</v>
      </c>
      <c r="BG287" s="326" t="e">
        <f t="shared" ref="BG287:BG350" ca="1" si="271">BC287*BD287*BE287/BF287</f>
        <v>#NAME?</v>
      </c>
      <c r="BH287" s="694" t="e">
        <f ca="1">IF( S287="LRCINOP",   (1+(0.03/10)*Z287*(1+0.2*AC287^2) )*BicubicInterpolation( 'LRC INOP FF'!$C$4:$AA$21, Y287, U287 )-200, IF(S287 ="HOLDINGINOP", (1+(0.03/10)*Z287*(1+0.2*AC287^2) )*BicubicInterpolation( 'Holding INOP FF'!$C$4:$J$13,  Y287,  U287)/1.05-200,   BA287*BG287))</f>
        <v>#NAME?</v>
      </c>
      <c r="BI287" s="344" t="e">
        <f t="shared" ca="1" si="230"/>
        <v>#NAME?</v>
      </c>
      <c r="BJ287" s="322" t="e">
        <f t="shared" ref="BJ287:BJ350" ca="1" si="272">BI287/(AR287*AJ287)/1000</f>
        <v>#NAME?</v>
      </c>
      <c r="BK287" s="338" t="e">
        <f t="shared" ca="1" si="231"/>
        <v>#NAME?</v>
      </c>
      <c r="BL287" s="327" t="e">
        <f t="shared" ref="BL287:BL350" ca="1" si="273">100*BK287/AS287</f>
        <v>#NAME?</v>
      </c>
      <c r="BM287" s="328">
        <f t="shared" ref="BM287:BM350" si="274">200-IF(AA287="OFF",55,0)</f>
        <v>200</v>
      </c>
      <c r="BN287" s="329" t="e">
        <f t="shared" ref="BN287:BN350" ca="1" si="275">BI287+BM287</f>
        <v>#NAME?</v>
      </c>
      <c r="BO287" s="344" t="e">
        <f t="shared" ca="1" si="232"/>
        <v>#NAME?</v>
      </c>
      <c r="BP287" s="320" t="e">
        <f t="shared" ref="BP287:BP350" ca="1" si="276">1000*AL287/BO287</f>
        <v>#NAME?</v>
      </c>
      <c r="BQ287" s="344" t="e">
        <f t="shared" ca="1" si="233"/>
        <v>#NAME?</v>
      </c>
      <c r="BR287" s="347" t="e">
        <f t="shared" ca="1" si="234"/>
        <v>#NAME?</v>
      </c>
      <c r="BS287" s="326" t="e">
        <f t="shared" ref="BS287:BS350" ca="1" si="277">1000*AL287/BR287</f>
        <v>#NAME?</v>
      </c>
      <c r="BT287" s="437" t="e">
        <f t="shared" ca="1" si="247"/>
        <v>#NAME?</v>
      </c>
      <c r="BU287" s="437" t="e">
        <f t="shared" ca="1" si="248"/>
        <v>#NAME?</v>
      </c>
      <c r="BV287" s="441" t="e">
        <f t="shared" ca="1" si="249"/>
        <v>#NAME?</v>
      </c>
      <c r="BW287" s="442" t="e">
        <f t="shared" ca="1" si="250"/>
        <v>#NAME?</v>
      </c>
      <c r="BX287" s="470" t="e">
        <f t="shared" ca="1" si="223"/>
        <v>#NAME?</v>
      </c>
      <c r="BY287" s="484" t="e">
        <f t="shared" ca="1" si="235"/>
        <v>#NAME?</v>
      </c>
      <c r="BZ287" s="176"/>
    </row>
    <row r="288" spans="9:78" s="177" customFormat="1" ht="17.75" customHeight="1" x14ac:dyDescent="0.2">
      <c r="I288" s="366">
        <v>204</v>
      </c>
      <c r="J288" s="414">
        <f t="shared" si="236"/>
        <v>41705.85416666713</v>
      </c>
      <c r="K288" s="435" t="e">
        <f t="shared" ca="1" si="237"/>
        <v>#NAME?</v>
      </c>
      <c r="L288" s="435" t="e">
        <f t="shared" ca="1" si="224"/>
        <v>#NAME?</v>
      </c>
      <c r="M288" s="664" t="e">
        <f t="shared" ca="1" si="216"/>
        <v>#NAME?</v>
      </c>
      <c r="N288" s="664" t="e">
        <f t="shared" ca="1" si="217"/>
        <v>#NAME?</v>
      </c>
      <c r="O288" s="140" t="e">
        <f t="shared" ca="1" si="225"/>
        <v>#NAME?</v>
      </c>
      <c r="P288" s="352" t="e">
        <f t="shared" ca="1" si="238"/>
        <v>#NAME?</v>
      </c>
      <c r="Q288" s="665" t="e">
        <f t="shared" ca="1" si="218"/>
        <v>#NAME?</v>
      </c>
      <c r="R288" s="352" t="e">
        <f t="shared" ca="1" si="251"/>
        <v>#NAME?</v>
      </c>
      <c r="S288" s="662" t="e">
        <f t="shared" ca="1" si="226"/>
        <v>#NAME?</v>
      </c>
      <c r="T288" s="443" t="e">
        <f t="shared" ca="1" si="219"/>
        <v>#NAME?</v>
      </c>
      <c r="U288" s="369" t="e">
        <f t="shared" ca="1" si="220"/>
        <v>#NAME?</v>
      </c>
      <c r="V288" s="454" t="e">
        <f t="shared" ca="1" si="227"/>
        <v>#NAME?</v>
      </c>
      <c r="W288" s="457">
        <f t="shared" si="228"/>
        <v>1000</v>
      </c>
      <c r="X288" s="463" t="e">
        <f t="shared" ca="1" si="229"/>
        <v>#NAME?</v>
      </c>
      <c r="Y288" s="455" t="e">
        <f t="shared" ca="1" si="239"/>
        <v>#NAME?</v>
      </c>
      <c r="Z288" s="699">
        <f t="shared" si="221"/>
        <v>8.5</v>
      </c>
      <c r="AA288" s="355" t="str">
        <f t="shared" si="222"/>
        <v>ON</v>
      </c>
      <c r="AB288" s="357">
        <f t="shared" si="252"/>
        <v>1.4999999999999999E-2</v>
      </c>
      <c r="AC288" s="356" t="e">
        <f ca="1">IF(  Y287=0,0,IF(OR(S288="KCAS",S288="INOP",S288="MEFE"),   ( (5*( (   (((1+0.2*(T288/661.4786)^2)^3.5 -1)  )/( (1-6.8755856*10^-6 *100*Y288)^5.2558797) +1)^(2/7) -1) )^0.5),IF(S288="MACH",T288, IF(S288="LRC",BicubicInterpolation( 'LRC Mach'!$C$4:$AL$21, Y288,U288),  IF(S288="MRC",BicubicInterpolation( 'MRC Mach'!$C$3:$T$18, Y288,U288),  IF(S288="M0.84",0.84,  IF(S288="CI52",BicubicInterpolation('CI=52 Mach'!$C$3:$T$18, Y288,U288),  IF(S288="HOLDING",BicubicInterpolation(  'Holding Mach'!$C$4:$M$13, Y288,U288),                         IF(S288="LRCINOP", BicubicInterpolation('LRC INOP Mach'!$C$4:$AA$21,Y288,U288), IF(S288="HOLDINGINOP",  BicubicInterpolation('Holding INOP Mach'!$N$4:$U$13,Y288,U288),         "XXX" )))))))   )))</f>
        <v>#NAME?</v>
      </c>
      <c r="AD288" s="313" t="e">
        <f t="shared" ca="1" si="253"/>
        <v>#NAME?</v>
      </c>
      <c r="AE288" s="314" t="e">
        <f t="shared" ca="1" si="240"/>
        <v>#NAME?</v>
      </c>
      <c r="AF288" s="313" t="e">
        <f t="shared" ca="1" si="254"/>
        <v>#NAME?</v>
      </c>
      <c r="AG288" s="314" t="e">
        <f t="shared" ca="1" si="241"/>
        <v>#NAME?</v>
      </c>
      <c r="AH288" s="313" t="e">
        <f t="shared" ca="1" si="255"/>
        <v>#NAME?</v>
      </c>
      <c r="AI288" s="314" t="e">
        <f t="shared" ca="1" si="242"/>
        <v>#NAME?</v>
      </c>
      <c r="AJ288" s="315" t="e">
        <f t="shared" ca="1" si="243"/>
        <v>#NAME?</v>
      </c>
      <c r="AK288" s="568" t="e">
        <f t="shared" ca="1" si="256"/>
        <v>#NAME?</v>
      </c>
      <c r="AL288" s="313" t="e">
        <f t="shared" ca="1" si="257"/>
        <v>#NAME?</v>
      </c>
      <c r="AM288" s="313" t="e">
        <f t="shared" ca="1" si="244"/>
        <v>#NAME?</v>
      </c>
      <c r="AN288" s="313" t="e">
        <f t="shared" ca="1" si="245"/>
        <v>#NAME?</v>
      </c>
      <c r="AO288" s="316" t="e">
        <f t="shared" ca="1" si="258"/>
        <v>#NAME?</v>
      </c>
      <c r="AP288" s="313" t="e">
        <f t="shared" ca="1" si="259"/>
        <v>#NAME?</v>
      </c>
      <c r="AQ288" s="314" t="e">
        <f t="shared" ca="1" si="246"/>
        <v>#NAME?</v>
      </c>
      <c r="AR288" s="315" t="e">
        <f t="shared" ca="1" si="260"/>
        <v>#NAME?</v>
      </c>
      <c r="AS288" s="316" t="e">
        <f t="shared" ca="1" si="261"/>
        <v>#NAME?</v>
      </c>
      <c r="AT288" s="315" t="e">
        <f t="shared" ca="1" si="262"/>
        <v>#NAME?</v>
      </c>
      <c r="AU288" s="317">
        <v>427.8</v>
      </c>
      <c r="AV288" s="315" t="e">
        <f t="shared" ca="1" si="263"/>
        <v>#NAME?</v>
      </c>
      <c r="AW288" s="318" t="e">
        <f ca="1">0.0001*BicubicInterpolation('Drag Coef Table'!$B$4:$L$28,AV288,AC288)</f>
        <v>#NAME?</v>
      </c>
      <c r="AX288" s="319" t="e">
        <f t="shared" ca="1" si="264"/>
        <v>#NAME?</v>
      </c>
      <c r="AY288" s="318" t="e">
        <f t="shared" ca="1" si="265"/>
        <v>#NAME?</v>
      </c>
      <c r="AZ288" s="320" t="e">
        <f t="shared" ca="1" si="266"/>
        <v>#NAME?</v>
      </c>
      <c r="BA288" s="321" t="e">
        <f t="shared" ca="1" si="267"/>
        <v>#NAME?</v>
      </c>
      <c r="BB288" s="322" t="e">
        <f t="shared" ca="1" si="268"/>
        <v>#NAME?</v>
      </c>
      <c r="BC288" s="323">
        <v>75.196700000000007</v>
      </c>
      <c r="BD288" s="324" t="e">
        <f t="shared" ca="1" si="269"/>
        <v>#NAME?</v>
      </c>
      <c r="BE288" s="325" t="e">
        <f t="shared" ca="1" si="270"/>
        <v>#NAME?</v>
      </c>
      <c r="BF288" s="324" t="e">
        <f ca="1">BicubicInterpolation('TSFC Eff Table'!$B$4:$E$69,2,BB288)</f>
        <v>#NAME?</v>
      </c>
      <c r="BG288" s="326" t="e">
        <f t="shared" ca="1" si="271"/>
        <v>#NAME?</v>
      </c>
      <c r="BH288" s="694" t="e">
        <f ca="1">IF( S288="LRCINOP",   (1+(0.03/10)*Z288*(1+0.2*AC288^2) )*BicubicInterpolation( 'LRC INOP FF'!$C$4:$AA$21, Y288, U288 )-200, IF(S288 ="HOLDINGINOP", (1+(0.03/10)*Z288*(1+0.2*AC288^2) )*BicubicInterpolation( 'Holding INOP FF'!$C$4:$J$13,  Y288,  U288)/1.05-200,   BA288*BG288))</f>
        <v>#NAME?</v>
      </c>
      <c r="BI288" s="344" t="e">
        <f t="shared" ca="1" si="230"/>
        <v>#NAME?</v>
      </c>
      <c r="BJ288" s="322" t="e">
        <f t="shared" ca="1" si="272"/>
        <v>#NAME?</v>
      </c>
      <c r="BK288" s="338" t="e">
        <f t="shared" ca="1" si="231"/>
        <v>#NAME?</v>
      </c>
      <c r="BL288" s="327" t="e">
        <f t="shared" ca="1" si="273"/>
        <v>#NAME?</v>
      </c>
      <c r="BM288" s="328">
        <f t="shared" si="274"/>
        <v>200</v>
      </c>
      <c r="BN288" s="329" t="e">
        <f t="shared" ca="1" si="275"/>
        <v>#NAME?</v>
      </c>
      <c r="BO288" s="344" t="e">
        <f t="shared" ca="1" si="232"/>
        <v>#NAME?</v>
      </c>
      <c r="BP288" s="320" t="e">
        <f t="shared" ca="1" si="276"/>
        <v>#NAME?</v>
      </c>
      <c r="BQ288" s="344" t="e">
        <f t="shared" ca="1" si="233"/>
        <v>#NAME?</v>
      </c>
      <c r="BR288" s="347" t="e">
        <f t="shared" ca="1" si="234"/>
        <v>#NAME?</v>
      </c>
      <c r="BS288" s="326" t="e">
        <f t="shared" ca="1" si="277"/>
        <v>#NAME?</v>
      </c>
      <c r="BT288" s="437" t="e">
        <f t="shared" ca="1" si="247"/>
        <v>#NAME?</v>
      </c>
      <c r="BU288" s="437" t="e">
        <f t="shared" ca="1" si="248"/>
        <v>#NAME?</v>
      </c>
      <c r="BV288" s="441" t="e">
        <f t="shared" ca="1" si="249"/>
        <v>#NAME?</v>
      </c>
      <c r="BW288" s="442" t="e">
        <f t="shared" ca="1" si="250"/>
        <v>#NAME?</v>
      </c>
      <c r="BX288" s="470" t="e">
        <f t="shared" ca="1" si="223"/>
        <v>#NAME?</v>
      </c>
      <c r="BY288" s="484" t="e">
        <f t="shared" ca="1" si="235"/>
        <v>#NAME?</v>
      </c>
      <c r="BZ288" s="176"/>
    </row>
    <row r="289" spans="9:78" s="177" customFormat="1" ht="17.75" customHeight="1" x14ac:dyDescent="0.2">
      <c r="I289" s="366">
        <v>205</v>
      </c>
      <c r="J289" s="414">
        <f t="shared" si="236"/>
        <v>41705.854861111577</v>
      </c>
      <c r="K289" s="435" t="e">
        <f t="shared" ca="1" si="237"/>
        <v>#NAME?</v>
      </c>
      <c r="L289" s="435" t="e">
        <f t="shared" ca="1" si="224"/>
        <v>#NAME?</v>
      </c>
      <c r="M289" s="664" t="e">
        <f t="shared" ca="1" si="216"/>
        <v>#NAME?</v>
      </c>
      <c r="N289" s="664" t="e">
        <f t="shared" ca="1" si="217"/>
        <v>#NAME?</v>
      </c>
      <c r="O289" s="140" t="e">
        <f t="shared" ca="1" si="225"/>
        <v>#NAME?</v>
      </c>
      <c r="P289" s="352" t="e">
        <f t="shared" ca="1" si="238"/>
        <v>#NAME?</v>
      </c>
      <c r="Q289" s="665" t="e">
        <f t="shared" ca="1" si="218"/>
        <v>#NAME?</v>
      </c>
      <c r="R289" s="352" t="e">
        <f t="shared" ca="1" si="251"/>
        <v>#NAME?</v>
      </c>
      <c r="S289" s="662" t="e">
        <f t="shared" ca="1" si="226"/>
        <v>#NAME?</v>
      </c>
      <c r="T289" s="443" t="e">
        <f t="shared" ca="1" si="219"/>
        <v>#NAME?</v>
      </c>
      <c r="U289" s="369" t="e">
        <f t="shared" ca="1" si="220"/>
        <v>#NAME?</v>
      </c>
      <c r="V289" s="454" t="e">
        <f t="shared" ca="1" si="227"/>
        <v>#NAME?</v>
      </c>
      <c r="W289" s="457">
        <f t="shared" si="228"/>
        <v>1000</v>
      </c>
      <c r="X289" s="463" t="e">
        <f t="shared" ca="1" si="229"/>
        <v>#NAME?</v>
      </c>
      <c r="Y289" s="455" t="e">
        <f t="shared" ca="1" si="239"/>
        <v>#NAME?</v>
      </c>
      <c r="Z289" s="699">
        <f t="shared" si="221"/>
        <v>8.5</v>
      </c>
      <c r="AA289" s="355" t="str">
        <f t="shared" si="222"/>
        <v>ON</v>
      </c>
      <c r="AB289" s="357">
        <f t="shared" si="252"/>
        <v>1.4999999999999999E-2</v>
      </c>
      <c r="AC289" s="356" t="e">
        <f ca="1">IF(  Y288=0,0,IF(OR(S289="KCAS",S289="INOP",S289="MEFE"),   ( (5*( (   (((1+0.2*(T289/661.4786)^2)^3.5 -1)  )/( (1-6.8755856*10^-6 *100*Y289)^5.2558797) +1)^(2/7) -1) )^0.5),IF(S289="MACH",T289, IF(S289="LRC",BicubicInterpolation( 'LRC Mach'!$C$4:$AL$21, Y289,U289),  IF(S289="MRC",BicubicInterpolation( 'MRC Mach'!$C$3:$T$18, Y289,U289),  IF(S289="M0.84",0.84,  IF(S289="CI52",BicubicInterpolation('CI=52 Mach'!$C$3:$T$18, Y289,U289),  IF(S289="HOLDING",BicubicInterpolation(  'Holding Mach'!$C$4:$M$13, Y289,U289),                         IF(S289="LRCINOP", BicubicInterpolation('LRC INOP Mach'!$C$4:$AA$21,Y289,U289), IF(S289="HOLDINGINOP",  BicubicInterpolation('Holding INOP Mach'!$N$4:$U$13,Y289,U289),         "XXX" )))))))   )))</f>
        <v>#NAME?</v>
      </c>
      <c r="AD289" s="313" t="e">
        <f t="shared" ca="1" si="253"/>
        <v>#NAME?</v>
      </c>
      <c r="AE289" s="314" t="e">
        <f t="shared" ca="1" si="240"/>
        <v>#NAME?</v>
      </c>
      <c r="AF289" s="313" t="e">
        <f t="shared" ca="1" si="254"/>
        <v>#NAME?</v>
      </c>
      <c r="AG289" s="314" t="e">
        <f t="shared" ca="1" si="241"/>
        <v>#NAME?</v>
      </c>
      <c r="AH289" s="313" t="e">
        <f t="shared" ca="1" si="255"/>
        <v>#NAME?</v>
      </c>
      <c r="AI289" s="314" t="e">
        <f t="shared" ca="1" si="242"/>
        <v>#NAME?</v>
      </c>
      <c r="AJ289" s="315" t="e">
        <f t="shared" ca="1" si="243"/>
        <v>#NAME?</v>
      </c>
      <c r="AK289" s="568" t="e">
        <f t="shared" ca="1" si="256"/>
        <v>#NAME?</v>
      </c>
      <c r="AL289" s="313" t="e">
        <f t="shared" ca="1" si="257"/>
        <v>#NAME?</v>
      </c>
      <c r="AM289" s="313" t="e">
        <f t="shared" ca="1" si="244"/>
        <v>#NAME?</v>
      </c>
      <c r="AN289" s="313" t="e">
        <f t="shared" ca="1" si="245"/>
        <v>#NAME?</v>
      </c>
      <c r="AO289" s="316" t="e">
        <f t="shared" ca="1" si="258"/>
        <v>#NAME?</v>
      </c>
      <c r="AP289" s="313" t="e">
        <f t="shared" ca="1" si="259"/>
        <v>#NAME?</v>
      </c>
      <c r="AQ289" s="314" t="e">
        <f t="shared" ca="1" si="246"/>
        <v>#NAME?</v>
      </c>
      <c r="AR289" s="315" t="e">
        <f t="shared" ca="1" si="260"/>
        <v>#NAME?</v>
      </c>
      <c r="AS289" s="316" t="e">
        <f t="shared" ca="1" si="261"/>
        <v>#NAME?</v>
      </c>
      <c r="AT289" s="315" t="e">
        <f t="shared" ca="1" si="262"/>
        <v>#NAME?</v>
      </c>
      <c r="AU289" s="317">
        <v>427.8</v>
      </c>
      <c r="AV289" s="315" t="e">
        <f t="shared" ca="1" si="263"/>
        <v>#NAME?</v>
      </c>
      <c r="AW289" s="318" t="e">
        <f ca="1">0.0001*BicubicInterpolation('Drag Coef Table'!$B$4:$L$28,AV289,AC289)</f>
        <v>#NAME?</v>
      </c>
      <c r="AX289" s="319" t="e">
        <f t="shared" ca="1" si="264"/>
        <v>#NAME?</v>
      </c>
      <c r="AY289" s="318" t="e">
        <f t="shared" ca="1" si="265"/>
        <v>#NAME?</v>
      </c>
      <c r="AZ289" s="320" t="e">
        <f t="shared" ca="1" si="266"/>
        <v>#NAME?</v>
      </c>
      <c r="BA289" s="321" t="e">
        <f t="shared" ca="1" si="267"/>
        <v>#NAME?</v>
      </c>
      <c r="BB289" s="322" t="e">
        <f t="shared" ca="1" si="268"/>
        <v>#NAME?</v>
      </c>
      <c r="BC289" s="323">
        <v>75.196700000000007</v>
      </c>
      <c r="BD289" s="324" t="e">
        <f t="shared" ca="1" si="269"/>
        <v>#NAME?</v>
      </c>
      <c r="BE289" s="325" t="e">
        <f t="shared" ca="1" si="270"/>
        <v>#NAME?</v>
      </c>
      <c r="BF289" s="324" t="e">
        <f ca="1">BicubicInterpolation('TSFC Eff Table'!$B$4:$E$69,2,BB289)</f>
        <v>#NAME?</v>
      </c>
      <c r="BG289" s="326" t="e">
        <f t="shared" ca="1" si="271"/>
        <v>#NAME?</v>
      </c>
      <c r="BH289" s="694" t="e">
        <f ca="1">IF( S289="LRCINOP",   (1+(0.03/10)*Z289*(1+0.2*AC289^2) )*BicubicInterpolation( 'LRC INOP FF'!$C$4:$AA$21, Y289, U289 )-200, IF(S289 ="HOLDINGINOP", (1+(0.03/10)*Z289*(1+0.2*AC289^2) )*BicubicInterpolation( 'Holding INOP FF'!$C$4:$J$13,  Y289,  U289)/1.05-200,   BA289*BG289))</f>
        <v>#NAME?</v>
      </c>
      <c r="BI289" s="344" t="e">
        <f t="shared" ca="1" si="230"/>
        <v>#NAME?</v>
      </c>
      <c r="BJ289" s="322" t="e">
        <f t="shared" ca="1" si="272"/>
        <v>#NAME?</v>
      </c>
      <c r="BK289" s="338" t="e">
        <f t="shared" ca="1" si="231"/>
        <v>#NAME?</v>
      </c>
      <c r="BL289" s="327" t="e">
        <f t="shared" ca="1" si="273"/>
        <v>#NAME?</v>
      </c>
      <c r="BM289" s="328">
        <f t="shared" si="274"/>
        <v>200</v>
      </c>
      <c r="BN289" s="329" t="e">
        <f t="shared" ca="1" si="275"/>
        <v>#NAME?</v>
      </c>
      <c r="BO289" s="344" t="e">
        <f t="shared" ca="1" si="232"/>
        <v>#NAME?</v>
      </c>
      <c r="BP289" s="320" t="e">
        <f t="shared" ca="1" si="276"/>
        <v>#NAME?</v>
      </c>
      <c r="BQ289" s="344" t="e">
        <f t="shared" ca="1" si="233"/>
        <v>#NAME?</v>
      </c>
      <c r="BR289" s="347" t="e">
        <f t="shared" ca="1" si="234"/>
        <v>#NAME?</v>
      </c>
      <c r="BS289" s="326" t="e">
        <f t="shared" ca="1" si="277"/>
        <v>#NAME?</v>
      </c>
      <c r="BT289" s="437" t="e">
        <f t="shared" ca="1" si="247"/>
        <v>#NAME?</v>
      </c>
      <c r="BU289" s="437" t="e">
        <f t="shared" ca="1" si="248"/>
        <v>#NAME?</v>
      </c>
      <c r="BV289" s="441" t="e">
        <f t="shared" ca="1" si="249"/>
        <v>#NAME?</v>
      </c>
      <c r="BW289" s="442" t="e">
        <f t="shared" ca="1" si="250"/>
        <v>#NAME?</v>
      </c>
      <c r="BX289" s="470" t="e">
        <f t="shared" ca="1" si="223"/>
        <v>#NAME?</v>
      </c>
      <c r="BY289" s="484" t="e">
        <f t="shared" ca="1" si="235"/>
        <v>#NAME?</v>
      </c>
      <c r="BZ289" s="176"/>
    </row>
    <row r="290" spans="9:78" s="177" customFormat="1" ht="17.75" customHeight="1" x14ac:dyDescent="0.2">
      <c r="I290" s="366">
        <v>206</v>
      </c>
      <c r="J290" s="414">
        <f t="shared" si="236"/>
        <v>41705.855555556023</v>
      </c>
      <c r="K290" s="435" t="e">
        <f t="shared" ca="1" si="237"/>
        <v>#NAME?</v>
      </c>
      <c r="L290" s="435" t="e">
        <f t="shared" ca="1" si="224"/>
        <v>#NAME?</v>
      </c>
      <c r="M290" s="664" t="e">
        <f t="shared" ca="1" si="216"/>
        <v>#NAME?</v>
      </c>
      <c r="N290" s="664" t="e">
        <f t="shared" ca="1" si="217"/>
        <v>#NAME?</v>
      </c>
      <c r="O290" s="140" t="e">
        <f t="shared" ca="1" si="225"/>
        <v>#NAME?</v>
      </c>
      <c r="P290" s="352" t="e">
        <f t="shared" ca="1" si="238"/>
        <v>#NAME?</v>
      </c>
      <c r="Q290" s="665" t="e">
        <f t="shared" ca="1" si="218"/>
        <v>#NAME?</v>
      </c>
      <c r="R290" s="352" t="e">
        <f t="shared" ca="1" si="251"/>
        <v>#NAME?</v>
      </c>
      <c r="S290" s="662" t="e">
        <f t="shared" ca="1" si="226"/>
        <v>#NAME?</v>
      </c>
      <c r="T290" s="443" t="e">
        <f t="shared" ca="1" si="219"/>
        <v>#NAME?</v>
      </c>
      <c r="U290" s="369" t="e">
        <f t="shared" ca="1" si="220"/>
        <v>#NAME?</v>
      </c>
      <c r="V290" s="454" t="e">
        <f t="shared" ca="1" si="227"/>
        <v>#NAME?</v>
      </c>
      <c r="W290" s="457">
        <f t="shared" si="228"/>
        <v>1000</v>
      </c>
      <c r="X290" s="463" t="e">
        <f t="shared" ca="1" si="229"/>
        <v>#NAME?</v>
      </c>
      <c r="Y290" s="455" t="e">
        <f t="shared" ca="1" si="239"/>
        <v>#NAME?</v>
      </c>
      <c r="Z290" s="699">
        <f t="shared" si="221"/>
        <v>8.5</v>
      </c>
      <c r="AA290" s="355" t="str">
        <f t="shared" si="222"/>
        <v>ON</v>
      </c>
      <c r="AB290" s="357">
        <f t="shared" si="252"/>
        <v>1.4999999999999999E-2</v>
      </c>
      <c r="AC290" s="356" t="e">
        <f ca="1">IF(  Y289=0,0,IF(OR(S290="KCAS",S290="INOP",S290="MEFE"),   ( (5*( (   (((1+0.2*(T290/661.4786)^2)^3.5 -1)  )/( (1-6.8755856*10^-6 *100*Y290)^5.2558797) +1)^(2/7) -1) )^0.5),IF(S290="MACH",T290, IF(S290="LRC",BicubicInterpolation( 'LRC Mach'!$C$4:$AL$21, Y290,U290),  IF(S290="MRC",BicubicInterpolation( 'MRC Mach'!$C$3:$T$18, Y290,U290),  IF(S290="M0.84",0.84,  IF(S290="CI52",BicubicInterpolation('CI=52 Mach'!$C$3:$T$18, Y290,U290),  IF(S290="HOLDING",BicubicInterpolation(  'Holding Mach'!$C$4:$M$13, Y290,U290),                         IF(S290="LRCINOP", BicubicInterpolation('LRC INOP Mach'!$C$4:$AA$21,Y290,U290), IF(S290="HOLDINGINOP",  BicubicInterpolation('Holding INOP Mach'!$N$4:$U$13,Y290,U290),         "XXX" )))))))   )))</f>
        <v>#NAME?</v>
      </c>
      <c r="AD290" s="313" t="e">
        <f t="shared" ca="1" si="253"/>
        <v>#NAME?</v>
      </c>
      <c r="AE290" s="314" t="e">
        <f t="shared" ca="1" si="240"/>
        <v>#NAME?</v>
      </c>
      <c r="AF290" s="313" t="e">
        <f t="shared" ca="1" si="254"/>
        <v>#NAME?</v>
      </c>
      <c r="AG290" s="314" t="e">
        <f t="shared" ca="1" si="241"/>
        <v>#NAME?</v>
      </c>
      <c r="AH290" s="313" t="e">
        <f t="shared" ca="1" si="255"/>
        <v>#NAME?</v>
      </c>
      <c r="AI290" s="314" t="e">
        <f t="shared" ca="1" si="242"/>
        <v>#NAME?</v>
      </c>
      <c r="AJ290" s="315" t="e">
        <f t="shared" ca="1" si="243"/>
        <v>#NAME?</v>
      </c>
      <c r="AK290" s="568" t="e">
        <f t="shared" ca="1" si="256"/>
        <v>#NAME?</v>
      </c>
      <c r="AL290" s="313" t="e">
        <f t="shared" ca="1" si="257"/>
        <v>#NAME?</v>
      </c>
      <c r="AM290" s="313" t="e">
        <f t="shared" ca="1" si="244"/>
        <v>#NAME?</v>
      </c>
      <c r="AN290" s="313" t="e">
        <f t="shared" ca="1" si="245"/>
        <v>#NAME?</v>
      </c>
      <c r="AO290" s="316" t="e">
        <f t="shared" ca="1" si="258"/>
        <v>#NAME?</v>
      </c>
      <c r="AP290" s="313" t="e">
        <f t="shared" ca="1" si="259"/>
        <v>#NAME?</v>
      </c>
      <c r="AQ290" s="314" t="e">
        <f t="shared" ca="1" si="246"/>
        <v>#NAME?</v>
      </c>
      <c r="AR290" s="315" t="e">
        <f t="shared" ca="1" si="260"/>
        <v>#NAME?</v>
      </c>
      <c r="AS290" s="316" t="e">
        <f t="shared" ca="1" si="261"/>
        <v>#NAME?</v>
      </c>
      <c r="AT290" s="315" t="e">
        <f t="shared" ca="1" si="262"/>
        <v>#NAME?</v>
      </c>
      <c r="AU290" s="317">
        <v>427.8</v>
      </c>
      <c r="AV290" s="315" t="e">
        <f t="shared" ca="1" si="263"/>
        <v>#NAME?</v>
      </c>
      <c r="AW290" s="318" t="e">
        <f ca="1">0.0001*BicubicInterpolation('Drag Coef Table'!$B$4:$L$28,AV290,AC290)</f>
        <v>#NAME?</v>
      </c>
      <c r="AX290" s="319" t="e">
        <f t="shared" ca="1" si="264"/>
        <v>#NAME?</v>
      </c>
      <c r="AY290" s="318" t="e">
        <f t="shared" ca="1" si="265"/>
        <v>#NAME?</v>
      </c>
      <c r="AZ290" s="320" t="e">
        <f t="shared" ca="1" si="266"/>
        <v>#NAME?</v>
      </c>
      <c r="BA290" s="321" t="e">
        <f t="shared" ca="1" si="267"/>
        <v>#NAME?</v>
      </c>
      <c r="BB290" s="322" t="e">
        <f t="shared" ca="1" si="268"/>
        <v>#NAME?</v>
      </c>
      <c r="BC290" s="323">
        <v>75.196700000000007</v>
      </c>
      <c r="BD290" s="324" t="e">
        <f t="shared" ca="1" si="269"/>
        <v>#NAME?</v>
      </c>
      <c r="BE290" s="325" t="e">
        <f t="shared" ca="1" si="270"/>
        <v>#NAME?</v>
      </c>
      <c r="BF290" s="324" t="e">
        <f ca="1">BicubicInterpolation('TSFC Eff Table'!$B$4:$E$69,2,BB290)</f>
        <v>#NAME?</v>
      </c>
      <c r="BG290" s="326" t="e">
        <f t="shared" ca="1" si="271"/>
        <v>#NAME?</v>
      </c>
      <c r="BH290" s="694" t="e">
        <f ca="1">IF( S290="LRCINOP",   (1+(0.03/10)*Z290*(1+0.2*AC290^2) )*BicubicInterpolation( 'LRC INOP FF'!$C$4:$AA$21, Y290, U290 )-200, IF(S290 ="HOLDINGINOP", (1+(0.03/10)*Z290*(1+0.2*AC290^2) )*BicubicInterpolation( 'Holding INOP FF'!$C$4:$J$13,  Y290,  U290)/1.05-200,   BA290*BG290))</f>
        <v>#NAME?</v>
      </c>
      <c r="BI290" s="344" t="e">
        <f t="shared" ca="1" si="230"/>
        <v>#NAME?</v>
      </c>
      <c r="BJ290" s="322" t="e">
        <f t="shared" ca="1" si="272"/>
        <v>#NAME?</v>
      </c>
      <c r="BK290" s="338" t="e">
        <f t="shared" ca="1" si="231"/>
        <v>#NAME?</v>
      </c>
      <c r="BL290" s="327" t="e">
        <f t="shared" ca="1" si="273"/>
        <v>#NAME?</v>
      </c>
      <c r="BM290" s="328">
        <f t="shared" si="274"/>
        <v>200</v>
      </c>
      <c r="BN290" s="329" t="e">
        <f t="shared" ca="1" si="275"/>
        <v>#NAME?</v>
      </c>
      <c r="BO290" s="344" t="e">
        <f t="shared" ca="1" si="232"/>
        <v>#NAME?</v>
      </c>
      <c r="BP290" s="320" t="e">
        <f t="shared" ca="1" si="276"/>
        <v>#NAME?</v>
      </c>
      <c r="BQ290" s="344" t="e">
        <f t="shared" ca="1" si="233"/>
        <v>#NAME?</v>
      </c>
      <c r="BR290" s="347" t="e">
        <f t="shared" ca="1" si="234"/>
        <v>#NAME?</v>
      </c>
      <c r="BS290" s="326" t="e">
        <f t="shared" ca="1" si="277"/>
        <v>#NAME?</v>
      </c>
      <c r="BT290" s="437" t="e">
        <f t="shared" ca="1" si="247"/>
        <v>#NAME?</v>
      </c>
      <c r="BU290" s="437" t="e">
        <f t="shared" ca="1" si="248"/>
        <v>#NAME?</v>
      </c>
      <c r="BV290" s="441" t="e">
        <f t="shared" ca="1" si="249"/>
        <v>#NAME?</v>
      </c>
      <c r="BW290" s="442" t="e">
        <f t="shared" ca="1" si="250"/>
        <v>#NAME?</v>
      </c>
      <c r="BX290" s="470" t="e">
        <f t="shared" ca="1" si="223"/>
        <v>#NAME?</v>
      </c>
      <c r="BY290" s="484" t="e">
        <f t="shared" ca="1" si="235"/>
        <v>#NAME?</v>
      </c>
      <c r="BZ290" s="176"/>
    </row>
    <row r="291" spans="9:78" s="177" customFormat="1" ht="17.75" customHeight="1" x14ac:dyDescent="0.2">
      <c r="I291" s="366">
        <v>207</v>
      </c>
      <c r="J291" s="414">
        <f t="shared" si="236"/>
        <v>41705.85625000047</v>
      </c>
      <c r="K291" s="435" t="e">
        <f t="shared" ca="1" si="237"/>
        <v>#NAME?</v>
      </c>
      <c r="L291" s="435" t="e">
        <f t="shared" ca="1" si="224"/>
        <v>#NAME?</v>
      </c>
      <c r="M291" s="664" t="e">
        <f t="shared" ca="1" si="216"/>
        <v>#NAME?</v>
      </c>
      <c r="N291" s="664" t="e">
        <f t="shared" ca="1" si="217"/>
        <v>#NAME?</v>
      </c>
      <c r="O291" s="140" t="e">
        <f t="shared" ca="1" si="225"/>
        <v>#NAME?</v>
      </c>
      <c r="P291" s="352" t="e">
        <f t="shared" ca="1" si="238"/>
        <v>#NAME?</v>
      </c>
      <c r="Q291" s="665" t="e">
        <f t="shared" ca="1" si="218"/>
        <v>#NAME?</v>
      </c>
      <c r="R291" s="352" t="e">
        <f t="shared" ca="1" si="251"/>
        <v>#NAME?</v>
      </c>
      <c r="S291" s="662" t="e">
        <f t="shared" ca="1" si="226"/>
        <v>#NAME?</v>
      </c>
      <c r="T291" s="443" t="e">
        <f t="shared" ca="1" si="219"/>
        <v>#NAME?</v>
      </c>
      <c r="U291" s="369" t="e">
        <f t="shared" ca="1" si="220"/>
        <v>#NAME?</v>
      </c>
      <c r="V291" s="454" t="e">
        <f t="shared" ca="1" si="227"/>
        <v>#NAME?</v>
      </c>
      <c r="W291" s="457">
        <f t="shared" si="228"/>
        <v>1000</v>
      </c>
      <c r="X291" s="463" t="e">
        <f t="shared" ca="1" si="229"/>
        <v>#NAME?</v>
      </c>
      <c r="Y291" s="455" t="e">
        <f t="shared" ca="1" si="239"/>
        <v>#NAME?</v>
      </c>
      <c r="Z291" s="699">
        <f t="shared" si="221"/>
        <v>8.5</v>
      </c>
      <c r="AA291" s="355" t="str">
        <f t="shared" si="222"/>
        <v>ON</v>
      </c>
      <c r="AB291" s="357">
        <f t="shared" si="252"/>
        <v>1.4999999999999999E-2</v>
      </c>
      <c r="AC291" s="356" t="e">
        <f ca="1">IF(  Y290=0,0,IF(OR(S291="KCAS",S291="INOP",S291="MEFE"),   ( (5*( (   (((1+0.2*(T291/661.4786)^2)^3.5 -1)  )/( (1-6.8755856*10^-6 *100*Y291)^5.2558797) +1)^(2/7) -1) )^0.5),IF(S291="MACH",T291, IF(S291="LRC",BicubicInterpolation( 'LRC Mach'!$C$4:$AL$21, Y291,U291),  IF(S291="MRC",BicubicInterpolation( 'MRC Mach'!$C$3:$T$18, Y291,U291),  IF(S291="M0.84",0.84,  IF(S291="CI52",BicubicInterpolation('CI=52 Mach'!$C$3:$T$18, Y291,U291),  IF(S291="HOLDING",BicubicInterpolation(  'Holding Mach'!$C$4:$M$13, Y291,U291),                         IF(S291="LRCINOP", BicubicInterpolation('LRC INOP Mach'!$C$4:$AA$21,Y291,U291), IF(S291="HOLDINGINOP",  BicubicInterpolation('Holding INOP Mach'!$N$4:$U$13,Y291,U291),         "XXX" )))))))   )))</f>
        <v>#NAME?</v>
      </c>
      <c r="AD291" s="313" t="e">
        <f t="shared" ca="1" si="253"/>
        <v>#NAME?</v>
      </c>
      <c r="AE291" s="314" t="e">
        <f t="shared" ca="1" si="240"/>
        <v>#NAME?</v>
      </c>
      <c r="AF291" s="313" t="e">
        <f t="shared" ca="1" si="254"/>
        <v>#NAME?</v>
      </c>
      <c r="AG291" s="314" t="e">
        <f t="shared" ca="1" si="241"/>
        <v>#NAME?</v>
      </c>
      <c r="AH291" s="313" t="e">
        <f t="shared" ca="1" si="255"/>
        <v>#NAME?</v>
      </c>
      <c r="AI291" s="314" t="e">
        <f t="shared" ca="1" si="242"/>
        <v>#NAME?</v>
      </c>
      <c r="AJ291" s="315" t="e">
        <f t="shared" ca="1" si="243"/>
        <v>#NAME?</v>
      </c>
      <c r="AK291" s="568" t="e">
        <f t="shared" ca="1" si="256"/>
        <v>#NAME?</v>
      </c>
      <c r="AL291" s="313" t="e">
        <f t="shared" ca="1" si="257"/>
        <v>#NAME?</v>
      </c>
      <c r="AM291" s="313" t="e">
        <f t="shared" ca="1" si="244"/>
        <v>#NAME?</v>
      </c>
      <c r="AN291" s="313" t="e">
        <f t="shared" ca="1" si="245"/>
        <v>#NAME?</v>
      </c>
      <c r="AO291" s="316" t="e">
        <f t="shared" ca="1" si="258"/>
        <v>#NAME?</v>
      </c>
      <c r="AP291" s="313" t="e">
        <f t="shared" ca="1" si="259"/>
        <v>#NAME?</v>
      </c>
      <c r="AQ291" s="314" t="e">
        <f t="shared" ca="1" si="246"/>
        <v>#NAME?</v>
      </c>
      <c r="AR291" s="315" t="e">
        <f t="shared" ca="1" si="260"/>
        <v>#NAME?</v>
      </c>
      <c r="AS291" s="316" t="e">
        <f t="shared" ca="1" si="261"/>
        <v>#NAME?</v>
      </c>
      <c r="AT291" s="315" t="e">
        <f t="shared" ca="1" si="262"/>
        <v>#NAME?</v>
      </c>
      <c r="AU291" s="317">
        <v>427.8</v>
      </c>
      <c r="AV291" s="315" t="e">
        <f t="shared" ca="1" si="263"/>
        <v>#NAME?</v>
      </c>
      <c r="AW291" s="318" t="e">
        <f ca="1">0.0001*BicubicInterpolation('Drag Coef Table'!$B$4:$L$28,AV291,AC291)</f>
        <v>#NAME?</v>
      </c>
      <c r="AX291" s="319" t="e">
        <f t="shared" ca="1" si="264"/>
        <v>#NAME?</v>
      </c>
      <c r="AY291" s="318" t="e">
        <f t="shared" ca="1" si="265"/>
        <v>#NAME?</v>
      </c>
      <c r="AZ291" s="320" t="e">
        <f t="shared" ca="1" si="266"/>
        <v>#NAME?</v>
      </c>
      <c r="BA291" s="321" t="e">
        <f t="shared" ca="1" si="267"/>
        <v>#NAME?</v>
      </c>
      <c r="BB291" s="322" t="e">
        <f t="shared" ca="1" si="268"/>
        <v>#NAME?</v>
      </c>
      <c r="BC291" s="323">
        <v>75.196700000000007</v>
      </c>
      <c r="BD291" s="324" t="e">
        <f t="shared" ca="1" si="269"/>
        <v>#NAME?</v>
      </c>
      <c r="BE291" s="325" t="e">
        <f t="shared" ca="1" si="270"/>
        <v>#NAME?</v>
      </c>
      <c r="BF291" s="324" t="e">
        <f ca="1">BicubicInterpolation('TSFC Eff Table'!$B$4:$E$69,2,BB291)</f>
        <v>#NAME?</v>
      </c>
      <c r="BG291" s="326" t="e">
        <f t="shared" ca="1" si="271"/>
        <v>#NAME?</v>
      </c>
      <c r="BH291" s="694" t="e">
        <f ca="1">IF( S291="LRCINOP",   (1+(0.03/10)*Z291*(1+0.2*AC291^2) )*BicubicInterpolation( 'LRC INOP FF'!$C$4:$AA$21, Y291, U291 )-200, IF(S291 ="HOLDINGINOP", (1+(0.03/10)*Z291*(1+0.2*AC291^2) )*BicubicInterpolation( 'Holding INOP FF'!$C$4:$J$13,  Y291,  U291)/1.05-200,   BA291*BG291))</f>
        <v>#NAME?</v>
      </c>
      <c r="BI291" s="344" t="e">
        <f t="shared" ca="1" si="230"/>
        <v>#NAME?</v>
      </c>
      <c r="BJ291" s="322" t="e">
        <f t="shared" ca="1" si="272"/>
        <v>#NAME?</v>
      </c>
      <c r="BK291" s="338" t="e">
        <f t="shared" ca="1" si="231"/>
        <v>#NAME?</v>
      </c>
      <c r="BL291" s="327" t="e">
        <f t="shared" ca="1" si="273"/>
        <v>#NAME?</v>
      </c>
      <c r="BM291" s="328">
        <f t="shared" si="274"/>
        <v>200</v>
      </c>
      <c r="BN291" s="329" t="e">
        <f t="shared" ca="1" si="275"/>
        <v>#NAME?</v>
      </c>
      <c r="BO291" s="344" t="e">
        <f t="shared" ca="1" si="232"/>
        <v>#NAME?</v>
      </c>
      <c r="BP291" s="320" t="e">
        <f t="shared" ca="1" si="276"/>
        <v>#NAME?</v>
      </c>
      <c r="BQ291" s="344" t="e">
        <f t="shared" ca="1" si="233"/>
        <v>#NAME?</v>
      </c>
      <c r="BR291" s="347" t="e">
        <f t="shared" ca="1" si="234"/>
        <v>#NAME?</v>
      </c>
      <c r="BS291" s="326" t="e">
        <f t="shared" ca="1" si="277"/>
        <v>#NAME?</v>
      </c>
      <c r="BT291" s="437" t="e">
        <f t="shared" ca="1" si="247"/>
        <v>#NAME?</v>
      </c>
      <c r="BU291" s="437" t="e">
        <f t="shared" ca="1" si="248"/>
        <v>#NAME?</v>
      </c>
      <c r="BV291" s="441" t="e">
        <f t="shared" ca="1" si="249"/>
        <v>#NAME?</v>
      </c>
      <c r="BW291" s="442" t="e">
        <f t="shared" ca="1" si="250"/>
        <v>#NAME?</v>
      </c>
      <c r="BX291" s="470" t="e">
        <f t="shared" ca="1" si="223"/>
        <v>#NAME?</v>
      </c>
      <c r="BY291" s="484" t="e">
        <f t="shared" ca="1" si="235"/>
        <v>#NAME?</v>
      </c>
      <c r="BZ291" s="176"/>
    </row>
    <row r="292" spans="9:78" s="177" customFormat="1" ht="17.75" customHeight="1" x14ac:dyDescent="0.2">
      <c r="I292" s="366">
        <v>208</v>
      </c>
      <c r="J292" s="414">
        <f t="shared" si="236"/>
        <v>41705.856944444917</v>
      </c>
      <c r="K292" s="435" t="e">
        <f t="shared" ca="1" si="237"/>
        <v>#NAME?</v>
      </c>
      <c r="L292" s="435" t="e">
        <f t="shared" ca="1" si="224"/>
        <v>#NAME?</v>
      </c>
      <c r="M292" s="664" t="e">
        <f t="shared" ca="1" si="216"/>
        <v>#NAME?</v>
      </c>
      <c r="N292" s="664" t="e">
        <f t="shared" ca="1" si="217"/>
        <v>#NAME?</v>
      </c>
      <c r="O292" s="140" t="e">
        <f t="shared" ca="1" si="225"/>
        <v>#NAME?</v>
      </c>
      <c r="P292" s="352" t="e">
        <f t="shared" ca="1" si="238"/>
        <v>#NAME?</v>
      </c>
      <c r="Q292" s="665" t="e">
        <f t="shared" ca="1" si="218"/>
        <v>#NAME?</v>
      </c>
      <c r="R292" s="352" t="e">
        <f t="shared" ca="1" si="251"/>
        <v>#NAME?</v>
      </c>
      <c r="S292" s="662" t="e">
        <f t="shared" ca="1" si="226"/>
        <v>#NAME?</v>
      </c>
      <c r="T292" s="443" t="e">
        <f t="shared" ca="1" si="219"/>
        <v>#NAME?</v>
      </c>
      <c r="U292" s="369" t="e">
        <f t="shared" ca="1" si="220"/>
        <v>#NAME?</v>
      </c>
      <c r="V292" s="454" t="e">
        <f t="shared" ca="1" si="227"/>
        <v>#NAME?</v>
      </c>
      <c r="W292" s="457">
        <f t="shared" si="228"/>
        <v>1000</v>
      </c>
      <c r="X292" s="463" t="e">
        <f t="shared" ca="1" si="229"/>
        <v>#NAME?</v>
      </c>
      <c r="Y292" s="455" t="e">
        <f t="shared" ca="1" si="239"/>
        <v>#NAME?</v>
      </c>
      <c r="Z292" s="699">
        <f t="shared" si="221"/>
        <v>8.5</v>
      </c>
      <c r="AA292" s="355" t="str">
        <f t="shared" si="222"/>
        <v>ON</v>
      </c>
      <c r="AB292" s="357">
        <f t="shared" si="252"/>
        <v>1.4999999999999999E-2</v>
      </c>
      <c r="AC292" s="356" t="e">
        <f ca="1">IF(  Y291=0,0,IF(OR(S292="KCAS",S292="INOP",S292="MEFE"),   ( (5*( (   (((1+0.2*(T292/661.4786)^2)^3.5 -1)  )/( (1-6.8755856*10^-6 *100*Y292)^5.2558797) +1)^(2/7) -1) )^0.5),IF(S292="MACH",T292, IF(S292="LRC",BicubicInterpolation( 'LRC Mach'!$C$4:$AL$21, Y292,U292),  IF(S292="MRC",BicubicInterpolation( 'MRC Mach'!$C$3:$T$18, Y292,U292),  IF(S292="M0.84",0.84,  IF(S292="CI52",BicubicInterpolation('CI=52 Mach'!$C$3:$T$18, Y292,U292),  IF(S292="HOLDING",BicubicInterpolation(  'Holding Mach'!$C$4:$M$13, Y292,U292),                         IF(S292="LRCINOP", BicubicInterpolation('LRC INOP Mach'!$C$4:$AA$21,Y292,U292), IF(S292="HOLDINGINOP",  BicubicInterpolation('Holding INOP Mach'!$N$4:$U$13,Y292,U292),         "XXX" )))))))   )))</f>
        <v>#NAME?</v>
      </c>
      <c r="AD292" s="313" t="e">
        <f t="shared" ca="1" si="253"/>
        <v>#NAME?</v>
      </c>
      <c r="AE292" s="314" t="e">
        <f t="shared" ca="1" si="240"/>
        <v>#NAME?</v>
      </c>
      <c r="AF292" s="313" t="e">
        <f t="shared" ca="1" si="254"/>
        <v>#NAME?</v>
      </c>
      <c r="AG292" s="314" t="e">
        <f t="shared" ca="1" si="241"/>
        <v>#NAME?</v>
      </c>
      <c r="AH292" s="313" t="e">
        <f t="shared" ca="1" si="255"/>
        <v>#NAME?</v>
      </c>
      <c r="AI292" s="314" t="e">
        <f t="shared" ca="1" si="242"/>
        <v>#NAME?</v>
      </c>
      <c r="AJ292" s="315" t="e">
        <f t="shared" ca="1" si="243"/>
        <v>#NAME?</v>
      </c>
      <c r="AK292" s="568" t="e">
        <f t="shared" ca="1" si="256"/>
        <v>#NAME?</v>
      </c>
      <c r="AL292" s="313" t="e">
        <f t="shared" ca="1" si="257"/>
        <v>#NAME?</v>
      </c>
      <c r="AM292" s="313" t="e">
        <f t="shared" ca="1" si="244"/>
        <v>#NAME?</v>
      </c>
      <c r="AN292" s="313" t="e">
        <f t="shared" ca="1" si="245"/>
        <v>#NAME?</v>
      </c>
      <c r="AO292" s="316" t="e">
        <f t="shared" ca="1" si="258"/>
        <v>#NAME?</v>
      </c>
      <c r="AP292" s="313" t="e">
        <f t="shared" ca="1" si="259"/>
        <v>#NAME?</v>
      </c>
      <c r="AQ292" s="314" t="e">
        <f t="shared" ca="1" si="246"/>
        <v>#NAME?</v>
      </c>
      <c r="AR292" s="315" t="e">
        <f t="shared" ca="1" si="260"/>
        <v>#NAME?</v>
      </c>
      <c r="AS292" s="316" t="e">
        <f t="shared" ca="1" si="261"/>
        <v>#NAME?</v>
      </c>
      <c r="AT292" s="315" t="e">
        <f t="shared" ca="1" si="262"/>
        <v>#NAME?</v>
      </c>
      <c r="AU292" s="317">
        <v>427.8</v>
      </c>
      <c r="AV292" s="315" t="e">
        <f t="shared" ca="1" si="263"/>
        <v>#NAME?</v>
      </c>
      <c r="AW292" s="318" t="e">
        <f ca="1">0.0001*BicubicInterpolation('Drag Coef Table'!$B$4:$L$28,AV292,AC292)</f>
        <v>#NAME?</v>
      </c>
      <c r="AX292" s="319" t="e">
        <f t="shared" ca="1" si="264"/>
        <v>#NAME?</v>
      </c>
      <c r="AY292" s="318" t="e">
        <f t="shared" ca="1" si="265"/>
        <v>#NAME?</v>
      </c>
      <c r="AZ292" s="320" t="e">
        <f t="shared" ca="1" si="266"/>
        <v>#NAME?</v>
      </c>
      <c r="BA292" s="321" t="e">
        <f t="shared" ca="1" si="267"/>
        <v>#NAME?</v>
      </c>
      <c r="BB292" s="322" t="e">
        <f t="shared" ca="1" si="268"/>
        <v>#NAME?</v>
      </c>
      <c r="BC292" s="323">
        <v>75.196700000000007</v>
      </c>
      <c r="BD292" s="324" t="e">
        <f t="shared" ca="1" si="269"/>
        <v>#NAME?</v>
      </c>
      <c r="BE292" s="325" t="e">
        <f t="shared" ca="1" si="270"/>
        <v>#NAME?</v>
      </c>
      <c r="BF292" s="324" t="e">
        <f ca="1">BicubicInterpolation('TSFC Eff Table'!$B$4:$E$69,2,BB292)</f>
        <v>#NAME?</v>
      </c>
      <c r="BG292" s="326" t="e">
        <f t="shared" ca="1" si="271"/>
        <v>#NAME?</v>
      </c>
      <c r="BH292" s="694" t="e">
        <f ca="1">IF( S292="LRCINOP",   (1+(0.03/10)*Z292*(1+0.2*AC292^2) )*BicubicInterpolation( 'LRC INOP FF'!$C$4:$AA$21, Y292, U292 )-200, IF(S292 ="HOLDINGINOP", (1+(0.03/10)*Z292*(1+0.2*AC292^2) )*BicubicInterpolation( 'Holding INOP FF'!$C$4:$J$13,  Y292,  U292)/1.05-200,   BA292*BG292))</f>
        <v>#NAME?</v>
      </c>
      <c r="BI292" s="344" t="e">
        <f t="shared" ca="1" si="230"/>
        <v>#NAME?</v>
      </c>
      <c r="BJ292" s="322" t="e">
        <f t="shared" ca="1" si="272"/>
        <v>#NAME?</v>
      </c>
      <c r="BK292" s="338" t="e">
        <f t="shared" ca="1" si="231"/>
        <v>#NAME?</v>
      </c>
      <c r="BL292" s="327" t="e">
        <f t="shared" ca="1" si="273"/>
        <v>#NAME?</v>
      </c>
      <c r="BM292" s="328">
        <f t="shared" si="274"/>
        <v>200</v>
      </c>
      <c r="BN292" s="329" t="e">
        <f t="shared" ca="1" si="275"/>
        <v>#NAME?</v>
      </c>
      <c r="BO292" s="344" t="e">
        <f t="shared" ca="1" si="232"/>
        <v>#NAME?</v>
      </c>
      <c r="BP292" s="320" t="e">
        <f t="shared" ca="1" si="276"/>
        <v>#NAME?</v>
      </c>
      <c r="BQ292" s="344" t="e">
        <f t="shared" ca="1" si="233"/>
        <v>#NAME?</v>
      </c>
      <c r="BR292" s="347" t="e">
        <f t="shared" ca="1" si="234"/>
        <v>#NAME?</v>
      </c>
      <c r="BS292" s="326" t="e">
        <f t="shared" ca="1" si="277"/>
        <v>#NAME?</v>
      </c>
      <c r="BT292" s="437" t="e">
        <f t="shared" ca="1" si="247"/>
        <v>#NAME?</v>
      </c>
      <c r="BU292" s="437" t="e">
        <f t="shared" ca="1" si="248"/>
        <v>#NAME?</v>
      </c>
      <c r="BV292" s="441" t="e">
        <f t="shared" ca="1" si="249"/>
        <v>#NAME?</v>
      </c>
      <c r="BW292" s="442" t="e">
        <f t="shared" ca="1" si="250"/>
        <v>#NAME?</v>
      </c>
      <c r="BX292" s="470" t="e">
        <f t="shared" ca="1" si="223"/>
        <v>#NAME?</v>
      </c>
      <c r="BY292" s="484" t="e">
        <f t="shared" ca="1" si="235"/>
        <v>#NAME?</v>
      </c>
      <c r="BZ292" s="176"/>
    </row>
    <row r="293" spans="9:78" s="177" customFormat="1" ht="17.75" customHeight="1" x14ac:dyDescent="0.2">
      <c r="I293" s="366">
        <v>209</v>
      </c>
      <c r="J293" s="414">
        <f t="shared" si="236"/>
        <v>41705.857638889363</v>
      </c>
      <c r="K293" s="435" t="e">
        <f t="shared" ca="1" si="237"/>
        <v>#NAME?</v>
      </c>
      <c r="L293" s="435" t="e">
        <f t="shared" ca="1" si="224"/>
        <v>#NAME?</v>
      </c>
      <c r="M293" s="664" t="e">
        <f t="shared" ca="1" si="216"/>
        <v>#NAME?</v>
      </c>
      <c r="N293" s="664" t="e">
        <f t="shared" ca="1" si="217"/>
        <v>#NAME?</v>
      </c>
      <c r="O293" s="140" t="e">
        <f t="shared" ca="1" si="225"/>
        <v>#NAME?</v>
      </c>
      <c r="P293" s="352" t="e">
        <f t="shared" ca="1" si="238"/>
        <v>#NAME?</v>
      </c>
      <c r="Q293" s="665" t="e">
        <f t="shared" ca="1" si="218"/>
        <v>#NAME?</v>
      </c>
      <c r="R293" s="352" t="e">
        <f t="shared" ca="1" si="251"/>
        <v>#NAME?</v>
      </c>
      <c r="S293" s="662" t="e">
        <f t="shared" ca="1" si="226"/>
        <v>#NAME?</v>
      </c>
      <c r="T293" s="443" t="e">
        <f t="shared" ca="1" si="219"/>
        <v>#NAME?</v>
      </c>
      <c r="U293" s="369" t="e">
        <f t="shared" ca="1" si="220"/>
        <v>#NAME?</v>
      </c>
      <c r="V293" s="454" t="e">
        <f t="shared" ca="1" si="227"/>
        <v>#NAME?</v>
      </c>
      <c r="W293" s="457">
        <f t="shared" si="228"/>
        <v>1000</v>
      </c>
      <c r="X293" s="463" t="e">
        <f t="shared" ca="1" si="229"/>
        <v>#NAME?</v>
      </c>
      <c r="Y293" s="455" t="e">
        <f t="shared" ca="1" si="239"/>
        <v>#NAME?</v>
      </c>
      <c r="Z293" s="699">
        <f t="shared" si="221"/>
        <v>8.5</v>
      </c>
      <c r="AA293" s="355" t="str">
        <f t="shared" si="222"/>
        <v>ON</v>
      </c>
      <c r="AB293" s="357">
        <f t="shared" si="252"/>
        <v>1.4999999999999999E-2</v>
      </c>
      <c r="AC293" s="356" t="e">
        <f ca="1">IF(  Y292=0,0,IF(OR(S293="KCAS",S293="INOP",S293="MEFE"),   ( (5*( (   (((1+0.2*(T293/661.4786)^2)^3.5 -1)  )/( (1-6.8755856*10^-6 *100*Y293)^5.2558797) +1)^(2/7) -1) )^0.5),IF(S293="MACH",T293, IF(S293="LRC",BicubicInterpolation( 'LRC Mach'!$C$4:$AL$21, Y293,U293),  IF(S293="MRC",BicubicInterpolation( 'MRC Mach'!$C$3:$T$18, Y293,U293),  IF(S293="M0.84",0.84,  IF(S293="CI52",BicubicInterpolation('CI=52 Mach'!$C$3:$T$18, Y293,U293),  IF(S293="HOLDING",BicubicInterpolation(  'Holding Mach'!$C$4:$M$13, Y293,U293),                         IF(S293="LRCINOP", BicubicInterpolation('LRC INOP Mach'!$C$4:$AA$21,Y293,U293), IF(S293="HOLDINGINOP",  BicubicInterpolation('Holding INOP Mach'!$N$4:$U$13,Y293,U293),         "XXX" )))))))   )))</f>
        <v>#NAME?</v>
      </c>
      <c r="AD293" s="313" t="e">
        <f t="shared" ca="1" si="253"/>
        <v>#NAME?</v>
      </c>
      <c r="AE293" s="314" t="e">
        <f t="shared" ca="1" si="240"/>
        <v>#NAME?</v>
      </c>
      <c r="AF293" s="313" t="e">
        <f t="shared" ca="1" si="254"/>
        <v>#NAME?</v>
      </c>
      <c r="AG293" s="314" t="e">
        <f t="shared" ca="1" si="241"/>
        <v>#NAME?</v>
      </c>
      <c r="AH293" s="313" t="e">
        <f t="shared" ca="1" si="255"/>
        <v>#NAME?</v>
      </c>
      <c r="AI293" s="314" t="e">
        <f t="shared" ca="1" si="242"/>
        <v>#NAME?</v>
      </c>
      <c r="AJ293" s="315" t="e">
        <f t="shared" ca="1" si="243"/>
        <v>#NAME?</v>
      </c>
      <c r="AK293" s="568" t="e">
        <f t="shared" ca="1" si="256"/>
        <v>#NAME?</v>
      </c>
      <c r="AL293" s="313" t="e">
        <f t="shared" ca="1" si="257"/>
        <v>#NAME?</v>
      </c>
      <c r="AM293" s="313" t="e">
        <f t="shared" ca="1" si="244"/>
        <v>#NAME?</v>
      </c>
      <c r="AN293" s="313" t="e">
        <f t="shared" ca="1" si="245"/>
        <v>#NAME?</v>
      </c>
      <c r="AO293" s="316" t="e">
        <f t="shared" ca="1" si="258"/>
        <v>#NAME?</v>
      </c>
      <c r="AP293" s="313" t="e">
        <f t="shared" ca="1" si="259"/>
        <v>#NAME?</v>
      </c>
      <c r="AQ293" s="314" t="e">
        <f t="shared" ca="1" si="246"/>
        <v>#NAME?</v>
      </c>
      <c r="AR293" s="315" t="e">
        <f t="shared" ca="1" si="260"/>
        <v>#NAME?</v>
      </c>
      <c r="AS293" s="316" t="e">
        <f t="shared" ca="1" si="261"/>
        <v>#NAME?</v>
      </c>
      <c r="AT293" s="315" t="e">
        <f t="shared" ca="1" si="262"/>
        <v>#NAME?</v>
      </c>
      <c r="AU293" s="317">
        <v>427.8</v>
      </c>
      <c r="AV293" s="315" t="e">
        <f t="shared" ca="1" si="263"/>
        <v>#NAME?</v>
      </c>
      <c r="AW293" s="318" t="e">
        <f ca="1">0.0001*BicubicInterpolation('Drag Coef Table'!$B$4:$L$28,AV293,AC293)</f>
        <v>#NAME?</v>
      </c>
      <c r="AX293" s="319" t="e">
        <f t="shared" ca="1" si="264"/>
        <v>#NAME?</v>
      </c>
      <c r="AY293" s="318" t="e">
        <f t="shared" ca="1" si="265"/>
        <v>#NAME?</v>
      </c>
      <c r="AZ293" s="320" t="e">
        <f t="shared" ca="1" si="266"/>
        <v>#NAME?</v>
      </c>
      <c r="BA293" s="321" t="e">
        <f t="shared" ca="1" si="267"/>
        <v>#NAME?</v>
      </c>
      <c r="BB293" s="322" t="e">
        <f t="shared" ca="1" si="268"/>
        <v>#NAME?</v>
      </c>
      <c r="BC293" s="323">
        <v>75.196700000000007</v>
      </c>
      <c r="BD293" s="324" t="e">
        <f t="shared" ca="1" si="269"/>
        <v>#NAME?</v>
      </c>
      <c r="BE293" s="325" t="e">
        <f t="shared" ca="1" si="270"/>
        <v>#NAME?</v>
      </c>
      <c r="BF293" s="324" t="e">
        <f ca="1">BicubicInterpolation('TSFC Eff Table'!$B$4:$E$69,2,BB293)</f>
        <v>#NAME?</v>
      </c>
      <c r="BG293" s="326" t="e">
        <f t="shared" ca="1" si="271"/>
        <v>#NAME?</v>
      </c>
      <c r="BH293" s="694" t="e">
        <f ca="1">IF( S293="LRCINOP",   (1+(0.03/10)*Z293*(1+0.2*AC293^2) )*BicubicInterpolation( 'LRC INOP FF'!$C$4:$AA$21, Y293, U293 )-200, IF(S293 ="HOLDINGINOP", (1+(0.03/10)*Z293*(1+0.2*AC293^2) )*BicubicInterpolation( 'Holding INOP FF'!$C$4:$J$13,  Y293,  U293)/1.05-200,   BA293*BG293))</f>
        <v>#NAME?</v>
      </c>
      <c r="BI293" s="344" t="e">
        <f t="shared" ca="1" si="230"/>
        <v>#NAME?</v>
      </c>
      <c r="BJ293" s="322" t="e">
        <f t="shared" ca="1" si="272"/>
        <v>#NAME?</v>
      </c>
      <c r="BK293" s="338" t="e">
        <f t="shared" ca="1" si="231"/>
        <v>#NAME?</v>
      </c>
      <c r="BL293" s="327" t="e">
        <f t="shared" ca="1" si="273"/>
        <v>#NAME?</v>
      </c>
      <c r="BM293" s="328">
        <f t="shared" si="274"/>
        <v>200</v>
      </c>
      <c r="BN293" s="329" t="e">
        <f t="shared" ca="1" si="275"/>
        <v>#NAME?</v>
      </c>
      <c r="BO293" s="344" t="e">
        <f t="shared" ca="1" si="232"/>
        <v>#NAME?</v>
      </c>
      <c r="BP293" s="320" t="e">
        <f t="shared" ca="1" si="276"/>
        <v>#NAME?</v>
      </c>
      <c r="BQ293" s="344" t="e">
        <f t="shared" ca="1" si="233"/>
        <v>#NAME?</v>
      </c>
      <c r="BR293" s="347" t="e">
        <f t="shared" ca="1" si="234"/>
        <v>#NAME?</v>
      </c>
      <c r="BS293" s="326" t="e">
        <f t="shared" ca="1" si="277"/>
        <v>#NAME?</v>
      </c>
      <c r="BT293" s="437" t="e">
        <f t="shared" ca="1" si="247"/>
        <v>#NAME?</v>
      </c>
      <c r="BU293" s="437" t="e">
        <f t="shared" ca="1" si="248"/>
        <v>#NAME?</v>
      </c>
      <c r="BV293" s="441" t="e">
        <f t="shared" ca="1" si="249"/>
        <v>#NAME?</v>
      </c>
      <c r="BW293" s="442" t="e">
        <f t="shared" ca="1" si="250"/>
        <v>#NAME?</v>
      </c>
      <c r="BX293" s="470" t="e">
        <f t="shared" ca="1" si="223"/>
        <v>#NAME?</v>
      </c>
      <c r="BY293" s="484" t="e">
        <f t="shared" ca="1" si="235"/>
        <v>#NAME?</v>
      </c>
      <c r="BZ293" s="176"/>
    </row>
    <row r="294" spans="9:78" s="177" customFormat="1" ht="17.75" customHeight="1" x14ac:dyDescent="0.2">
      <c r="I294" s="366">
        <v>210</v>
      </c>
      <c r="J294" s="414">
        <f t="shared" si="236"/>
        <v>41705.85833333381</v>
      </c>
      <c r="K294" s="435" t="e">
        <f t="shared" ca="1" si="237"/>
        <v>#NAME?</v>
      </c>
      <c r="L294" s="435" t="e">
        <f t="shared" ca="1" si="224"/>
        <v>#NAME?</v>
      </c>
      <c r="M294" s="664" t="e">
        <f t="shared" ca="1" si="216"/>
        <v>#NAME?</v>
      </c>
      <c r="N294" s="664" t="e">
        <f t="shared" ca="1" si="217"/>
        <v>#NAME?</v>
      </c>
      <c r="O294" s="140" t="e">
        <f t="shared" ca="1" si="225"/>
        <v>#NAME?</v>
      </c>
      <c r="P294" s="352" t="e">
        <f t="shared" ca="1" si="238"/>
        <v>#NAME?</v>
      </c>
      <c r="Q294" s="665" t="e">
        <f t="shared" ca="1" si="218"/>
        <v>#NAME?</v>
      </c>
      <c r="R294" s="352" t="e">
        <f t="shared" ca="1" si="251"/>
        <v>#NAME?</v>
      </c>
      <c r="S294" s="662" t="e">
        <f t="shared" ca="1" si="226"/>
        <v>#NAME?</v>
      </c>
      <c r="T294" s="443" t="e">
        <f t="shared" ca="1" si="219"/>
        <v>#NAME?</v>
      </c>
      <c r="U294" s="369" t="e">
        <f t="shared" ca="1" si="220"/>
        <v>#NAME?</v>
      </c>
      <c r="V294" s="454" t="e">
        <f t="shared" ca="1" si="227"/>
        <v>#NAME?</v>
      </c>
      <c r="W294" s="457">
        <f t="shared" si="228"/>
        <v>1000</v>
      </c>
      <c r="X294" s="463" t="e">
        <f t="shared" ca="1" si="229"/>
        <v>#NAME?</v>
      </c>
      <c r="Y294" s="455" t="e">
        <f t="shared" ca="1" si="239"/>
        <v>#NAME?</v>
      </c>
      <c r="Z294" s="699">
        <f t="shared" si="221"/>
        <v>8.5</v>
      </c>
      <c r="AA294" s="355" t="str">
        <f t="shared" si="222"/>
        <v>ON</v>
      </c>
      <c r="AB294" s="357">
        <f t="shared" si="252"/>
        <v>1.4999999999999999E-2</v>
      </c>
      <c r="AC294" s="356" t="e">
        <f ca="1">IF(  Y293=0,0,IF(OR(S294="KCAS",S294="INOP",S294="MEFE"),   ( (5*( (   (((1+0.2*(T294/661.4786)^2)^3.5 -1)  )/( (1-6.8755856*10^-6 *100*Y294)^5.2558797) +1)^(2/7) -1) )^0.5),IF(S294="MACH",T294, IF(S294="LRC",BicubicInterpolation( 'LRC Mach'!$C$4:$AL$21, Y294,U294),  IF(S294="MRC",BicubicInterpolation( 'MRC Mach'!$C$3:$T$18, Y294,U294),  IF(S294="M0.84",0.84,  IF(S294="CI52",BicubicInterpolation('CI=52 Mach'!$C$3:$T$18, Y294,U294),  IF(S294="HOLDING",BicubicInterpolation(  'Holding Mach'!$C$4:$M$13, Y294,U294),                         IF(S294="LRCINOP", BicubicInterpolation('LRC INOP Mach'!$C$4:$AA$21,Y294,U294), IF(S294="HOLDINGINOP",  BicubicInterpolation('Holding INOP Mach'!$N$4:$U$13,Y294,U294),         "XXX" )))))))   )))</f>
        <v>#NAME?</v>
      </c>
      <c r="AD294" s="313" t="e">
        <f t="shared" ca="1" si="253"/>
        <v>#NAME?</v>
      </c>
      <c r="AE294" s="314" t="e">
        <f t="shared" ca="1" si="240"/>
        <v>#NAME?</v>
      </c>
      <c r="AF294" s="313" t="e">
        <f t="shared" ca="1" si="254"/>
        <v>#NAME?</v>
      </c>
      <c r="AG294" s="314" t="e">
        <f t="shared" ca="1" si="241"/>
        <v>#NAME?</v>
      </c>
      <c r="AH294" s="313" t="e">
        <f t="shared" ca="1" si="255"/>
        <v>#NAME?</v>
      </c>
      <c r="AI294" s="314" t="e">
        <f t="shared" ca="1" si="242"/>
        <v>#NAME?</v>
      </c>
      <c r="AJ294" s="315" t="e">
        <f t="shared" ca="1" si="243"/>
        <v>#NAME?</v>
      </c>
      <c r="AK294" s="568" t="e">
        <f t="shared" ca="1" si="256"/>
        <v>#NAME?</v>
      </c>
      <c r="AL294" s="313" t="e">
        <f t="shared" ca="1" si="257"/>
        <v>#NAME?</v>
      </c>
      <c r="AM294" s="313" t="e">
        <f t="shared" ca="1" si="244"/>
        <v>#NAME?</v>
      </c>
      <c r="AN294" s="313" t="e">
        <f t="shared" ca="1" si="245"/>
        <v>#NAME?</v>
      </c>
      <c r="AO294" s="316" t="e">
        <f t="shared" ca="1" si="258"/>
        <v>#NAME?</v>
      </c>
      <c r="AP294" s="313" t="e">
        <f t="shared" ca="1" si="259"/>
        <v>#NAME?</v>
      </c>
      <c r="AQ294" s="314" t="e">
        <f t="shared" ca="1" si="246"/>
        <v>#NAME?</v>
      </c>
      <c r="AR294" s="315" t="e">
        <f t="shared" ca="1" si="260"/>
        <v>#NAME?</v>
      </c>
      <c r="AS294" s="316" t="e">
        <f t="shared" ca="1" si="261"/>
        <v>#NAME?</v>
      </c>
      <c r="AT294" s="315" t="e">
        <f t="shared" ca="1" si="262"/>
        <v>#NAME?</v>
      </c>
      <c r="AU294" s="317">
        <v>427.8</v>
      </c>
      <c r="AV294" s="315" t="e">
        <f t="shared" ca="1" si="263"/>
        <v>#NAME?</v>
      </c>
      <c r="AW294" s="318" t="e">
        <f ca="1">0.0001*BicubicInterpolation('Drag Coef Table'!$B$4:$L$28,AV294,AC294)</f>
        <v>#NAME?</v>
      </c>
      <c r="AX294" s="319" t="e">
        <f t="shared" ca="1" si="264"/>
        <v>#NAME?</v>
      </c>
      <c r="AY294" s="318" t="e">
        <f t="shared" ca="1" si="265"/>
        <v>#NAME?</v>
      </c>
      <c r="AZ294" s="320" t="e">
        <f t="shared" ca="1" si="266"/>
        <v>#NAME?</v>
      </c>
      <c r="BA294" s="321" t="e">
        <f t="shared" ca="1" si="267"/>
        <v>#NAME?</v>
      </c>
      <c r="BB294" s="322" t="e">
        <f t="shared" ca="1" si="268"/>
        <v>#NAME?</v>
      </c>
      <c r="BC294" s="323">
        <v>75.196700000000007</v>
      </c>
      <c r="BD294" s="324" t="e">
        <f t="shared" ca="1" si="269"/>
        <v>#NAME?</v>
      </c>
      <c r="BE294" s="325" t="e">
        <f t="shared" ca="1" si="270"/>
        <v>#NAME?</v>
      </c>
      <c r="BF294" s="324" t="e">
        <f ca="1">BicubicInterpolation('TSFC Eff Table'!$B$4:$E$69,2,BB294)</f>
        <v>#NAME?</v>
      </c>
      <c r="BG294" s="326" t="e">
        <f t="shared" ca="1" si="271"/>
        <v>#NAME?</v>
      </c>
      <c r="BH294" s="694" t="e">
        <f ca="1">IF( S294="LRCINOP",   (1+(0.03/10)*Z294*(1+0.2*AC294^2) )*BicubicInterpolation( 'LRC INOP FF'!$C$4:$AA$21, Y294, U294 )-200, IF(S294 ="HOLDINGINOP", (1+(0.03/10)*Z294*(1+0.2*AC294^2) )*BicubicInterpolation( 'Holding INOP FF'!$C$4:$J$13,  Y294,  U294)/1.05-200,   BA294*BG294))</f>
        <v>#NAME?</v>
      </c>
      <c r="BI294" s="344" t="e">
        <f t="shared" ca="1" si="230"/>
        <v>#NAME?</v>
      </c>
      <c r="BJ294" s="322" t="e">
        <f t="shared" ca="1" si="272"/>
        <v>#NAME?</v>
      </c>
      <c r="BK294" s="338" t="e">
        <f t="shared" ca="1" si="231"/>
        <v>#NAME?</v>
      </c>
      <c r="BL294" s="327" t="e">
        <f t="shared" ca="1" si="273"/>
        <v>#NAME?</v>
      </c>
      <c r="BM294" s="328">
        <f t="shared" si="274"/>
        <v>200</v>
      </c>
      <c r="BN294" s="329" t="e">
        <f t="shared" ca="1" si="275"/>
        <v>#NAME?</v>
      </c>
      <c r="BO294" s="344" t="e">
        <f t="shared" ca="1" si="232"/>
        <v>#NAME?</v>
      </c>
      <c r="BP294" s="320" t="e">
        <f t="shared" ca="1" si="276"/>
        <v>#NAME?</v>
      </c>
      <c r="BQ294" s="344" t="e">
        <f t="shared" ca="1" si="233"/>
        <v>#NAME?</v>
      </c>
      <c r="BR294" s="347" t="e">
        <f t="shared" ca="1" si="234"/>
        <v>#NAME?</v>
      </c>
      <c r="BS294" s="326" t="e">
        <f t="shared" ca="1" si="277"/>
        <v>#NAME?</v>
      </c>
      <c r="BT294" s="437" t="e">
        <f t="shared" ca="1" si="247"/>
        <v>#NAME?</v>
      </c>
      <c r="BU294" s="437" t="e">
        <f t="shared" ca="1" si="248"/>
        <v>#NAME?</v>
      </c>
      <c r="BV294" s="441" t="e">
        <f t="shared" ca="1" si="249"/>
        <v>#NAME?</v>
      </c>
      <c r="BW294" s="442" t="e">
        <f t="shared" ca="1" si="250"/>
        <v>#NAME?</v>
      </c>
      <c r="BX294" s="470" t="e">
        <f t="shared" ca="1" si="223"/>
        <v>#NAME?</v>
      </c>
      <c r="BY294" s="484" t="e">
        <f t="shared" ca="1" si="235"/>
        <v>#NAME?</v>
      </c>
      <c r="BZ294" s="176"/>
    </row>
    <row r="295" spans="9:78" s="177" customFormat="1" ht="17.75" customHeight="1" x14ac:dyDescent="0.2">
      <c r="I295" s="366">
        <v>211</v>
      </c>
      <c r="J295" s="414">
        <f t="shared" si="236"/>
        <v>41705.859027778257</v>
      </c>
      <c r="K295" s="435" t="e">
        <f t="shared" ca="1" si="237"/>
        <v>#NAME?</v>
      </c>
      <c r="L295" s="435" t="e">
        <f t="shared" ca="1" si="224"/>
        <v>#NAME?</v>
      </c>
      <c r="M295" s="664" t="e">
        <f t="shared" ca="1" si="216"/>
        <v>#NAME?</v>
      </c>
      <c r="N295" s="664" t="e">
        <f t="shared" ca="1" si="217"/>
        <v>#NAME?</v>
      </c>
      <c r="O295" s="140" t="e">
        <f t="shared" ca="1" si="225"/>
        <v>#NAME?</v>
      </c>
      <c r="P295" s="352" t="e">
        <f t="shared" ca="1" si="238"/>
        <v>#NAME?</v>
      </c>
      <c r="Q295" s="665" t="e">
        <f t="shared" ca="1" si="218"/>
        <v>#NAME?</v>
      </c>
      <c r="R295" s="352" t="e">
        <f t="shared" ca="1" si="251"/>
        <v>#NAME?</v>
      </c>
      <c r="S295" s="662" t="e">
        <f t="shared" ca="1" si="226"/>
        <v>#NAME?</v>
      </c>
      <c r="T295" s="443" t="e">
        <f t="shared" ca="1" si="219"/>
        <v>#NAME?</v>
      </c>
      <c r="U295" s="369" t="e">
        <f t="shared" ca="1" si="220"/>
        <v>#NAME?</v>
      </c>
      <c r="V295" s="454" t="e">
        <f t="shared" ca="1" si="227"/>
        <v>#NAME?</v>
      </c>
      <c r="W295" s="457">
        <f t="shared" si="228"/>
        <v>1000</v>
      </c>
      <c r="X295" s="463" t="e">
        <f t="shared" ca="1" si="229"/>
        <v>#NAME?</v>
      </c>
      <c r="Y295" s="455" t="e">
        <f t="shared" ca="1" si="239"/>
        <v>#NAME?</v>
      </c>
      <c r="Z295" s="699">
        <f t="shared" si="221"/>
        <v>8.5</v>
      </c>
      <c r="AA295" s="355" t="str">
        <f t="shared" si="222"/>
        <v>ON</v>
      </c>
      <c r="AB295" s="357">
        <f t="shared" si="252"/>
        <v>1.4999999999999999E-2</v>
      </c>
      <c r="AC295" s="356" t="e">
        <f ca="1">IF(  Y294=0,0,IF(OR(S295="KCAS",S295="INOP",S295="MEFE"),   ( (5*( (   (((1+0.2*(T295/661.4786)^2)^3.5 -1)  )/( (1-6.8755856*10^-6 *100*Y295)^5.2558797) +1)^(2/7) -1) )^0.5),IF(S295="MACH",T295, IF(S295="LRC",BicubicInterpolation( 'LRC Mach'!$C$4:$AL$21, Y295,U295),  IF(S295="MRC",BicubicInterpolation( 'MRC Mach'!$C$3:$T$18, Y295,U295),  IF(S295="M0.84",0.84,  IF(S295="CI52",BicubicInterpolation('CI=52 Mach'!$C$3:$T$18, Y295,U295),  IF(S295="HOLDING",BicubicInterpolation(  'Holding Mach'!$C$4:$M$13, Y295,U295),                         IF(S295="LRCINOP", BicubicInterpolation('LRC INOP Mach'!$C$4:$AA$21,Y295,U295), IF(S295="HOLDINGINOP",  BicubicInterpolation('Holding INOP Mach'!$N$4:$U$13,Y295,U295),         "XXX" )))))))   )))</f>
        <v>#NAME?</v>
      </c>
      <c r="AD295" s="313" t="e">
        <f t="shared" ca="1" si="253"/>
        <v>#NAME?</v>
      </c>
      <c r="AE295" s="314" t="e">
        <f t="shared" ca="1" si="240"/>
        <v>#NAME?</v>
      </c>
      <c r="AF295" s="313" t="e">
        <f t="shared" ca="1" si="254"/>
        <v>#NAME?</v>
      </c>
      <c r="AG295" s="314" t="e">
        <f t="shared" ca="1" si="241"/>
        <v>#NAME?</v>
      </c>
      <c r="AH295" s="313" t="e">
        <f t="shared" ca="1" si="255"/>
        <v>#NAME?</v>
      </c>
      <c r="AI295" s="314" t="e">
        <f t="shared" ca="1" si="242"/>
        <v>#NAME?</v>
      </c>
      <c r="AJ295" s="315" t="e">
        <f t="shared" ca="1" si="243"/>
        <v>#NAME?</v>
      </c>
      <c r="AK295" s="568" t="e">
        <f t="shared" ca="1" si="256"/>
        <v>#NAME?</v>
      </c>
      <c r="AL295" s="313" t="e">
        <f t="shared" ca="1" si="257"/>
        <v>#NAME?</v>
      </c>
      <c r="AM295" s="313" t="e">
        <f t="shared" ca="1" si="244"/>
        <v>#NAME?</v>
      </c>
      <c r="AN295" s="313" t="e">
        <f t="shared" ca="1" si="245"/>
        <v>#NAME?</v>
      </c>
      <c r="AO295" s="316" t="e">
        <f t="shared" ca="1" si="258"/>
        <v>#NAME?</v>
      </c>
      <c r="AP295" s="313" t="e">
        <f t="shared" ca="1" si="259"/>
        <v>#NAME?</v>
      </c>
      <c r="AQ295" s="314" t="e">
        <f t="shared" ca="1" si="246"/>
        <v>#NAME?</v>
      </c>
      <c r="AR295" s="315" t="e">
        <f t="shared" ca="1" si="260"/>
        <v>#NAME?</v>
      </c>
      <c r="AS295" s="316" t="e">
        <f t="shared" ca="1" si="261"/>
        <v>#NAME?</v>
      </c>
      <c r="AT295" s="315" t="e">
        <f t="shared" ca="1" si="262"/>
        <v>#NAME?</v>
      </c>
      <c r="AU295" s="317">
        <v>427.8</v>
      </c>
      <c r="AV295" s="315" t="e">
        <f t="shared" ca="1" si="263"/>
        <v>#NAME?</v>
      </c>
      <c r="AW295" s="318" t="e">
        <f ca="1">0.0001*BicubicInterpolation('Drag Coef Table'!$B$4:$L$28,AV295,AC295)</f>
        <v>#NAME?</v>
      </c>
      <c r="AX295" s="319" t="e">
        <f t="shared" ca="1" si="264"/>
        <v>#NAME?</v>
      </c>
      <c r="AY295" s="318" t="e">
        <f t="shared" ca="1" si="265"/>
        <v>#NAME?</v>
      </c>
      <c r="AZ295" s="320" t="e">
        <f t="shared" ca="1" si="266"/>
        <v>#NAME?</v>
      </c>
      <c r="BA295" s="321" t="e">
        <f t="shared" ca="1" si="267"/>
        <v>#NAME?</v>
      </c>
      <c r="BB295" s="322" t="e">
        <f t="shared" ca="1" si="268"/>
        <v>#NAME?</v>
      </c>
      <c r="BC295" s="323">
        <v>75.196700000000007</v>
      </c>
      <c r="BD295" s="324" t="e">
        <f t="shared" ca="1" si="269"/>
        <v>#NAME?</v>
      </c>
      <c r="BE295" s="325" t="e">
        <f t="shared" ca="1" si="270"/>
        <v>#NAME?</v>
      </c>
      <c r="BF295" s="324" t="e">
        <f ca="1">BicubicInterpolation('TSFC Eff Table'!$B$4:$E$69,2,BB295)</f>
        <v>#NAME?</v>
      </c>
      <c r="BG295" s="326" t="e">
        <f t="shared" ca="1" si="271"/>
        <v>#NAME?</v>
      </c>
      <c r="BH295" s="694" t="e">
        <f ca="1">IF( S295="LRCINOP",   (1+(0.03/10)*Z295*(1+0.2*AC295^2) )*BicubicInterpolation( 'LRC INOP FF'!$C$4:$AA$21, Y295, U295 )-200, IF(S295 ="HOLDINGINOP", (1+(0.03/10)*Z295*(1+0.2*AC295^2) )*BicubicInterpolation( 'Holding INOP FF'!$C$4:$J$13,  Y295,  U295)/1.05-200,   BA295*BG295))</f>
        <v>#NAME?</v>
      </c>
      <c r="BI295" s="344" t="e">
        <f t="shared" ca="1" si="230"/>
        <v>#NAME?</v>
      </c>
      <c r="BJ295" s="322" t="e">
        <f t="shared" ca="1" si="272"/>
        <v>#NAME?</v>
      </c>
      <c r="BK295" s="338" t="e">
        <f t="shared" ca="1" si="231"/>
        <v>#NAME?</v>
      </c>
      <c r="BL295" s="327" t="e">
        <f t="shared" ca="1" si="273"/>
        <v>#NAME?</v>
      </c>
      <c r="BM295" s="328">
        <f t="shared" si="274"/>
        <v>200</v>
      </c>
      <c r="BN295" s="329" t="e">
        <f t="shared" ca="1" si="275"/>
        <v>#NAME?</v>
      </c>
      <c r="BO295" s="344" t="e">
        <f t="shared" ca="1" si="232"/>
        <v>#NAME?</v>
      </c>
      <c r="BP295" s="320" t="e">
        <f t="shared" ca="1" si="276"/>
        <v>#NAME?</v>
      </c>
      <c r="BQ295" s="344" t="e">
        <f t="shared" ca="1" si="233"/>
        <v>#NAME?</v>
      </c>
      <c r="BR295" s="347" t="e">
        <f t="shared" ca="1" si="234"/>
        <v>#NAME?</v>
      </c>
      <c r="BS295" s="326" t="e">
        <f t="shared" ca="1" si="277"/>
        <v>#NAME?</v>
      </c>
      <c r="BT295" s="437" t="e">
        <f t="shared" ca="1" si="247"/>
        <v>#NAME?</v>
      </c>
      <c r="BU295" s="437" t="e">
        <f t="shared" ca="1" si="248"/>
        <v>#NAME?</v>
      </c>
      <c r="BV295" s="441" t="e">
        <f t="shared" ca="1" si="249"/>
        <v>#NAME?</v>
      </c>
      <c r="BW295" s="442" t="e">
        <f t="shared" ca="1" si="250"/>
        <v>#NAME?</v>
      </c>
      <c r="BX295" s="470" t="e">
        <f t="shared" ca="1" si="223"/>
        <v>#NAME?</v>
      </c>
      <c r="BY295" s="484" t="e">
        <f t="shared" ca="1" si="235"/>
        <v>#NAME?</v>
      </c>
      <c r="BZ295" s="176"/>
    </row>
    <row r="296" spans="9:78" s="177" customFormat="1" ht="17.75" customHeight="1" x14ac:dyDescent="0.2">
      <c r="I296" s="366">
        <v>212</v>
      </c>
      <c r="J296" s="414">
        <f t="shared" si="236"/>
        <v>41705.859722222704</v>
      </c>
      <c r="K296" s="435" t="e">
        <f t="shared" ca="1" si="237"/>
        <v>#NAME?</v>
      </c>
      <c r="L296" s="435" t="e">
        <f t="shared" ca="1" si="224"/>
        <v>#NAME?</v>
      </c>
      <c r="M296" s="664" t="e">
        <f t="shared" ca="1" si="216"/>
        <v>#NAME?</v>
      </c>
      <c r="N296" s="664" t="e">
        <f t="shared" ca="1" si="217"/>
        <v>#NAME?</v>
      </c>
      <c r="O296" s="140" t="e">
        <f t="shared" ca="1" si="225"/>
        <v>#NAME?</v>
      </c>
      <c r="P296" s="352" t="e">
        <f t="shared" ca="1" si="238"/>
        <v>#NAME?</v>
      </c>
      <c r="Q296" s="665" t="e">
        <f t="shared" ca="1" si="218"/>
        <v>#NAME?</v>
      </c>
      <c r="R296" s="352" t="e">
        <f t="shared" ca="1" si="251"/>
        <v>#NAME?</v>
      </c>
      <c r="S296" s="662" t="e">
        <f t="shared" ca="1" si="226"/>
        <v>#NAME?</v>
      </c>
      <c r="T296" s="443" t="e">
        <f t="shared" ca="1" si="219"/>
        <v>#NAME?</v>
      </c>
      <c r="U296" s="369" t="e">
        <f t="shared" ca="1" si="220"/>
        <v>#NAME?</v>
      </c>
      <c r="V296" s="454" t="e">
        <f t="shared" ca="1" si="227"/>
        <v>#NAME?</v>
      </c>
      <c r="W296" s="457">
        <f t="shared" si="228"/>
        <v>1000</v>
      </c>
      <c r="X296" s="463" t="e">
        <f t="shared" ca="1" si="229"/>
        <v>#NAME?</v>
      </c>
      <c r="Y296" s="455" t="e">
        <f t="shared" ca="1" si="239"/>
        <v>#NAME?</v>
      </c>
      <c r="Z296" s="699">
        <f t="shared" si="221"/>
        <v>8.5</v>
      </c>
      <c r="AA296" s="355" t="str">
        <f t="shared" si="222"/>
        <v>ON</v>
      </c>
      <c r="AB296" s="357">
        <f t="shared" si="252"/>
        <v>1.4999999999999999E-2</v>
      </c>
      <c r="AC296" s="356" t="e">
        <f ca="1">IF(  Y295=0,0,IF(OR(S296="KCAS",S296="INOP",S296="MEFE"),   ( (5*( (   (((1+0.2*(T296/661.4786)^2)^3.5 -1)  )/( (1-6.8755856*10^-6 *100*Y296)^5.2558797) +1)^(2/7) -1) )^0.5),IF(S296="MACH",T296, IF(S296="LRC",BicubicInterpolation( 'LRC Mach'!$C$4:$AL$21, Y296,U296),  IF(S296="MRC",BicubicInterpolation( 'MRC Mach'!$C$3:$T$18, Y296,U296),  IF(S296="M0.84",0.84,  IF(S296="CI52",BicubicInterpolation('CI=52 Mach'!$C$3:$T$18, Y296,U296),  IF(S296="HOLDING",BicubicInterpolation(  'Holding Mach'!$C$4:$M$13, Y296,U296),                         IF(S296="LRCINOP", BicubicInterpolation('LRC INOP Mach'!$C$4:$AA$21,Y296,U296), IF(S296="HOLDINGINOP",  BicubicInterpolation('Holding INOP Mach'!$N$4:$U$13,Y296,U296),         "XXX" )))))))   )))</f>
        <v>#NAME?</v>
      </c>
      <c r="AD296" s="313" t="e">
        <f t="shared" ca="1" si="253"/>
        <v>#NAME?</v>
      </c>
      <c r="AE296" s="314" t="e">
        <f t="shared" ca="1" si="240"/>
        <v>#NAME?</v>
      </c>
      <c r="AF296" s="313" t="e">
        <f t="shared" ca="1" si="254"/>
        <v>#NAME?</v>
      </c>
      <c r="AG296" s="314" t="e">
        <f t="shared" ca="1" si="241"/>
        <v>#NAME?</v>
      </c>
      <c r="AH296" s="313" t="e">
        <f t="shared" ca="1" si="255"/>
        <v>#NAME?</v>
      </c>
      <c r="AI296" s="314" t="e">
        <f t="shared" ca="1" si="242"/>
        <v>#NAME?</v>
      </c>
      <c r="AJ296" s="315" t="e">
        <f t="shared" ca="1" si="243"/>
        <v>#NAME?</v>
      </c>
      <c r="AK296" s="568" t="e">
        <f t="shared" ca="1" si="256"/>
        <v>#NAME?</v>
      </c>
      <c r="AL296" s="313" t="e">
        <f t="shared" ca="1" si="257"/>
        <v>#NAME?</v>
      </c>
      <c r="AM296" s="313" t="e">
        <f t="shared" ca="1" si="244"/>
        <v>#NAME?</v>
      </c>
      <c r="AN296" s="313" t="e">
        <f t="shared" ca="1" si="245"/>
        <v>#NAME?</v>
      </c>
      <c r="AO296" s="316" t="e">
        <f t="shared" ca="1" si="258"/>
        <v>#NAME?</v>
      </c>
      <c r="AP296" s="313" t="e">
        <f t="shared" ca="1" si="259"/>
        <v>#NAME?</v>
      </c>
      <c r="AQ296" s="314" t="e">
        <f t="shared" ca="1" si="246"/>
        <v>#NAME?</v>
      </c>
      <c r="AR296" s="315" t="e">
        <f t="shared" ca="1" si="260"/>
        <v>#NAME?</v>
      </c>
      <c r="AS296" s="316" t="e">
        <f t="shared" ca="1" si="261"/>
        <v>#NAME?</v>
      </c>
      <c r="AT296" s="315" t="e">
        <f t="shared" ca="1" si="262"/>
        <v>#NAME?</v>
      </c>
      <c r="AU296" s="317">
        <v>427.8</v>
      </c>
      <c r="AV296" s="315" t="e">
        <f t="shared" ca="1" si="263"/>
        <v>#NAME?</v>
      </c>
      <c r="AW296" s="318" t="e">
        <f ca="1">0.0001*BicubicInterpolation('Drag Coef Table'!$B$4:$L$28,AV296,AC296)</f>
        <v>#NAME?</v>
      </c>
      <c r="AX296" s="319" t="e">
        <f t="shared" ca="1" si="264"/>
        <v>#NAME?</v>
      </c>
      <c r="AY296" s="318" t="e">
        <f t="shared" ca="1" si="265"/>
        <v>#NAME?</v>
      </c>
      <c r="AZ296" s="320" t="e">
        <f t="shared" ca="1" si="266"/>
        <v>#NAME?</v>
      </c>
      <c r="BA296" s="321" t="e">
        <f t="shared" ca="1" si="267"/>
        <v>#NAME?</v>
      </c>
      <c r="BB296" s="322" t="e">
        <f t="shared" ca="1" si="268"/>
        <v>#NAME?</v>
      </c>
      <c r="BC296" s="323">
        <v>75.196700000000007</v>
      </c>
      <c r="BD296" s="324" t="e">
        <f t="shared" ca="1" si="269"/>
        <v>#NAME?</v>
      </c>
      <c r="BE296" s="325" t="e">
        <f t="shared" ca="1" si="270"/>
        <v>#NAME?</v>
      </c>
      <c r="BF296" s="324" t="e">
        <f ca="1">BicubicInterpolation('TSFC Eff Table'!$B$4:$E$69,2,BB296)</f>
        <v>#NAME?</v>
      </c>
      <c r="BG296" s="326" t="e">
        <f t="shared" ca="1" si="271"/>
        <v>#NAME?</v>
      </c>
      <c r="BH296" s="694" t="e">
        <f ca="1">IF( S296="LRCINOP",   (1+(0.03/10)*Z296*(1+0.2*AC296^2) )*BicubicInterpolation( 'LRC INOP FF'!$C$4:$AA$21, Y296, U296 )-200, IF(S296 ="HOLDINGINOP", (1+(0.03/10)*Z296*(1+0.2*AC296^2) )*BicubicInterpolation( 'Holding INOP FF'!$C$4:$J$13,  Y296,  U296)/1.05-200,   BA296*BG296))</f>
        <v>#NAME?</v>
      </c>
      <c r="BI296" s="344" t="e">
        <f t="shared" ca="1" si="230"/>
        <v>#NAME?</v>
      </c>
      <c r="BJ296" s="322" t="e">
        <f t="shared" ca="1" si="272"/>
        <v>#NAME?</v>
      </c>
      <c r="BK296" s="338" t="e">
        <f t="shared" ca="1" si="231"/>
        <v>#NAME?</v>
      </c>
      <c r="BL296" s="327" t="e">
        <f t="shared" ca="1" si="273"/>
        <v>#NAME?</v>
      </c>
      <c r="BM296" s="328">
        <f t="shared" si="274"/>
        <v>200</v>
      </c>
      <c r="BN296" s="329" t="e">
        <f t="shared" ca="1" si="275"/>
        <v>#NAME?</v>
      </c>
      <c r="BO296" s="344" t="e">
        <f t="shared" ca="1" si="232"/>
        <v>#NAME?</v>
      </c>
      <c r="BP296" s="320" t="e">
        <f t="shared" ca="1" si="276"/>
        <v>#NAME?</v>
      </c>
      <c r="BQ296" s="344" t="e">
        <f t="shared" ca="1" si="233"/>
        <v>#NAME?</v>
      </c>
      <c r="BR296" s="347" t="e">
        <f t="shared" ca="1" si="234"/>
        <v>#NAME?</v>
      </c>
      <c r="BS296" s="326" t="e">
        <f t="shared" ca="1" si="277"/>
        <v>#NAME?</v>
      </c>
      <c r="BT296" s="437" t="e">
        <f t="shared" ca="1" si="247"/>
        <v>#NAME?</v>
      </c>
      <c r="BU296" s="437" t="e">
        <f t="shared" ca="1" si="248"/>
        <v>#NAME?</v>
      </c>
      <c r="BV296" s="441" t="e">
        <f t="shared" ca="1" si="249"/>
        <v>#NAME?</v>
      </c>
      <c r="BW296" s="442" t="e">
        <f t="shared" ca="1" si="250"/>
        <v>#NAME?</v>
      </c>
      <c r="BX296" s="470" t="e">
        <f t="shared" ca="1" si="223"/>
        <v>#NAME?</v>
      </c>
      <c r="BY296" s="484" t="e">
        <f t="shared" ca="1" si="235"/>
        <v>#NAME?</v>
      </c>
      <c r="BZ296" s="176"/>
    </row>
    <row r="297" spans="9:78" s="177" customFormat="1" ht="17.75" customHeight="1" x14ac:dyDescent="0.2">
      <c r="I297" s="366">
        <v>213</v>
      </c>
      <c r="J297" s="414">
        <f t="shared" si="236"/>
        <v>41705.86041666715</v>
      </c>
      <c r="K297" s="435" t="e">
        <f t="shared" ca="1" si="237"/>
        <v>#NAME?</v>
      </c>
      <c r="L297" s="435" t="e">
        <f t="shared" ca="1" si="224"/>
        <v>#NAME?</v>
      </c>
      <c r="M297" s="664" t="e">
        <f t="shared" ref="M297:M360" ca="1" si="278">IF(  AND(OR(S296="LRCINOP",S296="HOLDINGINOP"),NOT(S296=S295), $C$35="L"), 0,   IF(  AND(OR(S296="LRCINOP",S296="HOLDINGINOP"),NOT(S296=S295), $C$35="R"),  MAX(M296-K296/1000+N296,0),MAX(M296-K296/1000,0)   ))</f>
        <v>#NAME?</v>
      </c>
      <c r="N297" s="664" t="e">
        <f t="shared" ref="N297:N360" ca="1" si="279">IF(  AND(OR(S296="LRCINOP",S296="HOLDINGINOP"),NOT(S296=S295), $C$35="R"), 0,   IF(  AND(OR(S296="LRCINOP",S296="HOLDINGINOP"),NOT(S296=S295), $C$35="L"),  MAX(N296-L296/1000+M296,0),MAX(N296-L296/1000,0)   ))</f>
        <v>#NAME?</v>
      </c>
      <c r="O297" s="140" t="e">
        <f t="shared" ca="1" si="225"/>
        <v>#NAME?</v>
      </c>
      <c r="P297" s="352" t="e">
        <f t="shared" ca="1" si="238"/>
        <v>#NAME?</v>
      </c>
      <c r="Q297" s="665" t="e">
        <f t="shared" ca="1" si="218"/>
        <v>#NAME?</v>
      </c>
      <c r="R297" s="352" t="e">
        <f t="shared" ca="1" si="251"/>
        <v>#NAME?</v>
      </c>
      <c r="S297" s="662" t="e">
        <f t="shared" ca="1" si="226"/>
        <v>#NAME?</v>
      </c>
      <c r="T297" s="443" t="e">
        <f t="shared" ca="1" si="219"/>
        <v>#NAME?</v>
      </c>
      <c r="U297" s="369" t="e">
        <f t="shared" ca="1" si="220"/>
        <v>#NAME?</v>
      </c>
      <c r="V297" s="454" t="e">
        <f t="shared" ca="1" si="227"/>
        <v>#NAME?</v>
      </c>
      <c r="W297" s="457">
        <f t="shared" si="228"/>
        <v>1000</v>
      </c>
      <c r="X297" s="463" t="e">
        <f t="shared" ca="1" si="229"/>
        <v>#NAME?</v>
      </c>
      <c r="Y297" s="455" t="e">
        <f t="shared" ca="1" si="239"/>
        <v>#NAME?</v>
      </c>
      <c r="Z297" s="699">
        <f t="shared" si="221"/>
        <v>8.5</v>
      </c>
      <c r="AA297" s="355" t="str">
        <f t="shared" si="222"/>
        <v>ON</v>
      </c>
      <c r="AB297" s="357">
        <f t="shared" si="252"/>
        <v>1.4999999999999999E-2</v>
      </c>
      <c r="AC297" s="356" t="e">
        <f ca="1">IF(  Y296=0,0,IF(OR(S297="KCAS",S297="INOP",S297="MEFE"),   ( (5*( (   (((1+0.2*(T297/661.4786)^2)^3.5 -1)  )/( (1-6.8755856*10^-6 *100*Y297)^5.2558797) +1)^(2/7) -1) )^0.5),IF(S297="MACH",T297, IF(S297="LRC",BicubicInterpolation( 'LRC Mach'!$C$4:$AL$21, Y297,U297),  IF(S297="MRC",BicubicInterpolation( 'MRC Mach'!$C$3:$T$18, Y297,U297),  IF(S297="M0.84",0.84,  IF(S297="CI52",BicubicInterpolation('CI=52 Mach'!$C$3:$T$18, Y297,U297),  IF(S297="HOLDING",BicubicInterpolation(  'Holding Mach'!$C$4:$M$13, Y297,U297),                         IF(S297="LRCINOP", BicubicInterpolation('LRC INOP Mach'!$C$4:$AA$21,Y297,U297), IF(S297="HOLDINGINOP",  BicubicInterpolation('Holding INOP Mach'!$N$4:$U$13,Y297,U297),         "XXX" )))))))   )))</f>
        <v>#NAME?</v>
      </c>
      <c r="AD297" s="313" t="e">
        <f t="shared" ca="1" si="253"/>
        <v>#NAME?</v>
      </c>
      <c r="AE297" s="314" t="e">
        <f t="shared" ca="1" si="240"/>
        <v>#NAME?</v>
      </c>
      <c r="AF297" s="313" t="e">
        <f t="shared" ca="1" si="254"/>
        <v>#NAME?</v>
      </c>
      <c r="AG297" s="314" t="e">
        <f t="shared" ca="1" si="241"/>
        <v>#NAME?</v>
      </c>
      <c r="AH297" s="313" t="e">
        <f t="shared" ca="1" si="255"/>
        <v>#NAME?</v>
      </c>
      <c r="AI297" s="314" t="e">
        <f t="shared" ca="1" si="242"/>
        <v>#NAME?</v>
      </c>
      <c r="AJ297" s="315" t="e">
        <f t="shared" ca="1" si="243"/>
        <v>#NAME?</v>
      </c>
      <c r="AK297" s="568" t="e">
        <f t="shared" ca="1" si="256"/>
        <v>#NAME?</v>
      </c>
      <c r="AL297" s="313" t="e">
        <f t="shared" ca="1" si="257"/>
        <v>#NAME?</v>
      </c>
      <c r="AM297" s="313" t="e">
        <f t="shared" ca="1" si="244"/>
        <v>#NAME?</v>
      </c>
      <c r="AN297" s="313" t="e">
        <f t="shared" ca="1" si="245"/>
        <v>#NAME?</v>
      </c>
      <c r="AO297" s="316" t="e">
        <f t="shared" ca="1" si="258"/>
        <v>#NAME?</v>
      </c>
      <c r="AP297" s="313" t="e">
        <f t="shared" ca="1" si="259"/>
        <v>#NAME?</v>
      </c>
      <c r="AQ297" s="314" t="e">
        <f t="shared" ca="1" si="246"/>
        <v>#NAME?</v>
      </c>
      <c r="AR297" s="315" t="e">
        <f t="shared" ca="1" si="260"/>
        <v>#NAME?</v>
      </c>
      <c r="AS297" s="316" t="e">
        <f t="shared" ca="1" si="261"/>
        <v>#NAME?</v>
      </c>
      <c r="AT297" s="315" t="e">
        <f t="shared" ca="1" si="262"/>
        <v>#NAME?</v>
      </c>
      <c r="AU297" s="317">
        <v>427.8</v>
      </c>
      <c r="AV297" s="315" t="e">
        <f t="shared" ca="1" si="263"/>
        <v>#NAME?</v>
      </c>
      <c r="AW297" s="318" t="e">
        <f ca="1">0.0001*BicubicInterpolation('Drag Coef Table'!$B$4:$L$28,AV297,AC297)</f>
        <v>#NAME?</v>
      </c>
      <c r="AX297" s="319" t="e">
        <f t="shared" ca="1" si="264"/>
        <v>#NAME?</v>
      </c>
      <c r="AY297" s="318" t="e">
        <f t="shared" ca="1" si="265"/>
        <v>#NAME?</v>
      </c>
      <c r="AZ297" s="320" t="e">
        <f t="shared" ca="1" si="266"/>
        <v>#NAME?</v>
      </c>
      <c r="BA297" s="321" t="e">
        <f t="shared" ca="1" si="267"/>
        <v>#NAME?</v>
      </c>
      <c r="BB297" s="322" t="e">
        <f t="shared" ca="1" si="268"/>
        <v>#NAME?</v>
      </c>
      <c r="BC297" s="323">
        <v>75.196700000000007</v>
      </c>
      <c r="BD297" s="324" t="e">
        <f t="shared" ca="1" si="269"/>
        <v>#NAME?</v>
      </c>
      <c r="BE297" s="325" t="e">
        <f t="shared" ca="1" si="270"/>
        <v>#NAME?</v>
      </c>
      <c r="BF297" s="324" t="e">
        <f ca="1">BicubicInterpolation('TSFC Eff Table'!$B$4:$E$69,2,BB297)</f>
        <v>#NAME?</v>
      </c>
      <c r="BG297" s="326" t="e">
        <f t="shared" ca="1" si="271"/>
        <v>#NAME?</v>
      </c>
      <c r="BH297" s="694" t="e">
        <f ca="1">IF( S297="LRCINOP",   (1+(0.03/10)*Z297*(1+0.2*AC297^2) )*BicubicInterpolation( 'LRC INOP FF'!$C$4:$AA$21, Y297, U297 )-200, IF(S297 ="HOLDINGINOP", (1+(0.03/10)*Z297*(1+0.2*AC297^2) )*BicubicInterpolation( 'Holding INOP FF'!$C$4:$J$13,  Y297,  U297)/1.05-200,   BA297*BG297))</f>
        <v>#NAME?</v>
      </c>
      <c r="BI297" s="344" t="e">
        <f t="shared" ca="1" si="230"/>
        <v>#NAME?</v>
      </c>
      <c r="BJ297" s="322" t="e">
        <f t="shared" ca="1" si="272"/>
        <v>#NAME?</v>
      </c>
      <c r="BK297" s="338" t="e">
        <f t="shared" ca="1" si="231"/>
        <v>#NAME?</v>
      </c>
      <c r="BL297" s="327" t="e">
        <f t="shared" ca="1" si="273"/>
        <v>#NAME?</v>
      </c>
      <c r="BM297" s="328">
        <f t="shared" si="274"/>
        <v>200</v>
      </c>
      <c r="BN297" s="329" t="e">
        <f t="shared" ca="1" si="275"/>
        <v>#NAME?</v>
      </c>
      <c r="BO297" s="344" t="e">
        <f t="shared" ca="1" si="232"/>
        <v>#NAME?</v>
      </c>
      <c r="BP297" s="320" t="e">
        <f t="shared" ca="1" si="276"/>
        <v>#NAME?</v>
      </c>
      <c r="BQ297" s="344" t="e">
        <f t="shared" ca="1" si="233"/>
        <v>#NAME?</v>
      </c>
      <c r="BR297" s="347" t="e">
        <f t="shared" ca="1" si="234"/>
        <v>#NAME?</v>
      </c>
      <c r="BS297" s="326" t="e">
        <f t="shared" ca="1" si="277"/>
        <v>#NAME?</v>
      </c>
      <c r="BT297" s="437" t="e">
        <f t="shared" ca="1" si="247"/>
        <v>#NAME?</v>
      </c>
      <c r="BU297" s="437" t="e">
        <f t="shared" ca="1" si="248"/>
        <v>#NAME?</v>
      </c>
      <c r="BV297" s="441" t="e">
        <f t="shared" ca="1" si="249"/>
        <v>#NAME?</v>
      </c>
      <c r="BW297" s="442" t="e">
        <f t="shared" ca="1" si="250"/>
        <v>#NAME?</v>
      </c>
      <c r="BX297" s="470" t="e">
        <f t="shared" ca="1" si="223"/>
        <v>#NAME?</v>
      </c>
      <c r="BY297" s="484" t="e">
        <f t="shared" ca="1" si="235"/>
        <v>#NAME?</v>
      </c>
      <c r="BZ297" s="176"/>
    </row>
    <row r="298" spans="9:78" s="177" customFormat="1" ht="17.75" customHeight="1" x14ac:dyDescent="0.2">
      <c r="I298" s="366">
        <v>214</v>
      </c>
      <c r="J298" s="414">
        <f t="shared" si="236"/>
        <v>41705.861111111597</v>
      </c>
      <c r="K298" s="435" t="e">
        <f t="shared" ca="1" si="237"/>
        <v>#NAME?</v>
      </c>
      <c r="L298" s="435" t="e">
        <f t="shared" ca="1" si="224"/>
        <v>#NAME?</v>
      </c>
      <c r="M298" s="664" t="e">
        <f t="shared" ca="1" si="278"/>
        <v>#NAME?</v>
      </c>
      <c r="N298" s="664" t="e">
        <f t="shared" ca="1" si="279"/>
        <v>#NAME?</v>
      </c>
      <c r="O298" s="140" t="e">
        <f t="shared" ca="1" si="225"/>
        <v>#NAME?</v>
      </c>
      <c r="P298" s="352" t="e">
        <f t="shared" ca="1" si="238"/>
        <v>#NAME?</v>
      </c>
      <c r="Q298" s="665" t="e">
        <f t="shared" ca="1" si="218"/>
        <v>#NAME?</v>
      </c>
      <c r="R298" s="352" t="e">
        <f t="shared" ca="1" si="251"/>
        <v>#NAME?</v>
      </c>
      <c r="S298" s="662" t="e">
        <f t="shared" ca="1" si="226"/>
        <v>#NAME?</v>
      </c>
      <c r="T298" s="443" t="e">
        <f t="shared" ca="1" si="219"/>
        <v>#NAME?</v>
      </c>
      <c r="U298" s="369" t="e">
        <f t="shared" ca="1" si="220"/>
        <v>#NAME?</v>
      </c>
      <c r="V298" s="454" t="e">
        <f t="shared" ca="1" si="227"/>
        <v>#NAME?</v>
      </c>
      <c r="W298" s="457">
        <f t="shared" si="228"/>
        <v>1000</v>
      </c>
      <c r="X298" s="463" t="e">
        <f t="shared" ca="1" si="229"/>
        <v>#NAME?</v>
      </c>
      <c r="Y298" s="455" t="e">
        <f t="shared" ca="1" si="239"/>
        <v>#NAME?</v>
      </c>
      <c r="Z298" s="699">
        <f t="shared" si="221"/>
        <v>8.5</v>
      </c>
      <c r="AA298" s="355" t="str">
        <f t="shared" si="222"/>
        <v>ON</v>
      </c>
      <c r="AB298" s="357">
        <f t="shared" si="252"/>
        <v>1.4999999999999999E-2</v>
      </c>
      <c r="AC298" s="356" t="e">
        <f ca="1">IF(  Y297=0,0,IF(OR(S298="KCAS",S298="INOP",S298="MEFE"),   ( (5*( (   (((1+0.2*(T298/661.4786)^2)^3.5 -1)  )/( (1-6.8755856*10^-6 *100*Y298)^5.2558797) +1)^(2/7) -1) )^0.5),IF(S298="MACH",T298, IF(S298="LRC",BicubicInterpolation( 'LRC Mach'!$C$4:$AL$21, Y298,U298),  IF(S298="MRC",BicubicInterpolation( 'MRC Mach'!$C$3:$T$18, Y298,U298),  IF(S298="M0.84",0.84,  IF(S298="CI52",BicubicInterpolation('CI=52 Mach'!$C$3:$T$18, Y298,U298),  IF(S298="HOLDING",BicubicInterpolation(  'Holding Mach'!$C$4:$M$13, Y298,U298),                         IF(S298="LRCINOP", BicubicInterpolation('LRC INOP Mach'!$C$4:$AA$21,Y298,U298), IF(S298="HOLDINGINOP",  BicubicInterpolation('Holding INOP Mach'!$N$4:$U$13,Y298,U298),         "XXX" )))))))   )))</f>
        <v>#NAME?</v>
      </c>
      <c r="AD298" s="313" t="e">
        <f t="shared" ca="1" si="253"/>
        <v>#NAME?</v>
      </c>
      <c r="AE298" s="314" t="e">
        <f t="shared" ca="1" si="240"/>
        <v>#NAME?</v>
      </c>
      <c r="AF298" s="313" t="e">
        <f t="shared" ca="1" si="254"/>
        <v>#NAME?</v>
      </c>
      <c r="AG298" s="314" t="e">
        <f t="shared" ca="1" si="241"/>
        <v>#NAME?</v>
      </c>
      <c r="AH298" s="313" t="e">
        <f t="shared" ca="1" si="255"/>
        <v>#NAME?</v>
      </c>
      <c r="AI298" s="314" t="e">
        <f t="shared" ca="1" si="242"/>
        <v>#NAME?</v>
      </c>
      <c r="AJ298" s="315" t="e">
        <f t="shared" ca="1" si="243"/>
        <v>#NAME?</v>
      </c>
      <c r="AK298" s="568" t="e">
        <f t="shared" ca="1" si="256"/>
        <v>#NAME?</v>
      </c>
      <c r="AL298" s="313" t="e">
        <f t="shared" ca="1" si="257"/>
        <v>#NAME?</v>
      </c>
      <c r="AM298" s="313" t="e">
        <f t="shared" ca="1" si="244"/>
        <v>#NAME?</v>
      </c>
      <c r="AN298" s="313" t="e">
        <f t="shared" ca="1" si="245"/>
        <v>#NAME?</v>
      </c>
      <c r="AO298" s="316" t="e">
        <f t="shared" ca="1" si="258"/>
        <v>#NAME?</v>
      </c>
      <c r="AP298" s="313" t="e">
        <f t="shared" ca="1" si="259"/>
        <v>#NAME?</v>
      </c>
      <c r="AQ298" s="314" t="e">
        <f t="shared" ca="1" si="246"/>
        <v>#NAME?</v>
      </c>
      <c r="AR298" s="315" t="e">
        <f t="shared" ca="1" si="260"/>
        <v>#NAME?</v>
      </c>
      <c r="AS298" s="316" t="e">
        <f t="shared" ca="1" si="261"/>
        <v>#NAME?</v>
      </c>
      <c r="AT298" s="315" t="e">
        <f t="shared" ca="1" si="262"/>
        <v>#NAME?</v>
      </c>
      <c r="AU298" s="317">
        <v>427.8</v>
      </c>
      <c r="AV298" s="315" t="e">
        <f t="shared" ca="1" si="263"/>
        <v>#NAME?</v>
      </c>
      <c r="AW298" s="318" t="e">
        <f ca="1">0.0001*BicubicInterpolation('Drag Coef Table'!$B$4:$L$28,AV298,AC298)</f>
        <v>#NAME?</v>
      </c>
      <c r="AX298" s="319" t="e">
        <f t="shared" ca="1" si="264"/>
        <v>#NAME?</v>
      </c>
      <c r="AY298" s="318" t="e">
        <f t="shared" ca="1" si="265"/>
        <v>#NAME?</v>
      </c>
      <c r="AZ298" s="320" t="e">
        <f t="shared" ca="1" si="266"/>
        <v>#NAME?</v>
      </c>
      <c r="BA298" s="321" t="e">
        <f t="shared" ca="1" si="267"/>
        <v>#NAME?</v>
      </c>
      <c r="BB298" s="322" t="e">
        <f t="shared" ca="1" si="268"/>
        <v>#NAME?</v>
      </c>
      <c r="BC298" s="323">
        <v>75.196700000000007</v>
      </c>
      <c r="BD298" s="324" t="e">
        <f t="shared" ca="1" si="269"/>
        <v>#NAME?</v>
      </c>
      <c r="BE298" s="325" t="e">
        <f t="shared" ca="1" si="270"/>
        <v>#NAME?</v>
      </c>
      <c r="BF298" s="324" t="e">
        <f ca="1">BicubicInterpolation('TSFC Eff Table'!$B$4:$E$69,2,BB298)</f>
        <v>#NAME?</v>
      </c>
      <c r="BG298" s="326" t="e">
        <f t="shared" ca="1" si="271"/>
        <v>#NAME?</v>
      </c>
      <c r="BH298" s="694" t="e">
        <f ca="1">IF( S298="LRCINOP",   (1+(0.03/10)*Z298*(1+0.2*AC298^2) )*BicubicInterpolation( 'LRC INOP FF'!$C$4:$AA$21, Y298, U298 )-200, IF(S298 ="HOLDINGINOP", (1+(0.03/10)*Z298*(1+0.2*AC298^2) )*BicubicInterpolation( 'Holding INOP FF'!$C$4:$J$13,  Y298,  U298)/1.05-200,   BA298*BG298))</f>
        <v>#NAME?</v>
      </c>
      <c r="BI298" s="344" t="e">
        <f t="shared" ca="1" si="230"/>
        <v>#NAME?</v>
      </c>
      <c r="BJ298" s="322" t="e">
        <f t="shared" ca="1" si="272"/>
        <v>#NAME?</v>
      </c>
      <c r="BK298" s="338" t="e">
        <f t="shared" ca="1" si="231"/>
        <v>#NAME?</v>
      </c>
      <c r="BL298" s="327" t="e">
        <f t="shared" ca="1" si="273"/>
        <v>#NAME?</v>
      </c>
      <c r="BM298" s="328">
        <f t="shared" si="274"/>
        <v>200</v>
      </c>
      <c r="BN298" s="329" t="e">
        <f t="shared" ca="1" si="275"/>
        <v>#NAME?</v>
      </c>
      <c r="BO298" s="344" t="e">
        <f t="shared" ca="1" si="232"/>
        <v>#NAME?</v>
      </c>
      <c r="BP298" s="320" t="e">
        <f t="shared" ca="1" si="276"/>
        <v>#NAME?</v>
      </c>
      <c r="BQ298" s="344" t="e">
        <f t="shared" ca="1" si="233"/>
        <v>#NAME?</v>
      </c>
      <c r="BR298" s="347" t="e">
        <f t="shared" ca="1" si="234"/>
        <v>#NAME?</v>
      </c>
      <c r="BS298" s="326" t="e">
        <f t="shared" ca="1" si="277"/>
        <v>#NAME?</v>
      </c>
      <c r="BT298" s="437" t="e">
        <f t="shared" ca="1" si="247"/>
        <v>#NAME?</v>
      </c>
      <c r="BU298" s="437" t="e">
        <f t="shared" ca="1" si="248"/>
        <v>#NAME?</v>
      </c>
      <c r="BV298" s="441" t="e">
        <f t="shared" ca="1" si="249"/>
        <v>#NAME?</v>
      </c>
      <c r="BW298" s="442" t="e">
        <f t="shared" ca="1" si="250"/>
        <v>#NAME?</v>
      </c>
      <c r="BX298" s="470" t="e">
        <f t="shared" ca="1" si="223"/>
        <v>#NAME?</v>
      </c>
      <c r="BY298" s="484" t="e">
        <f t="shared" ca="1" si="235"/>
        <v>#NAME?</v>
      </c>
      <c r="BZ298" s="176"/>
    </row>
    <row r="299" spans="9:78" s="177" customFormat="1" ht="17.75" customHeight="1" x14ac:dyDescent="0.2">
      <c r="I299" s="366">
        <v>215</v>
      </c>
      <c r="J299" s="414">
        <f t="shared" si="236"/>
        <v>41705.861805556044</v>
      </c>
      <c r="K299" s="435" t="e">
        <f t="shared" ca="1" si="237"/>
        <v>#NAME?</v>
      </c>
      <c r="L299" s="435" t="e">
        <f t="shared" ca="1" si="224"/>
        <v>#NAME?</v>
      </c>
      <c r="M299" s="664" t="e">
        <f t="shared" ca="1" si="278"/>
        <v>#NAME?</v>
      </c>
      <c r="N299" s="664" t="e">
        <f t="shared" ca="1" si="279"/>
        <v>#NAME?</v>
      </c>
      <c r="O299" s="140" t="e">
        <f t="shared" ca="1" si="225"/>
        <v>#NAME?</v>
      </c>
      <c r="P299" s="352" t="e">
        <f t="shared" ca="1" si="238"/>
        <v>#NAME?</v>
      </c>
      <c r="Q299" s="665" t="e">
        <f t="shared" ca="1" si="218"/>
        <v>#NAME?</v>
      </c>
      <c r="R299" s="352" t="e">
        <f t="shared" ca="1" si="251"/>
        <v>#NAME?</v>
      </c>
      <c r="S299" s="662" t="e">
        <f t="shared" ca="1" si="226"/>
        <v>#NAME?</v>
      </c>
      <c r="T299" s="443" t="e">
        <f t="shared" ca="1" si="219"/>
        <v>#NAME?</v>
      </c>
      <c r="U299" s="369" t="e">
        <f t="shared" ca="1" si="220"/>
        <v>#NAME?</v>
      </c>
      <c r="V299" s="454" t="e">
        <f t="shared" ca="1" si="227"/>
        <v>#NAME?</v>
      </c>
      <c r="W299" s="457">
        <f t="shared" si="228"/>
        <v>1000</v>
      </c>
      <c r="X299" s="463" t="e">
        <f t="shared" ca="1" si="229"/>
        <v>#NAME?</v>
      </c>
      <c r="Y299" s="455" t="e">
        <f t="shared" ca="1" si="239"/>
        <v>#NAME?</v>
      </c>
      <c r="Z299" s="699">
        <f t="shared" si="221"/>
        <v>8.5</v>
      </c>
      <c r="AA299" s="355" t="str">
        <f t="shared" si="222"/>
        <v>ON</v>
      </c>
      <c r="AB299" s="357">
        <f t="shared" si="252"/>
        <v>1.4999999999999999E-2</v>
      </c>
      <c r="AC299" s="356" t="e">
        <f ca="1">IF(  Y298=0,0,IF(OR(S299="KCAS",S299="INOP",S299="MEFE"),   ( (5*( (   (((1+0.2*(T299/661.4786)^2)^3.5 -1)  )/( (1-6.8755856*10^-6 *100*Y299)^5.2558797) +1)^(2/7) -1) )^0.5),IF(S299="MACH",T299, IF(S299="LRC",BicubicInterpolation( 'LRC Mach'!$C$4:$AL$21, Y299,U299),  IF(S299="MRC",BicubicInterpolation( 'MRC Mach'!$C$3:$T$18, Y299,U299),  IF(S299="M0.84",0.84,  IF(S299="CI52",BicubicInterpolation('CI=52 Mach'!$C$3:$T$18, Y299,U299),  IF(S299="HOLDING",BicubicInterpolation(  'Holding Mach'!$C$4:$M$13, Y299,U299),                         IF(S299="LRCINOP", BicubicInterpolation('LRC INOP Mach'!$C$4:$AA$21,Y299,U299), IF(S299="HOLDINGINOP",  BicubicInterpolation('Holding INOP Mach'!$N$4:$U$13,Y299,U299),         "XXX" )))))))   )))</f>
        <v>#NAME?</v>
      </c>
      <c r="AD299" s="313" t="e">
        <f t="shared" ca="1" si="253"/>
        <v>#NAME?</v>
      </c>
      <c r="AE299" s="314" t="e">
        <f t="shared" ca="1" si="240"/>
        <v>#NAME?</v>
      </c>
      <c r="AF299" s="313" t="e">
        <f t="shared" ca="1" si="254"/>
        <v>#NAME?</v>
      </c>
      <c r="AG299" s="314" t="e">
        <f t="shared" ca="1" si="241"/>
        <v>#NAME?</v>
      </c>
      <c r="AH299" s="313" t="e">
        <f t="shared" ca="1" si="255"/>
        <v>#NAME?</v>
      </c>
      <c r="AI299" s="314" t="e">
        <f t="shared" ca="1" si="242"/>
        <v>#NAME?</v>
      </c>
      <c r="AJ299" s="315" t="e">
        <f t="shared" ca="1" si="243"/>
        <v>#NAME?</v>
      </c>
      <c r="AK299" s="568" t="e">
        <f t="shared" ca="1" si="256"/>
        <v>#NAME?</v>
      </c>
      <c r="AL299" s="313" t="e">
        <f t="shared" ca="1" si="257"/>
        <v>#NAME?</v>
      </c>
      <c r="AM299" s="313" t="e">
        <f t="shared" ca="1" si="244"/>
        <v>#NAME?</v>
      </c>
      <c r="AN299" s="313" t="e">
        <f t="shared" ca="1" si="245"/>
        <v>#NAME?</v>
      </c>
      <c r="AO299" s="316" t="e">
        <f t="shared" ca="1" si="258"/>
        <v>#NAME?</v>
      </c>
      <c r="AP299" s="313" t="e">
        <f t="shared" ca="1" si="259"/>
        <v>#NAME?</v>
      </c>
      <c r="AQ299" s="314" t="e">
        <f t="shared" ca="1" si="246"/>
        <v>#NAME?</v>
      </c>
      <c r="AR299" s="315" t="e">
        <f t="shared" ca="1" si="260"/>
        <v>#NAME?</v>
      </c>
      <c r="AS299" s="316" t="e">
        <f t="shared" ca="1" si="261"/>
        <v>#NAME?</v>
      </c>
      <c r="AT299" s="315" t="e">
        <f t="shared" ca="1" si="262"/>
        <v>#NAME?</v>
      </c>
      <c r="AU299" s="317">
        <v>427.8</v>
      </c>
      <c r="AV299" s="315" t="e">
        <f t="shared" ca="1" si="263"/>
        <v>#NAME?</v>
      </c>
      <c r="AW299" s="318" t="e">
        <f ca="1">0.0001*BicubicInterpolation('Drag Coef Table'!$B$4:$L$28,AV299,AC299)</f>
        <v>#NAME?</v>
      </c>
      <c r="AX299" s="319" t="e">
        <f t="shared" ca="1" si="264"/>
        <v>#NAME?</v>
      </c>
      <c r="AY299" s="318" t="e">
        <f t="shared" ca="1" si="265"/>
        <v>#NAME?</v>
      </c>
      <c r="AZ299" s="320" t="e">
        <f t="shared" ca="1" si="266"/>
        <v>#NAME?</v>
      </c>
      <c r="BA299" s="321" t="e">
        <f t="shared" ca="1" si="267"/>
        <v>#NAME?</v>
      </c>
      <c r="BB299" s="322" t="e">
        <f t="shared" ca="1" si="268"/>
        <v>#NAME?</v>
      </c>
      <c r="BC299" s="323">
        <v>75.196700000000007</v>
      </c>
      <c r="BD299" s="324" t="e">
        <f t="shared" ca="1" si="269"/>
        <v>#NAME?</v>
      </c>
      <c r="BE299" s="325" t="e">
        <f t="shared" ca="1" si="270"/>
        <v>#NAME?</v>
      </c>
      <c r="BF299" s="324" t="e">
        <f ca="1">BicubicInterpolation('TSFC Eff Table'!$B$4:$E$69,2,BB299)</f>
        <v>#NAME?</v>
      </c>
      <c r="BG299" s="326" t="e">
        <f t="shared" ca="1" si="271"/>
        <v>#NAME?</v>
      </c>
      <c r="BH299" s="694" t="e">
        <f ca="1">IF( S299="LRCINOP",   (1+(0.03/10)*Z299*(1+0.2*AC299^2) )*BicubicInterpolation( 'LRC INOP FF'!$C$4:$AA$21, Y299, U299 )-200, IF(S299 ="HOLDINGINOP", (1+(0.03/10)*Z299*(1+0.2*AC299^2) )*BicubicInterpolation( 'Holding INOP FF'!$C$4:$J$13,  Y299,  U299)/1.05-200,   BA299*BG299))</f>
        <v>#NAME?</v>
      </c>
      <c r="BI299" s="344" t="e">
        <f t="shared" ca="1" si="230"/>
        <v>#NAME?</v>
      </c>
      <c r="BJ299" s="322" t="e">
        <f t="shared" ca="1" si="272"/>
        <v>#NAME?</v>
      </c>
      <c r="BK299" s="338" t="e">
        <f t="shared" ca="1" si="231"/>
        <v>#NAME?</v>
      </c>
      <c r="BL299" s="327" t="e">
        <f t="shared" ca="1" si="273"/>
        <v>#NAME?</v>
      </c>
      <c r="BM299" s="328">
        <f t="shared" si="274"/>
        <v>200</v>
      </c>
      <c r="BN299" s="329" t="e">
        <f t="shared" ca="1" si="275"/>
        <v>#NAME?</v>
      </c>
      <c r="BO299" s="344" t="e">
        <f t="shared" ca="1" si="232"/>
        <v>#NAME?</v>
      </c>
      <c r="BP299" s="320" t="e">
        <f t="shared" ca="1" si="276"/>
        <v>#NAME?</v>
      </c>
      <c r="BQ299" s="344" t="e">
        <f t="shared" ca="1" si="233"/>
        <v>#NAME?</v>
      </c>
      <c r="BR299" s="347" t="e">
        <f t="shared" ca="1" si="234"/>
        <v>#NAME?</v>
      </c>
      <c r="BS299" s="326" t="e">
        <f t="shared" ca="1" si="277"/>
        <v>#NAME?</v>
      </c>
      <c r="BT299" s="437" t="e">
        <f t="shared" ca="1" si="247"/>
        <v>#NAME?</v>
      </c>
      <c r="BU299" s="437" t="e">
        <f t="shared" ca="1" si="248"/>
        <v>#NAME?</v>
      </c>
      <c r="BV299" s="441" t="e">
        <f t="shared" ca="1" si="249"/>
        <v>#NAME?</v>
      </c>
      <c r="BW299" s="442" t="e">
        <f t="shared" ca="1" si="250"/>
        <v>#NAME?</v>
      </c>
      <c r="BX299" s="470" t="e">
        <f t="shared" ca="1" si="223"/>
        <v>#NAME?</v>
      </c>
      <c r="BY299" s="484" t="e">
        <f t="shared" ca="1" si="235"/>
        <v>#NAME?</v>
      </c>
      <c r="BZ299" s="176"/>
    </row>
    <row r="300" spans="9:78" s="177" customFormat="1" ht="17.75" customHeight="1" x14ac:dyDescent="0.2">
      <c r="I300" s="366">
        <v>216</v>
      </c>
      <c r="J300" s="414">
        <f t="shared" si="236"/>
        <v>41705.86250000049</v>
      </c>
      <c r="K300" s="435" t="e">
        <f t="shared" ca="1" si="237"/>
        <v>#NAME?</v>
      </c>
      <c r="L300" s="435" t="e">
        <f t="shared" ca="1" si="224"/>
        <v>#NAME?</v>
      </c>
      <c r="M300" s="664" t="e">
        <f t="shared" ca="1" si="278"/>
        <v>#NAME?</v>
      </c>
      <c r="N300" s="664" t="e">
        <f t="shared" ca="1" si="279"/>
        <v>#NAME?</v>
      </c>
      <c r="O300" s="140" t="e">
        <f t="shared" ca="1" si="225"/>
        <v>#NAME?</v>
      </c>
      <c r="P300" s="352" t="e">
        <f t="shared" ca="1" si="238"/>
        <v>#NAME?</v>
      </c>
      <c r="Q300" s="665" t="e">
        <f t="shared" ca="1" si="218"/>
        <v>#NAME?</v>
      </c>
      <c r="R300" s="352" t="e">
        <f t="shared" ca="1" si="251"/>
        <v>#NAME?</v>
      </c>
      <c r="S300" s="662" t="e">
        <f t="shared" ca="1" si="226"/>
        <v>#NAME?</v>
      </c>
      <c r="T300" s="443" t="e">
        <f t="shared" ca="1" si="219"/>
        <v>#NAME?</v>
      </c>
      <c r="U300" s="369" t="e">
        <f t="shared" ca="1" si="220"/>
        <v>#NAME?</v>
      </c>
      <c r="V300" s="454" t="e">
        <f t="shared" ca="1" si="227"/>
        <v>#NAME?</v>
      </c>
      <c r="W300" s="457">
        <f t="shared" si="228"/>
        <v>1000</v>
      </c>
      <c r="X300" s="463" t="e">
        <f t="shared" ca="1" si="229"/>
        <v>#NAME?</v>
      </c>
      <c r="Y300" s="455" t="e">
        <f t="shared" ca="1" si="239"/>
        <v>#NAME?</v>
      </c>
      <c r="Z300" s="699">
        <f t="shared" si="221"/>
        <v>8.5</v>
      </c>
      <c r="AA300" s="355" t="str">
        <f t="shared" si="222"/>
        <v>ON</v>
      </c>
      <c r="AB300" s="357">
        <f t="shared" si="252"/>
        <v>1.4999999999999999E-2</v>
      </c>
      <c r="AC300" s="356" t="e">
        <f ca="1">IF(  Y299=0,0,IF(OR(S300="KCAS",S300="INOP",S300="MEFE"),   ( (5*( (   (((1+0.2*(T300/661.4786)^2)^3.5 -1)  )/( (1-6.8755856*10^-6 *100*Y300)^5.2558797) +1)^(2/7) -1) )^0.5),IF(S300="MACH",T300, IF(S300="LRC",BicubicInterpolation( 'LRC Mach'!$C$4:$AL$21, Y300,U300),  IF(S300="MRC",BicubicInterpolation( 'MRC Mach'!$C$3:$T$18, Y300,U300),  IF(S300="M0.84",0.84,  IF(S300="CI52",BicubicInterpolation('CI=52 Mach'!$C$3:$T$18, Y300,U300),  IF(S300="HOLDING",BicubicInterpolation(  'Holding Mach'!$C$4:$M$13, Y300,U300),                         IF(S300="LRCINOP", BicubicInterpolation('LRC INOP Mach'!$C$4:$AA$21,Y300,U300), IF(S300="HOLDINGINOP",  BicubicInterpolation('Holding INOP Mach'!$N$4:$U$13,Y300,U300),         "XXX" )))))))   )))</f>
        <v>#NAME?</v>
      </c>
      <c r="AD300" s="313" t="e">
        <f t="shared" ca="1" si="253"/>
        <v>#NAME?</v>
      </c>
      <c r="AE300" s="314" t="e">
        <f t="shared" ca="1" si="240"/>
        <v>#NAME?</v>
      </c>
      <c r="AF300" s="313" t="e">
        <f t="shared" ca="1" si="254"/>
        <v>#NAME?</v>
      </c>
      <c r="AG300" s="314" t="e">
        <f t="shared" ca="1" si="241"/>
        <v>#NAME?</v>
      </c>
      <c r="AH300" s="313" t="e">
        <f t="shared" ca="1" si="255"/>
        <v>#NAME?</v>
      </c>
      <c r="AI300" s="314" t="e">
        <f t="shared" ca="1" si="242"/>
        <v>#NAME?</v>
      </c>
      <c r="AJ300" s="315" t="e">
        <f t="shared" ca="1" si="243"/>
        <v>#NAME?</v>
      </c>
      <c r="AK300" s="568" t="e">
        <f t="shared" ca="1" si="256"/>
        <v>#NAME?</v>
      </c>
      <c r="AL300" s="313" t="e">
        <f t="shared" ca="1" si="257"/>
        <v>#NAME?</v>
      </c>
      <c r="AM300" s="313" t="e">
        <f t="shared" ca="1" si="244"/>
        <v>#NAME?</v>
      </c>
      <c r="AN300" s="313" t="e">
        <f t="shared" ca="1" si="245"/>
        <v>#NAME?</v>
      </c>
      <c r="AO300" s="316" t="e">
        <f t="shared" ca="1" si="258"/>
        <v>#NAME?</v>
      </c>
      <c r="AP300" s="313" t="e">
        <f t="shared" ca="1" si="259"/>
        <v>#NAME?</v>
      </c>
      <c r="AQ300" s="314" t="e">
        <f t="shared" ca="1" si="246"/>
        <v>#NAME?</v>
      </c>
      <c r="AR300" s="315" t="e">
        <f t="shared" ca="1" si="260"/>
        <v>#NAME?</v>
      </c>
      <c r="AS300" s="316" t="e">
        <f t="shared" ca="1" si="261"/>
        <v>#NAME?</v>
      </c>
      <c r="AT300" s="315" t="e">
        <f t="shared" ca="1" si="262"/>
        <v>#NAME?</v>
      </c>
      <c r="AU300" s="317">
        <v>427.8</v>
      </c>
      <c r="AV300" s="315" t="e">
        <f t="shared" ca="1" si="263"/>
        <v>#NAME?</v>
      </c>
      <c r="AW300" s="318" t="e">
        <f ca="1">0.0001*BicubicInterpolation('Drag Coef Table'!$B$4:$L$28,AV300,AC300)</f>
        <v>#NAME?</v>
      </c>
      <c r="AX300" s="319" t="e">
        <f t="shared" ca="1" si="264"/>
        <v>#NAME?</v>
      </c>
      <c r="AY300" s="318" t="e">
        <f t="shared" ca="1" si="265"/>
        <v>#NAME?</v>
      </c>
      <c r="AZ300" s="320" t="e">
        <f t="shared" ca="1" si="266"/>
        <v>#NAME?</v>
      </c>
      <c r="BA300" s="321" t="e">
        <f t="shared" ca="1" si="267"/>
        <v>#NAME?</v>
      </c>
      <c r="BB300" s="322" t="e">
        <f t="shared" ca="1" si="268"/>
        <v>#NAME?</v>
      </c>
      <c r="BC300" s="323">
        <v>75.196700000000007</v>
      </c>
      <c r="BD300" s="324" t="e">
        <f t="shared" ca="1" si="269"/>
        <v>#NAME?</v>
      </c>
      <c r="BE300" s="325" t="e">
        <f t="shared" ca="1" si="270"/>
        <v>#NAME?</v>
      </c>
      <c r="BF300" s="324" t="e">
        <f ca="1">BicubicInterpolation('TSFC Eff Table'!$B$4:$E$69,2,BB300)</f>
        <v>#NAME?</v>
      </c>
      <c r="BG300" s="326" t="e">
        <f t="shared" ca="1" si="271"/>
        <v>#NAME?</v>
      </c>
      <c r="BH300" s="694" t="e">
        <f ca="1">IF( S300="LRCINOP",   (1+(0.03/10)*Z300*(1+0.2*AC300^2) )*BicubicInterpolation( 'LRC INOP FF'!$C$4:$AA$21, Y300, U300 )-200, IF(S300 ="HOLDINGINOP", (1+(0.03/10)*Z300*(1+0.2*AC300^2) )*BicubicInterpolation( 'Holding INOP FF'!$C$4:$J$13,  Y300,  U300)/1.05-200,   BA300*BG300))</f>
        <v>#NAME?</v>
      </c>
      <c r="BI300" s="344" t="e">
        <f t="shared" ca="1" si="230"/>
        <v>#NAME?</v>
      </c>
      <c r="BJ300" s="322" t="e">
        <f t="shared" ca="1" si="272"/>
        <v>#NAME?</v>
      </c>
      <c r="BK300" s="338" t="e">
        <f t="shared" ca="1" si="231"/>
        <v>#NAME?</v>
      </c>
      <c r="BL300" s="327" t="e">
        <f t="shared" ca="1" si="273"/>
        <v>#NAME?</v>
      </c>
      <c r="BM300" s="328">
        <f t="shared" si="274"/>
        <v>200</v>
      </c>
      <c r="BN300" s="329" t="e">
        <f t="shared" ca="1" si="275"/>
        <v>#NAME?</v>
      </c>
      <c r="BO300" s="344" t="e">
        <f t="shared" ca="1" si="232"/>
        <v>#NAME?</v>
      </c>
      <c r="BP300" s="320" t="e">
        <f t="shared" ca="1" si="276"/>
        <v>#NAME?</v>
      </c>
      <c r="BQ300" s="344" t="e">
        <f t="shared" ca="1" si="233"/>
        <v>#NAME?</v>
      </c>
      <c r="BR300" s="347" t="e">
        <f t="shared" ca="1" si="234"/>
        <v>#NAME?</v>
      </c>
      <c r="BS300" s="326" t="e">
        <f t="shared" ca="1" si="277"/>
        <v>#NAME?</v>
      </c>
      <c r="BT300" s="437" t="e">
        <f t="shared" ca="1" si="247"/>
        <v>#NAME?</v>
      </c>
      <c r="BU300" s="437" t="e">
        <f t="shared" ca="1" si="248"/>
        <v>#NAME?</v>
      </c>
      <c r="BV300" s="441" t="e">
        <f t="shared" ca="1" si="249"/>
        <v>#NAME?</v>
      </c>
      <c r="BW300" s="442" t="e">
        <f t="shared" ca="1" si="250"/>
        <v>#NAME?</v>
      </c>
      <c r="BX300" s="470" t="e">
        <f t="shared" ca="1" si="223"/>
        <v>#NAME?</v>
      </c>
      <c r="BY300" s="484" t="e">
        <f t="shared" ca="1" si="235"/>
        <v>#NAME?</v>
      </c>
      <c r="BZ300" s="176"/>
    </row>
    <row r="301" spans="9:78" s="177" customFormat="1" ht="17.75" customHeight="1" x14ac:dyDescent="0.2">
      <c r="I301" s="366">
        <v>217</v>
      </c>
      <c r="J301" s="414">
        <f t="shared" si="236"/>
        <v>41705.863194444937</v>
      </c>
      <c r="K301" s="435" t="e">
        <f t="shared" ca="1" si="237"/>
        <v>#NAME?</v>
      </c>
      <c r="L301" s="435" t="e">
        <f t="shared" ca="1" si="224"/>
        <v>#NAME?</v>
      </c>
      <c r="M301" s="664" t="e">
        <f t="shared" ca="1" si="278"/>
        <v>#NAME?</v>
      </c>
      <c r="N301" s="664" t="e">
        <f t="shared" ca="1" si="279"/>
        <v>#NAME?</v>
      </c>
      <c r="O301" s="140" t="e">
        <f t="shared" ca="1" si="225"/>
        <v>#NAME?</v>
      </c>
      <c r="P301" s="352" t="e">
        <f t="shared" ca="1" si="238"/>
        <v>#NAME?</v>
      </c>
      <c r="Q301" s="665" t="e">
        <f t="shared" ca="1" si="218"/>
        <v>#NAME?</v>
      </c>
      <c r="R301" s="352" t="e">
        <f t="shared" ca="1" si="251"/>
        <v>#NAME?</v>
      </c>
      <c r="S301" s="662" t="e">
        <f t="shared" ca="1" si="226"/>
        <v>#NAME?</v>
      </c>
      <c r="T301" s="443" t="e">
        <f t="shared" ca="1" si="219"/>
        <v>#NAME?</v>
      </c>
      <c r="U301" s="369" t="e">
        <f t="shared" ca="1" si="220"/>
        <v>#NAME?</v>
      </c>
      <c r="V301" s="454" t="e">
        <f t="shared" ca="1" si="227"/>
        <v>#NAME?</v>
      </c>
      <c r="W301" s="457">
        <f t="shared" si="228"/>
        <v>1000</v>
      </c>
      <c r="X301" s="463" t="e">
        <f t="shared" ca="1" si="229"/>
        <v>#NAME?</v>
      </c>
      <c r="Y301" s="455" t="e">
        <f t="shared" ca="1" si="239"/>
        <v>#NAME?</v>
      </c>
      <c r="Z301" s="699">
        <f t="shared" si="221"/>
        <v>8.5</v>
      </c>
      <c r="AA301" s="355" t="str">
        <f t="shared" si="222"/>
        <v>ON</v>
      </c>
      <c r="AB301" s="357">
        <f t="shared" si="252"/>
        <v>1.4999999999999999E-2</v>
      </c>
      <c r="AC301" s="356" t="e">
        <f ca="1">IF(  Y300=0,0,IF(OR(S301="KCAS",S301="INOP",S301="MEFE"),   ( (5*( (   (((1+0.2*(T301/661.4786)^2)^3.5 -1)  )/( (1-6.8755856*10^-6 *100*Y301)^5.2558797) +1)^(2/7) -1) )^0.5),IF(S301="MACH",T301, IF(S301="LRC",BicubicInterpolation( 'LRC Mach'!$C$4:$AL$21, Y301,U301),  IF(S301="MRC",BicubicInterpolation( 'MRC Mach'!$C$3:$T$18, Y301,U301),  IF(S301="M0.84",0.84,  IF(S301="CI52",BicubicInterpolation('CI=52 Mach'!$C$3:$T$18, Y301,U301),  IF(S301="HOLDING",BicubicInterpolation(  'Holding Mach'!$C$4:$M$13, Y301,U301),                         IF(S301="LRCINOP", BicubicInterpolation('LRC INOP Mach'!$C$4:$AA$21,Y301,U301), IF(S301="HOLDINGINOP",  BicubicInterpolation('Holding INOP Mach'!$N$4:$U$13,Y301,U301),         "XXX" )))))))   )))</f>
        <v>#NAME?</v>
      </c>
      <c r="AD301" s="313" t="e">
        <f t="shared" ca="1" si="253"/>
        <v>#NAME?</v>
      </c>
      <c r="AE301" s="314" t="e">
        <f t="shared" ca="1" si="240"/>
        <v>#NAME?</v>
      </c>
      <c r="AF301" s="313" t="e">
        <f t="shared" ca="1" si="254"/>
        <v>#NAME?</v>
      </c>
      <c r="AG301" s="314" t="e">
        <f t="shared" ca="1" si="241"/>
        <v>#NAME?</v>
      </c>
      <c r="AH301" s="313" t="e">
        <f t="shared" ca="1" si="255"/>
        <v>#NAME?</v>
      </c>
      <c r="AI301" s="314" t="e">
        <f t="shared" ca="1" si="242"/>
        <v>#NAME?</v>
      </c>
      <c r="AJ301" s="315" t="e">
        <f t="shared" ca="1" si="243"/>
        <v>#NAME?</v>
      </c>
      <c r="AK301" s="568" t="e">
        <f t="shared" ca="1" si="256"/>
        <v>#NAME?</v>
      </c>
      <c r="AL301" s="313" t="e">
        <f t="shared" ca="1" si="257"/>
        <v>#NAME?</v>
      </c>
      <c r="AM301" s="313" t="e">
        <f t="shared" ca="1" si="244"/>
        <v>#NAME?</v>
      </c>
      <c r="AN301" s="313" t="e">
        <f t="shared" ca="1" si="245"/>
        <v>#NAME?</v>
      </c>
      <c r="AO301" s="316" t="e">
        <f t="shared" ca="1" si="258"/>
        <v>#NAME?</v>
      </c>
      <c r="AP301" s="313" t="e">
        <f t="shared" ca="1" si="259"/>
        <v>#NAME?</v>
      </c>
      <c r="AQ301" s="314" t="e">
        <f t="shared" ca="1" si="246"/>
        <v>#NAME?</v>
      </c>
      <c r="AR301" s="315" t="e">
        <f t="shared" ca="1" si="260"/>
        <v>#NAME?</v>
      </c>
      <c r="AS301" s="316" t="e">
        <f t="shared" ca="1" si="261"/>
        <v>#NAME?</v>
      </c>
      <c r="AT301" s="315" t="e">
        <f t="shared" ca="1" si="262"/>
        <v>#NAME?</v>
      </c>
      <c r="AU301" s="317">
        <v>427.8</v>
      </c>
      <c r="AV301" s="315" t="e">
        <f t="shared" ca="1" si="263"/>
        <v>#NAME?</v>
      </c>
      <c r="AW301" s="318" t="e">
        <f ca="1">0.0001*BicubicInterpolation('Drag Coef Table'!$B$4:$L$28,AV301,AC301)</f>
        <v>#NAME?</v>
      </c>
      <c r="AX301" s="319" t="e">
        <f t="shared" ca="1" si="264"/>
        <v>#NAME?</v>
      </c>
      <c r="AY301" s="318" t="e">
        <f t="shared" ca="1" si="265"/>
        <v>#NAME?</v>
      </c>
      <c r="AZ301" s="320" t="e">
        <f t="shared" ca="1" si="266"/>
        <v>#NAME?</v>
      </c>
      <c r="BA301" s="321" t="e">
        <f t="shared" ca="1" si="267"/>
        <v>#NAME?</v>
      </c>
      <c r="BB301" s="322" t="e">
        <f t="shared" ca="1" si="268"/>
        <v>#NAME?</v>
      </c>
      <c r="BC301" s="323">
        <v>75.196700000000007</v>
      </c>
      <c r="BD301" s="324" t="e">
        <f t="shared" ca="1" si="269"/>
        <v>#NAME?</v>
      </c>
      <c r="BE301" s="325" t="e">
        <f t="shared" ca="1" si="270"/>
        <v>#NAME?</v>
      </c>
      <c r="BF301" s="324" t="e">
        <f ca="1">BicubicInterpolation('TSFC Eff Table'!$B$4:$E$69,2,BB301)</f>
        <v>#NAME?</v>
      </c>
      <c r="BG301" s="326" t="e">
        <f t="shared" ca="1" si="271"/>
        <v>#NAME?</v>
      </c>
      <c r="BH301" s="694" t="e">
        <f ca="1">IF( S301="LRCINOP",   (1+(0.03/10)*Z301*(1+0.2*AC301^2) )*BicubicInterpolation( 'LRC INOP FF'!$C$4:$AA$21, Y301, U301 )-200, IF(S301 ="HOLDINGINOP", (1+(0.03/10)*Z301*(1+0.2*AC301^2) )*BicubicInterpolation( 'Holding INOP FF'!$C$4:$J$13,  Y301,  U301)/1.05-200,   BA301*BG301))</f>
        <v>#NAME?</v>
      </c>
      <c r="BI301" s="344" t="e">
        <f t="shared" ca="1" si="230"/>
        <v>#NAME?</v>
      </c>
      <c r="BJ301" s="322" t="e">
        <f t="shared" ca="1" si="272"/>
        <v>#NAME?</v>
      </c>
      <c r="BK301" s="338" t="e">
        <f t="shared" ca="1" si="231"/>
        <v>#NAME?</v>
      </c>
      <c r="BL301" s="327" t="e">
        <f t="shared" ca="1" si="273"/>
        <v>#NAME?</v>
      </c>
      <c r="BM301" s="328">
        <f t="shared" si="274"/>
        <v>200</v>
      </c>
      <c r="BN301" s="329" t="e">
        <f t="shared" ca="1" si="275"/>
        <v>#NAME?</v>
      </c>
      <c r="BO301" s="344" t="e">
        <f t="shared" ca="1" si="232"/>
        <v>#NAME?</v>
      </c>
      <c r="BP301" s="320" t="e">
        <f t="shared" ca="1" si="276"/>
        <v>#NAME?</v>
      </c>
      <c r="BQ301" s="344" t="e">
        <f t="shared" ca="1" si="233"/>
        <v>#NAME?</v>
      </c>
      <c r="BR301" s="347" t="e">
        <f t="shared" ca="1" si="234"/>
        <v>#NAME?</v>
      </c>
      <c r="BS301" s="326" t="e">
        <f t="shared" ca="1" si="277"/>
        <v>#NAME?</v>
      </c>
      <c r="BT301" s="437" t="e">
        <f t="shared" ca="1" si="247"/>
        <v>#NAME?</v>
      </c>
      <c r="BU301" s="437" t="e">
        <f t="shared" ca="1" si="248"/>
        <v>#NAME?</v>
      </c>
      <c r="BV301" s="441" t="e">
        <f t="shared" ca="1" si="249"/>
        <v>#NAME?</v>
      </c>
      <c r="BW301" s="442" t="e">
        <f t="shared" ca="1" si="250"/>
        <v>#NAME?</v>
      </c>
      <c r="BX301" s="470" t="e">
        <f t="shared" ca="1" si="223"/>
        <v>#NAME?</v>
      </c>
      <c r="BY301" s="484" t="e">
        <f t="shared" ca="1" si="235"/>
        <v>#NAME?</v>
      </c>
      <c r="BZ301" s="176"/>
    </row>
    <row r="302" spans="9:78" s="177" customFormat="1" ht="17.75" customHeight="1" x14ac:dyDescent="0.2">
      <c r="I302" s="366">
        <v>218</v>
      </c>
      <c r="J302" s="414">
        <f t="shared" si="236"/>
        <v>41705.863888889384</v>
      </c>
      <c r="K302" s="435" t="e">
        <f t="shared" ca="1" si="237"/>
        <v>#NAME?</v>
      </c>
      <c r="L302" s="435" t="e">
        <f t="shared" ca="1" si="224"/>
        <v>#NAME?</v>
      </c>
      <c r="M302" s="664" t="e">
        <f t="shared" ca="1" si="278"/>
        <v>#NAME?</v>
      </c>
      <c r="N302" s="664" t="e">
        <f t="shared" ca="1" si="279"/>
        <v>#NAME?</v>
      </c>
      <c r="O302" s="140" t="e">
        <f t="shared" ca="1" si="225"/>
        <v>#NAME?</v>
      </c>
      <c r="P302" s="352" t="e">
        <f t="shared" ca="1" si="238"/>
        <v>#NAME?</v>
      </c>
      <c r="Q302" s="665" t="e">
        <f t="shared" ca="1" si="218"/>
        <v>#NAME?</v>
      </c>
      <c r="R302" s="352" t="e">
        <f t="shared" ca="1" si="251"/>
        <v>#NAME?</v>
      </c>
      <c r="S302" s="662" t="e">
        <f t="shared" ca="1" si="226"/>
        <v>#NAME?</v>
      </c>
      <c r="T302" s="443" t="e">
        <f t="shared" ca="1" si="219"/>
        <v>#NAME?</v>
      </c>
      <c r="U302" s="369" t="e">
        <f t="shared" ca="1" si="220"/>
        <v>#NAME?</v>
      </c>
      <c r="V302" s="454" t="e">
        <f t="shared" ca="1" si="227"/>
        <v>#NAME?</v>
      </c>
      <c r="W302" s="457">
        <f t="shared" si="228"/>
        <v>1000</v>
      </c>
      <c r="X302" s="463" t="e">
        <f t="shared" ca="1" si="229"/>
        <v>#NAME?</v>
      </c>
      <c r="Y302" s="455" t="e">
        <f t="shared" ca="1" si="239"/>
        <v>#NAME?</v>
      </c>
      <c r="Z302" s="699">
        <f t="shared" si="221"/>
        <v>8.5</v>
      </c>
      <c r="AA302" s="355" t="str">
        <f t="shared" si="222"/>
        <v>ON</v>
      </c>
      <c r="AB302" s="357">
        <f t="shared" si="252"/>
        <v>1.4999999999999999E-2</v>
      </c>
      <c r="AC302" s="356" t="e">
        <f ca="1">IF(  Y301=0,0,IF(OR(S302="KCAS",S302="INOP",S302="MEFE"),   ( (5*( (   (((1+0.2*(T302/661.4786)^2)^3.5 -1)  )/( (1-6.8755856*10^-6 *100*Y302)^5.2558797) +1)^(2/7) -1) )^0.5),IF(S302="MACH",T302, IF(S302="LRC",BicubicInterpolation( 'LRC Mach'!$C$4:$AL$21, Y302,U302),  IF(S302="MRC",BicubicInterpolation( 'MRC Mach'!$C$3:$T$18, Y302,U302),  IF(S302="M0.84",0.84,  IF(S302="CI52",BicubicInterpolation('CI=52 Mach'!$C$3:$T$18, Y302,U302),  IF(S302="HOLDING",BicubicInterpolation(  'Holding Mach'!$C$4:$M$13, Y302,U302),                         IF(S302="LRCINOP", BicubicInterpolation('LRC INOP Mach'!$C$4:$AA$21,Y302,U302), IF(S302="HOLDINGINOP",  BicubicInterpolation('Holding INOP Mach'!$N$4:$U$13,Y302,U302),         "XXX" )))))))   )))</f>
        <v>#NAME?</v>
      </c>
      <c r="AD302" s="313" t="e">
        <f t="shared" ca="1" si="253"/>
        <v>#NAME?</v>
      </c>
      <c r="AE302" s="314" t="e">
        <f t="shared" ca="1" si="240"/>
        <v>#NAME?</v>
      </c>
      <c r="AF302" s="313" t="e">
        <f t="shared" ca="1" si="254"/>
        <v>#NAME?</v>
      </c>
      <c r="AG302" s="314" t="e">
        <f t="shared" ca="1" si="241"/>
        <v>#NAME?</v>
      </c>
      <c r="AH302" s="313" t="e">
        <f t="shared" ca="1" si="255"/>
        <v>#NAME?</v>
      </c>
      <c r="AI302" s="314" t="e">
        <f t="shared" ca="1" si="242"/>
        <v>#NAME?</v>
      </c>
      <c r="AJ302" s="315" t="e">
        <f t="shared" ca="1" si="243"/>
        <v>#NAME?</v>
      </c>
      <c r="AK302" s="568" t="e">
        <f t="shared" ca="1" si="256"/>
        <v>#NAME?</v>
      </c>
      <c r="AL302" s="313" t="e">
        <f t="shared" ca="1" si="257"/>
        <v>#NAME?</v>
      </c>
      <c r="AM302" s="313" t="e">
        <f t="shared" ca="1" si="244"/>
        <v>#NAME?</v>
      </c>
      <c r="AN302" s="313" t="e">
        <f t="shared" ca="1" si="245"/>
        <v>#NAME?</v>
      </c>
      <c r="AO302" s="316" t="e">
        <f t="shared" ca="1" si="258"/>
        <v>#NAME?</v>
      </c>
      <c r="AP302" s="313" t="e">
        <f t="shared" ca="1" si="259"/>
        <v>#NAME?</v>
      </c>
      <c r="AQ302" s="314" t="e">
        <f t="shared" ca="1" si="246"/>
        <v>#NAME?</v>
      </c>
      <c r="AR302" s="315" t="e">
        <f t="shared" ca="1" si="260"/>
        <v>#NAME?</v>
      </c>
      <c r="AS302" s="316" t="e">
        <f t="shared" ca="1" si="261"/>
        <v>#NAME?</v>
      </c>
      <c r="AT302" s="315" t="e">
        <f t="shared" ca="1" si="262"/>
        <v>#NAME?</v>
      </c>
      <c r="AU302" s="317">
        <v>427.8</v>
      </c>
      <c r="AV302" s="315" t="e">
        <f t="shared" ca="1" si="263"/>
        <v>#NAME?</v>
      </c>
      <c r="AW302" s="318" t="e">
        <f ca="1">0.0001*BicubicInterpolation('Drag Coef Table'!$B$4:$L$28,AV302,AC302)</f>
        <v>#NAME?</v>
      </c>
      <c r="AX302" s="319" t="e">
        <f t="shared" ca="1" si="264"/>
        <v>#NAME?</v>
      </c>
      <c r="AY302" s="318" t="e">
        <f t="shared" ca="1" si="265"/>
        <v>#NAME?</v>
      </c>
      <c r="AZ302" s="320" t="e">
        <f t="shared" ca="1" si="266"/>
        <v>#NAME?</v>
      </c>
      <c r="BA302" s="321" t="e">
        <f t="shared" ca="1" si="267"/>
        <v>#NAME?</v>
      </c>
      <c r="BB302" s="322" t="e">
        <f t="shared" ca="1" si="268"/>
        <v>#NAME?</v>
      </c>
      <c r="BC302" s="323">
        <v>75.196700000000007</v>
      </c>
      <c r="BD302" s="324" t="e">
        <f t="shared" ca="1" si="269"/>
        <v>#NAME?</v>
      </c>
      <c r="BE302" s="325" t="e">
        <f t="shared" ca="1" si="270"/>
        <v>#NAME?</v>
      </c>
      <c r="BF302" s="324" t="e">
        <f ca="1">BicubicInterpolation('TSFC Eff Table'!$B$4:$E$69,2,BB302)</f>
        <v>#NAME?</v>
      </c>
      <c r="BG302" s="326" t="e">
        <f t="shared" ca="1" si="271"/>
        <v>#NAME?</v>
      </c>
      <c r="BH302" s="694" t="e">
        <f ca="1">IF( S302="LRCINOP",   (1+(0.03/10)*Z302*(1+0.2*AC302^2) )*BicubicInterpolation( 'LRC INOP FF'!$C$4:$AA$21, Y302, U302 )-200, IF(S302 ="HOLDINGINOP", (1+(0.03/10)*Z302*(1+0.2*AC302^2) )*BicubicInterpolation( 'Holding INOP FF'!$C$4:$J$13,  Y302,  U302)/1.05-200,   BA302*BG302))</f>
        <v>#NAME?</v>
      </c>
      <c r="BI302" s="344" t="e">
        <f t="shared" ca="1" si="230"/>
        <v>#NAME?</v>
      </c>
      <c r="BJ302" s="322" t="e">
        <f t="shared" ca="1" si="272"/>
        <v>#NAME?</v>
      </c>
      <c r="BK302" s="338" t="e">
        <f t="shared" ca="1" si="231"/>
        <v>#NAME?</v>
      </c>
      <c r="BL302" s="327" t="e">
        <f t="shared" ca="1" si="273"/>
        <v>#NAME?</v>
      </c>
      <c r="BM302" s="328">
        <f t="shared" si="274"/>
        <v>200</v>
      </c>
      <c r="BN302" s="329" t="e">
        <f t="shared" ca="1" si="275"/>
        <v>#NAME?</v>
      </c>
      <c r="BO302" s="344" t="e">
        <f t="shared" ca="1" si="232"/>
        <v>#NAME?</v>
      </c>
      <c r="BP302" s="320" t="e">
        <f t="shared" ca="1" si="276"/>
        <v>#NAME?</v>
      </c>
      <c r="BQ302" s="344" t="e">
        <f t="shared" ca="1" si="233"/>
        <v>#NAME?</v>
      </c>
      <c r="BR302" s="347" t="e">
        <f t="shared" ca="1" si="234"/>
        <v>#NAME?</v>
      </c>
      <c r="BS302" s="326" t="e">
        <f t="shared" ca="1" si="277"/>
        <v>#NAME?</v>
      </c>
      <c r="BT302" s="437" t="e">
        <f t="shared" ca="1" si="247"/>
        <v>#NAME?</v>
      </c>
      <c r="BU302" s="437" t="e">
        <f t="shared" ca="1" si="248"/>
        <v>#NAME?</v>
      </c>
      <c r="BV302" s="441" t="e">
        <f t="shared" ca="1" si="249"/>
        <v>#NAME?</v>
      </c>
      <c r="BW302" s="442" t="e">
        <f t="shared" ca="1" si="250"/>
        <v>#NAME?</v>
      </c>
      <c r="BX302" s="470" t="e">
        <f t="shared" ca="1" si="223"/>
        <v>#NAME?</v>
      </c>
      <c r="BY302" s="484" t="e">
        <f t="shared" ca="1" si="235"/>
        <v>#NAME?</v>
      </c>
      <c r="BZ302" s="176"/>
    </row>
    <row r="303" spans="9:78" s="177" customFormat="1" ht="17.75" customHeight="1" x14ac:dyDescent="0.2">
      <c r="I303" s="366">
        <v>219</v>
      </c>
      <c r="J303" s="414">
        <f t="shared" si="236"/>
        <v>41705.864583333831</v>
      </c>
      <c r="K303" s="435" t="e">
        <f t="shared" ca="1" si="237"/>
        <v>#NAME?</v>
      </c>
      <c r="L303" s="435" t="e">
        <f t="shared" ca="1" si="224"/>
        <v>#NAME?</v>
      </c>
      <c r="M303" s="664" t="e">
        <f t="shared" ca="1" si="278"/>
        <v>#NAME?</v>
      </c>
      <c r="N303" s="664" t="e">
        <f t="shared" ca="1" si="279"/>
        <v>#NAME?</v>
      </c>
      <c r="O303" s="140" t="e">
        <f t="shared" ca="1" si="225"/>
        <v>#NAME?</v>
      </c>
      <c r="P303" s="352" t="e">
        <f t="shared" ca="1" si="238"/>
        <v>#NAME?</v>
      </c>
      <c r="Q303" s="665" t="e">
        <f t="shared" ca="1" si="218"/>
        <v>#NAME?</v>
      </c>
      <c r="R303" s="352" t="e">
        <f t="shared" ca="1" si="251"/>
        <v>#NAME?</v>
      </c>
      <c r="S303" s="662" t="e">
        <f t="shared" ca="1" si="226"/>
        <v>#NAME?</v>
      </c>
      <c r="T303" s="443" t="e">
        <f t="shared" ca="1" si="219"/>
        <v>#NAME?</v>
      </c>
      <c r="U303" s="369" t="e">
        <f t="shared" ca="1" si="220"/>
        <v>#NAME?</v>
      </c>
      <c r="V303" s="454" t="e">
        <f t="shared" ca="1" si="227"/>
        <v>#NAME?</v>
      </c>
      <c r="W303" s="457">
        <f t="shared" si="228"/>
        <v>1000</v>
      </c>
      <c r="X303" s="463" t="e">
        <f t="shared" ca="1" si="229"/>
        <v>#NAME?</v>
      </c>
      <c r="Y303" s="455" t="e">
        <f t="shared" ca="1" si="239"/>
        <v>#NAME?</v>
      </c>
      <c r="Z303" s="699">
        <f t="shared" si="221"/>
        <v>8.5</v>
      </c>
      <c r="AA303" s="355" t="str">
        <f t="shared" si="222"/>
        <v>ON</v>
      </c>
      <c r="AB303" s="357">
        <f t="shared" si="252"/>
        <v>1.4999999999999999E-2</v>
      </c>
      <c r="AC303" s="356" t="e">
        <f ca="1">IF(  Y302=0,0,IF(OR(S303="KCAS",S303="INOP",S303="MEFE"),   ( (5*( (   (((1+0.2*(T303/661.4786)^2)^3.5 -1)  )/( (1-6.8755856*10^-6 *100*Y303)^5.2558797) +1)^(2/7) -1) )^0.5),IF(S303="MACH",T303, IF(S303="LRC",BicubicInterpolation( 'LRC Mach'!$C$4:$AL$21, Y303,U303),  IF(S303="MRC",BicubicInterpolation( 'MRC Mach'!$C$3:$T$18, Y303,U303),  IF(S303="M0.84",0.84,  IF(S303="CI52",BicubicInterpolation('CI=52 Mach'!$C$3:$T$18, Y303,U303),  IF(S303="HOLDING",BicubicInterpolation(  'Holding Mach'!$C$4:$M$13, Y303,U303),                         IF(S303="LRCINOP", BicubicInterpolation('LRC INOP Mach'!$C$4:$AA$21,Y303,U303), IF(S303="HOLDINGINOP",  BicubicInterpolation('Holding INOP Mach'!$N$4:$U$13,Y303,U303),         "XXX" )))))))   )))</f>
        <v>#NAME?</v>
      </c>
      <c r="AD303" s="313" t="e">
        <f t="shared" ca="1" si="253"/>
        <v>#NAME?</v>
      </c>
      <c r="AE303" s="314" t="e">
        <f t="shared" ca="1" si="240"/>
        <v>#NAME?</v>
      </c>
      <c r="AF303" s="313" t="e">
        <f t="shared" ca="1" si="254"/>
        <v>#NAME?</v>
      </c>
      <c r="AG303" s="314" t="e">
        <f t="shared" ca="1" si="241"/>
        <v>#NAME?</v>
      </c>
      <c r="AH303" s="313" t="e">
        <f t="shared" ca="1" si="255"/>
        <v>#NAME?</v>
      </c>
      <c r="AI303" s="314" t="e">
        <f t="shared" ca="1" si="242"/>
        <v>#NAME?</v>
      </c>
      <c r="AJ303" s="315" t="e">
        <f t="shared" ca="1" si="243"/>
        <v>#NAME?</v>
      </c>
      <c r="AK303" s="568" t="e">
        <f t="shared" ca="1" si="256"/>
        <v>#NAME?</v>
      </c>
      <c r="AL303" s="313" t="e">
        <f t="shared" ca="1" si="257"/>
        <v>#NAME?</v>
      </c>
      <c r="AM303" s="313" t="e">
        <f t="shared" ca="1" si="244"/>
        <v>#NAME?</v>
      </c>
      <c r="AN303" s="313" t="e">
        <f t="shared" ca="1" si="245"/>
        <v>#NAME?</v>
      </c>
      <c r="AO303" s="316" t="e">
        <f t="shared" ca="1" si="258"/>
        <v>#NAME?</v>
      </c>
      <c r="AP303" s="313" t="e">
        <f t="shared" ca="1" si="259"/>
        <v>#NAME?</v>
      </c>
      <c r="AQ303" s="314" t="e">
        <f t="shared" ca="1" si="246"/>
        <v>#NAME?</v>
      </c>
      <c r="AR303" s="315" t="e">
        <f t="shared" ca="1" si="260"/>
        <v>#NAME?</v>
      </c>
      <c r="AS303" s="316" t="e">
        <f t="shared" ca="1" si="261"/>
        <v>#NAME?</v>
      </c>
      <c r="AT303" s="315" t="e">
        <f t="shared" ca="1" si="262"/>
        <v>#NAME?</v>
      </c>
      <c r="AU303" s="317">
        <v>427.8</v>
      </c>
      <c r="AV303" s="315" t="e">
        <f t="shared" ca="1" si="263"/>
        <v>#NAME?</v>
      </c>
      <c r="AW303" s="318" t="e">
        <f ca="1">0.0001*BicubicInterpolation('Drag Coef Table'!$B$4:$L$28,AV303,AC303)</f>
        <v>#NAME?</v>
      </c>
      <c r="AX303" s="319" t="e">
        <f t="shared" ca="1" si="264"/>
        <v>#NAME?</v>
      </c>
      <c r="AY303" s="318" t="e">
        <f t="shared" ca="1" si="265"/>
        <v>#NAME?</v>
      </c>
      <c r="AZ303" s="320" t="e">
        <f t="shared" ca="1" si="266"/>
        <v>#NAME?</v>
      </c>
      <c r="BA303" s="321" t="e">
        <f t="shared" ca="1" si="267"/>
        <v>#NAME?</v>
      </c>
      <c r="BB303" s="322" t="e">
        <f t="shared" ca="1" si="268"/>
        <v>#NAME?</v>
      </c>
      <c r="BC303" s="323">
        <v>75.196700000000007</v>
      </c>
      <c r="BD303" s="324" t="e">
        <f t="shared" ca="1" si="269"/>
        <v>#NAME?</v>
      </c>
      <c r="BE303" s="325" t="e">
        <f t="shared" ca="1" si="270"/>
        <v>#NAME?</v>
      </c>
      <c r="BF303" s="324" t="e">
        <f ca="1">BicubicInterpolation('TSFC Eff Table'!$B$4:$E$69,2,BB303)</f>
        <v>#NAME?</v>
      </c>
      <c r="BG303" s="326" t="e">
        <f t="shared" ca="1" si="271"/>
        <v>#NAME?</v>
      </c>
      <c r="BH303" s="694" t="e">
        <f ca="1">IF( S303="LRCINOP",   (1+(0.03/10)*Z303*(1+0.2*AC303^2) )*BicubicInterpolation( 'LRC INOP FF'!$C$4:$AA$21, Y303, U303 )-200, IF(S303 ="HOLDINGINOP", (1+(0.03/10)*Z303*(1+0.2*AC303^2) )*BicubicInterpolation( 'Holding INOP FF'!$C$4:$J$13,  Y303,  U303)/1.05-200,   BA303*BG303))</f>
        <v>#NAME?</v>
      </c>
      <c r="BI303" s="344" t="e">
        <f t="shared" ca="1" si="230"/>
        <v>#NAME?</v>
      </c>
      <c r="BJ303" s="322" t="e">
        <f t="shared" ca="1" si="272"/>
        <v>#NAME?</v>
      </c>
      <c r="BK303" s="338" t="e">
        <f t="shared" ca="1" si="231"/>
        <v>#NAME?</v>
      </c>
      <c r="BL303" s="327" t="e">
        <f t="shared" ca="1" si="273"/>
        <v>#NAME?</v>
      </c>
      <c r="BM303" s="328">
        <f t="shared" si="274"/>
        <v>200</v>
      </c>
      <c r="BN303" s="329" t="e">
        <f t="shared" ca="1" si="275"/>
        <v>#NAME?</v>
      </c>
      <c r="BO303" s="344" t="e">
        <f t="shared" ca="1" si="232"/>
        <v>#NAME?</v>
      </c>
      <c r="BP303" s="320" t="e">
        <f t="shared" ca="1" si="276"/>
        <v>#NAME?</v>
      </c>
      <c r="BQ303" s="344" t="e">
        <f t="shared" ca="1" si="233"/>
        <v>#NAME?</v>
      </c>
      <c r="BR303" s="347" t="e">
        <f t="shared" ca="1" si="234"/>
        <v>#NAME?</v>
      </c>
      <c r="BS303" s="326" t="e">
        <f t="shared" ca="1" si="277"/>
        <v>#NAME?</v>
      </c>
      <c r="BT303" s="437" t="e">
        <f t="shared" ca="1" si="247"/>
        <v>#NAME?</v>
      </c>
      <c r="BU303" s="437" t="e">
        <f t="shared" ca="1" si="248"/>
        <v>#NAME?</v>
      </c>
      <c r="BV303" s="441" t="e">
        <f t="shared" ca="1" si="249"/>
        <v>#NAME?</v>
      </c>
      <c r="BW303" s="442" t="e">
        <f t="shared" ca="1" si="250"/>
        <v>#NAME?</v>
      </c>
      <c r="BX303" s="470" t="e">
        <f t="shared" ca="1" si="223"/>
        <v>#NAME?</v>
      </c>
      <c r="BY303" s="484" t="e">
        <f t="shared" ca="1" si="235"/>
        <v>#NAME?</v>
      </c>
      <c r="BZ303" s="176"/>
    </row>
    <row r="304" spans="9:78" s="177" customFormat="1" ht="17.75" customHeight="1" x14ac:dyDescent="0.2">
      <c r="I304" s="366">
        <v>220</v>
      </c>
      <c r="J304" s="414">
        <f t="shared" si="236"/>
        <v>41705.865277778277</v>
      </c>
      <c r="K304" s="435" t="e">
        <f t="shared" ca="1" si="237"/>
        <v>#NAME?</v>
      </c>
      <c r="L304" s="435" t="e">
        <f t="shared" ca="1" si="224"/>
        <v>#NAME?</v>
      </c>
      <c r="M304" s="664" t="e">
        <f t="shared" ca="1" si="278"/>
        <v>#NAME?</v>
      </c>
      <c r="N304" s="664" t="e">
        <f t="shared" ca="1" si="279"/>
        <v>#NAME?</v>
      </c>
      <c r="O304" s="140" t="e">
        <f t="shared" ca="1" si="225"/>
        <v>#NAME?</v>
      </c>
      <c r="P304" s="352" t="e">
        <f t="shared" ca="1" si="238"/>
        <v>#NAME?</v>
      </c>
      <c r="Q304" s="665" t="e">
        <f t="shared" ca="1" si="218"/>
        <v>#NAME?</v>
      </c>
      <c r="R304" s="352" t="e">
        <f t="shared" ca="1" si="251"/>
        <v>#NAME?</v>
      </c>
      <c r="S304" s="662" t="e">
        <f t="shared" ca="1" si="226"/>
        <v>#NAME?</v>
      </c>
      <c r="T304" s="443" t="e">
        <f t="shared" ca="1" si="219"/>
        <v>#NAME?</v>
      </c>
      <c r="U304" s="369" t="e">
        <f t="shared" ca="1" si="220"/>
        <v>#NAME?</v>
      </c>
      <c r="V304" s="454" t="e">
        <f t="shared" ca="1" si="227"/>
        <v>#NAME?</v>
      </c>
      <c r="W304" s="457">
        <f t="shared" si="228"/>
        <v>1000</v>
      </c>
      <c r="X304" s="463" t="e">
        <f t="shared" ca="1" si="229"/>
        <v>#NAME?</v>
      </c>
      <c r="Y304" s="455" t="e">
        <f t="shared" ca="1" si="239"/>
        <v>#NAME?</v>
      </c>
      <c r="Z304" s="699">
        <f t="shared" si="221"/>
        <v>8.5</v>
      </c>
      <c r="AA304" s="355" t="str">
        <f t="shared" si="222"/>
        <v>ON</v>
      </c>
      <c r="AB304" s="357">
        <f t="shared" si="252"/>
        <v>1.4999999999999999E-2</v>
      </c>
      <c r="AC304" s="356" t="e">
        <f ca="1">IF(  Y303=0,0,IF(OR(S304="KCAS",S304="INOP",S304="MEFE"),   ( (5*( (   (((1+0.2*(T304/661.4786)^2)^3.5 -1)  )/( (1-6.8755856*10^-6 *100*Y304)^5.2558797) +1)^(2/7) -1) )^0.5),IF(S304="MACH",T304, IF(S304="LRC",BicubicInterpolation( 'LRC Mach'!$C$4:$AL$21, Y304,U304),  IF(S304="MRC",BicubicInterpolation( 'MRC Mach'!$C$3:$T$18, Y304,U304),  IF(S304="M0.84",0.84,  IF(S304="CI52",BicubicInterpolation('CI=52 Mach'!$C$3:$T$18, Y304,U304),  IF(S304="HOLDING",BicubicInterpolation(  'Holding Mach'!$C$4:$M$13, Y304,U304),                         IF(S304="LRCINOP", BicubicInterpolation('LRC INOP Mach'!$C$4:$AA$21,Y304,U304), IF(S304="HOLDINGINOP",  BicubicInterpolation('Holding INOP Mach'!$N$4:$U$13,Y304,U304),         "XXX" )))))))   )))</f>
        <v>#NAME?</v>
      </c>
      <c r="AD304" s="313" t="e">
        <f t="shared" ca="1" si="253"/>
        <v>#NAME?</v>
      </c>
      <c r="AE304" s="314" t="e">
        <f t="shared" ca="1" si="240"/>
        <v>#NAME?</v>
      </c>
      <c r="AF304" s="313" t="e">
        <f t="shared" ca="1" si="254"/>
        <v>#NAME?</v>
      </c>
      <c r="AG304" s="314" t="e">
        <f t="shared" ca="1" si="241"/>
        <v>#NAME?</v>
      </c>
      <c r="AH304" s="313" t="e">
        <f t="shared" ca="1" si="255"/>
        <v>#NAME?</v>
      </c>
      <c r="AI304" s="314" t="e">
        <f t="shared" ca="1" si="242"/>
        <v>#NAME?</v>
      </c>
      <c r="AJ304" s="315" t="e">
        <f t="shared" ca="1" si="243"/>
        <v>#NAME?</v>
      </c>
      <c r="AK304" s="568" t="e">
        <f t="shared" ca="1" si="256"/>
        <v>#NAME?</v>
      </c>
      <c r="AL304" s="313" t="e">
        <f t="shared" ca="1" si="257"/>
        <v>#NAME?</v>
      </c>
      <c r="AM304" s="313" t="e">
        <f t="shared" ca="1" si="244"/>
        <v>#NAME?</v>
      </c>
      <c r="AN304" s="313" t="e">
        <f t="shared" ca="1" si="245"/>
        <v>#NAME?</v>
      </c>
      <c r="AO304" s="316" t="e">
        <f t="shared" ca="1" si="258"/>
        <v>#NAME?</v>
      </c>
      <c r="AP304" s="313" t="e">
        <f t="shared" ca="1" si="259"/>
        <v>#NAME?</v>
      </c>
      <c r="AQ304" s="314" t="e">
        <f t="shared" ca="1" si="246"/>
        <v>#NAME?</v>
      </c>
      <c r="AR304" s="315" t="e">
        <f t="shared" ca="1" si="260"/>
        <v>#NAME?</v>
      </c>
      <c r="AS304" s="316" t="e">
        <f t="shared" ca="1" si="261"/>
        <v>#NAME?</v>
      </c>
      <c r="AT304" s="315" t="e">
        <f t="shared" ca="1" si="262"/>
        <v>#NAME?</v>
      </c>
      <c r="AU304" s="317">
        <v>427.8</v>
      </c>
      <c r="AV304" s="315" t="e">
        <f t="shared" ca="1" si="263"/>
        <v>#NAME?</v>
      </c>
      <c r="AW304" s="318" t="e">
        <f ca="1">0.0001*BicubicInterpolation('Drag Coef Table'!$B$4:$L$28,AV304,AC304)</f>
        <v>#NAME?</v>
      </c>
      <c r="AX304" s="319" t="e">
        <f t="shared" ca="1" si="264"/>
        <v>#NAME?</v>
      </c>
      <c r="AY304" s="318" t="e">
        <f t="shared" ca="1" si="265"/>
        <v>#NAME?</v>
      </c>
      <c r="AZ304" s="320" t="e">
        <f t="shared" ca="1" si="266"/>
        <v>#NAME?</v>
      </c>
      <c r="BA304" s="321" t="e">
        <f t="shared" ca="1" si="267"/>
        <v>#NAME?</v>
      </c>
      <c r="BB304" s="322" t="e">
        <f t="shared" ca="1" si="268"/>
        <v>#NAME?</v>
      </c>
      <c r="BC304" s="323">
        <v>75.196700000000007</v>
      </c>
      <c r="BD304" s="324" t="e">
        <f t="shared" ca="1" si="269"/>
        <v>#NAME?</v>
      </c>
      <c r="BE304" s="325" t="e">
        <f t="shared" ca="1" si="270"/>
        <v>#NAME?</v>
      </c>
      <c r="BF304" s="324" t="e">
        <f ca="1">BicubicInterpolation('TSFC Eff Table'!$B$4:$E$69,2,BB304)</f>
        <v>#NAME?</v>
      </c>
      <c r="BG304" s="326" t="e">
        <f t="shared" ca="1" si="271"/>
        <v>#NAME?</v>
      </c>
      <c r="BH304" s="694" t="e">
        <f ca="1">IF( S304="LRCINOP",   (1+(0.03/10)*Z304*(1+0.2*AC304^2) )*BicubicInterpolation( 'LRC INOP FF'!$C$4:$AA$21, Y304, U304 )-200, IF(S304 ="HOLDINGINOP", (1+(0.03/10)*Z304*(1+0.2*AC304^2) )*BicubicInterpolation( 'Holding INOP FF'!$C$4:$J$13,  Y304,  U304)/1.05-200,   BA304*BG304))</f>
        <v>#NAME?</v>
      </c>
      <c r="BI304" s="344" t="e">
        <f t="shared" ca="1" si="230"/>
        <v>#NAME?</v>
      </c>
      <c r="BJ304" s="322" t="e">
        <f t="shared" ca="1" si="272"/>
        <v>#NAME?</v>
      </c>
      <c r="BK304" s="338" t="e">
        <f t="shared" ca="1" si="231"/>
        <v>#NAME?</v>
      </c>
      <c r="BL304" s="327" t="e">
        <f t="shared" ca="1" si="273"/>
        <v>#NAME?</v>
      </c>
      <c r="BM304" s="328">
        <f t="shared" si="274"/>
        <v>200</v>
      </c>
      <c r="BN304" s="329" t="e">
        <f t="shared" ca="1" si="275"/>
        <v>#NAME?</v>
      </c>
      <c r="BO304" s="344" t="e">
        <f t="shared" ca="1" si="232"/>
        <v>#NAME?</v>
      </c>
      <c r="BP304" s="320" t="e">
        <f t="shared" ca="1" si="276"/>
        <v>#NAME?</v>
      </c>
      <c r="BQ304" s="344" t="e">
        <f t="shared" ca="1" si="233"/>
        <v>#NAME?</v>
      </c>
      <c r="BR304" s="347" t="e">
        <f t="shared" ca="1" si="234"/>
        <v>#NAME?</v>
      </c>
      <c r="BS304" s="326" t="e">
        <f t="shared" ca="1" si="277"/>
        <v>#NAME?</v>
      </c>
      <c r="BT304" s="437" t="e">
        <f t="shared" ca="1" si="247"/>
        <v>#NAME?</v>
      </c>
      <c r="BU304" s="437" t="e">
        <f t="shared" ca="1" si="248"/>
        <v>#NAME?</v>
      </c>
      <c r="BV304" s="441" t="e">
        <f t="shared" ca="1" si="249"/>
        <v>#NAME?</v>
      </c>
      <c r="BW304" s="442" t="e">
        <f t="shared" ca="1" si="250"/>
        <v>#NAME?</v>
      </c>
      <c r="BX304" s="470" t="e">
        <f t="shared" ca="1" si="223"/>
        <v>#NAME?</v>
      </c>
      <c r="BY304" s="484" t="e">
        <f t="shared" ca="1" si="235"/>
        <v>#NAME?</v>
      </c>
      <c r="BZ304" s="176"/>
    </row>
    <row r="305" spans="9:78" s="177" customFormat="1" ht="17.75" customHeight="1" x14ac:dyDescent="0.2">
      <c r="I305" s="366">
        <v>221</v>
      </c>
      <c r="J305" s="414">
        <f t="shared" si="236"/>
        <v>41705.865972222724</v>
      </c>
      <c r="K305" s="435" t="e">
        <f t="shared" ca="1" si="237"/>
        <v>#NAME?</v>
      </c>
      <c r="L305" s="435" t="e">
        <f t="shared" ca="1" si="224"/>
        <v>#NAME?</v>
      </c>
      <c r="M305" s="664" t="e">
        <f t="shared" ca="1" si="278"/>
        <v>#NAME?</v>
      </c>
      <c r="N305" s="664" t="e">
        <f t="shared" ca="1" si="279"/>
        <v>#NAME?</v>
      </c>
      <c r="O305" s="140" t="e">
        <f t="shared" ca="1" si="225"/>
        <v>#NAME?</v>
      </c>
      <c r="P305" s="352" t="e">
        <f t="shared" ca="1" si="238"/>
        <v>#NAME?</v>
      </c>
      <c r="Q305" s="665" t="e">
        <f t="shared" ca="1" si="218"/>
        <v>#NAME?</v>
      </c>
      <c r="R305" s="352" t="e">
        <f t="shared" ca="1" si="251"/>
        <v>#NAME?</v>
      </c>
      <c r="S305" s="662" t="e">
        <f t="shared" ca="1" si="226"/>
        <v>#NAME?</v>
      </c>
      <c r="T305" s="443" t="e">
        <f t="shared" ca="1" si="219"/>
        <v>#NAME?</v>
      </c>
      <c r="U305" s="369" t="e">
        <f t="shared" ca="1" si="220"/>
        <v>#NAME?</v>
      </c>
      <c r="V305" s="454" t="e">
        <f t="shared" ca="1" si="227"/>
        <v>#NAME?</v>
      </c>
      <c r="W305" s="457">
        <f t="shared" si="228"/>
        <v>1000</v>
      </c>
      <c r="X305" s="463" t="e">
        <f t="shared" ca="1" si="229"/>
        <v>#NAME?</v>
      </c>
      <c r="Y305" s="455" t="e">
        <f t="shared" ca="1" si="239"/>
        <v>#NAME?</v>
      </c>
      <c r="Z305" s="699">
        <f t="shared" si="221"/>
        <v>8.5</v>
      </c>
      <c r="AA305" s="355" t="str">
        <f t="shared" si="222"/>
        <v>ON</v>
      </c>
      <c r="AB305" s="357">
        <f t="shared" si="252"/>
        <v>1.4999999999999999E-2</v>
      </c>
      <c r="AC305" s="356" t="e">
        <f ca="1">IF(  Y304=0,0,IF(OR(S305="KCAS",S305="INOP",S305="MEFE"),   ( (5*( (   (((1+0.2*(T305/661.4786)^2)^3.5 -1)  )/( (1-6.8755856*10^-6 *100*Y305)^5.2558797) +1)^(2/7) -1) )^0.5),IF(S305="MACH",T305, IF(S305="LRC",BicubicInterpolation( 'LRC Mach'!$C$4:$AL$21, Y305,U305),  IF(S305="MRC",BicubicInterpolation( 'MRC Mach'!$C$3:$T$18, Y305,U305),  IF(S305="M0.84",0.84,  IF(S305="CI52",BicubicInterpolation('CI=52 Mach'!$C$3:$T$18, Y305,U305),  IF(S305="HOLDING",BicubicInterpolation(  'Holding Mach'!$C$4:$M$13, Y305,U305),                         IF(S305="LRCINOP", BicubicInterpolation('LRC INOP Mach'!$C$4:$AA$21,Y305,U305), IF(S305="HOLDINGINOP",  BicubicInterpolation('Holding INOP Mach'!$N$4:$U$13,Y305,U305),         "XXX" )))))))   )))</f>
        <v>#NAME?</v>
      </c>
      <c r="AD305" s="313" t="e">
        <f t="shared" ca="1" si="253"/>
        <v>#NAME?</v>
      </c>
      <c r="AE305" s="314" t="e">
        <f t="shared" ca="1" si="240"/>
        <v>#NAME?</v>
      </c>
      <c r="AF305" s="313" t="e">
        <f t="shared" ca="1" si="254"/>
        <v>#NAME?</v>
      </c>
      <c r="AG305" s="314" t="e">
        <f t="shared" ca="1" si="241"/>
        <v>#NAME?</v>
      </c>
      <c r="AH305" s="313" t="e">
        <f t="shared" ca="1" si="255"/>
        <v>#NAME?</v>
      </c>
      <c r="AI305" s="314" t="e">
        <f t="shared" ca="1" si="242"/>
        <v>#NAME?</v>
      </c>
      <c r="AJ305" s="315" t="e">
        <f t="shared" ca="1" si="243"/>
        <v>#NAME?</v>
      </c>
      <c r="AK305" s="568" t="e">
        <f t="shared" ca="1" si="256"/>
        <v>#NAME?</v>
      </c>
      <c r="AL305" s="313" t="e">
        <f t="shared" ca="1" si="257"/>
        <v>#NAME?</v>
      </c>
      <c r="AM305" s="313" t="e">
        <f t="shared" ca="1" si="244"/>
        <v>#NAME?</v>
      </c>
      <c r="AN305" s="313" t="e">
        <f t="shared" ca="1" si="245"/>
        <v>#NAME?</v>
      </c>
      <c r="AO305" s="316" t="e">
        <f t="shared" ca="1" si="258"/>
        <v>#NAME?</v>
      </c>
      <c r="AP305" s="313" t="e">
        <f t="shared" ca="1" si="259"/>
        <v>#NAME?</v>
      </c>
      <c r="AQ305" s="314" t="e">
        <f t="shared" ca="1" si="246"/>
        <v>#NAME?</v>
      </c>
      <c r="AR305" s="315" t="e">
        <f t="shared" ca="1" si="260"/>
        <v>#NAME?</v>
      </c>
      <c r="AS305" s="316" t="e">
        <f t="shared" ca="1" si="261"/>
        <v>#NAME?</v>
      </c>
      <c r="AT305" s="315" t="e">
        <f t="shared" ca="1" si="262"/>
        <v>#NAME?</v>
      </c>
      <c r="AU305" s="317">
        <v>427.8</v>
      </c>
      <c r="AV305" s="315" t="e">
        <f t="shared" ca="1" si="263"/>
        <v>#NAME?</v>
      </c>
      <c r="AW305" s="318" t="e">
        <f ca="1">0.0001*BicubicInterpolation('Drag Coef Table'!$B$4:$L$28,AV305,AC305)</f>
        <v>#NAME?</v>
      </c>
      <c r="AX305" s="319" t="e">
        <f t="shared" ca="1" si="264"/>
        <v>#NAME?</v>
      </c>
      <c r="AY305" s="318" t="e">
        <f t="shared" ca="1" si="265"/>
        <v>#NAME?</v>
      </c>
      <c r="AZ305" s="320" t="e">
        <f t="shared" ca="1" si="266"/>
        <v>#NAME?</v>
      </c>
      <c r="BA305" s="321" t="e">
        <f t="shared" ca="1" si="267"/>
        <v>#NAME?</v>
      </c>
      <c r="BB305" s="322" t="e">
        <f t="shared" ca="1" si="268"/>
        <v>#NAME?</v>
      </c>
      <c r="BC305" s="323">
        <v>75.196700000000007</v>
      </c>
      <c r="BD305" s="324" t="e">
        <f t="shared" ca="1" si="269"/>
        <v>#NAME?</v>
      </c>
      <c r="BE305" s="325" t="e">
        <f t="shared" ca="1" si="270"/>
        <v>#NAME?</v>
      </c>
      <c r="BF305" s="324" t="e">
        <f ca="1">BicubicInterpolation('TSFC Eff Table'!$B$4:$E$69,2,BB305)</f>
        <v>#NAME?</v>
      </c>
      <c r="BG305" s="326" t="e">
        <f t="shared" ca="1" si="271"/>
        <v>#NAME?</v>
      </c>
      <c r="BH305" s="694" t="e">
        <f ca="1">IF( S305="LRCINOP",   (1+(0.03/10)*Z305*(1+0.2*AC305^2) )*BicubicInterpolation( 'LRC INOP FF'!$C$4:$AA$21, Y305, U305 )-200, IF(S305 ="HOLDINGINOP", (1+(0.03/10)*Z305*(1+0.2*AC305^2) )*BicubicInterpolation( 'Holding INOP FF'!$C$4:$J$13,  Y305,  U305)/1.05-200,   BA305*BG305))</f>
        <v>#NAME?</v>
      </c>
      <c r="BI305" s="344" t="e">
        <f t="shared" ca="1" si="230"/>
        <v>#NAME?</v>
      </c>
      <c r="BJ305" s="322" t="e">
        <f t="shared" ca="1" si="272"/>
        <v>#NAME?</v>
      </c>
      <c r="BK305" s="338" t="e">
        <f t="shared" ca="1" si="231"/>
        <v>#NAME?</v>
      </c>
      <c r="BL305" s="327" t="e">
        <f t="shared" ca="1" si="273"/>
        <v>#NAME?</v>
      </c>
      <c r="BM305" s="328">
        <f t="shared" si="274"/>
        <v>200</v>
      </c>
      <c r="BN305" s="329" t="e">
        <f t="shared" ca="1" si="275"/>
        <v>#NAME?</v>
      </c>
      <c r="BO305" s="344" t="e">
        <f t="shared" ca="1" si="232"/>
        <v>#NAME?</v>
      </c>
      <c r="BP305" s="320" t="e">
        <f t="shared" ca="1" si="276"/>
        <v>#NAME?</v>
      </c>
      <c r="BQ305" s="344" t="e">
        <f t="shared" ca="1" si="233"/>
        <v>#NAME?</v>
      </c>
      <c r="BR305" s="347" t="e">
        <f t="shared" ca="1" si="234"/>
        <v>#NAME?</v>
      </c>
      <c r="BS305" s="326" t="e">
        <f t="shared" ca="1" si="277"/>
        <v>#NAME?</v>
      </c>
      <c r="BT305" s="437" t="e">
        <f t="shared" ca="1" si="247"/>
        <v>#NAME?</v>
      </c>
      <c r="BU305" s="437" t="e">
        <f t="shared" ca="1" si="248"/>
        <v>#NAME?</v>
      </c>
      <c r="BV305" s="441" t="e">
        <f t="shared" ca="1" si="249"/>
        <v>#NAME?</v>
      </c>
      <c r="BW305" s="442" t="e">
        <f t="shared" ca="1" si="250"/>
        <v>#NAME?</v>
      </c>
      <c r="BX305" s="470" t="e">
        <f t="shared" ca="1" si="223"/>
        <v>#NAME?</v>
      </c>
      <c r="BY305" s="484" t="e">
        <f t="shared" ca="1" si="235"/>
        <v>#NAME?</v>
      </c>
      <c r="BZ305" s="176"/>
    </row>
    <row r="306" spans="9:78" s="177" customFormat="1" ht="17.75" customHeight="1" x14ac:dyDescent="0.2">
      <c r="I306" s="366">
        <v>222</v>
      </c>
      <c r="J306" s="414">
        <f t="shared" si="236"/>
        <v>41705.866666667171</v>
      </c>
      <c r="K306" s="435" t="e">
        <f t="shared" ca="1" si="237"/>
        <v>#NAME?</v>
      </c>
      <c r="L306" s="435" t="e">
        <f t="shared" ca="1" si="224"/>
        <v>#NAME?</v>
      </c>
      <c r="M306" s="664" t="e">
        <f t="shared" ca="1" si="278"/>
        <v>#NAME?</v>
      </c>
      <c r="N306" s="664" t="e">
        <f t="shared" ca="1" si="279"/>
        <v>#NAME?</v>
      </c>
      <c r="O306" s="140" t="e">
        <f t="shared" ca="1" si="225"/>
        <v>#NAME?</v>
      </c>
      <c r="P306" s="352" t="e">
        <f t="shared" ca="1" si="238"/>
        <v>#NAME?</v>
      </c>
      <c r="Q306" s="665" t="e">
        <f t="shared" ca="1" si="218"/>
        <v>#NAME?</v>
      </c>
      <c r="R306" s="352" t="e">
        <f t="shared" ca="1" si="251"/>
        <v>#NAME?</v>
      </c>
      <c r="S306" s="662" t="e">
        <f t="shared" ca="1" si="226"/>
        <v>#NAME?</v>
      </c>
      <c r="T306" s="443" t="e">
        <f t="shared" ca="1" si="219"/>
        <v>#NAME?</v>
      </c>
      <c r="U306" s="369" t="e">
        <f t="shared" ca="1" si="220"/>
        <v>#NAME?</v>
      </c>
      <c r="V306" s="454" t="e">
        <f t="shared" ca="1" si="227"/>
        <v>#NAME?</v>
      </c>
      <c r="W306" s="457">
        <f t="shared" si="228"/>
        <v>1000</v>
      </c>
      <c r="X306" s="463" t="e">
        <f t="shared" ca="1" si="229"/>
        <v>#NAME?</v>
      </c>
      <c r="Y306" s="455" t="e">
        <f t="shared" ca="1" si="239"/>
        <v>#NAME?</v>
      </c>
      <c r="Z306" s="699">
        <f t="shared" si="221"/>
        <v>8.5</v>
      </c>
      <c r="AA306" s="355" t="str">
        <f t="shared" si="222"/>
        <v>ON</v>
      </c>
      <c r="AB306" s="357">
        <f t="shared" si="252"/>
        <v>1.4999999999999999E-2</v>
      </c>
      <c r="AC306" s="356" t="e">
        <f ca="1">IF(  Y305=0,0,IF(OR(S306="KCAS",S306="INOP",S306="MEFE"),   ( (5*( (   (((1+0.2*(T306/661.4786)^2)^3.5 -1)  )/( (1-6.8755856*10^-6 *100*Y306)^5.2558797) +1)^(2/7) -1) )^0.5),IF(S306="MACH",T306, IF(S306="LRC",BicubicInterpolation( 'LRC Mach'!$C$4:$AL$21, Y306,U306),  IF(S306="MRC",BicubicInterpolation( 'MRC Mach'!$C$3:$T$18, Y306,U306),  IF(S306="M0.84",0.84,  IF(S306="CI52",BicubicInterpolation('CI=52 Mach'!$C$3:$T$18, Y306,U306),  IF(S306="HOLDING",BicubicInterpolation(  'Holding Mach'!$C$4:$M$13, Y306,U306),                         IF(S306="LRCINOP", BicubicInterpolation('LRC INOP Mach'!$C$4:$AA$21,Y306,U306), IF(S306="HOLDINGINOP",  BicubicInterpolation('Holding INOP Mach'!$N$4:$U$13,Y306,U306),         "XXX" )))))))   )))</f>
        <v>#NAME?</v>
      </c>
      <c r="AD306" s="313" t="e">
        <f t="shared" ca="1" si="253"/>
        <v>#NAME?</v>
      </c>
      <c r="AE306" s="314" t="e">
        <f t="shared" ca="1" si="240"/>
        <v>#NAME?</v>
      </c>
      <c r="AF306" s="313" t="e">
        <f t="shared" ca="1" si="254"/>
        <v>#NAME?</v>
      </c>
      <c r="AG306" s="314" t="e">
        <f t="shared" ca="1" si="241"/>
        <v>#NAME?</v>
      </c>
      <c r="AH306" s="313" t="e">
        <f t="shared" ca="1" si="255"/>
        <v>#NAME?</v>
      </c>
      <c r="AI306" s="314" t="e">
        <f t="shared" ca="1" si="242"/>
        <v>#NAME?</v>
      </c>
      <c r="AJ306" s="315" t="e">
        <f t="shared" ca="1" si="243"/>
        <v>#NAME?</v>
      </c>
      <c r="AK306" s="568" t="e">
        <f t="shared" ca="1" si="256"/>
        <v>#NAME?</v>
      </c>
      <c r="AL306" s="313" t="e">
        <f t="shared" ca="1" si="257"/>
        <v>#NAME?</v>
      </c>
      <c r="AM306" s="313" t="e">
        <f t="shared" ca="1" si="244"/>
        <v>#NAME?</v>
      </c>
      <c r="AN306" s="313" t="e">
        <f t="shared" ca="1" si="245"/>
        <v>#NAME?</v>
      </c>
      <c r="AO306" s="316" t="e">
        <f t="shared" ca="1" si="258"/>
        <v>#NAME?</v>
      </c>
      <c r="AP306" s="313" t="e">
        <f t="shared" ca="1" si="259"/>
        <v>#NAME?</v>
      </c>
      <c r="AQ306" s="314" t="e">
        <f t="shared" ca="1" si="246"/>
        <v>#NAME?</v>
      </c>
      <c r="AR306" s="315" t="e">
        <f t="shared" ca="1" si="260"/>
        <v>#NAME?</v>
      </c>
      <c r="AS306" s="316" t="e">
        <f t="shared" ca="1" si="261"/>
        <v>#NAME?</v>
      </c>
      <c r="AT306" s="315" t="e">
        <f t="shared" ca="1" si="262"/>
        <v>#NAME?</v>
      </c>
      <c r="AU306" s="317">
        <v>427.8</v>
      </c>
      <c r="AV306" s="315" t="e">
        <f t="shared" ca="1" si="263"/>
        <v>#NAME?</v>
      </c>
      <c r="AW306" s="318" t="e">
        <f ca="1">0.0001*BicubicInterpolation('Drag Coef Table'!$B$4:$L$28,AV306,AC306)</f>
        <v>#NAME?</v>
      </c>
      <c r="AX306" s="319" t="e">
        <f t="shared" ca="1" si="264"/>
        <v>#NAME?</v>
      </c>
      <c r="AY306" s="318" t="e">
        <f t="shared" ca="1" si="265"/>
        <v>#NAME?</v>
      </c>
      <c r="AZ306" s="320" t="e">
        <f t="shared" ca="1" si="266"/>
        <v>#NAME?</v>
      </c>
      <c r="BA306" s="321" t="e">
        <f t="shared" ca="1" si="267"/>
        <v>#NAME?</v>
      </c>
      <c r="BB306" s="322" t="e">
        <f t="shared" ca="1" si="268"/>
        <v>#NAME?</v>
      </c>
      <c r="BC306" s="323">
        <v>75.196700000000007</v>
      </c>
      <c r="BD306" s="324" t="e">
        <f t="shared" ca="1" si="269"/>
        <v>#NAME?</v>
      </c>
      <c r="BE306" s="325" t="e">
        <f t="shared" ca="1" si="270"/>
        <v>#NAME?</v>
      </c>
      <c r="BF306" s="324" t="e">
        <f ca="1">BicubicInterpolation('TSFC Eff Table'!$B$4:$E$69,2,BB306)</f>
        <v>#NAME?</v>
      </c>
      <c r="BG306" s="326" t="e">
        <f t="shared" ca="1" si="271"/>
        <v>#NAME?</v>
      </c>
      <c r="BH306" s="694" t="e">
        <f ca="1">IF( S306="LRCINOP",   (1+(0.03/10)*Z306*(1+0.2*AC306^2) )*BicubicInterpolation( 'LRC INOP FF'!$C$4:$AA$21, Y306, U306 )-200, IF(S306 ="HOLDINGINOP", (1+(0.03/10)*Z306*(1+0.2*AC306^2) )*BicubicInterpolation( 'Holding INOP FF'!$C$4:$J$13,  Y306,  U306)/1.05-200,   BA306*BG306))</f>
        <v>#NAME?</v>
      </c>
      <c r="BI306" s="344" t="e">
        <f t="shared" ca="1" si="230"/>
        <v>#NAME?</v>
      </c>
      <c r="BJ306" s="322" t="e">
        <f t="shared" ca="1" si="272"/>
        <v>#NAME?</v>
      </c>
      <c r="BK306" s="338" t="e">
        <f t="shared" ca="1" si="231"/>
        <v>#NAME?</v>
      </c>
      <c r="BL306" s="327" t="e">
        <f t="shared" ca="1" si="273"/>
        <v>#NAME?</v>
      </c>
      <c r="BM306" s="328">
        <f t="shared" si="274"/>
        <v>200</v>
      </c>
      <c r="BN306" s="329" t="e">
        <f t="shared" ca="1" si="275"/>
        <v>#NAME?</v>
      </c>
      <c r="BO306" s="344" t="e">
        <f t="shared" ca="1" si="232"/>
        <v>#NAME?</v>
      </c>
      <c r="BP306" s="320" t="e">
        <f t="shared" ca="1" si="276"/>
        <v>#NAME?</v>
      </c>
      <c r="BQ306" s="344" t="e">
        <f t="shared" ca="1" si="233"/>
        <v>#NAME?</v>
      </c>
      <c r="BR306" s="347" t="e">
        <f t="shared" ca="1" si="234"/>
        <v>#NAME?</v>
      </c>
      <c r="BS306" s="326" t="e">
        <f t="shared" ca="1" si="277"/>
        <v>#NAME?</v>
      </c>
      <c r="BT306" s="437" t="e">
        <f t="shared" ca="1" si="247"/>
        <v>#NAME?</v>
      </c>
      <c r="BU306" s="437" t="e">
        <f t="shared" ca="1" si="248"/>
        <v>#NAME?</v>
      </c>
      <c r="BV306" s="441" t="e">
        <f t="shared" ca="1" si="249"/>
        <v>#NAME?</v>
      </c>
      <c r="BW306" s="442" t="e">
        <f t="shared" ca="1" si="250"/>
        <v>#NAME?</v>
      </c>
      <c r="BX306" s="470" t="e">
        <f t="shared" ca="1" si="223"/>
        <v>#NAME?</v>
      </c>
      <c r="BY306" s="484" t="e">
        <f t="shared" ca="1" si="235"/>
        <v>#NAME?</v>
      </c>
      <c r="BZ306" s="176"/>
    </row>
    <row r="307" spans="9:78" s="177" customFormat="1" ht="17.75" customHeight="1" x14ac:dyDescent="0.2">
      <c r="I307" s="366">
        <v>223</v>
      </c>
      <c r="J307" s="414">
        <f t="shared" si="236"/>
        <v>41705.867361111617</v>
      </c>
      <c r="K307" s="435" t="e">
        <f t="shared" ca="1" si="237"/>
        <v>#NAME?</v>
      </c>
      <c r="L307" s="435" t="e">
        <f t="shared" ca="1" si="224"/>
        <v>#NAME?</v>
      </c>
      <c r="M307" s="664" t="e">
        <f t="shared" ca="1" si="278"/>
        <v>#NAME?</v>
      </c>
      <c r="N307" s="664" t="e">
        <f t="shared" ca="1" si="279"/>
        <v>#NAME?</v>
      </c>
      <c r="O307" s="140" t="e">
        <f t="shared" ca="1" si="225"/>
        <v>#NAME?</v>
      </c>
      <c r="P307" s="352" t="e">
        <f t="shared" ca="1" si="238"/>
        <v>#NAME?</v>
      </c>
      <c r="Q307" s="665" t="e">
        <f t="shared" ca="1" si="218"/>
        <v>#NAME?</v>
      </c>
      <c r="R307" s="352" t="e">
        <f t="shared" ca="1" si="251"/>
        <v>#NAME?</v>
      </c>
      <c r="S307" s="662" t="e">
        <f t="shared" ca="1" si="226"/>
        <v>#NAME?</v>
      </c>
      <c r="T307" s="443" t="e">
        <f t="shared" ca="1" si="219"/>
        <v>#NAME?</v>
      </c>
      <c r="U307" s="369" t="e">
        <f t="shared" ca="1" si="220"/>
        <v>#NAME?</v>
      </c>
      <c r="V307" s="454" t="e">
        <f t="shared" ca="1" si="227"/>
        <v>#NAME?</v>
      </c>
      <c r="W307" s="457">
        <f t="shared" si="228"/>
        <v>1000</v>
      </c>
      <c r="X307" s="463" t="e">
        <f t="shared" ca="1" si="229"/>
        <v>#NAME?</v>
      </c>
      <c r="Y307" s="455" t="e">
        <f t="shared" ca="1" si="239"/>
        <v>#NAME?</v>
      </c>
      <c r="Z307" s="699">
        <f t="shared" si="221"/>
        <v>8.5</v>
      </c>
      <c r="AA307" s="355" t="str">
        <f t="shared" si="222"/>
        <v>ON</v>
      </c>
      <c r="AB307" s="357">
        <f t="shared" si="252"/>
        <v>1.4999999999999999E-2</v>
      </c>
      <c r="AC307" s="356" t="e">
        <f ca="1">IF(  Y306=0,0,IF(OR(S307="KCAS",S307="INOP",S307="MEFE"),   ( (5*( (   (((1+0.2*(T307/661.4786)^2)^3.5 -1)  )/( (1-6.8755856*10^-6 *100*Y307)^5.2558797) +1)^(2/7) -1) )^0.5),IF(S307="MACH",T307, IF(S307="LRC",BicubicInterpolation( 'LRC Mach'!$C$4:$AL$21, Y307,U307),  IF(S307="MRC",BicubicInterpolation( 'MRC Mach'!$C$3:$T$18, Y307,U307),  IF(S307="M0.84",0.84,  IF(S307="CI52",BicubicInterpolation('CI=52 Mach'!$C$3:$T$18, Y307,U307),  IF(S307="HOLDING",BicubicInterpolation(  'Holding Mach'!$C$4:$M$13, Y307,U307),                         IF(S307="LRCINOP", BicubicInterpolation('LRC INOP Mach'!$C$4:$AA$21,Y307,U307), IF(S307="HOLDINGINOP",  BicubicInterpolation('Holding INOP Mach'!$N$4:$U$13,Y307,U307),         "XXX" )))))))   )))</f>
        <v>#NAME?</v>
      </c>
      <c r="AD307" s="313" t="e">
        <f t="shared" ca="1" si="253"/>
        <v>#NAME?</v>
      </c>
      <c r="AE307" s="314" t="e">
        <f t="shared" ca="1" si="240"/>
        <v>#NAME?</v>
      </c>
      <c r="AF307" s="313" t="e">
        <f t="shared" ca="1" si="254"/>
        <v>#NAME?</v>
      </c>
      <c r="AG307" s="314" t="e">
        <f t="shared" ca="1" si="241"/>
        <v>#NAME?</v>
      </c>
      <c r="AH307" s="313" t="e">
        <f t="shared" ca="1" si="255"/>
        <v>#NAME?</v>
      </c>
      <c r="AI307" s="314" t="e">
        <f t="shared" ca="1" si="242"/>
        <v>#NAME?</v>
      </c>
      <c r="AJ307" s="315" t="e">
        <f t="shared" ca="1" si="243"/>
        <v>#NAME?</v>
      </c>
      <c r="AK307" s="568" t="e">
        <f t="shared" ca="1" si="256"/>
        <v>#NAME?</v>
      </c>
      <c r="AL307" s="313" t="e">
        <f t="shared" ca="1" si="257"/>
        <v>#NAME?</v>
      </c>
      <c r="AM307" s="313" t="e">
        <f t="shared" ca="1" si="244"/>
        <v>#NAME?</v>
      </c>
      <c r="AN307" s="313" t="e">
        <f t="shared" ca="1" si="245"/>
        <v>#NAME?</v>
      </c>
      <c r="AO307" s="316" t="e">
        <f t="shared" ca="1" si="258"/>
        <v>#NAME?</v>
      </c>
      <c r="AP307" s="313" t="e">
        <f t="shared" ca="1" si="259"/>
        <v>#NAME?</v>
      </c>
      <c r="AQ307" s="314" t="e">
        <f t="shared" ca="1" si="246"/>
        <v>#NAME?</v>
      </c>
      <c r="AR307" s="315" t="e">
        <f t="shared" ca="1" si="260"/>
        <v>#NAME?</v>
      </c>
      <c r="AS307" s="316" t="e">
        <f t="shared" ca="1" si="261"/>
        <v>#NAME?</v>
      </c>
      <c r="AT307" s="315" t="e">
        <f t="shared" ca="1" si="262"/>
        <v>#NAME?</v>
      </c>
      <c r="AU307" s="317">
        <v>427.8</v>
      </c>
      <c r="AV307" s="315" t="e">
        <f t="shared" ca="1" si="263"/>
        <v>#NAME?</v>
      </c>
      <c r="AW307" s="318" t="e">
        <f ca="1">0.0001*BicubicInterpolation('Drag Coef Table'!$B$4:$L$28,AV307,AC307)</f>
        <v>#NAME?</v>
      </c>
      <c r="AX307" s="319" t="e">
        <f t="shared" ca="1" si="264"/>
        <v>#NAME?</v>
      </c>
      <c r="AY307" s="318" t="e">
        <f t="shared" ca="1" si="265"/>
        <v>#NAME?</v>
      </c>
      <c r="AZ307" s="320" t="e">
        <f t="shared" ca="1" si="266"/>
        <v>#NAME?</v>
      </c>
      <c r="BA307" s="321" t="e">
        <f t="shared" ca="1" si="267"/>
        <v>#NAME?</v>
      </c>
      <c r="BB307" s="322" t="e">
        <f t="shared" ca="1" si="268"/>
        <v>#NAME?</v>
      </c>
      <c r="BC307" s="323">
        <v>75.196700000000007</v>
      </c>
      <c r="BD307" s="324" t="e">
        <f t="shared" ca="1" si="269"/>
        <v>#NAME?</v>
      </c>
      <c r="BE307" s="325" t="e">
        <f t="shared" ca="1" si="270"/>
        <v>#NAME?</v>
      </c>
      <c r="BF307" s="324" t="e">
        <f ca="1">BicubicInterpolation('TSFC Eff Table'!$B$4:$E$69,2,BB307)</f>
        <v>#NAME?</v>
      </c>
      <c r="BG307" s="326" t="e">
        <f t="shared" ca="1" si="271"/>
        <v>#NAME?</v>
      </c>
      <c r="BH307" s="694" t="e">
        <f ca="1">IF( S307="LRCINOP",   (1+(0.03/10)*Z307*(1+0.2*AC307^2) )*BicubicInterpolation( 'LRC INOP FF'!$C$4:$AA$21, Y307, U307 )-200, IF(S307 ="HOLDINGINOP", (1+(0.03/10)*Z307*(1+0.2*AC307^2) )*BicubicInterpolation( 'Holding INOP FF'!$C$4:$J$13,  Y307,  U307)/1.05-200,   BA307*BG307))</f>
        <v>#NAME?</v>
      </c>
      <c r="BI307" s="344" t="e">
        <f t="shared" ca="1" si="230"/>
        <v>#NAME?</v>
      </c>
      <c r="BJ307" s="322" t="e">
        <f t="shared" ca="1" si="272"/>
        <v>#NAME?</v>
      </c>
      <c r="BK307" s="338" t="e">
        <f t="shared" ca="1" si="231"/>
        <v>#NAME?</v>
      </c>
      <c r="BL307" s="327" t="e">
        <f t="shared" ca="1" si="273"/>
        <v>#NAME?</v>
      </c>
      <c r="BM307" s="328">
        <f t="shared" si="274"/>
        <v>200</v>
      </c>
      <c r="BN307" s="329" t="e">
        <f t="shared" ca="1" si="275"/>
        <v>#NAME?</v>
      </c>
      <c r="BO307" s="344" t="e">
        <f t="shared" ca="1" si="232"/>
        <v>#NAME?</v>
      </c>
      <c r="BP307" s="320" t="e">
        <f t="shared" ca="1" si="276"/>
        <v>#NAME?</v>
      </c>
      <c r="BQ307" s="344" t="e">
        <f t="shared" ca="1" si="233"/>
        <v>#NAME?</v>
      </c>
      <c r="BR307" s="347" t="e">
        <f t="shared" ca="1" si="234"/>
        <v>#NAME?</v>
      </c>
      <c r="BS307" s="326" t="e">
        <f t="shared" ca="1" si="277"/>
        <v>#NAME?</v>
      </c>
      <c r="BT307" s="437" t="e">
        <f t="shared" ca="1" si="247"/>
        <v>#NAME?</v>
      </c>
      <c r="BU307" s="437" t="e">
        <f t="shared" ca="1" si="248"/>
        <v>#NAME?</v>
      </c>
      <c r="BV307" s="441" t="e">
        <f t="shared" ca="1" si="249"/>
        <v>#NAME?</v>
      </c>
      <c r="BW307" s="442" t="e">
        <f t="shared" ca="1" si="250"/>
        <v>#NAME?</v>
      </c>
      <c r="BX307" s="470" t="e">
        <f t="shared" ca="1" si="223"/>
        <v>#NAME?</v>
      </c>
      <c r="BY307" s="484" t="e">
        <f t="shared" ca="1" si="235"/>
        <v>#NAME?</v>
      </c>
      <c r="BZ307" s="176"/>
    </row>
    <row r="308" spans="9:78" s="177" customFormat="1" ht="17.75" customHeight="1" x14ac:dyDescent="0.2">
      <c r="I308" s="366">
        <v>224</v>
      </c>
      <c r="J308" s="414">
        <f t="shared" si="236"/>
        <v>41705.868055556064</v>
      </c>
      <c r="K308" s="435" t="e">
        <f t="shared" ca="1" si="237"/>
        <v>#NAME?</v>
      </c>
      <c r="L308" s="435" t="e">
        <f t="shared" ca="1" si="224"/>
        <v>#NAME?</v>
      </c>
      <c r="M308" s="664" t="e">
        <f t="shared" ca="1" si="278"/>
        <v>#NAME?</v>
      </c>
      <c r="N308" s="664" t="e">
        <f t="shared" ca="1" si="279"/>
        <v>#NAME?</v>
      </c>
      <c r="O308" s="140" t="e">
        <f t="shared" ca="1" si="225"/>
        <v>#NAME?</v>
      </c>
      <c r="P308" s="352" t="e">
        <f t="shared" ca="1" si="238"/>
        <v>#NAME?</v>
      </c>
      <c r="Q308" s="665" t="e">
        <f t="shared" ca="1" si="218"/>
        <v>#NAME?</v>
      </c>
      <c r="R308" s="352" t="e">
        <f t="shared" ca="1" si="251"/>
        <v>#NAME?</v>
      </c>
      <c r="S308" s="662" t="e">
        <f t="shared" ca="1" si="226"/>
        <v>#NAME?</v>
      </c>
      <c r="T308" s="443" t="e">
        <f t="shared" ca="1" si="219"/>
        <v>#NAME?</v>
      </c>
      <c r="U308" s="369" t="e">
        <f t="shared" ca="1" si="220"/>
        <v>#NAME?</v>
      </c>
      <c r="V308" s="454" t="e">
        <f t="shared" ca="1" si="227"/>
        <v>#NAME?</v>
      </c>
      <c r="W308" s="457">
        <f t="shared" si="228"/>
        <v>1000</v>
      </c>
      <c r="X308" s="463" t="e">
        <f t="shared" ca="1" si="229"/>
        <v>#NAME?</v>
      </c>
      <c r="Y308" s="455" t="e">
        <f t="shared" ca="1" si="239"/>
        <v>#NAME?</v>
      </c>
      <c r="Z308" s="699">
        <f t="shared" si="221"/>
        <v>8.5</v>
      </c>
      <c r="AA308" s="355" t="str">
        <f t="shared" si="222"/>
        <v>ON</v>
      </c>
      <c r="AB308" s="357">
        <f t="shared" si="252"/>
        <v>1.4999999999999999E-2</v>
      </c>
      <c r="AC308" s="356" t="e">
        <f ca="1">IF(  Y307=0,0,IF(OR(S308="KCAS",S308="INOP",S308="MEFE"),   ( (5*( (   (((1+0.2*(T308/661.4786)^2)^3.5 -1)  )/( (1-6.8755856*10^-6 *100*Y308)^5.2558797) +1)^(2/7) -1) )^0.5),IF(S308="MACH",T308, IF(S308="LRC",BicubicInterpolation( 'LRC Mach'!$C$4:$AL$21, Y308,U308),  IF(S308="MRC",BicubicInterpolation( 'MRC Mach'!$C$3:$T$18, Y308,U308),  IF(S308="M0.84",0.84,  IF(S308="CI52",BicubicInterpolation('CI=52 Mach'!$C$3:$T$18, Y308,U308),  IF(S308="HOLDING",BicubicInterpolation(  'Holding Mach'!$C$4:$M$13, Y308,U308),                         IF(S308="LRCINOP", BicubicInterpolation('LRC INOP Mach'!$C$4:$AA$21,Y308,U308), IF(S308="HOLDINGINOP",  BicubicInterpolation('Holding INOP Mach'!$N$4:$U$13,Y308,U308),         "XXX" )))))))   )))</f>
        <v>#NAME?</v>
      </c>
      <c r="AD308" s="313" t="e">
        <f t="shared" ca="1" si="253"/>
        <v>#NAME?</v>
      </c>
      <c r="AE308" s="314" t="e">
        <f t="shared" ca="1" si="240"/>
        <v>#NAME?</v>
      </c>
      <c r="AF308" s="313" t="e">
        <f t="shared" ca="1" si="254"/>
        <v>#NAME?</v>
      </c>
      <c r="AG308" s="314" t="e">
        <f t="shared" ca="1" si="241"/>
        <v>#NAME?</v>
      </c>
      <c r="AH308" s="313" t="e">
        <f t="shared" ca="1" si="255"/>
        <v>#NAME?</v>
      </c>
      <c r="AI308" s="314" t="e">
        <f t="shared" ca="1" si="242"/>
        <v>#NAME?</v>
      </c>
      <c r="AJ308" s="315" t="e">
        <f t="shared" ca="1" si="243"/>
        <v>#NAME?</v>
      </c>
      <c r="AK308" s="568" t="e">
        <f t="shared" ca="1" si="256"/>
        <v>#NAME?</v>
      </c>
      <c r="AL308" s="313" t="e">
        <f t="shared" ca="1" si="257"/>
        <v>#NAME?</v>
      </c>
      <c r="AM308" s="313" t="e">
        <f t="shared" ca="1" si="244"/>
        <v>#NAME?</v>
      </c>
      <c r="AN308" s="313" t="e">
        <f t="shared" ca="1" si="245"/>
        <v>#NAME?</v>
      </c>
      <c r="AO308" s="316" t="e">
        <f t="shared" ca="1" si="258"/>
        <v>#NAME?</v>
      </c>
      <c r="AP308" s="313" t="e">
        <f t="shared" ca="1" si="259"/>
        <v>#NAME?</v>
      </c>
      <c r="AQ308" s="314" t="e">
        <f t="shared" ca="1" si="246"/>
        <v>#NAME?</v>
      </c>
      <c r="AR308" s="315" t="e">
        <f t="shared" ca="1" si="260"/>
        <v>#NAME?</v>
      </c>
      <c r="AS308" s="316" t="e">
        <f t="shared" ca="1" si="261"/>
        <v>#NAME?</v>
      </c>
      <c r="AT308" s="315" t="e">
        <f t="shared" ca="1" si="262"/>
        <v>#NAME?</v>
      </c>
      <c r="AU308" s="317">
        <v>427.8</v>
      </c>
      <c r="AV308" s="315" t="e">
        <f t="shared" ca="1" si="263"/>
        <v>#NAME?</v>
      </c>
      <c r="AW308" s="318" t="e">
        <f ca="1">0.0001*BicubicInterpolation('Drag Coef Table'!$B$4:$L$28,AV308,AC308)</f>
        <v>#NAME?</v>
      </c>
      <c r="AX308" s="319" t="e">
        <f t="shared" ca="1" si="264"/>
        <v>#NAME?</v>
      </c>
      <c r="AY308" s="318" t="e">
        <f t="shared" ca="1" si="265"/>
        <v>#NAME?</v>
      </c>
      <c r="AZ308" s="320" t="e">
        <f t="shared" ca="1" si="266"/>
        <v>#NAME?</v>
      </c>
      <c r="BA308" s="321" t="e">
        <f t="shared" ca="1" si="267"/>
        <v>#NAME?</v>
      </c>
      <c r="BB308" s="322" t="e">
        <f t="shared" ca="1" si="268"/>
        <v>#NAME?</v>
      </c>
      <c r="BC308" s="323">
        <v>75.196700000000007</v>
      </c>
      <c r="BD308" s="324" t="e">
        <f t="shared" ca="1" si="269"/>
        <v>#NAME?</v>
      </c>
      <c r="BE308" s="325" t="e">
        <f t="shared" ca="1" si="270"/>
        <v>#NAME?</v>
      </c>
      <c r="BF308" s="324" t="e">
        <f ca="1">BicubicInterpolation('TSFC Eff Table'!$B$4:$E$69,2,BB308)</f>
        <v>#NAME?</v>
      </c>
      <c r="BG308" s="326" t="e">
        <f t="shared" ca="1" si="271"/>
        <v>#NAME?</v>
      </c>
      <c r="BH308" s="694" t="e">
        <f ca="1">IF( S308="LRCINOP",   (1+(0.03/10)*Z308*(1+0.2*AC308^2) )*BicubicInterpolation( 'LRC INOP FF'!$C$4:$AA$21, Y308, U308 )-200, IF(S308 ="HOLDINGINOP", (1+(0.03/10)*Z308*(1+0.2*AC308^2) )*BicubicInterpolation( 'Holding INOP FF'!$C$4:$J$13,  Y308,  U308)/1.05-200,   BA308*BG308))</f>
        <v>#NAME?</v>
      </c>
      <c r="BI308" s="344" t="e">
        <f t="shared" ca="1" si="230"/>
        <v>#NAME?</v>
      </c>
      <c r="BJ308" s="322" t="e">
        <f t="shared" ca="1" si="272"/>
        <v>#NAME?</v>
      </c>
      <c r="BK308" s="338" t="e">
        <f t="shared" ca="1" si="231"/>
        <v>#NAME?</v>
      </c>
      <c r="BL308" s="327" t="e">
        <f t="shared" ca="1" si="273"/>
        <v>#NAME?</v>
      </c>
      <c r="BM308" s="328">
        <f t="shared" si="274"/>
        <v>200</v>
      </c>
      <c r="BN308" s="329" t="e">
        <f t="shared" ca="1" si="275"/>
        <v>#NAME?</v>
      </c>
      <c r="BO308" s="344" t="e">
        <f t="shared" ca="1" si="232"/>
        <v>#NAME?</v>
      </c>
      <c r="BP308" s="320" t="e">
        <f t="shared" ca="1" si="276"/>
        <v>#NAME?</v>
      </c>
      <c r="BQ308" s="344" t="e">
        <f t="shared" ca="1" si="233"/>
        <v>#NAME?</v>
      </c>
      <c r="BR308" s="347" t="e">
        <f t="shared" ca="1" si="234"/>
        <v>#NAME?</v>
      </c>
      <c r="BS308" s="326" t="e">
        <f t="shared" ca="1" si="277"/>
        <v>#NAME?</v>
      </c>
      <c r="BT308" s="437" t="e">
        <f t="shared" ca="1" si="247"/>
        <v>#NAME?</v>
      </c>
      <c r="BU308" s="437" t="e">
        <f t="shared" ca="1" si="248"/>
        <v>#NAME?</v>
      </c>
      <c r="BV308" s="441" t="e">
        <f t="shared" ca="1" si="249"/>
        <v>#NAME?</v>
      </c>
      <c r="BW308" s="442" t="e">
        <f t="shared" ca="1" si="250"/>
        <v>#NAME?</v>
      </c>
      <c r="BX308" s="470" t="e">
        <f t="shared" ca="1" si="223"/>
        <v>#NAME?</v>
      </c>
      <c r="BY308" s="484" t="e">
        <f t="shared" ca="1" si="235"/>
        <v>#NAME?</v>
      </c>
      <c r="BZ308" s="176"/>
    </row>
    <row r="309" spans="9:78" s="177" customFormat="1" ht="17.75" customHeight="1" x14ac:dyDescent="0.2">
      <c r="I309" s="366">
        <v>225</v>
      </c>
      <c r="J309" s="414">
        <f t="shared" si="236"/>
        <v>41705.868750000511</v>
      </c>
      <c r="K309" s="435" t="e">
        <f t="shared" ca="1" si="237"/>
        <v>#NAME?</v>
      </c>
      <c r="L309" s="435" t="e">
        <f t="shared" ca="1" si="224"/>
        <v>#NAME?</v>
      </c>
      <c r="M309" s="664" t="e">
        <f t="shared" ca="1" si="278"/>
        <v>#NAME?</v>
      </c>
      <c r="N309" s="664" t="e">
        <f t="shared" ca="1" si="279"/>
        <v>#NAME?</v>
      </c>
      <c r="O309" s="140" t="e">
        <f t="shared" ca="1" si="225"/>
        <v>#NAME?</v>
      </c>
      <c r="P309" s="352" t="e">
        <f t="shared" ca="1" si="238"/>
        <v>#NAME?</v>
      </c>
      <c r="Q309" s="665" t="e">
        <f t="shared" ca="1" si="218"/>
        <v>#NAME?</v>
      </c>
      <c r="R309" s="352" t="e">
        <f t="shared" ca="1" si="251"/>
        <v>#NAME?</v>
      </c>
      <c r="S309" s="662" t="e">
        <f t="shared" ca="1" si="226"/>
        <v>#NAME?</v>
      </c>
      <c r="T309" s="443" t="e">
        <f t="shared" ca="1" si="219"/>
        <v>#NAME?</v>
      </c>
      <c r="U309" s="369" t="e">
        <f t="shared" ca="1" si="220"/>
        <v>#NAME?</v>
      </c>
      <c r="V309" s="454" t="e">
        <f t="shared" ca="1" si="227"/>
        <v>#NAME?</v>
      </c>
      <c r="W309" s="457">
        <f t="shared" si="228"/>
        <v>1000</v>
      </c>
      <c r="X309" s="463" t="e">
        <f t="shared" ca="1" si="229"/>
        <v>#NAME?</v>
      </c>
      <c r="Y309" s="455" t="e">
        <f t="shared" ca="1" si="239"/>
        <v>#NAME?</v>
      </c>
      <c r="Z309" s="699">
        <f t="shared" si="221"/>
        <v>8.5</v>
      </c>
      <c r="AA309" s="355" t="str">
        <f t="shared" si="222"/>
        <v>ON</v>
      </c>
      <c r="AB309" s="357">
        <f t="shared" si="252"/>
        <v>1.4999999999999999E-2</v>
      </c>
      <c r="AC309" s="356" t="e">
        <f ca="1">IF(  Y308=0,0,IF(OR(S309="KCAS",S309="INOP",S309="MEFE"),   ( (5*( (   (((1+0.2*(T309/661.4786)^2)^3.5 -1)  )/( (1-6.8755856*10^-6 *100*Y309)^5.2558797) +1)^(2/7) -1) )^0.5),IF(S309="MACH",T309, IF(S309="LRC",BicubicInterpolation( 'LRC Mach'!$C$4:$AL$21, Y309,U309),  IF(S309="MRC",BicubicInterpolation( 'MRC Mach'!$C$3:$T$18, Y309,U309),  IF(S309="M0.84",0.84,  IF(S309="CI52",BicubicInterpolation('CI=52 Mach'!$C$3:$T$18, Y309,U309),  IF(S309="HOLDING",BicubicInterpolation(  'Holding Mach'!$C$4:$M$13, Y309,U309),                         IF(S309="LRCINOP", BicubicInterpolation('LRC INOP Mach'!$C$4:$AA$21,Y309,U309), IF(S309="HOLDINGINOP",  BicubicInterpolation('Holding INOP Mach'!$N$4:$U$13,Y309,U309),         "XXX" )))))))   )))</f>
        <v>#NAME?</v>
      </c>
      <c r="AD309" s="313" t="e">
        <f t="shared" ca="1" si="253"/>
        <v>#NAME?</v>
      </c>
      <c r="AE309" s="314" t="e">
        <f t="shared" ca="1" si="240"/>
        <v>#NAME?</v>
      </c>
      <c r="AF309" s="313" t="e">
        <f t="shared" ca="1" si="254"/>
        <v>#NAME?</v>
      </c>
      <c r="AG309" s="314" t="e">
        <f t="shared" ca="1" si="241"/>
        <v>#NAME?</v>
      </c>
      <c r="AH309" s="313" t="e">
        <f t="shared" ca="1" si="255"/>
        <v>#NAME?</v>
      </c>
      <c r="AI309" s="314" t="e">
        <f t="shared" ca="1" si="242"/>
        <v>#NAME?</v>
      </c>
      <c r="AJ309" s="315" t="e">
        <f t="shared" ca="1" si="243"/>
        <v>#NAME?</v>
      </c>
      <c r="AK309" s="568" t="e">
        <f t="shared" ca="1" si="256"/>
        <v>#NAME?</v>
      </c>
      <c r="AL309" s="313" t="e">
        <f t="shared" ca="1" si="257"/>
        <v>#NAME?</v>
      </c>
      <c r="AM309" s="313" t="e">
        <f t="shared" ca="1" si="244"/>
        <v>#NAME?</v>
      </c>
      <c r="AN309" s="313" t="e">
        <f t="shared" ca="1" si="245"/>
        <v>#NAME?</v>
      </c>
      <c r="AO309" s="316" t="e">
        <f t="shared" ca="1" si="258"/>
        <v>#NAME?</v>
      </c>
      <c r="AP309" s="313" t="e">
        <f t="shared" ca="1" si="259"/>
        <v>#NAME?</v>
      </c>
      <c r="AQ309" s="314" t="e">
        <f t="shared" ca="1" si="246"/>
        <v>#NAME?</v>
      </c>
      <c r="AR309" s="315" t="e">
        <f t="shared" ca="1" si="260"/>
        <v>#NAME?</v>
      </c>
      <c r="AS309" s="316" t="e">
        <f t="shared" ca="1" si="261"/>
        <v>#NAME?</v>
      </c>
      <c r="AT309" s="315" t="e">
        <f t="shared" ca="1" si="262"/>
        <v>#NAME?</v>
      </c>
      <c r="AU309" s="317">
        <v>427.8</v>
      </c>
      <c r="AV309" s="315" t="e">
        <f t="shared" ca="1" si="263"/>
        <v>#NAME?</v>
      </c>
      <c r="AW309" s="318" t="e">
        <f ca="1">0.0001*BicubicInterpolation('Drag Coef Table'!$B$4:$L$28,AV309,AC309)</f>
        <v>#NAME?</v>
      </c>
      <c r="AX309" s="319" t="e">
        <f t="shared" ca="1" si="264"/>
        <v>#NAME?</v>
      </c>
      <c r="AY309" s="318" t="e">
        <f t="shared" ca="1" si="265"/>
        <v>#NAME?</v>
      </c>
      <c r="AZ309" s="320" t="e">
        <f t="shared" ca="1" si="266"/>
        <v>#NAME?</v>
      </c>
      <c r="BA309" s="321" t="e">
        <f t="shared" ca="1" si="267"/>
        <v>#NAME?</v>
      </c>
      <c r="BB309" s="322" t="e">
        <f t="shared" ca="1" si="268"/>
        <v>#NAME?</v>
      </c>
      <c r="BC309" s="323">
        <v>75.196700000000007</v>
      </c>
      <c r="BD309" s="324" t="e">
        <f t="shared" ca="1" si="269"/>
        <v>#NAME?</v>
      </c>
      <c r="BE309" s="325" t="e">
        <f t="shared" ca="1" si="270"/>
        <v>#NAME?</v>
      </c>
      <c r="BF309" s="324" t="e">
        <f ca="1">BicubicInterpolation('TSFC Eff Table'!$B$4:$E$69,2,BB309)</f>
        <v>#NAME?</v>
      </c>
      <c r="BG309" s="326" t="e">
        <f t="shared" ca="1" si="271"/>
        <v>#NAME?</v>
      </c>
      <c r="BH309" s="694" t="e">
        <f ca="1">IF( S309="LRCINOP",   (1+(0.03/10)*Z309*(1+0.2*AC309^2) )*BicubicInterpolation( 'LRC INOP FF'!$C$4:$AA$21, Y309, U309 )-200, IF(S309 ="HOLDINGINOP", (1+(0.03/10)*Z309*(1+0.2*AC309^2) )*BicubicInterpolation( 'Holding INOP FF'!$C$4:$J$13,  Y309,  U309)/1.05-200,   BA309*BG309))</f>
        <v>#NAME?</v>
      </c>
      <c r="BI309" s="344" t="e">
        <f t="shared" ca="1" si="230"/>
        <v>#NAME?</v>
      </c>
      <c r="BJ309" s="322" t="e">
        <f t="shared" ca="1" si="272"/>
        <v>#NAME?</v>
      </c>
      <c r="BK309" s="338" t="e">
        <f t="shared" ca="1" si="231"/>
        <v>#NAME?</v>
      </c>
      <c r="BL309" s="327" t="e">
        <f t="shared" ca="1" si="273"/>
        <v>#NAME?</v>
      </c>
      <c r="BM309" s="328">
        <f t="shared" si="274"/>
        <v>200</v>
      </c>
      <c r="BN309" s="329" t="e">
        <f t="shared" ca="1" si="275"/>
        <v>#NAME?</v>
      </c>
      <c r="BO309" s="344" t="e">
        <f t="shared" ca="1" si="232"/>
        <v>#NAME?</v>
      </c>
      <c r="BP309" s="320" t="e">
        <f t="shared" ca="1" si="276"/>
        <v>#NAME?</v>
      </c>
      <c r="BQ309" s="344" t="e">
        <f t="shared" ca="1" si="233"/>
        <v>#NAME?</v>
      </c>
      <c r="BR309" s="347" t="e">
        <f t="shared" ca="1" si="234"/>
        <v>#NAME?</v>
      </c>
      <c r="BS309" s="326" t="e">
        <f t="shared" ca="1" si="277"/>
        <v>#NAME?</v>
      </c>
      <c r="BT309" s="437" t="e">
        <f t="shared" ca="1" si="247"/>
        <v>#NAME?</v>
      </c>
      <c r="BU309" s="437" t="e">
        <f t="shared" ca="1" si="248"/>
        <v>#NAME?</v>
      </c>
      <c r="BV309" s="441" t="e">
        <f t="shared" ca="1" si="249"/>
        <v>#NAME?</v>
      </c>
      <c r="BW309" s="442" t="e">
        <f t="shared" ca="1" si="250"/>
        <v>#NAME?</v>
      </c>
      <c r="BX309" s="470" t="e">
        <f t="shared" ca="1" si="223"/>
        <v>#NAME?</v>
      </c>
      <c r="BY309" s="484" t="e">
        <f t="shared" ca="1" si="235"/>
        <v>#NAME?</v>
      </c>
      <c r="BZ309" s="176"/>
    </row>
    <row r="310" spans="9:78" s="177" customFormat="1" ht="17.75" customHeight="1" x14ac:dyDescent="0.2">
      <c r="I310" s="366">
        <v>226</v>
      </c>
      <c r="J310" s="414">
        <f t="shared" si="236"/>
        <v>41705.869444444957</v>
      </c>
      <c r="K310" s="435" t="e">
        <f t="shared" ca="1" si="237"/>
        <v>#NAME?</v>
      </c>
      <c r="L310" s="435" t="e">
        <f t="shared" ca="1" si="224"/>
        <v>#NAME?</v>
      </c>
      <c r="M310" s="664" t="e">
        <f t="shared" ca="1" si="278"/>
        <v>#NAME?</v>
      </c>
      <c r="N310" s="664" t="e">
        <f t="shared" ca="1" si="279"/>
        <v>#NAME?</v>
      </c>
      <c r="O310" s="140" t="e">
        <f t="shared" ca="1" si="225"/>
        <v>#NAME?</v>
      </c>
      <c r="P310" s="352" t="e">
        <f t="shared" ca="1" si="238"/>
        <v>#NAME?</v>
      </c>
      <c r="Q310" s="665" t="e">
        <f t="shared" ca="1" si="218"/>
        <v>#NAME?</v>
      </c>
      <c r="R310" s="352" t="e">
        <f t="shared" ca="1" si="251"/>
        <v>#NAME?</v>
      </c>
      <c r="S310" s="662" t="e">
        <f t="shared" ca="1" si="226"/>
        <v>#NAME?</v>
      </c>
      <c r="T310" s="443" t="e">
        <f t="shared" ca="1" si="219"/>
        <v>#NAME?</v>
      </c>
      <c r="U310" s="369" t="e">
        <f t="shared" ca="1" si="220"/>
        <v>#NAME?</v>
      </c>
      <c r="V310" s="454" t="e">
        <f t="shared" ca="1" si="227"/>
        <v>#NAME?</v>
      </c>
      <c r="W310" s="457">
        <f t="shared" si="228"/>
        <v>1000</v>
      </c>
      <c r="X310" s="463" t="e">
        <f t="shared" ca="1" si="229"/>
        <v>#NAME?</v>
      </c>
      <c r="Y310" s="455" t="e">
        <f t="shared" ca="1" si="239"/>
        <v>#NAME?</v>
      </c>
      <c r="Z310" s="699">
        <f t="shared" si="221"/>
        <v>8.5</v>
      </c>
      <c r="AA310" s="355" t="str">
        <f t="shared" si="222"/>
        <v>ON</v>
      </c>
      <c r="AB310" s="357">
        <f t="shared" si="252"/>
        <v>1.4999999999999999E-2</v>
      </c>
      <c r="AC310" s="356" t="e">
        <f ca="1">IF(  Y309=0,0,IF(OR(S310="KCAS",S310="INOP",S310="MEFE"),   ( (5*( (   (((1+0.2*(T310/661.4786)^2)^3.5 -1)  )/( (1-6.8755856*10^-6 *100*Y310)^5.2558797) +1)^(2/7) -1) )^0.5),IF(S310="MACH",T310, IF(S310="LRC",BicubicInterpolation( 'LRC Mach'!$C$4:$AL$21, Y310,U310),  IF(S310="MRC",BicubicInterpolation( 'MRC Mach'!$C$3:$T$18, Y310,U310),  IF(S310="M0.84",0.84,  IF(S310="CI52",BicubicInterpolation('CI=52 Mach'!$C$3:$T$18, Y310,U310),  IF(S310="HOLDING",BicubicInterpolation(  'Holding Mach'!$C$4:$M$13, Y310,U310),                         IF(S310="LRCINOP", BicubicInterpolation('LRC INOP Mach'!$C$4:$AA$21,Y310,U310), IF(S310="HOLDINGINOP",  BicubicInterpolation('Holding INOP Mach'!$N$4:$U$13,Y310,U310),         "XXX" )))))))   )))</f>
        <v>#NAME?</v>
      </c>
      <c r="AD310" s="313" t="e">
        <f t="shared" ca="1" si="253"/>
        <v>#NAME?</v>
      </c>
      <c r="AE310" s="314" t="e">
        <f t="shared" ca="1" si="240"/>
        <v>#NAME?</v>
      </c>
      <c r="AF310" s="313" t="e">
        <f t="shared" ca="1" si="254"/>
        <v>#NAME?</v>
      </c>
      <c r="AG310" s="314" t="e">
        <f t="shared" ca="1" si="241"/>
        <v>#NAME?</v>
      </c>
      <c r="AH310" s="313" t="e">
        <f t="shared" ca="1" si="255"/>
        <v>#NAME?</v>
      </c>
      <c r="AI310" s="314" t="e">
        <f t="shared" ca="1" si="242"/>
        <v>#NAME?</v>
      </c>
      <c r="AJ310" s="315" t="e">
        <f t="shared" ca="1" si="243"/>
        <v>#NAME?</v>
      </c>
      <c r="AK310" s="568" t="e">
        <f t="shared" ca="1" si="256"/>
        <v>#NAME?</v>
      </c>
      <c r="AL310" s="313" t="e">
        <f t="shared" ca="1" si="257"/>
        <v>#NAME?</v>
      </c>
      <c r="AM310" s="313" t="e">
        <f t="shared" ca="1" si="244"/>
        <v>#NAME?</v>
      </c>
      <c r="AN310" s="313" t="e">
        <f t="shared" ca="1" si="245"/>
        <v>#NAME?</v>
      </c>
      <c r="AO310" s="316" t="e">
        <f t="shared" ca="1" si="258"/>
        <v>#NAME?</v>
      </c>
      <c r="AP310" s="313" t="e">
        <f t="shared" ca="1" si="259"/>
        <v>#NAME?</v>
      </c>
      <c r="AQ310" s="314" t="e">
        <f t="shared" ca="1" si="246"/>
        <v>#NAME?</v>
      </c>
      <c r="AR310" s="315" t="e">
        <f t="shared" ca="1" si="260"/>
        <v>#NAME?</v>
      </c>
      <c r="AS310" s="316" t="e">
        <f t="shared" ca="1" si="261"/>
        <v>#NAME?</v>
      </c>
      <c r="AT310" s="315" t="e">
        <f t="shared" ca="1" si="262"/>
        <v>#NAME?</v>
      </c>
      <c r="AU310" s="317">
        <v>427.8</v>
      </c>
      <c r="AV310" s="315" t="e">
        <f t="shared" ca="1" si="263"/>
        <v>#NAME?</v>
      </c>
      <c r="AW310" s="318" t="e">
        <f ca="1">0.0001*BicubicInterpolation('Drag Coef Table'!$B$4:$L$28,AV310,AC310)</f>
        <v>#NAME?</v>
      </c>
      <c r="AX310" s="319" t="e">
        <f t="shared" ca="1" si="264"/>
        <v>#NAME?</v>
      </c>
      <c r="AY310" s="318" t="e">
        <f t="shared" ca="1" si="265"/>
        <v>#NAME?</v>
      </c>
      <c r="AZ310" s="320" t="e">
        <f t="shared" ca="1" si="266"/>
        <v>#NAME?</v>
      </c>
      <c r="BA310" s="321" t="e">
        <f t="shared" ca="1" si="267"/>
        <v>#NAME?</v>
      </c>
      <c r="BB310" s="322" t="e">
        <f t="shared" ca="1" si="268"/>
        <v>#NAME?</v>
      </c>
      <c r="BC310" s="323">
        <v>75.196700000000007</v>
      </c>
      <c r="BD310" s="324" t="e">
        <f t="shared" ca="1" si="269"/>
        <v>#NAME?</v>
      </c>
      <c r="BE310" s="325" t="e">
        <f t="shared" ca="1" si="270"/>
        <v>#NAME?</v>
      </c>
      <c r="BF310" s="324" t="e">
        <f ca="1">BicubicInterpolation('TSFC Eff Table'!$B$4:$E$69,2,BB310)</f>
        <v>#NAME?</v>
      </c>
      <c r="BG310" s="326" t="e">
        <f t="shared" ca="1" si="271"/>
        <v>#NAME?</v>
      </c>
      <c r="BH310" s="694" t="e">
        <f ca="1">IF( S310="LRCINOP",   (1+(0.03/10)*Z310*(1+0.2*AC310^2) )*BicubicInterpolation( 'LRC INOP FF'!$C$4:$AA$21, Y310, U310 )-200, IF(S310 ="HOLDINGINOP", (1+(0.03/10)*Z310*(1+0.2*AC310^2) )*BicubicInterpolation( 'Holding INOP FF'!$C$4:$J$13,  Y310,  U310)/1.05-200,   BA310*BG310))</f>
        <v>#NAME?</v>
      </c>
      <c r="BI310" s="344" t="e">
        <f t="shared" ca="1" si="230"/>
        <v>#NAME?</v>
      </c>
      <c r="BJ310" s="322" t="e">
        <f t="shared" ca="1" si="272"/>
        <v>#NAME?</v>
      </c>
      <c r="BK310" s="338" t="e">
        <f t="shared" ca="1" si="231"/>
        <v>#NAME?</v>
      </c>
      <c r="BL310" s="327" t="e">
        <f t="shared" ca="1" si="273"/>
        <v>#NAME?</v>
      </c>
      <c r="BM310" s="328">
        <f t="shared" si="274"/>
        <v>200</v>
      </c>
      <c r="BN310" s="329" t="e">
        <f t="shared" ca="1" si="275"/>
        <v>#NAME?</v>
      </c>
      <c r="BO310" s="344" t="e">
        <f t="shared" ca="1" si="232"/>
        <v>#NAME?</v>
      </c>
      <c r="BP310" s="320" t="e">
        <f t="shared" ca="1" si="276"/>
        <v>#NAME?</v>
      </c>
      <c r="BQ310" s="344" t="e">
        <f t="shared" ca="1" si="233"/>
        <v>#NAME?</v>
      </c>
      <c r="BR310" s="347" t="e">
        <f t="shared" ca="1" si="234"/>
        <v>#NAME?</v>
      </c>
      <c r="BS310" s="326" t="e">
        <f t="shared" ca="1" si="277"/>
        <v>#NAME?</v>
      </c>
      <c r="BT310" s="437" t="e">
        <f t="shared" ca="1" si="247"/>
        <v>#NAME?</v>
      </c>
      <c r="BU310" s="437" t="e">
        <f t="shared" ca="1" si="248"/>
        <v>#NAME?</v>
      </c>
      <c r="BV310" s="441" t="e">
        <f t="shared" ca="1" si="249"/>
        <v>#NAME?</v>
      </c>
      <c r="BW310" s="442" t="e">
        <f t="shared" ca="1" si="250"/>
        <v>#NAME?</v>
      </c>
      <c r="BX310" s="470" t="e">
        <f t="shared" ca="1" si="223"/>
        <v>#NAME?</v>
      </c>
      <c r="BY310" s="484" t="e">
        <f t="shared" ca="1" si="235"/>
        <v>#NAME?</v>
      </c>
      <c r="BZ310" s="176"/>
    </row>
    <row r="311" spans="9:78" s="177" customFormat="1" ht="17.75" customHeight="1" x14ac:dyDescent="0.2">
      <c r="I311" s="366">
        <v>227</v>
      </c>
      <c r="J311" s="414">
        <f t="shared" si="236"/>
        <v>41705.870138889404</v>
      </c>
      <c r="K311" s="435" t="e">
        <f t="shared" ca="1" si="237"/>
        <v>#NAME?</v>
      </c>
      <c r="L311" s="435" t="e">
        <f t="shared" ca="1" si="224"/>
        <v>#NAME?</v>
      </c>
      <c r="M311" s="664" t="e">
        <f t="shared" ca="1" si="278"/>
        <v>#NAME?</v>
      </c>
      <c r="N311" s="664" t="e">
        <f t="shared" ca="1" si="279"/>
        <v>#NAME?</v>
      </c>
      <c r="O311" s="140" t="e">
        <f t="shared" ca="1" si="225"/>
        <v>#NAME?</v>
      </c>
      <c r="P311" s="352" t="e">
        <f t="shared" ca="1" si="238"/>
        <v>#NAME?</v>
      </c>
      <c r="Q311" s="665" t="e">
        <f t="shared" ca="1" si="218"/>
        <v>#NAME?</v>
      </c>
      <c r="R311" s="352" t="e">
        <f t="shared" ca="1" si="251"/>
        <v>#NAME?</v>
      </c>
      <c r="S311" s="662" t="e">
        <f t="shared" ca="1" si="226"/>
        <v>#NAME?</v>
      </c>
      <c r="T311" s="443" t="e">
        <f t="shared" ca="1" si="219"/>
        <v>#NAME?</v>
      </c>
      <c r="U311" s="369" t="e">
        <f t="shared" ca="1" si="220"/>
        <v>#NAME?</v>
      </c>
      <c r="V311" s="454" t="e">
        <f t="shared" ca="1" si="227"/>
        <v>#NAME?</v>
      </c>
      <c r="W311" s="457">
        <f t="shared" si="228"/>
        <v>1000</v>
      </c>
      <c r="X311" s="463" t="e">
        <f t="shared" ca="1" si="229"/>
        <v>#NAME?</v>
      </c>
      <c r="Y311" s="455" t="e">
        <f t="shared" ca="1" si="239"/>
        <v>#NAME?</v>
      </c>
      <c r="Z311" s="699">
        <f t="shared" si="221"/>
        <v>8.5</v>
      </c>
      <c r="AA311" s="355" t="str">
        <f t="shared" si="222"/>
        <v>ON</v>
      </c>
      <c r="AB311" s="357">
        <f t="shared" si="252"/>
        <v>1.4999999999999999E-2</v>
      </c>
      <c r="AC311" s="356" t="e">
        <f ca="1">IF(  Y310=0,0,IF(OR(S311="KCAS",S311="INOP",S311="MEFE"),   ( (5*( (   (((1+0.2*(T311/661.4786)^2)^3.5 -1)  )/( (1-6.8755856*10^-6 *100*Y311)^5.2558797) +1)^(2/7) -1) )^0.5),IF(S311="MACH",T311, IF(S311="LRC",BicubicInterpolation( 'LRC Mach'!$C$4:$AL$21, Y311,U311),  IF(S311="MRC",BicubicInterpolation( 'MRC Mach'!$C$3:$T$18, Y311,U311),  IF(S311="M0.84",0.84,  IF(S311="CI52",BicubicInterpolation('CI=52 Mach'!$C$3:$T$18, Y311,U311),  IF(S311="HOLDING",BicubicInterpolation(  'Holding Mach'!$C$4:$M$13, Y311,U311),                         IF(S311="LRCINOP", BicubicInterpolation('LRC INOP Mach'!$C$4:$AA$21,Y311,U311), IF(S311="HOLDINGINOP",  BicubicInterpolation('Holding INOP Mach'!$N$4:$U$13,Y311,U311),         "XXX" )))))))   )))</f>
        <v>#NAME?</v>
      </c>
      <c r="AD311" s="313" t="e">
        <f t="shared" ca="1" si="253"/>
        <v>#NAME?</v>
      </c>
      <c r="AE311" s="314" t="e">
        <f t="shared" ca="1" si="240"/>
        <v>#NAME?</v>
      </c>
      <c r="AF311" s="313" t="e">
        <f t="shared" ca="1" si="254"/>
        <v>#NAME?</v>
      </c>
      <c r="AG311" s="314" t="e">
        <f t="shared" ca="1" si="241"/>
        <v>#NAME?</v>
      </c>
      <c r="AH311" s="313" t="e">
        <f t="shared" ca="1" si="255"/>
        <v>#NAME?</v>
      </c>
      <c r="AI311" s="314" t="e">
        <f t="shared" ca="1" si="242"/>
        <v>#NAME?</v>
      </c>
      <c r="AJ311" s="315" t="e">
        <f t="shared" ca="1" si="243"/>
        <v>#NAME?</v>
      </c>
      <c r="AK311" s="568" t="e">
        <f t="shared" ca="1" si="256"/>
        <v>#NAME?</v>
      </c>
      <c r="AL311" s="313" t="e">
        <f t="shared" ca="1" si="257"/>
        <v>#NAME?</v>
      </c>
      <c r="AM311" s="313" t="e">
        <f t="shared" ca="1" si="244"/>
        <v>#NAME?</v>
      </c>
      <c r="AN311" s="313" t="e">
        <f t="shared" ca="1" si="245"/>
        <v>#NAME?</v>
      </c>
      <c r="AO311" s="316" t="e">
        <f t="shared" ca="1" si="258"/>
        <v>#NAME?</v>
      </c>
      <c r="AP311" s="313" t="e">
        <f t="shared" ca="1" si="259"/>
        <v>#NAME?</v>
      </c>
      <c r="AQ311" s="314" t="e">
        <f t="shared" ca="1" si="246"/>
        <v>#NAME?</v>
      </c>
      <c r="AR311" s="315" t="e">
        <f t="shared" ca="1" si="260"/>
        <v>#NAME?</v>
      </c>
      <c r="AS311" s="316" t="e">
        <f t="shared" ca="1" si="261"/>
        <v>#NAME?</v>
      </c>
      <c r="AT311" s="315" t="e">
        <f t="shared" ca="1" si="262"/>
        <v>#NAME?</v>
      </c>
      <c r="AU311" s="317">
        <v>427.8</v>
      </c>
      <c r="AV311" s="315" t="e">
        <f t="shared" ca="1" si="263"/>
        <v>#NAME?</v>
      </c>
      <c r="AW311" s="318" t="e">
        <f ca="1">0.0001*BicubicInterpolation('Drag Coef Table'!$B$4:$L$28,AV311,AC311)</f>
        <v>#NAME?</v>
      </c>
      <c r="AX311" s="319" t="e">
        <f t="shared" ca="1" si="264"/>
        <v>#NAME?</v>
      </c>
      <c r="AY311" s="318" t="e">
        <f t="shared" ca="1" si="265"/>
        <v>#NAME?</v>
      </c>
      <c r="AZ311" s="320" t="e">
        <f t="shared" ca="1" si="266"/>
        <v>#NAME?</v>
      </c>
      <c r="BA311" s="321" t="e">
        <f t="shared" ca="1" si="267"/>
        <v>#NAME?</v>
      </c>
      <c r="BB311" s="322" t="e">
        <f t="shared" ca="1" si="268"/>
        <v>#NAME?</v>
      </c>
      <c r="BC311" s="323">
        <v>75.196700000000007</v>
      </c>
      <c r="BD311" s="324" t="e">
        <f t="shared" ca="1" si="269"/>
        <v>#NAME?</v>
      </c>
      <c r="BE311" s="325" t="e">
        <f t="shared" ca="1" si="270"/>
        <v>#NAME?</v>
      </c>
      <c r="BF311" s="324" t="e">
        <f ca="1">BicubicInterpolation('TSFC Eff Table'!$B$4:$E$69,2,BB311)</f>
        <v>#NAME?</v>
      </c>
      <c r="BG311" s="326" t="e">
        <f t="shared" ca="1" si="271"/>
        <v>#NAME?</v>
      </c>
      <c r="BH311" s="694" t="e">
        <f ca="1">IF( S311="LRCINOP",   (1+(0.03/10)*Z311*(1+0.2*AC311^2) )*BicubicInterpolation( 'LRC INOP FF'!$C$4:$AA$21, Y311, U311 )-200, IF(S311 ="HOLDINGINOP", (1+(0.03/10)*Z311*(1+0.2*AC311^2) )*BicubicInterpolation( 'Holding INOP FF'!$C$4:$J$13,  Y311,  U311)/1.05-200,   BA311*BG311))</f>
        <v>#NAME?</v>
      </c>
      <c r="BI311" s="344" t="e">
        <f t="shared" ca="1" si="230"/>
        <v>#NAME?</v>
      </c>
      <c r="BJ311" s="322" t="e">
        <f t="shared" ca="1" si="272"/>
        <v>#NAME?</v>
      </c>
      <c r="BK311" s="338" t="e">
        <f t="shared" ca="1" si="231"/>
        <v>#NAME?</v>
      </c>
      <c r="BL311" s="327" t="e">
        <f t="shared" ca="1" si="273"/>
        <v>#NAME?</v>
      </c>
      <c r="BM311" s="328">
        <f t="shared" si="274"/>
        <v>200</v>
      </c>
      <c r="BN311" s="329" t="e">
        <f t="shared" ca="1" si="275"/>
        <v>#NAME?</v>
      </c>
      <c r="BO311" s="344" t="e">
        <f t="shared" ca="1" si="232"/>
        <v>#NAME?</v>
      </c>
      <c r="BP311" s="320" t="e">
        <f t="shared" ca="1" si="276"/>
        <v>#NAME?</v>
      </c>
      <c r="BQ311" s="344" t="e">
        <f t="shared" ca="1" si="233"/>
        <v>#NAME?</v>
      </c>
      <c r="BR311" s="347" t="e">
        <f t="shared" ca="1" si="234"/>
        <v>#NAME?</v>
      </c>
      <c r="BS311" s="326" t="e">
        <f t="shared" ca="1" si="277"/>
        <v>#NAME?</v>
      </c>
      <c r="BT311" s="437" t="e">
        <f t="shared" ca="1" si="247"/>
        <v>#NAME?</v>
      </c>
      <c r="BU311" s="437" t="e">
        <f t="shared" ca="1" si="248"/>
        <v>#NAME?</v>
      </c>
      <c r="BV311" s="441" t="e">
        <f t="shared" ca="1" si="249"/>
        <v>#NAME?</v>
      </c>
      <c r="BW311" s="442" t="e">
        <f t="shared" ca="1" si="250"/>
        <v>#NAME?</v>
      </c>
      <c r="BX311" s="470" t="e">
        <f t="shared" ca="1" si="223"/>
        <v>#NAME?</v>
      </c>
      <c r="BY311" s="484" t="e">
        <f t="shared" ca="1" si="235"/>
        <v>#NAME?</v>
      </c>
      <c r="BZ311" s="176"/>
    </row>
    <row r="312" spans="9:78" s="177" customFormat="1" ht="17.75" customHeight="1" x14ac:dyDescent="0.2">
      <c r="I312" s="366">
        <v>228</v>
      </c>
      <c r="J312" s="414">
        <f t="shared" si="236"/>
        <v>41705.870833333851</v>
      </c>
      <c r="K312" s="435" t="e">
        <f t="shared" ca="1" si="237"/>
        <v>#NAME?</v>
      </c>
      <c r="L312" s="435" t="e">
        <f t="shared" ca="1" si="224"/>
        <v>#NAME?</v>
      </c>
      <c r="M312" s="664" t="e">
        <f t="shared" ca="1" si="278"/>
        <v>#NAME?</v>
      </c>
      <c r="N312" s="664" t="e">
        <f t="shared" ca="1" si="279"/>
        <v>#NAME?</v>
      </c>
      <c r="O312" s="140" t="e">
        <f t="shared" ca="1" si="225"/>
        <v>#NAME?</v>
      </c>
      <c r="P312" s="352" t="e">
        <f t="shared" ca="1" si="238"/>
        <v>#NAME?</v>
      </c>
      <c r="Q312" s="665" t="e">
        <f t="shared" ca="1" si="218"/>
        <v>#NAME?</v>
      </c>
      <c r="R312" s="352" t="e">
        <f t="shared" ca="1" si="251"/>
        <v>#NAME?</v>
      </c>
      <c r="S312" s="662" t="e">
        <f t="shared" ca="1" si="226"/>
        <v>#NAME?</v>
      </c>
      <c r="T312" s="443" t="e">
        <f t="shared" ca="1" si="219"/>
        <v>#NAME?</v>
      </c>
      <c r="U312" s="369" t="e">
        <f t="shared" ca="1" si="220"/>
        <v>#NAME?</v>
      </c>
      <c r="V312" s="454" t="e">
        <f t="shared" ca="1" si="227"/>
        <v>#NAME?</v>
      </c>
      <c r="W312" s="457">
        <f t="shared" si="228"/>
        <v>1000</v>
      </c>
      <c r="X312" s="463" t="e">
        <f t="shared" ca="1" si="229"/>
        <v>#NAME?</v>
      </c>
      <c r="Y312" s="455" t="e">
        <f t="shared" ca="1" si="239"/>
        <v>#NAME?</v>
      </c>
      <c r="Z312" s="699">
        <f t="shared" si="221"/>
        <v>8.5</v>
      </c>
      <c r="AA312" s="355" t="str">
        <f t="shared" si="222"/>
        <v>ON</v>
      </c>
      <c r="AB312" s="357">
        <f t="shared" si="252"/>
        <v>1.4999999999999999E-2</v>
      </c>
      <c r="AC312" s="356" t="e">
        <f ca="1">IF(  Y311=0,0,IF(OR(S312="KCAS",S312="INOP",S312="MEFE"),   ( (5*( (   (((1+0.2*(T312/661.4786)^2)^3.5 -1)  )/( (1-6.8755856*10^-6 *100*Y312)^5.2558797) +1)^(2/7) -1) )^0.5),IF(S312="MACH",T312, IF(S312="LRC",BicubicInterpolation( 'LRC Mach'!$C$4:$AL$21, Y312,U312),  IF(S312="MRC",BicubicInterpolation( 'MRC Mach'!$C$3:$T$18, Y312,U312),  IF(S312="M0.84",0.84,  IF(S312="CI52",BicubicInterpolation('CI=52 Mach'!$C$3:$T$18, Y312,U312),  IF(S312="HOLDING",BicubicInterpolation(  'Holding Mach'!$C$4:$M$13, Y312,U312),                         IF(S312="LRCINOP", BicubicInterpolation('LRC INOP Mach'!$C$4:$AA$21,Y312,U312), IF(S312="HOLDINGINOP",  BicubicInterpolation('Holding INOP Mach'!$N$4:$U$13,Y312,U312),         "XXX" )))))))   )))</f>
        <v>#NAME?</v>
      </c>
      <c r="AD312" s="313" t="e">
        <f t="shared" ca="1" si="253"/>
        <v>#NAME?</v>
      </c>
      <c r="AE312" s="314" t="e">
        <f t="shared" ca="1" si="240"/>
        <v>#NAME?</v>
      </c>
      <c r="AF312" s="313" t="e">
        <f t="shared" ca="1" si="254"/>
        <v>#NAME?</v>
      </c>
      <c r="AG312" s="314" t="e">
        <f t="shared" ca="1" si="241"/>
        <v>#NAME?</v>
      </c>
      <c r="AH312" s="313" t="e">
        <f t="shared" ca="1" si="255"/>
        <v>#NAME?</v>
      </c>
      <c r="AI312" s="314" t="e">
        <f t="shared" ca="1" si="242"/>
        <v>#NAME?</v>
      </c>
      <c r="AJ312" s="315" t="e">
        <f t="shared" ca="1" si="243"/>
        <v>#NAME?</v>
      </c>
      <c r="AK312" s="568" t="e">
        <f t="shared" ca="1" si="256"/>
        <v>#NAME?</v>
      </c>
      <c r="AL312" s="313" t="e">
        <f t="shared" ca="1" si="257"/>
        <v>#NAME?</v>
      </c>
      <c r="AM312" s="313" t="e">
        <f t="shared" ca="1" si="244"/>
        <v>#NAME?</v>
      </c>
      <c r="AN312" s="313" t="e">
        <f t="shared" ca="1" si="245"/>
        <v>#NAME?</v>
      </c>
      <c r="AO312" s="316" t="e">
        <f t="shared" ca="1" si="258"/>
        <v>#NAME?</v>
      </c>
      <c r="AP312" s="313" t="e">
        <f t="shared" ca="1" si="259"/>
        <v>#NAME?</v>
      </c>
      <c r="AQ312" s="314" t="e">
        <f t="shared" ca="1" si="246"/>
        <v>#NAME?</v>
      </c>
      <c r="AR312" s="315" t="e">
        <f t="shared" ca="1" si="260"/>
        <v>#NAME?</v>
      </c>
      <c r="AS312" s="316" t="e">
        <f t="shared" ca="1" si="261"/>
        <v>#NAME?</v>
      </c>
      <c r="AT312" s="315" t="e">
        <f t="shared" ca="1" si="262"/>
        <v>#NAME?</v>
      </c>
      <c r="AU312" s="317">
        <v>427.8</v>
      </c>
      <c r="AV312" s="315" t="e">
        <f t="shared" ca="1" si="263"/>
        <v>#NAME?</v>
      </c>
      <c r="AW312" s="318" t="e">
        <f ca="1">0.0001*BicubicInterpolation('Drag Coef Table'!$B$4:$L$28,AV312,AC312)</f>
        <v>#NAME?</v>
      </c>
      <c r="AX312" s="319" t="e">
        <f t="shared" ca="1" si="264"/>
        <v>#NAME?</v>
      </c>
      <c r="AY312" s="318" t="e">
        <f t="shared" ca="1" si="265"/>
        <v>#NAME?</v>
      </c>
      <c r="AZ312" s="320" t="e">
        <f t="shared" ca="1" si="266"/>
        <v>#NAME?</v>
      </c>
      <c r="BA312" s="321" t="e">
        <f t="shared" ca="1" si="267"/>
        <v>#NAME?</v>
      </c>
      <c r="BB312" s="322" t="e">
        <f t="shared" ca="1" si="268"/>
        <v>#NAME?</v>
      </c>
      <c r="BC312" s="323">
        <v>75.196700000000007</v>
      </c>
      <c r="BD312" s="324" t="e">
        <f t="shared" ca="1" si="269"/>
        <v>#NAME?</v>
      </c>
      <c r="BE312" s="325" t="e">
        <f t="shared" ca="1" si="270"/>
        <v>#NAME?</v>
      </c>
      <c r="BF312" s="324" t="e">
        <f ca="1">BicubicInterpolation('TSFC Eff Table'!$B$4:$E$69,2,BB312)</f>
        <v>#NAME?</v>
      </c>
      <c r="BG312" s="326" t="e">
        <f t="shared" ca="1" si="271"/>
        <v>#NAME?</v>
      </c>
      <c r="BH312" s="694" t="e">
        <f ca="1">IF( S312="LRCINOP",   (1+(0.03/10)*Z312*(1+0.2*AC312^2) )*BicubicInterpolation( 'LRC INOP FF'!$C$4:$AA$21, Y312, U312 )-200, IF(S312 ="HOLDINGINOP", (1+(0.03/10)*Z312*(1+0.2*AC312^2) )*BicubicInterpolation( 'Holding INOP FF'!$C$4:$J$13,  Y312,  U312)/1.05-200,   BA312*BG312))</f>
        <v>#NAME?</v>
      </c>
      <c r="BI312" s="344" t="e">
        <f t="shared" ca="1" si="230"/>
        <v>#NAME?</v>
      </c>
      <c r="BJ312" s="322" t="e">
        <f t="shared" ca="1" si="272"/>
        <v>#NAME?</v>
      </c>
      <c r="BK312" s="338" t="e">
        <f t="shared" ca="1" si="231"/>
        <v>#NAME?</v>
      </c>
      <c r="BL312" s="327" t="e">
        <f t="shared" ca="1" si="273"/>
        <v>#NAME?</v>
      </c>
      <c r="BM312" s="328">
        <f t="shared" si="274"/>
        <v>200</v>
      </c>
      <c r="BN312" s="329" t="e">
        <f t="shared" ca="1" si="275"/>
        <v>#NAME?</v>
      </c>
      <c r="BO312" s="344" t="e">
        <f t="shared" ca="1" si="232"/>
        <v>#NAME?</v>
      </c>
      <c r="BP312" s="320" t="e">
        <f t="shared" ca="1" si="276"/>
        <v>#NAME?</v>
      </c>
      <c r="BQ312" s="344" t="e">
        <f t="shared" ca="1" si="233"/>
        <v>#NAME?</v>
      </c>
      <c r="BR312" s="347" t="e">
        <f t="shared" ca="1" si="234"/>
        <v>#NAME?</v>
      </c>
      <c r="BS312" s="326" t="e">
        <f t="shared" ca="1" si="277"/>
        <v>#NAME?</v>
      </c>
      <c r="BT312" s="437" t="e">
        <f t="shared" ca="1" si="247"/>
        <v>#NAME?</v>
      </c>
      <c r="BU312" s="437" t="e">
        <f t="shared" ca="1" si="248"/>
        <v>#NAME?</v>
      </c>
      <c r="BV312" s="441" t="e">
        <f t="shared" ca="1" si="249"/>
        <v>#NAME?</v>
      </c>
      <c r="BW312" s="442" t="e">
        <f t="shared" ca="1" si="250"/>
        <v>#NAME?</v>
      </c>
      <c r="BX312" s="470" t="e">
        <f t="shared" ca="1" si="223"/>
        <v>#NAME?</v>
      </c>
      <c r="BY312" s="484" t="e">
        <f t="shared" ca="1" si="235"/>
        <v>#NAME?</v>
      </c>
      <c r="BZ312" s="176"/>
    </row>
    <row r="313" spans="9:78" s="177" customFormat="1" ht="17.75" customHeight="1" x14ac:dyDescent="0.2">
      <c r="I313" s="366">
        <v>229</v>
      </c>
      <c r="J313" s="414">
        <f t="shared" si="236"/>
        <v>41705.871527778298</v>
      </c>
      <c r="K313" s="435" t="e">
        <f t="shared" ca="1" si="237"/>
        <v>#NAME?</v>
      </c>
      <c r="L313" s="435" t="e">
        <f t="shared" ca="1" si="224"/>
        <v>#NAME?</v>
      </c>
      <c r="M313" s="664" t="e">
        <f t="shared" ca="1" si="278"/>
        <v>#NAME?</v>
      </c>
      <c r="N313" s="664" t="e">
        <f t="shared" ca="1" si="279"/>
        <v>#NAME?</v>
      </c>
      <c r="O313" s="140" t="e">
        <f t="shared" ca="1" si="225"/>
        <v>#NAME?</v>
      </c>
      <c r="P313" s="352" t="e">
        <f t="shared" ca="1" si="238"/>
        <v>#NAME?</v>
      </c>
      <c r="Q313" s="665" t="e">
        <f t="shared" ca="1" si="218"/>
        <v>#NAME?</v>
      </c>
      <c r="R313" s="352" t="e">
        <f t="shared" ca="1" si="251"/>
        <v>#NAME?</v>
      </c>
      <c r="S313" s="662" t="e">
        <f t="shared" ca="1" si="226"/>
        <v>#NAME?</v>
      </c>
      <c r="T313" s="443" t="e">
        <f t="shared" ca="1" si="219"/>
        <v>#NAME?</v>
      </c>
      <c r="U313" s="369" t="e">
        <f t="shared" ca="1" si="220"/>
        <v>#NAME?</v>
      </c>
      <c r="V313" s="454" t="e">
        <f t="shared" ca="1" si="227"/>
        <v>#NAME?</v>
      </c>
      <c r="W313" s="457">
        <f t="shared" si="228"/>
        <v>1000</v>
      </c>
      <c r="X313" s="463" t="e">
        <f t="shared" ca="1" si="229"/>
        <v>#NAME?</v>
      </c>
      <c r="Y313" s="455" t="e">
        <f t="shared" ca="1" si="239"/>
        <v>#NAME?</v>
      </c>
      <c r="Z313" s="699">
        <f t="shared" si="221"/>
        <v>8.5</v>
      </c>
      <c r="AA313" s="355" t="str">
        <f t="shared" si="222"/>
        <v>ON</v>
      </c>
      <c r="AB313" s="357">
        <f t="shared" si="252"/>
        <v>1.4999999999999999E-2</v>
      </c>
      <c r="AC313" s="356" t="e">
        <f ca="1">IF(  Y312=0,0,IF(OR(S313="KCAS",S313="INOP",S313="MEFE"),   ( (5*( (   (((1+0.2*(T313/661.4786)^2)^3.5 -1)  )/( (1-6.8755856*10^-6 *100*Y313)^5.2558797) +1)^(2/7) -1) )^0.5),IF(S313="MACH",T313, IF(S313="LRC",BicubicInterpolation( 'LRC Mach'!$C$4:$AL$21, Y313,U313),  IF(S313="MRC",BicubicInterpolation( 'MRC Mach'!$C$3:$T$18, Y313,U313),  IF(S313="M0.84",0.84,  IF(S313="CI52",BicubicInterpolation('CI=52 Mach'!$C$3:$T$18, Y313,U313),  IF(S313="HOLDING",BicubicInterpolation(  'Holding Mach'!$C$4:$M$13, Y313,U313),                         IF(S313="LRCINOP", BicubicInterpolation('LRC INOP Mach'!$C$4:$AA$21,Y313,U313), IF(S313="HOLDINGINOP",  BicubicInterpolation('Holding INOP Mach'!$N$4:$U$13,Y313,U313),         "XXX" )))))))   )))</f>
        <v>#NAME?</v>
      </c>
      <c r="AD313" s="313" t="e">
        <f t="shared" ca="1" si="253"/>
        <v>#NAME?</v>
      </c>
      <c r="AE313" s="314" t="e">
        <f t="shared" ca="1" si="240"/>
        <v>#NAME?</v>
      </c>
      <c r="AF313" s="313" t="e">
        <f t="shared" ca="1" si="254"/>
        <v>#NAME?</v>
      </c>
      <c r="AG313" s="314" t="e">
        <f t="shared" ca="1" si="241"/>
        <v>#NAME?</v>
      </c>
      <c r="AH313" s="313" t="e">
        <f t="shared" ca="1" si="255"/>
        <v>#NAME?</v>
      </c>
      <c r="AI313" s="314" t="e">
        <f t="shared" ca="1" si="242"/>
        <v>#NAME?</v>
      </c>
      <c r="AJ313" s="315" t="e">
        <f t="shared" ca="1" si="243"/>
        <v>#NAME?</v>
      </c>
      <c r="AK313" s="568" t="e">
        <f t="shared" ca="1" si="256"/>
        <v>#NAME?</v>
      </c>
      <c r="AL313" s="313" t="e">
        <f t="shared" ca="1" si="257"/>
        <v>#NAME?</v>
      </c>
      <c r="AM313" s="313" t="e">
        <f t="shared" ca="1" si="244"/>
        <v>#NAME?</v>
      </c>
      <c r="AN313" s="313" t="e">
        <f t="shared" ca="1" si="245"/>
        <v>#NAME?</v>
      </c>
      <c r="AO313" s="316" t="e">
        <f t="shared" ca="1" si="258"/>
        <v>#NAME?</v>
      </c>
      <c r="AP313" s="313" t="e">
        <f t="shared" ca="1" si="259"/>
        <v>#NAME?</v>
      </c>
      <c r="AQ313" s="314" t="e">
        <f t="shared" ca="1" si="246"/>
        <v>#NAME?</v>
      </c>
      <c r="AR313" s="315" t="e">
        <f t="shared" ca="1" si="260"/>
        <v>#NAME?</v>
      </c>
      <c r="AS313" s="316" t="e">
        <f t="shared" ca="1" si="261"/>
        <v>#NAME?</v>
      </c>
      <c r="AT313" s="315" t="e">
        <f t="shared" ca="1" si="262"/>
        <v>#NAME?</v>
      </c>
      <c r="AU313" s="317">
        <v>427.8</v>
      </c>
      <c r="AV313" s="315" t="e">
        <f t="shared" ca="1" si="263"/>
        <v>#NAME?</v>
      </c>
      <c r="AW313" s="318" t="e">
        <f ca="1">0.0001*BicubicInterpolation('Drag Coef Table'!$B$4:$L$28,AV313,AC313)</f>
        <v>#NAME?</v>
      </c>
      <c r="AX313" s="319" t="e">
        <f t="shared" ca="1" si="264"/>
        <v>#NAME?</v>
      </c>
      <c r="AY313" s="318" t="e">
        <f t="shared" ca="1" si="265"/>
        <v>#NAME?</v>
      </c>
      <c r="AZ313" s="320" t="e">
        <f t="shared" ca="1" si="266"/>
        <v>#NAME?</v>
      </c>
      <c r="BA313" s="321" t="e">
        <f t="shared" ca="1" si="267"/>
        <v>#NAME?</v>
      </c>
      <c r="BB313" s="322" t="e">
        <f t="shared" ca="1" si="268"/>
        <v>#NAME?</v>
      </c>
      <c r="BC313" s="323">
        <v>75.196700000000007</v>
      </c>
      <c r="BD313" s="324" t="e">
        <f t="shared" ca="1" si="269"/>
        <v>#NAME?</v>
      </c>
      <c r="BE313" s="325" t="e">
        <f t="shared" ca="1" si="270"/>
        <v>#NAME?</v>
      </c>
      <c r="BF313" s="324" t="e">
        <f ca="1">BicubicInterpolation('TSFC Eff Table'!$B$4:$E$69,2,BB313)</f>
        <v>#NAME?</v>
      </c>
      <c r="BG313" s="326" t="e">
        <f t="shared" ca="1" si="271"/>
        <v>#NAME?</v>
      </c>
      <c r="BH313" s="694" t="e">
        <f ca="1">IF( S313="LRCINOP",   (1+(0.03/10)*Z313*(1+0.2*AC313^2) )*BicubicInterpolation( 'LRC INOP FF'!$C$4:$AA$21, Y313, U313 )-200, IF(S313 ="HOLDINGINOP", (1+(0.03/10)*Z313*(1+0.2*AC313^2) )*BicubicInterpolation( 'Holding INOP FF'!$C$4:$J$13,  Y313,  U313)/1.05-200,   BA313*BG313))</f>
        <v>#NAME?</v>
      </c>
      <c r="BI313" s="344" t="e">
        <f t="shared" ca="1" si="230"/>
        <v>#NAME?</v>
      </c>
      <c r="BJ313" s="322" t="e">
        <f t="shared" ca="1" si="272"/>
        <v>#NAME?</v>
      </c>
      <c r="BK313" s="338" t="e">
        <f t="shared" ca="1" si="231"/>
        <v>#NAME?</v>
      </c>
      <c r="BL313" s="327" t="e">
        <f t="shared" ca="1" si="273"/>
        <v>#NAME?</v>
      </c>
      <c r="BM313" s="328">
        <f t="shared" si="274"/>
        <v>200</v>
      </c>
      <c r="BN313" s="329" t="e">
        <f t="shared" ca="1" si="275"/>
        <v>#NAME?</v>
      </c>
      <c r="BO313" s="344" t="e">
        <f t="shared" ca="1" si="232"/>
        <v>#NAME?</v>
      </c>
      <c r="BP313" s="320" t="e">
        <f t="shared" ca="1" si="276"/>
        <v>#NAME?</v>
      </c>
      <c r="BQ313" s="344" t="e">
        <f t="shared" ca="1" si="233"/>
        <v>#NAME?</v>
      </c>
      <c r="BR313" s="347" t="e">
        <f t="shared" ca="1" si="234"/>
        <v>#NAME?</v>
      </c>
      <c r="BS313" s="326" t="e">
        <f t="shared" ca="1" si="277"/>
        <v>#NAME?</v>
      </c>
      <c r="BT313" s="437" t="e">
        <f t="shared" ca="1" si="247"/>
        <v>#NAME?</v>
      </c>
      <c r="BU313" s="437" t="e">
        <f t="shared" ca="1" si="248"/>
        <v>#NAME?</v>
      </c>
      <c r="BV313" s="441" t="e">
        <f t="shared" ca="1" si="249"/>
        <v>#NAME?</v>
      </c>
      <c r="BW313" s="442" t="e">
        <f t="shared" ca="1" si="250"/>
        <v>#NAME?</v>
      </c>
      <c r="BX313" s="470" t="e">
        <f t="shared" ca="1" si="223"/>
        <v>#NAME?</v>
      </c>
      <c r="BY313" s="484" t="e">
        <f t="shared" ca="1" si="235"/>
        <v>#NAME?</v>
      </c>
      <c r="BZ313" s="176"/>
    </row>
    <row r="314" spans="9:78" s="177" customFormat="1" ht="17.75" customHeight="1" x14ac:dyDescent="0.2">
      <c r="I314" s="366">
        <v>230</v>
      </c>
      <c r="J314" s="414">
        <f t="shared" si="236"/>
        <v>41705.872222222744</v>
      </c>
      <c r="K314" s="435" t="e">
        <f t="shared" ca="1" si="237"/>
        <v>#NAME?</v>
      </c>
      <c r="L314" s="435" t="e">
        <f t="shared" ca="1" si="224"/>
        <v>#NAME?</v>
      </c>
      <c r="M314" s="664" t="e">
        <f t="shared" ca="1" si="278"/>
        <v>#NAME?</v>
      </c>
      <c r="N314" s="664" t="e">
        <f t="shared" ca="1" si="279"/>
        <v>#NAME?</v>
      </c>
      <c r="O314" s="140" t="e">
        <f t="shared" ca="1" si="225"/>
        <v>#NAME?</v>
      </c>
      <c r="P314" s="352" t="e">
        <f t="shared" ca="1" si="238"/>
        <v>#NAME?</v>
      </c>
      <c r="Q314" s="665" t="e">
        <f t="shared" ca="1" si="218"/>
        <v>#NAME?</v>
      </c>
      <c r="R314" s="352" t="e">
        <f t="shared" ca="1" si="251"/>
        <v>#NAME?</v>
      </c>
      <c r="S314" s="662" t="e">
        <f t="shared" ca="1" si="226"/>
        <v>#NAME?</v>
      </c>
      <c r="T314" s="443" t="e">
        <f t="shared" ca="1" si="219"/>
        <v>#NAME?</v>
      </c>
      <c r="U314" s="369" t="e">
        <f t="shared" ca="1" si="220"/>
        <v>#NAME?</v>
      </c>
      <c r="V314" s="454" t="e">
        <f t="shared" ca="1" si="227"/>
        <v>#NAME?</v>
      </c>
      <c r="W314" s="457">
        <f t="shared" si="228"/>
        <v>1000</v>
      </c>
      <c r="X314" s="463" t="e">
        <f t="shared" ca="1" si="229"/>
        <v>#NAME?</v>
      </c>
      <c r="Y314" s="455" t="e">
        <f t="shared" ca="1" si="239"/>
        <v>#NAME?</v>
      </c>
      <c r="Z314" s="699">
        <f t="shared" si="221"/>
        <v>8.5</v>
      </c>
      <c r="AA314" s="355" t="str">
        <f t="shared" si="222"/>
        <v>ON</v>
      </c>
      <c r="AB314" s="357">
        <f t="shared" si="252"/>
        <v>1.4999999999999999E-2</v>
      </c>
      <c r="AC314" s="356" t="e">
        <f ca="1">IF(  Y313=0,0,IF(OR(S314="KCAS",S314="INOP",S314="MEFE"),   ( (5*( (   (((1+0.2*(T314/661.4786)^2)^3.5 -1)  )/( (1-6.8755856*10^-6 *100*Y314)^5.2558797) +1)^(2/7) -1) )^0.5),IF(S314="MACH",T314, IF(S314="LRC",BicubicInterpolation( 'LRC Mach'!$C$4:$AL$21, Y314,U314),  IF(S314="MRC",BicubicInterpolation( 'MRC Mach'!$C$3:$T$18, Y314,U314),  IF(S314="M0.84",0.84,  IF(S314="CI52",BicubicInterpolation('CI=52 Mach'!$C$3:$T$18, Y314,U314),  IF(S314="HOLDING",BicubicInterpolation(  'Holding Mach'!$C$4:$M$13, Y314,U314),                         IF(S314="LRCINOP", BicubicInterpolation('LRC INOP Mach'!$C$4:$AA$21,Y314,U314), IF(S314="HOLDINGINOP",  BicubicInterpolation('Holding INOP Mach'!$N$4:$U$13,Y314,U314),         "XXX" )))))))   )))</f>
        <v>#NAME?</v>
      </c>
      <c r="AD314" s="313" t="e">
        <f t="shared" ca="1" si="253"/>
        <v>#NAME?</v>
      </c>
      <c r="AE314" s="314" t="e">
        <f t="shared" ca="1" si="240"/>
        <v>#NAME?</v>
      </c>
      <c r="AF314" s="313" t="e">
        <f t="shared" ca="1" si="254"/>
        <v>#NAME?</v>
      </c>
      <c r="AG314" s="314" t="e">
        <f t="shared" ca="1" si="241"/>
        <v>#NAME?</v>
      </c>
      <c r="AH314" s="313" t="e">
        <f t="shared" ca="1" si="255"/>
        <v>#NAME?</v>
      </c>
      <c r="AI314" s="314" t="e">
        <f t="shared" ca="1" si="242"/>
        <v>#NAME?</v>
      </c>
      <c r="AJ314" s="315" t="e">
        <f t="shared" ca="1" si="243"/>
        <v>#NAME?</v>
      </c>
      <c r="AK314" s="568" t="e">
        <f t="shared" ca="1" si="256"/>
        <v>#NAME?</v>
      </c>
      <c r="AL314" s="313" t="e">
        <f t="shared" ca="1" si="257"/>
        <v>#NAME?</v>
      </c>
      <c r="AM314" s="313" t="e">
        <f t="shared" ca="1" si="244"/>
        <v>#NAME?</v>
      </c>
      <c r="AN314" s="313" t="e">
        <f t="shared" ca="1" si="245"/>
        <v>#NAME?</v>
      </c>
      <c r="AO314" s="316" t="e">
        <f t="shared" ca="1" si="258"/>
        <v>#NAME?</v>
      </c>
      <c r="AP314" s="313" t="e">
        <f t="shared" ca="1" si="259"/>
        <v>#NAME?</v>
      </c>
      <c r="AQ314" s="314" t="e">
        <f t="shared" ca="1" si="246"/>
        <v>#NAME?</v>
      </c>
      <c r="AR314" s="315" t="e">
        <f t="shared" ca="1" si="260"/>
        <v>#NAME?</v>
      </c>
      <c r="AS314" s="316" t="e">
        <f t="shared" ca="1" si="261"/>
        <v>#NAME?</v>
      </c>
      <c r="AT314" s="315" t="e">
        <f t="shared" ca="1" si="262"/>
        <v>#NAME?</v>
      </c>
      <c r="AU314" s="317">
        <v>427.8</v>
      </c>
      <c r="AV314" s="315" t="e">
        <f t="shared" ca="1" si="263"/>
        <v>#NAME?</v>
      </c>
      <c r="AW314" s="318" t="e">
        <f ca="1">0.0001*BicubicInterpolation('Drag Coef Table'!$B$4:$L$28,AV314,AC314)</f>
        <v>#NAME?</v>
      </c>
      <c r="AX314" s="319" t="e">
        <f t="shared" ca="1" si="264"/>
        <v>#NAME?</v>
      </c>
      <c r="AY314" s="318" t="e">
        <f t="shared" ca="1" si="265"/>
        <v>#NAME?</v>
      </c>
      <c r="AZ314" s="320" t="e">
        <f t="shared" ca="1" si="266"/>
        <v>#NAME?</v>
      </c>
      <c r="BA314" s="321" t="e">
        <f t="shared" ca="1" si="267"/>
        <v>#NAME?</v>
      </c>
      <c r="BB314" s="322" t="e">
        <f t="shared" ca="1" si="268"/>
        <v>#NAME?</v>
      </c>
      <c r="BC314" s="323">
        <v>75.196700000000007</v>
      </c>
      <c r="BD314" s="324" t="e">
        <f t="shared" ca="1" si="269"/>
        <v>#NAME?</v>
      </c>
      <c r="BE314" s="325" t="e">
        <f t="shared" ca="1" si="270"/>
        <v>#NAME?</v>
      </c>
      <c r="BF314" s="324" t="e">
        <f ca="1">BicubicInterpolation('TSFC Eff Table'!$B$4:$E$69,2,BB314)</f>
        <v>#NAME?</v>
      </c>
      <c r="BG314" s="326" t="e">
        <f t="shared" ca="1" si="271"/>
        <v>#NAME?</v>
      </c>
      <c r="BH314" s="694" t="e">
        <f ca="1">IF( S314="LRCINOP",   (1+(0.03/10)*Z314*(1+0.2*AC314^2) )*BicubicInterpolation( 'LRC INOP FF'!$C$4:$AA$21, Y314, U314 )-200, IF(S314 ="HOLDINGINOP", (1+(0.03/10)*Z314*(1+0.2*AC314^2) )*BicubicInterpolation( 'Holding INOP FF'!$C$4:$J$13,  Y314,  U314)/1.05-200,   BA314*BG314))</f>
        <v>#NAME?</v>
      </c>
      <c r="BI314" s="344" t="e">
        <f t="shared" ca="1" si="230"/>
        <v>#NAME?</v>
      </c>
      <c r="BJ314" s="322" t="e">
        <f t="shared" ca="1" si="272"/>
        <v>#NAME?</v>
      </c>
      <c r="BK314" s="338" t="e">
        <f t="shared" ca="1" si="231"/>
        <v>#NAME?</v>
      </c>
      <c r="BL314" s="327" t="e">
        <f t="shared" ca="1" si="273"/>
        <v>#NAME?</v>
      </c>
      <c r="BM314" s="328">
        <f t="shared" si="274"/>
        <v>200</v>
      </c>
      <c r="BN314" s="329" t="e">
        <f t="shared" ca="1" si="275"/>
        <v>#NAME?</v>
      </c>
      <c r="BO314" s="344" t="e">
        <f t="shared" ca="1" si="232"/>
        <v>#NAME?</v>
      </c>
      <c r="BP314" s="320" t="e">
        <f t="shared" ca="1" si="276"/>
        <v>#NAME?</v>
      </c>
      <c r="BQ314" s="344" t="e">
        <f t="shared" ca="1" si="233"/>
        <v>#NAME?</v>
      </c>
      <c r="BR314" s="347" t="e">
        <f t="shared" ca="1" si="234"/>
        <v>#NAME?</v>
      </c>
      <c r="BS314" s="326" t="e">
        <f t="shared" ca="1" si="277"/>
        <v>#NAME?</v>
      </c>
      <c r="BT314" s="437" t="e">
        <f t="shared" ca="1" si="247"/>
        <v>#NAME?</v>
      </c>
      <c r="BU314" s="437" t="e">
        <f t="shared" ca="1" si="248"/>
        <v>#NAME?</v>
      </c>
      <c r="BV314" s="441" t="e">
        <f t="shared" ca="1" si="249"/>
        <v>#NAME?</v>
      </c>
      <c r="BW314" s="442" t="e">
        <f t="shared" ca="1" si="250"/>
        <v>#NAME?</v>
      </c>
      <c r="BX314" s="470" t="e">
        <f t="shared" ca="1" si="223"/>
        <v>#NAME?</v>
      </c>
      <c r="BY314" s="484" t="e">
        <f t="shared" ca="1" si="235"/>
        <v>#NAME?</v>
      </c>
      <c r="BZ314" s="176"/>
    </row>
    <row r="315" spans="9:78" s="177" customFormat="1" ht="17.75" customHeight="1" x14ac:dyDescent="0.2">
      <c r="I315" s="366">
        <v>231</v>
      </c>
      <c r="J315" s="414">
        <f t="shared" si="236"/>
        <v>41705.872916667191</v>
      </c>
      <c r="K315" s="435" t="e">
        <f t="shared" ca="1" si="237"/>
        <v>#NAME?</v>
      </c>
      <c r="L315" s="435" t="e">
        <f t="shared" ca="1" si="224"/>
        <v>#NAME?</v>
      </c>
      <c r="M315" s="664" t="e">
        <f t="shared" ca="1" si="278"/>
        <v>#NAME?</v>
      </c>
      <c r="N315" s="664" t="e">
        <f t="shared" ca="1" si="279"/>
        <v>#NAME?</v>
      </c>
      <c r="O315" s="140" t="e">
        <f t="shared" ca="1" si="225"/>
        <v>#NAME?</v>
      </c>
      <c r="P315" s="352" t="e">
        <f t="shared" ca="1" si="238"/>
        <v>#NAME?</v>
      </c>
      <c r="Q315" s="665" t="e">
        <f t="shared" ca="1" si="218"/>
        <v>#NAME?</v>
      </c>
      <c r="R315" s="352" t="e">
        <f t="shared" ca="1" si="251"/>
        <v>#NAME?</v>
      </c>
      <c r="S315" s="662" t="e">
        <f t="shared" ca="1" si="226"/>
        <v>#NAME?</v>
      </c>
      <c r="T315" s="443" t="e">
        <f t="shared" ca="1" si="219"/>
        <v>#NAME?</v>
      </c>
      <c r="U315" s="369" t="e">
        <f t="shared" ca="1" si="220"/>
        <v>#NAME?</v>
      </c>
      <c r="V315" s="454" t="e">
        <f t="shared" ca="1" si="227"/>
        <v>#NAME?</v>
      </c>
      <c r="W315" s="457">
        <f t="shared" si="228"/>
        <v>1000</v>
      </c>
      <c r="X315" s="463" t="e">
        <f t="shared" ca="1" si="229"/>
        <v>#NAME?</v>
      </c>
      <c r="Y315" s="455" t="e">
        <f t="shared" ca="1" si="239"/>
        <v>#NAME?</v>
      </c>
      <c r="Z315" s="699">
        <f t="shared" si="221"/>
        <v>8.5</v>
      </c>
      <c r="AA315" s="355" t="str">
        <f t="shared" si="222"/>
        <v>ON</v>
      </c>
      <c r="AB315" s="357">
        <f t="shared" si="252"/>
        <v>1.4999999999999999E-2</v>
      </c>
      <c r="AC315" s="356" t="e">
        <f ca="1">IF(  Y314=0,0,IF(OR(S315="KCAS",S315="INOP",S315="MEFE"),   ( (5*( (   (((1+0.2*(T315/661.4786)^2)^3.5 -1)  )/( (1-6.8755856*10^-6 *100*Y315)^5.2558797) +1)^(2/7) -1) )^0.5),IF(S315="MACH",T315, IF(S315="LRC",BicubicInterpolation( 'LRC Mach'!$C$4:$AL$21, Y315,U315),  IF(S315="MRC",BicubicInterpolation( 'MRC Mach'!$C$3:$T$18, Y315,U315),  IF(S315="M0.84",0.84,  IF(S315="CI52",BicubicInterpolation('CI=52 Mach'!$C$3:$T$18, Y315,U315),  IF(S315="HOLDING",BicubicInterpolation(  'Holding Mach'!$C$4:$M$13, Y315,U315),                         IF(S315="LRCINOP", BicubicInterpolation('LRC INOP Mach'!$C$4:$AA$21,Y315,U315), IF(S315="HOLDINGINOP",  BicubicInterpolation('Holding INOP Mach'!$N$4:$U$13,Y315,U315),         "XXX" )))))))   )))</f>
        <v>#NAME?</v>
      </c>
      <c r="AD315" s="313" t="e">
        <f t="shared" ca="1" si="253"/>
        <v>#NAME?</v>
      </c>
      <c r="AE315" s="314" t="e">
        <f t="shared" ca="1" si="240"/>
        <v>#NAME?</v>
      </c>
      <c r="AF315" s="313" t="e">
        <f t="shared" ca="1" si="254"/>
        <v>#NAME?</v>
      </c>
      <c r="AG315" s="314" t="e">
        <f t="shared" ca="1" si="241"/>
        <v>#NAME?</v>
      </c>
      <c r="AH315" s="313" t="e">
        <f t="shared" ca="1" si="255"/>
        <v>#NAME?</v>
      </c>
      <c r="AI315" s="314" t="e">
        <f t="shared" ca="1" si="242"/>
        <v>#NAME?</v>
      </c>
      <c r="AJ315" s="315" t="e">
        <f t="shared" ca="1" si="243"/>
        <v>#NAME?</v>
      </c>
      <c r="AK315" s="568" t="e">
        <f t="shared" ca="1" si="256"/>
        <v>#NAME?</v>
      </c>
      <c r="AL315" s="313" t="e">
        <f t="shared" ca="1" si="257"/>
        <v>#NAME?</v>
      </c>
      <c r="AM315" s="313" t="e">
        <f t="shared" ca="1" si="244"/>
        <v>#NAME?</v>
      </c>
      <c r="AN315" s="313" t="e">
        <f t="shared" ca="1" si="245"/>
        <v>#NAME?</v>
      </c>
      <c r="AO315" s="316" t="e">
        <f t="shared" ca="1" si="258"/>
        <v>#NAME?</v>
      </c>
      <c r="AP315" s="313" t="e">
        <f t="shared" ca="1" si="259"/>
        <v>#NAME?</v>
      </c>
      <c r="AQ315" s="314" t="e">
        <f t="shared" ca="1" si="246"/>
        <v>#NAME?</v>
      </c>
      <c r="AR315" s="315" t="e">
        <f t="shared" ca="1" si="260"/>
        <v>#NAME?</v>
      </c>
      <c r="AS315" s="316" t="e">
        <f t="shared" ca="1" si="261"/>
        <v>#NAME?</v>
      </c>
      <c r="AT315" s="315" t="e">
        <f t="shared" ca="1" si="262"/>
        <v>#NAME?</v>
      </c>
      <c r="AU315" s="317">
        <v>427.8</v>
      </c>
      <c r="AV315" s="315" t="e">
        <f t="shared" ca="1" si="263"/>
        <v>#NAME?</v>
      </c>
      <c r="AW315" s="318" t="e">
        <f ca="1">0.0001*BicubicInterpolation('Drag Coef Table'!$B$4:$L$28,AV315,AC315)</f>
        <v>#NAME?</v>
      </c>
      <c r="AX315" s="319" t="e">
        <f t="shared" ca="1" si="264"/>
        <v>#NAME?</v>
      </c>
      <c r="AY315" s="318" t="e">
        <f t="shared" ca="1" si="265"/>
        <v>#NAME?</v>
      </c>
      <c r="AZ315" s="320" t="e">
        <f t="shared" ca="1" si="266"/>
        <v>#NAME?</v>
      </c>
      <c r="BA315" s="321" t="e">
        <f t="shared" ca="1" si="267"/>
        <v>#NAME?</v>
      </c>
      <c r="BB315" s="322" t="e">
        <f t="shared" ca="1" si="268"/>
        <v>#NAME?</v>
      </c>
      <c r="BC315" s="323">
        <v>75.196700000000007</v>
      </c>
      <c r="BD315" s="324" t="e">
        <f t="shared" ca="1" si="269"/>
        <v>#NAME?</v>
      </c>
      <c r="BE315" s="325" t="e">
        <f t="shared" ca="1" si="270"/>
        <v>#NAME?</v>
      </c>
      <c r="BF315" s="324" t="e">
        <f ca="1">BicubicInterpolation('TSFC Eff Table'!$B$4:$E$69,2,BB315)</f>
        <v>#NAME?</v>
      </c>
      <c r="BG315" s="326" t="e">
        <f t="shared" ca="1" si="271"/>
        <v>#NAME?</v>
      </c>
      <c r="BH315" s="694" t="e">
        <f ca="1">IF( S315="LRCINOP",   (1+(0.03/10)*Z315*(1+0.2*AC315^2) )*BicubicInterpolation( 'LRC INOP FF'!$C$4:$AA$21, Y315, U315 )-200, IF(S315 ="HOLDINGINOP", (1+(0.03/10)*Z315*(1+0.2*AC315^2) )*BicubicInterpolation( 'Holding INOP FF'!$C$4:$J$13,  Y315,  U315)/1.05-200,   BA315*BG315))</f>
        <v>#NAME?</v>
      </c>
      <c r="BI315" s="344" t="e">
        <f t="shared" ca="1" si="230"/>
        <v>#NAME?</v>
      </c>
      <c r="BJ315" s="322" t="e">
        <f t="shared" ca="1" si="272"/>
        <v>#NAME?</v>
      </c>
      <c r="BK315" s="338" t="e">
        <f t="shared" ca="1" si="231"/>
        <v>#NAME?</v>
      </c>
      <c r="BL315" s="327" t="e">
        <f t="shared" ca="1" si="273"/>
        <v>#NAME?</v>
      </c>
      <c r="BM315" s="328">
        <f t="shared" si="274"/>
        <v>200</v>
      </c>
      <c r="BN315" s="329" t="e">
        <f t="shared" ca="1" si="275"/>
        <v>#NAME?</v>
      </c>
      <c r="BO315" s="344" t="e">
        <f t="shared" ca="1" si="232"/>
        <v>#NAME?</v>
      </c>
      <c r="BP315" s="320" t="e">
        <f t="shared" ca="1" si="276"/>
        <v>#NAME?</v>
      </c>
      <c r="BQ315" s="344" t="e">
        <f t="shared" ca="1" si="233"/>
        <v>#NAME?</v>
      </c>
      <c r="BR315" s="347" t="e">
        <f t="shared" ca="1" si="234"/>
        <v>#NAME?</v>
      </c>
      <c r="BS315" s="326" t="e">
        <f t="shared" ca="1" si="277"/>
        <v>#NAME?</v>
      </c>
      <c r="BT315" s="437" t="e">
        <f t="shared" ca="1" si="247"/>
        <v>#NAME?</v>
      </c>
      <c r="BU315" s="437" t="e">
        <f t="shared" ca="1" si="248"/>
        <v>#NAME?</v>
      </c>
      <c r="BV315" s="441" t="e">
        <f t="shared" ca="1" si="249"/>
        <v>#NAME?</v>
      </c>
      <c r="BW315" s="442" t="e">
        <f t="shared" ca="1" si="250"/>
        <v>#NAME?</v>
      </c>
      <c r="BX315" s="470" t="e">
        <f t="shared" ca="1" si="223"/>
        <v>#NAME?</v>
      </c>
      <c r="BY315" s="484" t="e">
        <f t="shared" ca="1" si="235"/>
        <v>#NAME?</v>
      </c>
      <c r="BZ315" s="176"/>
    </row>
    <row r="316" spans="9:78" s="177" customFormat="1" ht="17.75" customHeight="1" x14ac:dyDescent="0.2">
      <c r="I316" s="366">
        <v>232</v>
      </c>
      <c r="J316" s="414">
        <f t="shared" si="236"/>
        <v>41705.873611111638</v>
      </c>
      <c r="K316" s="435" t="e">
        <f t="shared" ca="1" si="237"/>
        <v>#NAME?</v>
      </c>
      <c r="L316" s="435" t="e">
        <f t="shared" ca="1" si="224"/>
        <v>#NAME?</v>
      </c>
      <c r="M316" s="664" t="e">
        <f t="shared" ca="1" si="278"/>
        <v>#NAME?</v>
      </c>
      <c r="N316" s="664" t="e">
        <f t="shared" ca="1" si="279"/>
        <v>#NAME?</v>
      </c>
      <c r="O316" s="140" t="e">
        <f t="shared" ca="1" si="225"/>
        <v>#NAME?</v>
      </c>
      <c r="P316" s="352" t="e">
        <f t="shared" ca="1" si="238"/>
        <v>#NAME?</v>
      </c>
      <c r="Q316" s="665" t="e">
        <f t="shared" ca="1" si="218"/>
        <v>#NAME?</v>
      </c>
      <c r="R316" s="352" t="e">
        <f t="shared" ca="1" si="251"/>
        <v>#NAME?</v>
      </c>
      <c r="S316" s="662" t="e">
        <f t="shared" ca="1" si="226"/>
        <v>#NAME?</v>
      </c>
      <c r="T316" s="443" t="e">
        <f t="shared" ca="1" si="219"/>
        <v>#NAME?</v>
      </c>
      <c r="U316" s="369" t="e">
        <f t="shared" ca="1" si="220"/>
        <v>#NAME?</v>
      </c>
      <c r="V316" s="454" t="e">
        <f t="shared" ca="1" si="227"/>
        <v>#NAME?</v>
      </c>
      <c r="W316" s="457">
        <f t="shared" si="228"/>
        <v>1000</v>
      </c>
      <c r="X316" s="463" t="e">
        <f t="shared" ca="1" si="229"/>
        <v>#NAME?</v>
      </c>
      <c r="Y316" s="455" t="e">
        <f t="shared" ca="1" si="239"/>
        <v>#NAME?</v>
      </c>
      <c r="Z316" s="699">
        <f t="shared" si="221"/>
        <v>8.5</v>
      </c>
      <c r="AA316" s="355" t="str">
        <f t="shared" si="222"/>
        <v>ON</v>
      </c>
      <c r="AB316" s="357">
        <f t="shared" si="252"/>
        <v>1.4999999999999999E-2</v>
      </c>
      <c r="AC316" s="356" t="e">
        <f ca="1">IF(  Y315=0,0,IF(OR(S316="KCAS",S316="INOP",S316="MEFE"),   ( (5*( (   (((1+0.2*(T316/661.4786)^2)^3.5 -1)  )/( (1-6.8755856*10^-6 *100*Y316)^5.2558797) +1)^(2/7) -1) )^0.5),IF(S316="MACH",T316, IF(S316="LRC",BicubicInterpolation( 'LRC Mach'!$C$4:$AL$21, Y316,U316),  IF(S316="MRC",BicubicInterpolation( 'MRC Mach'!$C$3:$T$18, Y316,U316),  IF(S316="M0.84",0.84,  IF(S316="CI52",BicubicInterpolation('CI=52 Mach'!$C$3:$T$18, Y316,U316),  IF(S316="HOLDING",BicubicInterpolation(  'Holding Mach'!$C$4:$M$13, Y316,U316),                         IF(S316="LRCINOP", BicubicInterpolation('LRC INOP Mach'!$C$4:$AA$21,Y316,U316), IF(S316="HOLDINGINOP",  BicubicInterpolation('Holding INOP Mach'!$N$4:$U$13,Y316,U316),         "XXX" )))))))   )))</f>
        <v>#NAME?</v>
      </c>
      <c r="AD316" s="313" t="e">
        <f t="shared" ca="1" si="253"/>
        <v>#NAME?</v>
      </c>
      <c r="AE316" s="314" t="e">
        <f t="shared" ca="1" si="240"/>
        <v>#NAME?</v>
      </c>
      <c r="AF316" s="313" t="e">
        <f t="shared" ca="1" si="254"/>
        <v>#NAME?</v>
      </c>
      <c r="AG316" s="314" t="e">
        <f t="shared" ca="1" si="241"/>
        <v>#NAME?</v>
      </c>
      <c r="AH316" s="313" t="e">
        <f t="shared" ca="1" si="255"/>
        <v>#NAME?</v>
      </c>
      <c r="AI316" s="314" t="e">
        <f t="shared" ca="1" si="242"/>
        <v>#NAME?</v>
      </c>
      <c r="AJ316" s="315" t="e">
        <f t="shared" ca="1" si="243"/>
        <v>#NAME?</v>
      </c>
      <c r="AK316" s="568" t="e">
        <f t="shared" ca="1" si="256"/>
        <v>#NAME?</v>
      </c>
      <c r="AL316" s="313" t="e">
        <f t="shared" ca="1" si="257"/>
        <v>#NAME?</v>
      </c>
      <c r="AM316" s="313" t="e">
        <f t="shared" ca="1" si="244"/>
        <v>#NAME?</v>
      </c>
      <c r="AN316" s="313" t="e">
        <f t="shared" ca="1" si="245"/>
        <v>#NAME?</v>
      </c>
      <c r="AO316" s="316" t="e">
        <f t="shared" ca="1" si="258"/>
        <v>#NAME?</v>
      </c>
      <c r="AP316" s="313" t="e">
        <f t="shared" ca="1" si="259"/>
        <v>#NAME?</v>
      </c>
      <c r="AQ316" s="314" t="e">
        <f t="shared" ca="1" si="246"/>
        <v>#NAME?</v>
      </c>
      <c r="AR316" s="315" t="e">
        <f t="shared" ca="1" si="260"/>
        <v>#NAME?</v>
      </c>
      <c r="AS316" s="316" t="e">
        <f t="shared" ca="1" si="261"/>
        <v>#NAME?</v>
      </c>
      <c r="AT316" s="315" t="e">
        <f t="shared" ca="1" si="262"/>
        <v>#NAME?</v>
      </c>
      <c r="AU316" s="317">
        <v>427.8</v>
      </c>
      <c r="AV316" s="315" t="e">
        <f t="shared" ca="1" si="263"/>
        <v>#NAME?</v>
      </c>
      <c r="AW316" s="318" t="e">
        <f ca="1">0.0001*BicubicInterpolation('Drag Coef Table'!$B$4:$L$28,AV316,AC316)</f>
        <v>#NAME?</v>
      </c>
      <c r="AX316" s="319" t="e">
        <f t="shared" ca="1" si="264"/>
        <v>#NAME?</v>
      </c>
      <c r="AY316" s="318" t="e">
        <f t="shared" ca="1" si="265"/>
        <v>#NAME?</v>
      </c>
      <c r="AZ316" s="320" t="e">
        <f t="shared" ca="1" si="266"/>
        <v>#NAME?</v>
      </c>
      <c r="BA316" s="321" t="e">
        <f t="shared" ca="1" si="267"/>
        <v>#NAME?</v>
      </c>
      <c r="BB316" s="322" t="e">
        <f t="shared" ca="1" si="268"/>
        <v>#NAME?</v>
      </c>
      <c r="BC316" s="323">
        <v>75.196700000000007</v>
      </c>
      <c r="BD316" s="324" t="e">
        <f t="shared" ca="1" si="269"/>
        <v>#NAME?</v>
      </c>
      <c r="BE316" s="325" t="e">
        <f t="shared" ca="1" si="270"/>
        <v>#NAME?</v>
      </c>
      <c r="BF316" s="324" t="e">
        <f ca="1">BicubicInterpolation('TSFC Eff Table'!$B$4:$E$69,2,BB316)</f>
        <v>#NAME?</v>
      </c>
      <c r="BG316" s="326" t="e">
        <f t="shared" ca="1" si="271"/>
        <v>#NAME?</v>
      </c>
      <c r="BH316" s="694" t="e">
        <f ca="1">IF( S316="LRCINOP",   (1+(0.03/10)*Z316*(1+0.2*AC316^2) )*BicubicInterpolation( 'LRC INOP FF'!$C$4:$AA$21, Y316, U316 )-200, IF(S316 ="HOLDINGINOP", (1+(0.03/10)*Z316*(1+0.2*AC316^2) )*BicubicInterpolation( 'Holding INOP FF'!$C$4:$J$13,  Y316,  U316)/1.05-200,   BA316*BG316))</f>
        <v>#NAME?</v>
      </c>
      <c r="BI316" s="344" t="e">
        <f t="shared" ca="1" si="230"/>
        <v>#NAME?</v>
      </c>
      <c r="BJ316" s="322" t="e">
        <f t="shared" ca="1" si="272"/>
        <v>#NAME?</v>
      </c>
      <c r="BK316" s="338" t="e">
        <f t="shared" ca="1" si="231"/>
        <v>#NAME?</v>
      </c>
      <c r="BL316" s="327" t="e">
        <f t="shared" ca="1" si="273"/>
        <v>#NAME?</v>
      </c>
      <c r="BM316" s="328">
        <f t="shared" si="274"/>
        <v>200</v>
      </c>
      <c r="BN316" s="329" t="e">
        <f t="shared" ca="1" si="275"/>
        <v>#NAME?</v>
      </c>
      <c r="BO316" s="344" t="e">
        <f t="shared" ca="1" si="232"/>
        <v>#NAME?</v>
      </c>
      <c r="BP316" s="320" t="e">
        <f t="shared" ca="1" si="276"/>
        <v>#NAME?</v>
      </c>
      <c r="BQ316" s="344" t="e">
        <f t="shared" ca="1" si="233"/>
        <v>#NAME?</v>
      </c>
      <c r="BR316" s="347" t="e">
        <f t="shared" ca="1" si="234"/>
        <v>#NAME?</v>
      </c>
      <c r="BS316" s="326" t="e">
        <f t="shared" ca="1" si="277"/>
        <v>#NAME?</v>
      </c>
      <c r="BT316" s="437" t="e">
        <f t="shared" ca="1" si="247"/>
        <v>#NAME?</v>
      </c>
      <c r="BU316" s="437" t="e">
        <f t="shared" ca="1" si="248"/>
        <v>#NAME?</v>
      </c>
      <c r="BV316" s="441" t="e">
        <f t="shared" ca="1" si="249"/>
        <v>#NAME?</v>
      </c>
      <c r="BW316" s="442" t="e">
        <f t="shared" ca="1" si="250"/>
        <v>#NAME?</v>
      </c>
      <c r="BX316" s="470" t="e">
        <f t="shared" ca="1" si="223"/>
        <v>#NAME?</v>
      </c>
      <c r="BY316" s="484" t="e">
        <f t="shared" ca="1" si="235"/>
        <v>#NAME?</v>
      </c>
      <c r="BZ316" s="176"/>
    </row>
    <row r="317" spans="9:78" s="177" customFormat="1" ht="17.75" customHeight="1" x14ac:dyDescent="0.2">
      <c r="I317" s="366">
        <v>233</v>
      </c>
      <c r="J317" s="414">
        <f t="shared" si="236"/>
        <v>41705.874305556084</v>
      </c>
      <c r="K317" s="435" t="e">
        <f t="shared" ca="1" si="237"/>
        <v>#NAME?</v>
      </c>
      <c r="L317" s="435" t="e">
        <f t="shared" ca="1" si="224"/>
        <v>#NAME?</v>
      </c>
      <c r="M317" s="664" t="e">
        <f t="shared" ca="1" si="278"/>
        <v>#NAME?</v>
      </c>
      <c r="N317" s="664" t="e">
        <f t="shared" ca="1" si="279"/>
        <v>#NAME?</v>
      </c>
      <c r="O317" s="140" t="e">
        <f t="shared" ca="1" si="225"/>
        <v>#NAME?</v>
      </c>
      <c r="P317" s="352" t="e">
        <f t="shared" ca="1" si="238"/>
        <v>#NAME?</v>
      </c>
      <c r="Q317" s="665" t="e">
        <f t="shared" ca="1" si="218"/>
        <v>#NAME?</v>
      </c>
      <c r="R317" s="352" t="e">
        <f t="shared" ca="1" si="251"/>
        <v>#NAME?</v>
      </c>
      <c r="S317" s="662" t="e">
        <f t="shared" ca="1" si="226"/>
        <v>#NAME?</v>
      </c>
      <c r="T317" s="443" t="e">
        <f t="shared" ca="1" si="219"/>
        <v>#NAME?</v>
      </c>
      <c r="U317" s="369" t="e">
        <f t="shared" ca="1" si="220"/>
        <v>#NAME?</v>
      </c>
      <c r="V317" s="454" t="e">
        <f t="shared" ca="1" si="227"/>
        <v>#NAME?</v>
      </c>
      <c r="W317" s="457">
        <f t="shared" si="228"/>
        <v>1000</v>
      </c>
      <c r="X317" s="463" t="e">
        <f t="shared" ca="1" si="229"/>
        <v>#NAME?</v>
      </c>
      <c r="Y317" s="455" t="e">
        <f t="shared" ca="1" si="239"/>
        <v>#NAME?</v>
      </c>
      <c r="Z317" s="699">
        <f t="shared" si="221"/>
        <v>8.5</v>
      </c>
      <c r="AA317" s="355" t="str">
        <f t="shared" si="222"/>
        <v>ON</v>
      </c>
      <c r="AB317" s="357">
        <f t="shared" si="252"/>
        <v>1.4999999999999999E-2</v>
      </c>
      <c r="AC317" s="356" t="e">
        <f ca="1">IF(  Y316=0,0,IF(OR(S317="KCAS",S317="INOP",S317="MEFE"),   ( (5*( (   (((1+0.2*(T317/661.4786)^2)^3.5 -1)  )/( (1-6.8755856*10^-6 *100*Y317)^5.2558797) +1)^(2/7) -1) )^0.5),IF(S317="MACH",T317, IF(S317="LRC",BicubicInterpolation( 'LRC Mach'!$C$4:$AL$21, Y317,U317),  IF(S317="MRC",BicubicInterpolation( 'MRC Mach'!$C$3:$T$18, Y317,U317),  IF(S317="M0.84",0.84,  IF(S317="CI52",BicubicInterpolation('CI=52 Mach'!$C$3:$T$18, Y317,U317),  IF(S317="HOLDING",BicubicInterpolation(  'Holding Mach'!$C$4:$M$13, Y317,U317),                         IF(S317="LRCINOP", BicubicInterpolation('LRC INOP Mach'!$C$4:$AA$21,Y317,U317), IF(S317="HOLDINGINOP",  BicubicInterpolation('Holding INOP Mach'!$N$4:$U$13,Y317,U317),         "XXX" )))))))   )))</f>
        <v>#NAME?</v>
      </c>
      <c r="AD317" s="313" t="e">
        <f t="shared" ca="1" si="253"/>
        <v>#NAME?</v>
      </c>
      <c r="AE317" s="314" t="e">
        <f t="shared" ca="1" si="240"/>
        <v>#NAME?</v>
      </c>
      <c r="AF317" s="313" t="e">
        <f t="shared" ca="1" si="254"/>
        <v>#NAME?</v>
      </c>
      <c r="AG317" s="314" t="e">
        <f t="shared" ca="1" si="241"/>
        <v>#NAME?</v>
      </c>
      <c r="AH317" s="313" t="e">
        <f t="shared" ca="1" si="255"/>
        <v>#NAME?</v>
      </c>
      <c r="AI317" s="314" t="e">
        <f t="shared" ca="1" si="242"/>
        <v>#NAME?</v>
      </c>
      <c r="AJ317" s="315" t="e">
        <f t="shared" ca="1" si="243"/>
        <v>#NAME?</v>
      </c>
      <c r="AK317" s="568" t="e">
        <f t="shared" ca="1" si="256"/>
        <v>#NAME?</v>
      </c>
      <c r="AL317" s="313" t="e">
        <f t="shared" ca="1" si="257"/>
        <v>#NAME?</v>
      </c>
      <c r="AM317" s="313" t="e">
        <f t="shared" ca="1" si="244"/>
        <v>#NAME?</v>
      </c>
      <c r="AN317" s="313" t="e">
        <f t="shared" ca="1" si="245"/>
        <v>#NAME?</v>
      </c>
      <c r="AO317" s="316" t="e">
        <f t="shared" ca="1" si="258"/>
        <v>#NAME?</v>
      </c>
      <c r="AP317" s="313" t="e">
        <f t="shared" ca="1" si="259"/>
        <v>#NAME?</v>
      </c>
      <c r="AQ317" s="314" t="e">
        <f t="shared" ca="1" si="246"/>
        <v>#NAME?</v>
      </c>
      <c r="AR317" s="315" t="e">
        <f t="shared" ca="1" si="260"/>
        <v>#NAME?</v>
      </c>
      <c r="AS317" s="316" t="e">
        <f t="shared" ca="1" si="261"/>
        <v>#NAME?</v>
      </c>
      <c r="AT317" s="315" t="e">
        <f t="shared" ca="1" si="262"/>
        <v>#NAME?</v>
      </c>
      <c r="AU317" s="317">
        <v>427.8</v>
      </c>
      <c r="AV317" s="315" t="e">
        <f t="shared" ca="1" si="263"/>
        <v>#NAME?</v>
      </c>
      <c r="AW317" s="318" t="e">
        <f ca="1">0.0001*BicubicInterpolation('Drag Coef Table'!$B$4:$L$28,AV317,AC317)</f>
        <v>#NAME?</v>
      </c>
      <c r="AX317" s="319" t="e">
        <f t="shared" ca="1" si="264"/>
        <v>#NAME?</v>
      </c>
      <c r="AY317" s="318" t="e">
        <f t="shared" ca="1" si="265"/>
        <v>#NAME?</v>
      </c>
      <c r="AZ317" s="320" t="e">
        <f t="shared" ca="1" si="266"/>
        <v>#NAME?</v>
      </c>
      <c r="BA317" s="321" t="e">
        <f t="shared" ca="1" si="267"/>
        <v>#NAME?</v>
      </c>
      <c r="BB317" s="322" t="e">
        <f t="shared" ca="1" si="268"/>
        <v>#NAME?</v>
      </c>
      <c r="BC317" s="323">
        <v>75.196700000000007</v>
      </c>
      <c r="BD317" s="324" t="e">
        <f t="shared" ca="1" si="269"/>
        <v>#NAME?</v>
      </c>
      <c r="BE317" s="325" t="e">
        <f t="shared" ca="1" si="270"/>
        <v>#NAME?</v>
      </c>
      <c r="BF317" s="324" t="e">
        <f ca="1">BicubicInterpolation('TSFC Eff Table'!$B$4:$E$69,2,BB317)</f>
        <v>#NAME?</v>
      </c>
      <c r="BG317" s="326" t="e">
        <f t="shared" ca="1" si="271"/>
        <v>#NAME?</v>
      </c>
      <c r="BH317" s="694" t="e">
        <f ca="1">IF( S317="LRCINOP",   (1+(0.03/10)*Z317*(1+0.2*AC317^2) )*BicubicInterpolation( 'LRC INOP FF'!$C$4:$AA$21, Y317, U317 )-200, IF(S317 ="HOLDINGINOP", (1+(0.03/10)*Z317*(1+0.2*AC317^2) )*BicubicInterpolation( 'Holding INOP FF'!$C$4:$J$13,  Y317,  U317)/1.05-200,   BA317*BG317))</f>
        <v>#NAME?</v>
      </c>
      <c r="BI317" s="344" t="e">
        <f t="shared" ca="1" si="230"/>
        <v>#NAME?</v>
      </c>
      <c r="BJ317" s="322" t="e">
        <f t="shared" ca="1" si="272"/>
        <v>#NAME?</v>
      </c>
      <c r="BK317" s="338" t="e">
        <f t="shared" ca="1" si="231"/>
        <v>#NAME?</v>
      </c>
      <c r="BL317" s="327" t="e">
        <f t="shared" ca="1" si="273"/>
        <v>#NAME?</v>
      </c>
      <c r="BM317" s="328">
        <f t="shared" si="274"/>
        <v>200</v>
      </c>
      <c r="BN317" s="329" t="e">
        <f t="shared" ca="1" si="275"/>
        <v>#NAME?</v>
      </c>
      <c r="BO317" s="344" t="e">
        <f t="shared" ca="1" si="232"/>
        <v>#NAME?</v>
      </c>
      <c r="BP317" s="320" t="e">
        <f t="shared" ca="1" si="276"/>
        <v>#NAME?</v>
      </c>
      <c r="BQ317" s="344" t="e">
        <f t="shared" ca="1" si="233"/>
        <v>#NAME?</v>
      </c>
      <c r="BR317" s="347" t="e">
        <f t="shared" ca="1" si="234"/>
        <v>#NAME?</v>
      </c>
      <c r="BS317" s="326" t="e">
        <f t="shared" ca="1" si="277"/>
        <v>#NAME?</v>
      </c>
      <c r="BT317" s="437" t="e">
        <f t="shared" ca="1" si="247"/>
        <v>#NAME?</v>
      </c>
      <c r="BU317" s="437" t="e">
        <f t="shared" ca="1" si="248"/>
        <v>#NAME?</v>
      </c>
      <c r="BV317" s="441" t="e">
        <f t="shared" ca="1" si="249"/>
        <v>#NAME?</v>
      </c>
      <c r="BW317" s="442" t="e">
        <f t="shared" ca="1" si="250"/>
        <v>#NAME?</v>
      </c>
      <c r="BX317" s="470" t="e">
        <f t="shared" ca="1" si="223"/>
        <v>#NAME?</v>
      </c>
      <c r="BY317" s="484" t="e">
        <f t="shared" ca="1" si="235"/>
        <v>#NAME?</v>
      </c>
      <c r="BZ317" s="176"/>
    </row>
    <row r="318" spans="9:78" s="177" customFormat="1" ht="17.75" customHeight="1" x14ac:dyDescent="0.2">
      <c r="I318" s="366">
        <v>234</v>
      </c>
      <c r="J318" s="414">
        <f t="shared" si="236"/>
        <v>41705.875000000531</v>
      </c>
      <c r="K318" s="435" t="e">
        <f t="shared" ca="1" si="237"/>
        <v>#NAME?</v>
      </c>
      <c r="L318" s="435" t="e">
        <f t="shared" ca="1" si="224"/>
        <v>#NAME?</v>
      </c>
      <c r="M318" s="664" t="e">
        <f t="shared" ca="1" si="278"/>
        <v>#NAME?</v>
      </c>
      <c r="N318" s="664" t="e">
        <f t="shared" ca="1" si="279"/>
        <v>#NAME?</v>
      </c>
      <c r="O318" s="140" t="e">
        <f t="shared" ca="1" si="225"/>
        <v>#NAME?</v>
      </c>
      <c r="P318" s="352" t="e">
        <f t="shared" ca="1" si="238"/>
        <v>#NAME?</v>
      </c>
      <c r="Q318" s="665" t="e">
        <f t="shared" ca="1" si="218"/>
        <v>#NAME?</v>
      </c>
      <c r="R318" s="352" t="e">
        <f t="shared" ca="1" si="251"/>
        <v>#NAME?</v>
      </c>
      <c r="S318" s="662" t="e">
        <f t="shared" ca="1" si="226"/>
        <v>#NAME?</v>
      </c>
      <c r="T318" s="443" t="e">
        <f t="shared" ca="1" si="219"/>
        <v>#NAME?</v>
      </c>
      <c r="U318" s="369" t="e">
        <f t="shared" ca="1" si="220"/>
        <v>#NAME?</v>
      </c>
      <c r="V318" s="454" t="e">
        <f t="shared" ca="1" si="227"/>
        <v>#NAME?</v>
      </c>
      <c r="W318" s="457">
        <f t="shared" si="228"/>
        <v>1000</v>
      </c>
      <c r="X318" s="463" t="e">
        <f t="shared" ca="1" si="229"/>
        <v>#NAME?</v>
      </c>
      <c r="Y318" s="455" t="e">
        <f t="shared" ca="1" si="239"/>
        <v>#NAME?</v>
      </c>
      <c r="Z318" s="699">
        <f t="shared" si="221"/>
        <v>8.5</v>
      </c>
      <c r="AA318" s="355" t="str">
        <f t="shared" si="222"/>
        <v>ON</v>
      </c>
      <c r="AB318" s="357">
        <f t="shared" si="252"/>
        <v>1.4999999999999999E-2</v>
      </c>
      <c r="AC318" s="356" t="e">
        <f ca="1">IF(  Y317=0,0,IF(OR(S318="KCAS",S318="INOP",S318="MEFE"),   ( (5*( (   (((1+0.2*(T318/661.4786)^2)^3.5 -1)  )/( (1-6.8755856*10^-6 *100*Y318)^5.2558797) +1)^(2/7) -1) )^0.5),IF(S318="MACH",T318, IF(S318="LRC",BicubicInterpolation( 'LRC Mach'!$C$4:$AL$21, Y318,U318),  IF(S318="MRC",BicubicInterpolation( 'MRC Mach'!$C$3:$T$18, Y318,U318),  IF(S318="M0.84",0.84,  IF(S318="CI52",BicubicInterpolation('CI=52 Mach'!$C$3:$T$18, Y318,U318),  IF(S318="HOLDING",BicubicInterpolation(  'Holding Mach'!$C$4:$M$13, Y318,U318),                         IF(S318="LRCINOP", BicubicInterpolation('LRC INOP Mach'!$C$4:$AA$21,Y318,U318), IF(S318="HOLDINGINOP",  BicubicInterpolation('Holding INOP Mach'!$N$4:$U$13,Y318,U318),         "XXX" )))))))   )))</f>
        <v>#NAME?</v>
      </c>
      <c r="AD318" s="313" t="e">
        <f t="shared" ca="1" si="253"/>
        <v>#NAME?</v>
      </c>
      <c r="AE318" s="314" t="e">
        <f t="shared" ca="1" si="240"/>
        <v>#NAME?</v>
      </c>
      <c r="AF318" s="313" t="e">
        <f t="shared" ca="1" si="254"/>
        <v>#NAME?</v>
      </c>
      <c r="AG318" s="314" t="e">
        <f t="shared" ca="1" si="241"/>
        <v>#NAME?</v>
      </c>
      <c r="AH318" s="313" t="e">
        <f t="shared" ca="1" si="255"/>
        <v>#NAME?</v>
      </c>
      <c r="AI318" s="314" t="e">
        <f t="shared" ca="1" si="242"/>
        <v>#NAME?</v>
      </c>
      <c r="AJ318" s="315" t="e">
        <f t="shared" ca="1" si="243"/>
        <v>#NAME?</v>
      </c>
      <c r="AK318" s="568" t="e">
        <f t="shared" ca="1" si="256"/>
        <v>#NAME?</v>
      </c>
      <c r="AL318" s="313" t="e">
        <f t="shared" ca="1" si="257"/>
        <v>#NAME?</v>
      </c>
      <c r="AM318" s="313" t="e">
        <f t="shared" ca="1" si="244"/>
        <v>#NAME?</v>
      </c>
      <c r="AN318" s="313" t="e">
        <f t="shared" ca="1" si="245"/>
        <v>#NAME?</v>
      </c>
      <c r="AO318" s="316" t="e">
        <f t="shared" ca="1" si="258"/>
        <v>#NAME?</v>
      </c>
      <c r="AP318" s="313" t="e">
        <f t="shared" ca="1" si="259"/>
        <v>#NAME?</v>
      </c>
      <c r="AQ318" s="314" t="e">
        <f t="shared" ca="1" si="246"/>
        <v>#NAME?</v>
      </c>
      <c r="AR318" s="315" t="e">
        <f t="shared" ca="1" si="260"/>
        <v>#NAME?</v>
      </c>
      <c r="AS318" s="316" t="e">
        <f t="shared" ca="1" si="261"/>
        <v>#NAME?</v>
      </c>
      <c r="AT318" s="315" t="e">
        <f t="shared" ca="1" si="262"/>
        <v>#NAME?</v>
      </c>
      <c r="AU318" s="317">
        <v>427.8</v>
      </c>
      <c r="AV318" s="315" t="e">
        <f t="shared" ca="1" si="263"/>
        <v>#NAME?</v>
      </c>
      <c r="AW318" s="318" t="e">
        <f ca="1">0.0001*BicubicInterpolation('Drag Coef Table'!$B$4:$L$28,AV318,AC318)</f>
        <v>#NAME?</v>
      </c>
      <c r="AX318" s="319" t="e">
        <f t="shared" ca="1" si="264"/>
        <v>#NAME?</v>
      </c>
      <c r="AY318" s="318" t="e">
        <f t="shared" ca="1" si="265"/>
        <v>#NAME?</v>
      </c>
      <c r="AZ318" s="320" t="e">
        <f t="shared" ca="1" si="266"/>
        <v>#NAME?</v>
      </c>
      <c r="BA318" s="321" t="e">
        <f t="shared" ca="1" si="267"/>
        <v>#NAME?</v>
      </c>
      <c r="BB318" s="322" t="e">
        <f t="shared" ca="1" si="268"/>
        <v>#NAME?</v>
      </c>
      <c r="BC318" s="323">
        <v>75.196700000000007</v>
      </c>
      <c r="BD318" s="324" t="e">
        <f t="shared" ca="1" si="269"/>
        <v>#NAME?</v>
      </c>
      <c r="BE318" s="325" t="e">
        <f t="shared" ca="1" si="270"/>
        <v>#NAME?</v>
      </c>
      <c r="BF318" s="324" t="e">
        <f ca="1">BicubicInterpolation('TSFC Eff Table'!$B$4:$E$69,2,BB318)</f>
        <v>#NAME?</v>
      </c>
      <c r="BG318" s="326" t="e">
        <f t="shared" ca="1" si="271"/>
        <v>#NAME?</v>
      </c>
      <c r="BH318" s="694" t="e">
        <f ca="1">IF( S318="LRCINOP",   (1+(0.03/10)*Z318*(1+0.2*AC318^2) )*BicubicInterpolation( 'LRC INOP FF'!$C$4:$AA$21, Y318, U318 )-200, IF(S318 ="HOLDINGINOP", (1+(0.03/10)*Z318*(1+0.2*AC318^2) )*BicubicInterpolation( 'Holding INOP FF'!$C$4:$J$13,  Y318,  U318)/1.05-200,   BA318*BG318))</f>
        <v>#NAME?</v>
      </c>
      <c r="BI318" s="344" t="e">
        <f t="shared" ca="1" si="230"/>
        <v>#NAME?</v>
      </c>
      <c r="BJ318" s="322" t="e">
        <f t="shared" ca="1" si="272"/>
        <v>#NAME?</v>
      </c>
      <c r="BK318" s="338" t="e">
        <f t="shared" ca="1" si="231"/>
        <v>#NAME?</v>
      </c>
      <c r="BL318" s="327" t="e">
        <f t="shared" ca="1" si="273"/>
        <v>#NAME?</v>
      </c>
      <c r="BM318" s="328">
        <f t="shared" si="274"/>
        <v>200</v>
      </c>
      <c r="BN318" s="329" t="e">
        <f t="shared" ca="1" si="275"/>
        <v>#NAME?</v>
      </c>
      <c r="BO318" s="344" t="e">
        <f t="shared" ca="1" si="232"/>
        <v>#NAME?</v>
      </c>
      <c r="BP318" s="320" t="e">
        <f t="shared" ca="1" si="276"/>
        <v>#NAME?</v>
      </c>
      <c r="BQ318" s="344" t="e">
        <f t="shared" ca="1" si="233"/>
        <v>#NAME?</v>
      </c>
      <c r="BR318" s="347" t="e">
        <f t="shared" ca="1" si="234"/>
        <v>#NAME?</v>
      </c>
      <c r="BS318" s="326" t="e">
        <f t="shared" ca="1" si="277"/>
        <v>#NAME?</v>
      </c>
      <c r="BT318" s="437" t="e">
        <f t="shared" ca="1" si="247"/>
        <v>#NAME?</v>
      </c>
      <c r="BU318" s="437" t="e">
        <f t="shared" ca="1" si="248"/>
        <v>#NAME?</v>
      </c>
      <c r="BV318" s="441" t="e">
        <f t="shared" ca="1" si="249"/>
        <v>#NAME?</v>
      </c>
      <c r="BW318" s="442" t="e">
        <f t="shared" ca="1" si="250"/>
        <v>#NAME?</v>
      </c>
      <c r="BX318" s="470" t="e">
        <f t="shared" ca="1" si="223"/>
        <v>#NAME?</v>
      </c>
      <c r="BY318" s="484" t="e">
        <f t="shared" ca="1" si="235"/>
        <v>#NAME?</v>
      </c>
      <c r="BZ318" s="176"/>
    </row>
    <row r="319" spans="9:78" s="177" customFormat="1" ht="17.75" customHeight="1" x14ac:dyDescent="0.2">
      <c r="I319" s="366">
        <v>235</v>
      </c>
      <c r="J319" s="414">
        <f t="shared" si="236"/>
        <v>41705.875694444978</v>
      </c>
      <c r="K319" s="435" t="e">
        <f t="shared" ca="1" si="237"/>
        <v>#NAME?</v>
      </c>
      <c r="L319" s="435" t="e">
        <f t="shared" ca="1" si="224"/>
        <v>#NAME?</v>
      </c>
      <c r="M319" s="664" t="e">
        <f t="shared" ca="1" si="278"/>
        <v>#NAME?</v>
      </c>
      <c r="N319" s="664" t="e">
        <f t="shared" ca="1" si="279"/>
        <v>#NAME?</v>
      </c>
      <c r="O319" s="140" t="e">
        <f t="shared" ca="1" si="225"/>
        <v>#NAME?</v>
      </c>
      <c r="P319" s="352" t="e">
        <f t="shared" ca="1" si="238"/>
        <v>#NAME?</v>
      </c>
      <c r="Q319" s="665" t="e">
        <f t="shared" ca="1" si="218"/>
        <v>#NAME?</v>
      </c>
      <c r="R319" s="352" t="e">
        <f t="shared" ca="1" si="251"/>
        <v>#NAME?</v>
      </c>
      <c r="S319" s="662" t="e">
        <f t="shared" ca="1" si="226"/>
        <v>#NAME?</v>
      </c>
      <c r="T319" s="443" t="e">
        <f t="shared" ca="1" si="219"/>
        <v>#NAME?</v>
      </c>
      <c r="U319" s="369" t="e">
        <f t="shared" ca="1" si="220"/>
        <v>#NAME?</v>
      </c>
      <c r="V319" s="454" t="e">
        <f t="shared" ca="1" si="227"/>
        <v>#NAME?</v>
      </c>
      <c r="W319" s="457">
        <f t="shared" si="228"/>
        <v>1000</v>
      </c>
      <c r="X319" s="463" t="e">
        <f t="shared" ca="1" si="229"/>
        <v>#NAME?</v>
      </c>
      <c r="Y319" s="455" t="e">
        <f t="shared" ca="1" si="239"/>
        <v>#NAME?</v>
      </c>
      <c r="Z319" s="699">
        <f t="shared" si="221"/>
        <v>8.5</v>
      </c>
      <c r="AA319" s="355" t="str">
        <f t="shared" si="222"/>
        <v>ON</v>
      </c>
      <c r="AB319" s="357">
        <f t="shared" si="252"/>
        <v>1.4999999999999999E-2</v>
      </c>
      <c r="AC319" s="356" t="e">
        <f ca="1">IF(  Y318=0,0,IF(OR(S319="KCAS",S319="INOP",S319="MEFE"),   ( (5*( (   (((1+0.2*(T319/661.4786)^2)^3.5 -1)  )/( (1-6.8755856*10^-6 *100*Y319)^5.2558797) +1)^(2/7) -1) )^0.5),IF(S319="MACH",T319, IF(S319="LRC",BicubicInterpolation( 'LRC Mach'!$C$4:$AL$21, Y319,U319),  IF(S319="MRC",BicubicInterpolation( 'MRC Mach'!$C$3:$T$18, Y319,U319),  IF(S319="M0.84",0.84,  IF(S319="CI52",BicubicInterpolation('CI=52 Mach'!$C$3:$T$18, Y319,U319),  IF(S319="HOLDING",BicubicInterpolation(  'Holding Mach'!$C$4:$M$13, Y319,U319),                         IF(S319="LRCINOP", BicubicInterpolation('LRC INOP Mach'!$C$4:$AA$21,Y319,U319), IF(S319="HOLDINGINOP",  BicubicInterpolation('Holding INOP Mach'!$N$4:$U$13,Y319,U319),         "XXX" )))))))   )))</f>
        <v>#NAME?</v>
      </c>
      <c r="AD319" s="313" t="e">
        <f t="shared" ca="1" si="253"/>
        <v>#NAME?</v>
      </c>
      <c r="AE319" s="314" t="e">
        <f t="shared" ca="1" si="240"/>
        <v>#NAME?</v>
      </c>
      <c r="AF319" s="313" t="e">
        <f t="shared" ca="1" si="254"/>
        <v>#NAME?</v>
      </c>
      <c r="AG319" s="314" t="e">
        <f t="shared" ca="1" si="241"/>
        <v>#NAME?</v>
      </c>
      <c r="AH319" s="313" t="e">
        <f t="shared" ca="1" si="255"/>
        <v>#NAME?</v>
      </c>
      <c r="AI319" s="314" t="e">
        <f t="shared" ca="1" si="242"/>
        <v>#NAME?</v>
      </c>
      <c r="AJ319" s="315" t="e">
        <f t="shared" ca="1" si="243"/>
        <v>#NAME?</v>
      </c>
      <c r="AK319" s="568" t="e">
        <f t="shared" ca="1" si="256"/>
        <v>#NAME?</v>
      </c>
      <c r="AL319" s="313" t="e">
        <f t="shared" ca="1" si="257"/>
        <v>#NAME?</v>
      </c>
      <c r="AM319" s="313" t="e">
        <f t="shared" ca="1" si="244"/>
        <v>#NAME?</v>
      </c>
      <c r="AN319" s="313" t="e">
        <f t="shared" ca="1" si="245"/>
        <v>#NAME?</v>
      </c>
      <c r="AO319" s="316" t="e">
        <f t="shared" ca="1" si="258"/>
        <v>#NAME?</v>
      </c>
      <c r="AP319" s="313" t="e">
        <f t="shared" ca="1" si="259"/>
        <v>#NAME?</v>
      </c>
      <c r="AQ319" s="314" t="e">
        <f t="shared" ca="1" si="246"/>
        <v>#NAME?</v>
      </c>
      <c r="AR319" s="315" t="e">
        <f t="shared" ca="1" si="260"/>
        <v>#NAME?</v>
      </c>
      <c r="AS319" s="316" t="e">
        <f t="shared" ca="1" si="261"/>
        <v>#NAME?</v>
      </c>
      <c r="AT319" s="315" t="e">
        <f t="shared" ca="1" si="262"/>
        <v>#NAME?</v>
      </c>
      <c r="AU319" s="317">
        <v>427.8</v>
      </c>
      <c r="AV319" s="315" t="e">
        <f t="shared" ca="1" si="263"/>
        <v>#NAME?</v>
      </c>
      <c r="AW319" s="318" t="e">
        <f ca="1">0.0001*BicubicInterpolation('Drag Coef Table'!$B$4:$L$28,AV319,AC319)</f>
        <v>#NAME?</v>
      </c>
      <c r="AX319" s="319" t="e">
        <f t="shared" ca="1" si="264"/>
        <v>#NAME?</v>
      </c>
      <c r="AY319" s="318" t="e">
        <f t="shared" ca="1" si="265"/>
        <v>#NAME?</v>
      </c>
      <c r="AZ319" s="320" t="e">
        <f t="shared" ca="1" si="266"/>
        <v>#NAME?</v>
      </c>
      <c r="BA319" s="321" t="e">
        <f t="shared" ca="1" si="267"/>
        <v>#NAME?</v>
      </c>
      <c r="BB319" s="322" t="e">
        <f t="shared" ca="1" si="268"/>
        <v>#NAME?</v>
      </c>
      <c r="BC319" s="323">
        <v>75.196700000000007</v>
      </c>
      <c r="BD319" s="324" t="e">
        <f t="shared" ca="1" si="269"/>
        <v>#NAME?</v>
      </c>
      <c r="BE319" s="325" t="e">
        <f t="shared" ca="1" si="270"/>
        <v>#NAME?</v>
      </c>
      <c r="BF319" s="324" t="e">
        <f ca="1">BicubicInterpolation('TSFC Eff Table'!$B$4:$E$69,2,BB319)</f>
        <v>#NAME?</v>
      </c>
      <c r="BG319" s="326" t="e">
        <f t="shared" ca="1" si="271"/>
        <v>#NAME?</v>
      </c>
      <c r="BH319" s="694" t="e">
        <f ca="1">IF( S319="LRCINOP",   (1+(0.03/10)*Z319*(1+0.2*AC319^2) )*BicubicInterpolation( 'LRC INOP FF'!$C$4:$AA$21, Y319, U319 )-200, IF(S319 ="HOLDINGINOP", (1+(0.03/10)*Z319*(1+0.2*AC319^2) )*BicubicInterpolation( 'Holding INOP FF'!$C$4:$J$13,  Y319,  U319)/1.05-200,   BA319*BG319))</f>
        <v>#NAME?</v>
      </c>
      <c r="BI319" s="344" t="e">
        <f t="shared" ca="1" si="230"/>
        <v>#NAME?</v>
      </c>
      <c r="BJ319" s="322" t="e">
        <f t="shared" ca="1" si="272"/>
        <v>#NAME?</v>
      </c>
      <c r="BK319" s="338" t="e">
        <f t="shared" ca="1" si="231"/>
        <v>#NAME?</v>
      </c>
      <c r="BL319" s="327" t="e">
        <f t="shared" ca="1" si="273"/>
        <v>#NAME?</v>
      </c>
      <c r="BM319" s="328">
        <f t="shared" si="274"/>
        <v>200</v>
      </c>
      <c r="BN319" s="329" t="e">
        <f t="shared" ca="1" si="275"/>
        <v>#NAME?</v>
      </c>
      <c r="BO319" s="344" t="e">
        <f t="shared" ca="1" si="232"/>
        <v>#NAME?</v>
      </c>
      <c r="BP319" s="320" t="e">
        <f t="shared" ca="1" si="276"/>
        <v>#NAME?</v>
      </c>
      <c r="BQ319" s="344" t="e">
        <f t="shared" ca="1" si="233"/>
        <v>#NAME?</v>
      </c>
      <c r="BR319" s="347" t="e">
        <f t="shared" ca="1" si="234"/>
        <v>#NAME?</v>
      </c>
      <c r="BS319" s="326" t="e">
        <f t="shared" ca="1" si="277"/>
        <v>#NAME?</v>
      </c>
      <c r="BT319" s="437" t="e">
        <f t="shared" ca="1" si="247"/>
        <v>#NAME?</v>
      </c>
      <c r="BU319" s="437" t="e">
        <f t="shared" ca="1" si="248"/>
        <v>#NAME?</v>
      </c>
      <c r="BV319" s="441" t="e">
        <f t="shared" ca="1" si="249"/>
        <v>#NAME?</v>
      </c>
      <c r="BW319" s="442" t="e">
        <f t="shared" ca="1" si="250"/>
        <v>#NAME?</v>
      </c>
      <c r="BX319" s="470" t="e">
        <f t="shared" ca="1" si="223"/>
        <v>#NAME?</v>
      </c>
      <c r="BY319" s="484" t="e">
        <f t="shared" ca="1" si="235"/>
        <v>#NAME?</v>
      </c>
      <c r="BZ319" s="176"/>
    </row>
    <row r="320" spans="9:78" s="177" customFormat="1" ht="17.75" customHeight="1" x14ac:dyDescent="0.2">
      <c r="I320" s="366">
        <v>236</v>
      </c>
      <c r="J320" s="414">
        <f t="shared" si="236"/>
        <v>41705.876388889425</v>
      </c>
      <c r="K320" s="435" t="e">
        <f t="shared" ca="1" si="237"/>
        <v>#NAME?</v>
      </c>
      <c r="L320" s="435" t="e">
        <f t="shared" ca="1" si="224"/>
        <v>#NAME?</v>
      </c>
      <c r="M320" s="664" t="e">
        <f t="shared" ca="1" si="278"/>
        <v>#NAME?</v>
      </c>
      <c r="N320" s="664" t="e">
        <f t="shared" ca="1" si="279"/>
        <v>#NAME?</v>
      </c>
      <c r="O320" s="140" t="e">
        <f t="shared" ca="1" si="225"/>
        <v>#NAME?</v>
      </c>
      <c r="P320" s="352" t="e">
        <f t="shared" ca="1" si="238"/>
        <v>#NAME?</v>
      </c>
      <c r="Q320" s="665" t="e">
        <f t="shared" ca="1" si="218"/>
        <v>#NAME?</v>
      </c>
      <c r="R320" s="352" t="e">
        <f t="shared" ca="1" si="251"/>
        <v>#NAME?</v>
      </c>
      <c r="S320" s="662" t="e">
        <f t="shared" ca="1" si="226"/>
        <v>#NAME?</v>
      </c>
      <c r="T320" s="443" t="e">
        <f t="shared" ca="1" si="219"/>
        <v>#NAME?</v>
      </c>
      <c r="U320" s="369" t="e">
        <f t="shared" ca="1" si="220"/>
        <v>#NAME?</v>
      </c>
      <c r="V320" s="454" t="e">
        <f t="shared" ca="1" si="227"/>
        <v>#NAME?</v>
      </c>
      <c r="W320" s="457">
        <f t="shared" si="228"/>
        <v>1000</v>
      </c>
      <c r="X320" s="463" t="e">
        <f t="shared" ca="1" si="229"/>
        <v>#NAME?</v>
      </c>
      <c r="Y320" s="455" t="e">
        <f t="shared" ca="1" si="239"/>
        <v>#NAME?</v>
      </c>
      <c r="Z320" s="699">
        <f t="shared" si="221"/>
        <v>8.5</v>
      </c>
      <c r="AA320" s="355" t="str">
        <f t="shared" si="222"/>
        <v>ON</v>
      </c>
      <c r="AB320" s="357">
        <f t="shared" si="252"/>
        <v>1.4999999999999999E-2</v>
      </c>
      <c r="AC320" s="356" t="e">
        <f ca="1">IF(  Y319=0,0,IF(OR(S320="KCAS",S320="INOP",S320="MEFE"),   ( (5*( (   (((1+0.2*(T320/661.4786)^2)^3.5 -1)  )/( (1-6.8755856*10^-6 *100*Y320)^5.2558797) +1)^(2/7) -1) )^0.5),IF(S320="MACH",T320, IF(S320="LRC",BicubicInterpolation( 'LRC Mach'!$C$4:$AL$21, Y320,U320),  IF(S320="MRC",BicubicInterpolation( 'MRC Mach'!$C$3:$T$18, Y320,U320),  IF(S320="M0.84",0.84,  IF(S320="CI52",BicubicInterpolation('CI=52 Mach'!$C$3:$T$18, Y320,U320),  IF(S320="HOLDING",BicubicInterpolation(  'Holding Mach'!$C$4:$M$13, Y320,U320),                         IF(S320="LRCINOP", BicubicInterpolation('LRC INOP Mach'!$C$4:$AA$21,Y320,U320), IF(S320="HOLDINGINOP",  BicubicInterpolation('Holding INOP Mach'!$N$4:$U$13,Y320,U320),         "XXX" )))))))   )))</f>
        <v>#NAME?</v>
      </c>
      <c r="AD320" s="313" t="e">
        <f t="shared" ca="1" si="253"/>
        <v>#NAME?</v>
      </c>
      <c r="AE320" s="314" t="e">
        <f t="shared" ca="1" si="240"/>
        <v>#NAME?</v>
      </c>
      <c r="AF320" s="313" t="e">
        <f t="shared" ca="1" si="254"/>
        <v>#NAME?</v>
      </c>
      <c r="AG320" s="314" t="e">
        <f t="shared" ca="1" si="241"/>
        <v>#NAME?</v>
      </c>
      <c r="AH320" s="313" t="e">
        <f t="shared" ca="1" si="255"/>
        <v>#NAME?</v>
      </c>
      <c r="AI320" s="314" t="e">
        <f t="shared" ca="1" si="242"/>
        <v>#NAME?</v>
      </c>
      <c r="AJ320" s="315" t="e">
        <f t="shared" ca="1" si="243"/>
        <v>#NAME?</v>
      </c>
      <c r="AK320" s="568" t="e">
        <f t="shared" ca="1" si="256"/>
        <v>#NAME?</v>
      </c>
      <c r="AL320" s="313" t="e">
        <f t="shared" ca="1" si="257"/>
        <v>#NAME?</v>
      </c>
      <c r="AM320" s="313" t="e">
        <f t="shared" ca="1" si="244"/>
        <v>#NAME?</v>
      </c>
      <c r="AN320" s="313" t="e">
        <f t="shared" ca="1" si="245"/>
        <v>#NAME?</v>
      </c>
      <c r="AO320" s="316" t="e">
        <f t="shared" ca="1" si="258"/>
        <v>#NAME?</v>
      </c>
      <c r="AP320" s="313" t="e">
        <f t="shared" ca="1" si="259"/>
        <v>#NAME?</v>
      </c>
      <c r="AQ320" s="314" t="e">
        <f t="shared" ca="1" si="246"/>
        <v>#NAME?</v>
      </c>
      <c r="AR320" s="315" t="e">
        <f t="shared" ca="1" si="260"/>
        <v>#NAME?</v>
      </c>
      <c r="AS320" s="316" t="e">
        <f t="shared" ca="1" si="261"/>
        <v>#NAME?</v>
      </c>
      <c r="AT320" s="315" t="e">
        <f t="shared" ca="1" si="262"/>
        <v>#NAME?</v>
      </c>
      <c r="AU320" s="317">
        <v>427.8</v>
      </c>
      <c r="AV320" s="315" t="e">
        <f t="shared" ca="1" si="263"/>
        <v>#NAME?</v>
      </c>
      <c r="AW320" s="318" t="e">
        <f ca="1">0.0001*BicubicInterpolation('Drag Coef Table'!$B$4:$L$28,AV320,AC320)</f>
        <v>#NAME?</v>
      </c>
      <c r="AX320" s="319" t="e">
        <f t="shared" ca="1" si="264"/>
        <v>#NAME?</v>
      </c>
      <c r="AY320" s="318" t="e">
        <f t="shared" ca="1" si="265"/>
        <v>#NAME?</v>
      </c>
      <c r="AZ320" s="320" t="e">
        <f t="shared" ca="1" si="266"/>
        <v>#NAME?</v>
      </c>
      <c r="BA320" s="321" t="e">
        <f t="shared" ca="1" si="267"/>
        <v>#NAME?</v>
      </c>
      <c r="BB320" s="322" t="e">
        <f t="shared" ca="1" si="268"/>
        <v>#NAME?</v>
      </c>
      <c r="BC320" s="323">
        <v>75.196700000000007</v>
      </c>
      <c r="BD320" s="324" t="e">
        <f t="shared" ca="1" si="269"/>
        <v>#NAME?</v>
      </c>
      <c r="BE320" s="325" t="e">
        <f t="shared" ca="1" si="270"/>
        <v>#NAME?</v>
      </c>
      <c r="BF320" s="324" t="e">
        <f ca="1">BicubicInterpolation('TSFC Eff Table'!$B$4:$E$69,2,BB320)</f>
        <v>#NAME?</v>
      </c>
      <c r="BG320" s="326" t="e">
        <f t="shared" ca="1" si="271"/>
        <v>#NAME?</v>
      </c>
      <c r="BH320" s="694" t="e">
        <f ca="1">IF( S320="LRCINOP",   (1+(0.03/10)*Z320*(1+0.2*AC320^2) )*BicubicInterpolation( 'LRC INOP FF'!$C$4:$AA$21, Y320, U320 )-200, IF(S320 ="HOLDINGINOP", (1+(0.03/10)*Z320*(1+0.2*AC320^2) )*BicubicInterpolation( 'Holding INOP FF'!$C$4:$J$13,  Y320,  U320)/1.05-200,   BA320*BG320))</f>
        <v>#NAME?</v>
      </c>
      <c r="BI320" s="344" t="e">
        <f t="shared" ca="1" si="230"/>
        <v>#NAME?</v>
      </c>
      <c r="BJ320" s="322" t="e">
        <f t="shared" ca="1" si="272"/>
        <v>#NAME?</v>
      </c>
      <c r="BK320" s="338" t="e">
        <f t="shared" ca="1" si="231"/>
        <v>#NAME?</v>
      </c>
      <c r="BL320" s="327" t="e">
        <f t="shared" ca="1" si="273"/>
        <v>#NAME?</v>
      </c>
      <c r="BM320" s="328">
        <f t="shared" si="274"/>
        <v>200</v>
      </c>
      <c r="BN320" s="329" t="e">
        <f t="shared" ca="1" si="275"/>
        <v>#NAME?</v>
      </c>
      <c r="BO320" s="344" t="e">
        <f t="shared" ca="1" si="232"/>
        <v>#NAME?</v>
      </c>
      <c r="BP320" s="320" t="e">
        <f t="shared" ca="1" si="276"/>
        <v>#NAME?</v>
      </c>
      <c r="BQ320" s="344" t="e">
        <f t="shared" ca="1" si="233"/>
        <v>#NAME?</v>
      </c>
      <c r="BR320" s="347" t="e">
        <f t="shared" ca="1" si="234"/>
        <v>#NAME?</v>
      </c>
      <c r="BS320" s="326" t="e">
        <f t="shared" ca="1" si="277"/>
        <v>#NAME?</v>
      </c>
      <c r="BT320" s="437" t="e">
        <f t="shared" ca="1" si="247"/>
        <v>#NAME?</v>
      </c>
      <c r="BU320" s="437" t="e">
        <f t="shared" ca="1" si="248"/>
        <v>#NAME?</v>
      </c>
      <c r="BV320" s="441" t="e">
        <f t="shared" ca="1" si="249"/>
        <v>#NAME?</v>
      </c>
      <c r="BW320" s="442" t="e">
        <f t="shared" ca="1" si="250"/>
        <v>#NAME?</v>
      </c>
      <c r="BX320" s="470" t="e">
        <f t="shared" ca="1" si="223"/>
        <v>#NAME?</v>
      </c>
      <c r="BY320" s="484" t="e">
        <f t="shared" ca="1" si="235"/>
        <v>#NAME?</v>
      </c>
      <c r="BZ320" s="176"/>
    </row>
    <row r="321" spans="9:78" s="177" customFormat="1" ht="17.75" customHeight="1" x14ac:dyDescent="0.2">
      <c r="I321" s="366">
        <v>237</v>
      </c>
      <c r="J321" s="414">
        <f t="shared" si="236"/>
        <v>41705.877083333871</v>
      </c>
      <c r="K321" s="435" t="e">
        <f t="shared" ca="1" si="237"/>
        <v>#NAME?</v>
      </c>
      <c r="L321" s="435" t="e">
        <f t="shared" ca="1" si="224"/>
        <v>#NAME?</v>
      </c>
      <c r="M321" s="664" t="e">
        <f t="shared" ca="1" si="278"/>
        <v>#NAME?</v>
      </c>
      <c r="N321" s="664" t="e">
        <f t="shared" ca="1" si="279"/>
        <v>#NAME?</v>
      </c>
      <c r="O321" s="140" t="e">
        <f t="shared" ca="1" si="225"/>
        <v>#NAME?</v>
      </c>
      <c r="P321" s="352" t="e">
        <f t="shared" ca="1" si="238"/>
        <v>#NAME?</v>
      </c>
      <c r="Q321" s="665" t="e">
        <f t="shared" ca="1" si="218"/>
        <v>#NAME?</v>
      </c>
      <c r="R321" s="352" t="e">
        <f t="shared" ca="1" si="251"/>
        <v>#NAME?</v>
      </c>
      <c r="S321" s="662" t="e">
        <f t="shared" ca="1" si="226"/>
        <v>#NAME?</v>
      </c>
      <c r="T321" s="443" t="e">
        <f t="shared" ca="1" si="219"/>
        <v>#NAME?</v>
      </c>
      <c r="U321" s="369" t="e">
        <f t="shared" ca="1" si="220"/>
        <v>#NAME?</v>
      </c>
      <c r="V321" s="454" t="e">
        <f t="shared" ca="1" si="227"/>
        <v>#NAME?</v>
      </c>
      <c r="W321" s="457">
        <f t="shared" si="228"/>
        <v>1000</v>
      </c>
      <c r="X321" s="463" t="e">
        <f t="shared" ca="1" si="229"/>
        <v>#NAME?</v>
      </c>
      <c r="Y321" s="455" t="e">
        <f t="shared" ca="1" si="239"/>
        <v>#NAME?</v>
      </c>
      <c r="Z321" s="699">
        <f t="shared" si="221"/>
        <v>8.5</v>
      </c>
      <c r="AA321" s="355" t="str">
        <f t="shared" si="222"/>
        <v>ON</v>
      </c>
      <c r="AB321" s="357">
        <f t="shared" si="252"/>
        <v>1.4999999999999999E-2</v>
      </c>
      <c r="AC321" s="356" t="e">
        <f ca="1">IF(  Y320=0,0,IF(OR(S321="KCAS",S321="INOP",S321="MEFE"),   ( (5*( (   (((1+0.2*(T321/661.4786)^2)^3.5 -1)  )/( (1-6.8755856*10^-6 *100*Y321)^5.2558797) +1)^(2/7) -1) )^0.5),IF(S321="MACH",T321, IF(S321="LRC",BicubicInterpolation( 'LRC Mach'!$C$4:$AL$21, Y321,U321),  IF(S321="MRC",BicubicInterpolation( 'MRC Mach'!$C$3:$T$18, Y321,U321),  IF(S321="M0.84",0.84,  IF(S321="CI52",BicubicInterpolation('CI=52 Mach'!$C$3:$T$18, Y321,U321),  IF(S321="HOLDING",BicubicInterpolation(  'Holding Mach'!$C$4:$M$13, Y321,U321),                         IF(S321="LRCINOP", BicubicInterpolation('LRC INOP Mach'!$C$4:$AA$21,Y321,U321), IF(S321="HOLDINGINOP",  BicubicInterpolation('Holding INOP Mach'!$N$4:$U$13,Y321,U321),         "XXX" )))))))   )))</f>
        <v>#NAME?</v>
      </c>
      <c r="AD321" s="313" t="e">
        <f t="shared" ca="1" si="253"/>
        <v>#NAME?</v>
      </c>
      <c r="AE321" s="314" t="e">
        <f t="shared" ca="1" si="240"/>
        <v>#NAME?</v>
      </c>
      <c r="AF321" s="313" t="e">
        <f t="shared" ca="1" si="254"/>
        <v>#NAME?</v>
      </c>
      <c r="AG321" s="314" t="e">
        <f t="shared" ca="1" si="241"/>
        <v>#NAME?</v>
      </c>
      <c r="AH321" s="313" t="e">
        <f t="shared" ca="1" si="255"/>
        <v>#NAME?</v>
      </c>
      <c r="AI321" s="314" t="e">
        <f t="shared" ca="1" si="242"/>
        <v>#NAME?</v>
      </c>
      <c r="AJ321" s="315" t="e">
        <f t="shared" ca="1" si="243"/>
        <v>#NAME?</v>
      </c>
      <c r="AK321" s="568" t="e">
        <f t="shared" ca="1" si="256"/>
        <v>#NAME?</v>
      </c>
      <c r="AL321" s="313" t="e">
        <f t="shared" ca="1" si="257"/>
        <v>#NAME?</v>
      </c>
      <c r="AM321" s="313" t="e">
        <f t="shared" ca="1" si="244"/>
        <v>#NAME?</v>
      </c>
      <c r="AN321" s="313" t="e">
        <f t="shared" ca="1" si="245"/>
        <v>#NAME?</v>
      </c>
      <c r="AO321" s="316" t="e">
        <f t="shared" ca="1" si="258"/>
        <v>#NAME?</v>
      </c>
      <c r="AP321" s="313" t="e">
        <f t="shared" ca="1" si="259"/>
        <v>#NAME?</v>
      </c>
      <c r="AQ321" s="314" t="e">
        <f t="shared" ca="1" si="246"/>
        <v>#NAME?</v>
      </c>
      <c r="AR321" s="315" t="e">
        <f t="shared" ca="1" si="260"/>
        <v>#NAME?</v>
      </c>
      <c r="AS321" s="316" t="e">
        <f t="shared" ca="1" si="261"/>
        <v>#NAME?</v>
      </c>
      <c r="AT321" s="315" t="e">
        <f t="shared" ca="1" si="262"/>
        <v>#NAME?</v>
      </c>
      <c r="AU321" s="317">
        <v>427.8</v>
      </c>
      <c r="AV321" s="315" t="e">
        <f t="shared" ca="1" si="263"/>
        <v>#NAME?</v>
      </c>
      <c r="AW321" s="318" t="e">
        <f ca="1">0.0001*BicubicInterpolation('Drag Coef Table'!$B$4:$L$28,AV321,AC321)</f>
        <v>#NAME?</v>
      </c>
      <c r="AX321" s="319" t="e">
        <f t="shared" ca="1" si="264"/>
        <v>#NAME?</v>
      </c>
      <c r="AY321" s="318" t="e">
        <f t="shared" ca="1" si="265"/>
        <v>#NAME?</v>
      </c>
      <c r="AZ321" s="320" t="e">
        <f t="shared" ca="1" si="266"/>
        <v>#NAME?</v>
      </c>
      <c r="BA321" s="321" t="e">
        <f t="shared" ca="1" si="267"/>
        <v>#NAME?</v>
      </c>
      <c r="BB321" s="322" t="e">
        <f t="shared" ca="1" si="268"/>
        <v>#NAME?</v>
      </c>
      <c r="BC321" s="323">
        <v>75.196700000000007</v>
      </c>
      <c r="BD321" s="324" t="e">
        <f t="shared" ca="1" si="269"/>
        <v>#NAME?</v>
      </c>
      <c r="BE321" s="325" t="e">
        <f t="shared" ca="1" si="270"/>
        <v>#NAME?</v>
      </c>
      <c r="BF321" s="324" t="e">
        <f ca="1">BicubicInterpolation('TSFC Eff Table'!$B$4:$E$69,2,BB321)</f>
        <v>#NAME?</v>
      </c>
      <c r="BG321" s="326" t="e">
        <f t="shared" ca="1" si="271"/>
        <v>#NAME?</v>
      </c>
      <c r="BH321" s="694" t="e">
        <f ca="1">IF( S321="LRCINOP",   (1+(0.03/10)*Z321*(1+0.2*AC321^2) )*BicubicInterpolation( 'LRC INOP FF'!$C$4:$AA$21, Y321, U321 )-200, IF(S321 ="HOLDINGINOP", (1+(0.03/10)*Z321*(1+0.2*AC321^2) )*BicubicInterpolation( 'Holding INOP FF'!$C$4:$J$13,  Y321,  U321)/1.05-200,   BA321*BG321))</f>
        <v>#NAME?</v>
      </c>
      <c r="BI321" s="344" t="e">
        <f t="shared" ca="1" si="230"/>
        <v>#NAME?</v>
      </c>
      <c r="BJ321" s="322" t="e">
        <f t="shared" ca="1" si="272"/>
        <v>#NAME?</v>
      </c>
      <c r="BK321" s="338" t="e">
        <f t="shared" ca="1" si="231"/>
        <v>#NAME?</v>
      </c>
      <c r="BL321" s="327" t="e">
        <f t="shared" ca="1" si="273"/>
        <v>#NAME?</v>
      </c>
      <c r="BM321" s="328">
        <f t="shared" si="274"/>
        <v>200</v>
      </c>
      <c r="BN321" s="329" t="e">
        <f t="shared" ca="1" si="275"/>
        <v>#NAME?</v>
      </c>
      <c r="BO321" s="344" t="e">
        <f t="shared" ca="1" si="232"/>
        <v>#NAME?</v>
      </c>
      <c r="BP321" s="320" t="e">
        <f t="shared" ca="1" si="276"/>
        <v>#NAME?</v>
      </c>
      <c r="BQ321" s="344" t="e">
        <f t="shared" ca="1" si="233"/>
        <v>#NAME?</v>
      </c>
      <c r="BR321" s="347" t="e">
        <f t="shared" ca="1" si="234"/>
        <v>#NAME?</v>
      </c>
      <c r="BS321" s="326" t="e">
        <f t="shared" ca="1" si="277"/>
        <v>#NAME?</v>
      </c>
      <c r="BT321" s="437" t="e">
        <f t="shared" ca="1" si="247"/>
        <v>#NAME?</v>
      </c>
      <c r="BU321" s="437" t="e">
        <f t="shared" ca="1" si="248"/>
        <v>#NAME?</v>
      </c>
      <c r="BV321" s="441" t="e">
        <f t="shared" ca="1" si="249"/>
        <v>#NAME?</v>
      </c>
      <c r="BW321" s="442" t="e">
        <f t="shared" ca="1" si="250"/>
        <v>#NAME?</v>
      </c>
      <c r="BX321" s="470" t="e">
        <f t="shared" ca="1" si="223"/>
        <v>#NAME?</v>
      </c>
      <c r="BY321" s="484" t="e">
        <f t="shared" ca="1" si="235"/>
        <v>#NAME?</v>
      </c>
      <c r="BZ321" s="176"/>
    </row>
    <row r="322" spans="9:78" s="177" customFormat="1" ht="17.75" customHeight="1" x14ac:dyDescent="0.2">
      <c r="I322" s="366">
        <v>238</v>
      </c>
      <c r="J322" s="414">
        <f t="shared" si="236"/>
        <v>41705.877777778318</v>
      </c>
      <c r="K322" s="435" t="e">
        <f t="shared" ca="1" si="237"/>
        <v>#NAME?</v>
      </c>
      <c r="L322" s="435" t="e">
        <f t="shared" ca="1" si="224"/>
        <v>#NAME?</v>
      </c>
      <c r="M322" s="664" t="e">
        <f t="shared" ca="1" si="278"/>
        <v>#NAME?</v>
      </c>
      <c r="N322" s="664" t="e">
        <f t="shared" ca="1" si="279"/>
        <v>#NAME?</v>
      </c>
      <c r="O322" s="140" t="e">
        <f t="shared" ca="1" si="225"/>
        <v>#NAME?</v>
      </c>
      <c r="P322" s="352" t="e">
        <f t="shared" ca="1" si="238"/>
        <v>#NAME?</v>
      </c>
      <c r="Q322" s="665" t="e">
        <f t="shared" ca="1" si="218"/>
        <v>#NAME?</v>
      </c>
      <c r="R322" s="352" t="e">
        <f t="shared" ca="1" si="251"/>
        <v>#NAME?</v>
      </c>
      <c r="S322" s="662" t="e">
        <f t="shared" ca="1" si="226"/>
        <v>#NAME?</v>
      </c>
      <c r="T322" s="443" t="e">
        <f t="shared" ca="1" si="219"/>
        <v>#NAME?</v>
      </c>
      <c r="U322" s="369" t="e">
        <f t="shared" ca="1" si="220"/>
        <v>#NAME?</v>
      </c>
      <c r="V322" s="454" t="e">
        <f t="shared" ca="1" si="227"/>
        <v>#NAME?</v>
      </c>
      <c r="W322" s="457">
        <f t="shared" si="228"/>
        <v>1000</v>
      </c>
      <c r="X322" s="463" t="e">
        <f t="shared" ca="1" si="229"/>
        <v>#NAME?</v>
      </c>
      <c r="Y322" s="455" t="e">
        <f t="shared" ca="1" si="239"/>
        <v>#NAME?</v>
      </c>
      <c r="Z322" s="699">
        <f t="shared" si="221"/>
        <v>8.5</v>
      </c>
      <c r="AA322" s="355" t="str">
        <f t="shared" si="222"/>
        <v>ON</v>
      </c>
      <c r="AB322" s="357">
        <f t="shared" si="252"/>
        <v>1.4999999999999999E-2</v>
      </c>
      <c r="AC322" s="356" t="e">
        <f ca="1">IF(  Y321=0,0,IF(OR(S322="KCAS",S322="INOP",S322="MEFE"),   ( (5*( (   (((1+0.2*(T322/661.4786)^2)^3.5 -1)  )/( (1-6.8755856*10^-6 *100*Y322)^5.2558797) +1)^(2/7) -1) )^0.5),IF(S322="MACH",T322, IF(S322="LRC",BicubicInterpolation( 'LRC Mach'!$C$4:$AL$21, Y322,U322),  IF(S322="MRC",BicubicInterpolation( 'MRC Mach'!$C$3:$T$18, Y322,U322),  IF(S322="M0.84",0.84,  IF(S322="CI52",BicubicInterpolation('CI=52 Mach'!$C$3:$T$18, Y322,U322),  IF(S322="HOLDING",BicubicInterpolation(  'Holding Mach'!$C$4:$M$13, Y322,U322),                         IF(S322="LRCINOP", BicubicInterpolation('LRC INOP Mach'!$C$4:$AA$21,Y322,U322), IF(S322="HOLDINGINOP",  BicubicInterpolation('Holding INOP Mach'!$N$4:$U$13,Y322,U322),         "XXX" )))))))   )))</f>
        <v>#NAME?</v>
      </c>
      <c r="AD322" s="313" t="e">
        <f t="shared" ca="1" si="253"/>
        <v>#NAME?</v>
      </c>
      <c r="AE322" s="314" t="e">
        <f t="shared" ca="1" si="240"/>
        <v>#NAME?</v>
      </c>
      <c r="AF322" s="313" t="e">
        <f t="shared" ca="1" si="254"/>
        <v>#NAME?</v>
      </c>
      <c r="AG322" s="314" t="e">
        <f t="shared" ca="1" si="241"/>
        <v>#NAME?</v>
      </c>
      <c r="AH322" s="313" t="e">
        <f t="shared" ca="1" si="255"/>
        <v>#NAME?</v>
      </c>
      <c r="AI322" s="314" t="e">
        <f t="shared" ca="1" si="242"/>
        <v>#NAME?</v>
      </c>
      <c r="AJ322" s="315" t="e">
        <f t="shared" ca="1" si="243"/>
        <v>#NAME?</v>
      </c>
      <c r="AK322" s="568" t="e">
        <f t="shared" ca="1" si="256"/>
        <v>#NAME?</v>
      </c>
      <c r="AL322" s="313" t="e">
        <f t="shared" ca="1" si="257"/>
        <v>#NAME?</v>
      </c>
      <c r="AM322" s="313" t="e">
        <f t="shared" ca="1" si="244"/>
        <v>#NAME?</v>
      </c>
      <c r="AN322" s="313" t="e">
        <f t="shared" ca="1" si="245"/>
        <v>#NAME?</v>
      </c>
      <c r="AO322" s="316" t="e">
        <f t="shared" ca="1" si="258"/>
        <v>#NAME?</v>
      </c>
      <c r="AP322" s="313" t="e">
        <f t="shared" ca="1" si="259"/>
        <v>#NAME?</v>
      </c>
      <c r="AQ322" s="314" t="e">
        <f t="shared" ca="1" si="246"/>
        <v>#NAME?</v>
      </c>
      <c r="AR322" s="315" t="e">
        <f t="shared" ca="1" si="260"/>
        <v>#NAME?</v>
      </c>
      <c r="AS322" s="316" t="e">
        <f t="shared" ca="1" si="261"/>
        <v>#NAME?</v>
      </c>
      <c r="AT322" s="315" t="e">
        <f t="shared" ca="1" si="262"/>
        <v>#NAME?</v>
      </c>
      <c r="AU322" s="317">
        <v>427.8</v>
      </c>
      <c r="AV322" s="315" t="e">
        <f t="shared" ca="1" si="263"/>
        <v>#NAME?</v>
      </c>
      <c r="AW322" s="318" t="e">
        <f ca="1">0.0001*BicubicInterpolation('Drag Coef Table'!$B$4:$L$28,AV322,AC322)</f>
        <v>#NAME?</v>
      </c>
      <c r="AX322" s="319" t="e">
        <f t="shared" ca="1" si="264"/>
        <v>#NAME?</v>
      </c>
      <c r="AY322" s="318" t="e">
        <f t="shared" ca="1" si="265"/>
        <v>#NAME?</v>
      </c>
      <c r="AZ322" s="320" t="e">
        <f t="shared" ca="1" si="266"/>
        <v>#NAME?</v>
      </c>
      <c r="BA322" s="321" t="e">
        <f t="shared" ca="1" si="267"/>
        <v>#NAME?</v>
      </c>
      <c r="BB322" s="322" t="e">
        <f t="shared" ca="1" si="268"/>
        <v>#NAME?</v>
      </c>
      <c r="BC322" s="323">
        <v>75.196700000000007</v>
      </c>
      <c r="BD322" s="324" t="e">
        <f t="shared" ca="1" si="269"/>
        <v>#NAME?</v>
      </c>
      <c r="BE322" s="325" t="e">
        <f t="shared" ca="1" si="270"/>
        <v>#NAME?</v>
      </c>
      <c r="BF322" s="324" t="e">
        <f ca="1">BicubicInterpolation('TSFC Eff Table'!$B$4:$E$69,2,BB322)</f>
        <v>#NAME?</v>
      </c>
      <c r="BG322" s="326" t="e">
        <f t="shared" ca="1" si="271"/>
        <v>#NAME?</v>
      </c>
      <c r="BH322" s="694" t="e">
        <f ca="1">IF( S322="LRCINOP",   (1+(0.03/10)*Z322*(1+0.2*AC322^2) )*BicubicInterpolation( 'LRC INOP FF'!$C$4:$AA$21, Y322, U322 )-200, IF(S322 ="HOLDINGINOP", (1+(0.03/10)*Z322*(1+0.2*AC322^2) )*BicubicInterpolation( 'Holding INOP FF'!$C$4:$J$13,  Y322,  U322)/1.05-200,   BA322*BG322))</f>
        <v>#NAME?</v>
      </c>
      <c r="BI322" s="344" t="e">
        <f t="shared" ca="1" si="230"/>
        <v>#NAME?</v>
      </c>
      <c r="BJ322" s="322" t="e">
        <f t="shared" ca="1" si="272"/>
        <v>#NAME?</v>
      </c>
      <c r="BK322" s="338" t="e">
        <f t="shared" ca="1" si="231"/>
        <v>#NAME?</v>
      </c>
      <c r="BL322" s="327" t="e">
        <f t="shared" ca="1" si="273"/>
        <v>#NAME?</v>
      </c>
      <c r="BM322" s="328">
        <f t="shared" si="274"/>
        <v>200</v>
      </c>
      <c r="BN322" s="329" t="e">
        <f t="shared" ca="1" si="275"/>
        <v>#NAME?</v>
      </c>
      <c r="BO322" s="344" t="e">
        <f t="shared" ca="1" si="232"/>
        <v>#NAME?</v>
      </c>
      <c r="BP322" s="320" t="e">
        <f t="shared" ca="1" si="276"/>
        <v>#NAME?</v>
      </c>
      <c r="BQ322" s="344" t="e">
        <f t="shared" ca="1" si="233"/>
        <v>#NAME?</v>
      </c>
      <c r="BR322" s="347" t="e">
        <f t="shared" ca="1" si="234"/>
        <v>#NAME?</v>
      </c>
      <c r="BS322" s="326" t="e">
        <f t="shared" ca="1" si="277"/>
        <v>#NAME?</v>
      </c>
      <c r="BT322" s="437" t="e">
        <f t="shared" ca="1" si="247"/>
        <v>#NAME?</v>
      </c>
      <c r="BU322" s="437" t="e">
        <f t="shared" ca="1" si="248"/>
        <v>#NAME?</v>
      </c>
      <c r="BV322" s="441" t="e">
        <f t="shared" ca="1" si="249"/>
        <v>#NAME?</v>
      </c>
      <c r="BW322" s="442" t="e">
        <f t="shared" ca="1" si="250"/>
        <v>#NAME?</v>
      </c>
      <c r="BX322" s="470" t="e">
        <f t="shared" ca="1" si="223"/>
        <v>#NAME?</v>
      </c>
      <c r="BY322" s="484" t="e">
        <f t="shared" ca="1" si="235"/>
        <v>#NAME?</v>
      </c>
      <c r="BZ322" s="176"/>
    </row>
    <row r="323" spans="9:78" s="177" customFormat="1" ht="17.75" customHeight="1" x14ac:dyDescent="0.2">
      <c r="I323" s="366">
        <v>239</v>
      </c>
      <c r="J323" s="414">
        <f t="shared" si="236"/>
        <v>41705.878472222765</v>
      </c>
      <c r="K323" s="435" t="e">
        <f t="shared" ca="1" si="237"/>
        <v>#NAME?</v>
      </c>
      <c r="L323" s="435" t="e">
        <f t="shared" ca="1" si="224"/>
        <v>#NAME?</v>
      </c>
      <c r="M323" s="664" t="e">
        <f t="shared" ca="1" si="278"/>
        <v>#NAME?</v>
      </c>
      <c r="N323" s="664" t="e">
        <f t="shared" ca="1" si="279"/>
        <v>#NAME?</v>
      </c>
      <c r="O323" s="140" t="e">
        <f t="shared" ca="1" si="225"/>
        <v>#NAME?</v>
      </c>
      <c r="P323" s="352" t="e">
        <f t="shared" ca="1" si="238"/>
        <v>#NAME?</v>
      </c>
      <c r="Q323" s="665" t="e">
        <f t="shared" ca="1" si="218"/>
        <v>#NAME?</v>
      </c>
      <c r="R323" s="352" t="e">
        <f t="shared" ca="1" si="251"/>
        <v>#NAME?</v>
      </c>
      <c r="S323" s="662" t="e">
        <f t="shared" ca="1" si="226"/>
        <v>#NAME?</v>
      </c>
      <c r="T323" s="443" t="e">
        <f t="shared" ca="1" si="219"/>
        <v>#NAME?</v>
      </c>
      <c r="U323" s="369" t="e">
        <f t="shared" ca="1" si="220"/>
        <v>#NAME?</v>
      </c>
      <c r="V323" s="454" t="e">
        <f t="shared" ca="1" si="227"/>
        <v>#NAME?</v>
      </c>
      <c r="W323" s="457">
        <f t="shared" si="228"/>
        <v>1000</v>
      </c>
      <c r="X323" s="463" t="e">
        <f t="shared" ca="1" si="229"/>
        <v>#NAME?</v>
      </c>
      <c r="Y323" s="455" t="e">
        <f t="shared" ca="1" si="239"/>
        <v>#NAME?</v>
      </c>
      <c r="Z323" s="699">
        <f t="shared" si="221"/>
        <v>8.5</v>
      </c>
      <c r="AA323" s="355" t="str">
        <f t="shared" si="222"/>
        <v>ON</v>
      </c>
      <c r="AB323" s="357">
        <f t="shared" si="252"/>
        <v>1.4999999999999999E-2</v>
      </c>
      <c r="AC323" s="356" t="e">
        <f ca="1">IF(  Y322=0,0,IF(OR(S323="KCAS",S323="INOP",S323="MEFE"),   ( (5*( (   (((1+0.2*(T323/661.4786)^2)^3.5 -1)  )/( (1-6.8755856*10^-6 *100*Y323)^5.2558797) +1)^(2/7) -1) )^0.5),IF(S323="MACH",T323, IF(S323="LRC",BicubicInterpolation( 'LRC Mach'!$C$4:$AL$21, Y323,U323),  IF(S323="MRC",BicubicInterpolation( 'MRC Mach'!$C$3:$T$18, Y323,U323),  IF(S323="M0.84",0.84,  IF(S323="CI52",BicubicInterpolation('CI=52 Mach'!$C$3:$T$18, Y323,U323),  IF(S323="HOLDING",BicubicInterpolation(  'Holding Mach'!$C$4:$M$13, Y323,U323),                         IF(S323="LRCINOP", BicubicInterpolation('LRC INOP Mach'!$C$4:$AA$21,Y323,U323), IF(S323="HOLDINGINOP",  BicubicInterpolation('Holding INOP Mach'!$N$4:$U$13,Y323,U323),         "XXX" )))))))   )))</f>
        <v>#NAME?</v>
      </c>
      <c r="AD323" s="313" t="e">
        <f t="shared" ca="1" si="253"/>
        <v>#NAME?</v>
      </c>
      <c r="AE323" s="314" t="e">
        <f t="shared" ca="1" si="240"/>
        <v>#NAME?</v>
      </c>
      <c r="AF323" s="313" t="e">
        <f t="shared" ca="1" si="254"/>
        <v>#NAME?</v>
      </c>
      <c r="AG323" s="314" t="e">
        <f t="shared" ca="1" si="241"/>
        <v>#NAME?</v>
      </c>
      <c r="AH323" s="313" t="e">
        <f t="shared" ca="1" si="255"/>
        <v>#NAME?</v>
      </c>
      <c r="AI323" s="314" t="e">
        <f t="shared" ca="1" si="242"/>
        <v>#NAME?</v>
      </c>
      <c r="AJ323" s="315" t="e">
        <f t="shared" ca="1" si="243"/>
        <v>#NAME?</v>
      </c>
      <c r="AK323" s="568" t="e">
        <f t="shared" ca="1" si="256"/>
        <v>#NAME?</v>
      </c>
      <c r="AL323" s="313" t="e">
        <f t="shared" ca="1" si="257"/>
        <v>#NAME?</v>
      </c>
      <c r="AM323" s="313" t="e">
        <f t="shared" ca="1" si="244"/>
        <v>#NAME?</v>
      </c>
      <c r="AN323" s="313" t="e">
        <f t="shared" ca="1" si="245"/>
        <v>#NAME?</v>
      </c>
      <c r="AO323" s="316" t="e">
        <f t="shared" ca="1" si="258"/>
        <v>#NAME?</v>
      </c>
      <c r="AP323" s="313" t="e">
        <f t="shared" ca="1" si="259"/>
        <v>#NAME?</v>
      </c>
      <c r="AQ323" s="314" t="e">
        <f t="shared" ca="1" si="246"/>
        <v>#NAME?</v>
      </c>
      <c r="AR323" s="315" t="e">
        <f t="shared" ca="1" si="260"/>
        <v>#NAME?</v>
      </c>
      <c r="AS323" s="316" t="e">
        <f t="shared" ca="1" si="261"/>
        <v>#NAME?</v>
      </c>
      <c r="AT323" s="315" t="e">
        <f t="shared" ca="1" si="262"/>
        <v>#NAME?</v>
      </c>
      <c r="AU323" s="317">
        <v>427.8</v>
      </c>
      <c r="AV323" s="315" t="e">
        <f t="shared" ca="1" si="263"/>
        <v>#NAME?</v>
      </c>
      <c r="AW323" s="318" t="e">
        <f ca="1">0.0001*BicubicInterpolation('Drag Coef Table'!$B$4:$L$28,AV323,AC323)</f>
        <v>#NAME?</v>
      </c>
      <c r="AX323" s="319" t="e">
        <f t="shared" ca="1" si="264"/>
        <v>#NAME?</v>
      </c>
      <c r="AY323" s="318" t="e">
        <f t="shared" ca="1" si="265"/>
        <v>#NAME?</v>
      </c>
      <c r="AZ323" s="320" t="e">
        <f t="shared" ca="1" si="266"/>
        <v>#NAME?</v>
      </c>
      <c r="BA323" s="321" t="e">
        <f t="shared" ca="1" si="267"/>
        <v>#NAME?</v>
      </c>
      <c r="BB323" s="322" t="e">
        <f t="shared" ca="1" si="268"/>
        <v>#NAME?</v>
      </c>
      <c r="BC323" s="323">
        <v>75.196700000000007</v>
      </c>
      <c r="BD323" s="324" t="e">
        <f t="shared" ca="1" si="269"/>
        <v>#NAME?</v>
      </c>
      <c r="BE323" s="325" t="e">
        <f t="shared" ca="1" si="270"/>
        <v>#NAME?</v>
      </c>
      <c r="BF323" s="324" t="e">
        <f ca="1">BicubicInterpolation('TSFC Eff Table'!$B$4:$E$69,2,BB323)</f>
        <v>#NAME?</v>
      </c>
      <c r="BG323" s="326" t="e">
        <f t="shared" ca="1" si="271"/>
        <v>#NAME?</v>
      </c>
      <c r="BH323" s="694" t="e">
        <f ca="1">IF( S323="LRCINOP",   (1+(0.03/10)*Z323*(1+0.2*AC323^2) )*BicubicInterpolation( 'LRC INOP FF'!$C$4:$AA$21, Y323, U323 )-200, IF(S323 ="HOLDINGINOP", (1+(0.03/10)*Z323*(1+0.2*AC323^2) )*BicubicInterpolation( 'Holding INOP FF'!$C$4:$J$13,  Y323,  U323)/1.05-200,   BA323*BG323))</f>
        <v>#NAME?</v>
      </c>
      <c r="BI323" s="344" t="e">
        <f t="shared" ca="1" si="230"/>
        <v>#NAME?</v>
      </c>
      <c r="BJ323" s="322" t="e">
        <f t="shared" ca="1" si="272"/>
        <v>#NAME?</v>
      </c>
      <c r="BK323" s="338" t="e">
        <f t="shared" ca="1" si="231"/>
        <v>#NAME?</v>
      </c>
      <c r="BL323" s="327" t="e">
        <f t="shared" ca="1" si="273"/>
        <v>#NAME?</v>
      </c>
      <c r="BM323" s="328">
        <f t="shared" si="274"/>
        <v>200</v>
      </c>
      <c r="BN323" s="329" t="e">
        <f t="shared" ca="1" si="275"/>
        <v>#NAME?</v>
      </c>
      <c r="BO323" s="344" t="e">
        <f t="shared" ca="1" si="232"/>
        <v>#NAME?</v>
      </c>
      <c r="BP323" s="320" t="e">
        <f t="shared" ca="1" si="276"/>
        <v>#NAME?</v>
      </c>
      <c r="BQ323" s="344" t="e">
        <f t="shared" ca="1" si="233"/>
        <v>#NAME?</v>
      </c>
      <c r="BR323" s="347" t="e">
        <f t="shared" ca="1" si="234"/>
        <v>#NAME?</v>
      </c>
      <c r="BS323" s="326" t="e">
        <f t="shared" ca="1" si="277"/>
        <v>#NAME?</v>
      </c>
      <c r="BT323" s="437" t="e">
        <f t="shared" ca="1" si="247"/>
        <v>#NAME?</v>
      </c>
      <c r="BU323" s="437" t="e">
        <f t="shared" ca="1" si="248"/>
        <v>#NAME?</v>
      </c>
      <c r="BV323" s="441" t="e">
        <f t="shared" ca="1" si="249"/>
        <v>#NAME?</v>
      </c>
      <c r="BW323" s="442" t="e">
        <f t="shared" ca="1" si="250"/>
        <v>#NAME?</v>
      </c>
      <c r="BX323" s="470" t="e">
        <f t="shared" ca="1" si="223"/>
        <v>#NAME?</v>
      </c>
      <c r="BY323" s="484" t="e">
        <f t="shared" ca="1" si="235"/>
        <v>#NAME?</v>
      </c>
      <c r="BZ323" s="176"/>
    </row>
    <row r="324" spans="9:78" s="177" customFormat="1" ht="17.75" customHeight="1" x14ac:dyDescent="0.2">
      <c r="I324" s="366">
        <v>240</v>
      </c>
      <c r="J324" s="414">
        <f t="shared" si="236"/>
        <v>41705.879166667211</v>
      </c>
      <c r="K324" s="435" t="e">
        <f t="shared" ca="1" si="237"/>
        <v>#NAME?</v>
      </c>
      <c r="L324" s="435" t="e">
        <f t="shared" ca="1" si="224"/>
        <v>#NAME?</v>
      </c>
      <c r="M324" s="664" t="e">
        <f t="shared" ca="1" si="278"/>
        <v>#NAME?</v>
      </c>
      <c r="N324" s="664" t="e">
        <f t="shared" ca="1" si="279"/>
        <v>#NAME?</v>
      </c>
      <c r="O324" s="140" t="e">
        <f t="shared" ca="1" si="225"/>
        <v>#NAME?</v>
      </c>
      <c r="P324" s="352" t="e">
        <f t="shared" ca="1" si="238"/>
        <v>#NAME?</v>
      </c>
      <c r="Q324" s="665" t="e">
        <f t="shared" ca="1" si="218"/>
        <v>#NAME?</v>
      </c>
      <c r="R324" s="352" t="e">
        <f t="shared" ca="1" si="251"/>
        <v>#NAME?</v>
      </c>
      <c r="S324" s="662" t="e">
        <f t="shared" ca="1" si="226"/>
        <v>#NAME?</v>
      </c>
      <c r="T324" s="443" t="e">
        <f t="shared" ca="1" si="219"/>
        <v>#NAME?</v>
      </c>
      <c r="U324" s="369" t="e">
        <f t="shared" ca="1" si="220"/>
        <v>#NAME?</v>
      </c>
      <c r="V324" s="454" t="e">
        <f t="shared" ca="1" si="227"/>
        <v>#NAME?</v>
      </c>
      <c r="W324" s="457">
        <f t="shared" si="228"/>
        <v>1000</v>
      </c>
      <c r="X324" s="463" t="e">
        <f t="shared" ca="1" si="229"/>
        <v>#NAME?</v>
      </c>
      <c r="Y324" s="455" t="e">
        <f t="shared" ca="1" si="239"/>
        <v>#NAME?</v>
      </c>
      <c r="Z324" s="699">
        <f t="shared" si="221"/>
        <v>8.5</v>
      </c>
      <c r="AA324" s="355" t="str">
        <f t="shared" si="222"/>
        <v>ON</v>
      </c>
      <c r="AB324" s="357">
        <f t="shared" si="252"/>
        <v>1.4999999999999999E-2</v>
      </c>
      <c r="AC324" s="356" t="e">
        <f ca="1">IF(  Y323=0,0,IF(OR(S324="KCAS",S324="INOP",S324="MEFE"),   ( (5*( (   (((1+0.2*(T324/661.4786)^2)^3.5 -1)  )/( (1-6.8755856*10^-6 *100*Y324)^5.2558797) +1)^(2/7) -1) )^0.5),IF(S324="MACH",T324, IF(S324="LRC",BicubicInterpolation( 'LRC Mach'!$C$4:$AL$21, Y324,U324),  IF(S324="MRC",BicubicInterpolation( 'MRC Mach'!$C$3:$T$18, Y324,U324),  IF(S324="M0.84",0.84,  IF(S324="CI52",BicubicInterpolation('CI=52 Mach'!$C$3:$T$18, Y324,U324),  IF(S324="HOLDING",BicubicInterpolation(  'Holding Mach'!$C$4:$M$13, Y324,U324),                         IF(S324="LRCINOP", BicubicInterpolation('LRC INOP Mach'!$C$4:$AA$21,Y324,U324), IF(S324="HOLDINGINOP",  BicubicInterpolation('Holding INOP Mach'!$N$4:$U$13,Y324,U324),         "XXX" )))))))   )))</f>
        <v>#NAME?</v>
      </c>
      <c r="AD324" s="313" t="e">
        <f t="shared" ca="1" si="253"/>
        <v>#NAME?</v>
      </c>
      <c r="AE324" s="314" t="e">
        <f t="shared" ca="1" si="240"/>
        <v>#NAME?</v>
      </c>
      <c r="AF324" s="313" t="e">
        <f t="shared" ca="1" si="254"/>
        <v>#NAME?</v>
      </c>
      <c r="AG324" s="314" t="e">
        <f t="shared" ca="1" si="241"/>
        <v>#NAME?</v>
      </c>
      <c r="AH324" s="313" t="e">
        <f t="shared" ca="1" si="255"/>
        <v>#NAME?</v>
      </c>
      <c r="AI324" s="314" t="e">
        <f t="shared" ca="1" si="242"/>
        <v>#NAME?</v>
      </c>
      <c r="AJ324" s="315" t="e">
        <f t="shared" ca="1" si="243"/>
        <v>#NAME?</v>
      </c>
      <c r="AK324" s="568" t="e">
        <f t="shared" ca="1" si="256"/>
        <v>#NAME?</v>
      </c>
      <c r="AL324" s="313" t="e">
        <f t="shared" ca="1" si="257"/>
        <v>#NAME?</v>
      </c>
      <c r="AM324" s="313" t="e">
        <f t="shared" ca="1" si="244"/>
        <v>#NAME?</v>
      </c>
      <c r="AN324" s="313" t="e">
        <f t="shared" ca="1" si="245"/>
        <v>#NAME?</v>
      </c>
      <c r="AO324" s="316" t="e">
        <f t="shared" ca="1" si="258"/>
        <v>#NAME?</v>
      </c>
      <c r="AP324" s="313" t="e">
        <f t="shared" ca="1" si="259"/>
        <v>#NAME?</v>
      </c>
      <c r="AQ324" s="314" t="e">
        <f t="shared" ca="1" si="246"/>
        <v>#NAME?</v>
      </c>
      <c r="AR324" s="315" t="e">
        <f t="shared" ca="1" si="260"/>
        <v>#NAME?</v>
      </c>
      <c r="AS324" s="316" t="e">
        <f t="shared" ca="1" si="261"/>
        <v>#NAME?</v>
      </c>
      <c r="AT324" s="315" t="e">
        <f t="shared" ca="1" si="262"/>
        <v>#NAME?</v>
      </c>
      <c r="AU324" s="317">
        <v>427.8</v>
      </c>
      <c r="AV324" s="315" t="e">
        <f t="shared" ca="1" si="263"/>
        <v>#NAME?</v>
      </c>
      <c r="AW324" s="318" t="e">
        <f ca="1">0.0001*BicubicInterpolation('Drag Coef Table'!$B$4:$L$28,AV324,AC324)</f>
        <v>#NAME?</v>
      </c>
      <c r="AX324" s="319" t="e">
        <f t="shared" ca="1" si="264"/>
        <v>#NAME?</v>
      </c>
      <c r="AY324" s="318" t="e">
        <f t="shared" ca="1" si="265"/>
        <v>#NAME?</v>
      </c>
      <c r="AZ324" s="320" t="e">
        <f t="shared" ca="1" si="266"/>
        <v>#NAME?</v>
      </c>
      <c r="BA324" s="321" t="e">
        <f t="shared" ca="1" si="267"/>
        <v>#NAME?</v>
      </c>
      <c r="BB324" s="322" t="e">
        <f t="shared" ca="1" si="268"/>
        <v>#NAME?</v>
      </c>
      <c r="BC324" s="323">
        <v>75.196700000000007</v>
      </c>
      <c r="BD324" s="324" t="e">
        <f t="shared" ca="1" si="269"/>
        <v>#NAME?</v>
      </c>
      <c r="BE324" s="325" t="e">
        <f t="shared" ca="1" si="270"/>
        <v>#NAME?</v>
      </c>
      <c r="BF324" s="324" t="e">
        <f ca="1">BicubicInterpolation('TSFC Eff Table'!$B$4:$E$69,2,BB324)</f>
        <v>#NAME?</v>
      </c>
      <c r="BG324" s="326" t="e">
        <f t="shared" ca="1" si="271"/>
        <v>#NAME?</v>
      </c>
      <c r="BH324" s="694" t="e">
        <f ca="1">IF( S324="LRCINOP",   (1+(0.03/10)*Z324*(1+0.2*AC324^2) )*BicubicInterpolation( 'LRC INOP FF'!$C$4:$AA$21, Y324, U324 )-200, IF(S324 ="HOLDINGINOP", (1+(0.03/10)*Z324*(1+0.2*AC324^2) )*BicubicInterpolation( 'Holding INOP FF'!$C$4:$J$13,  Y324,  U324)/1.05-200,   BA324*BG324))</f>
        <v>#NAME?</v>
      </c>
      <c r="BI324" s="344" t="e">
        <f t="shared" ca="1" si="230"/>
        <v>#NAME?</v>
      </c>
      <c r="BJ324" s="322" t="e">
        <f t="shared" ca="1" si="272"/>
        <v>#NAME?</v>
      </c>
      <c r="BK324" s="338" t="e">
        <f t="shared" ca="1" si="231"/>
        <v>#NAME?</v>
      </c>
      <c r="BL324" s="327" t="e">
        <f t="shared" ca="1" si="273"/>
        <v>#NAME?</v>
      </c>
      <c r="BM324" s="328">
        <f t="shared" si="274"/>
        <v>200</v>
      </c>
      <c r="BN324" s="329" t="e">
        <f t="shared" ca="1" si="275"/>
        <v>#NAME?</v>
      </c>
      <c r="BO324" s="344" t="e">
        <f t="shared" ca="1" si="232"/>
        <v>#NAME?</v>
      </c>
      <c r="BP324" s="320" t="e">
        <f t="shared" ca="1" si="276"/>
        <v>#NAME?</v>
      </c>
      <c r="BQ324" s="344" t="e">
        <f t="shared" ca="1" si="233"/>
        <v>#NAME?</v>
      </c>
      <c r="BR324" s="347" t="e">
        <f t="shared" ca="1" si="234"/>
        <v>#NAME?</v>
      </c>
      <c r="BS324" s="326" t="e">
        <f t="shared" ca="1" si="277"/>
        <v>#NAME?</v>
      </c>
      <c r="BT324" s="437" t="e">
        <f t="shared" ca="1" si="247"/>
        <v>#NAME?</v>
      </c>
      <c r="BU324" s="437" t="e">
        <f t="shared" ca="1" si="248"/>
        <v>#NAME?</v>
      </c>
      <c r="BV324" s="441" t="e">
        <f t="shared" ca="1" si="249"/>
        <v>#NAME?</v>
      </c>
      <c r="BW324" s="442" t="e">
        <f t="shared" ca="1" si="250"/>
        <v>#NAME?</v>
      </c>
      <c r="BX324" s="470" t="e">
        <f t="shared" ca="1" si="223"/>
        <v>#NAME?</v>
      </c>
      <c r="BY324" s="484" t="e">
        <f t="shared" ca="1" si="235"/>
        <v>#NAME?</v>
      </c>
      <c r="BZ324" s="176"/>
    </row>
    <row r="325" spans="9:78" s="177" customFormat="1" ht="17.75" customHeight="1" x14ac:dyDescent="0.2">
      <c r="I325" s="366">
        <v>241</v>
      </c>
      <c r="J325" s="414">
        <f t="shared" si="236"/>
        <v>41705.879861111658</v>
      </c>
      <c r="K325" s="435" t="e">
        <f t="shared" ca="1" si="237"/>
        <v>#NAME?</v>
      </c>
      <c r="L325" s="435" t="e">
        <f t="shared" ca="1" si="224"/>
        <v>#NAME?</v>
      </c>
      <c r="M325" s="664" t="e">
        <f t="shared" ca="1" si="278"/>
        <v>#NAME?</v>
      </c>
      <c r="N325" s="664" t="e">
        <f t="shared" ca="1" si="279"/>
        <v>#NAME?</v>
      </c>
      <c r="O325" s="140" t="e">
        <f t="shared" ca="1" si="225"/>
        <v>#NAME?</v>
      </c>
      <c r="P325" s="352" t="e">
        <f t="shared" ca="1" si="238"/>
        <v>#NAME?</v>
      </c>
      <c r="Q325" s="665" t="e">
        <f t="shared" ref="Q325:Q388" ca="1" si="280">IF(S325="MEFE",  0,    IF(S325="INOP",    $C$36*AQ325/0.2243,     IF(V325&lt;Y324,             IF(OR(S325="KCAS",S325="HOLDING",S325="HOLDINGINOP",S325="LRCINOP"),   $C$32,    (1+$C$30*ABS(X325)/1000)*BN325  ),      IF(V325&gt;Y324,   BN325*(1+$C$29*W325/1000),   IF(AND($C$34=1, OR(S325="HOLDING", S325="HOLDINGINOP")  ),1.05,1)*BN325    ))))</f>
        <v>#NAME?</v>
      </c>
      <c r="R325" s="352" t="e">
        <f t="shared" ca="1" si="251"/>
        <v>#NAME?</v>
      </c>
      <c r="S325" s="662" t="e">
        <f t="shared" ca="1" si="226"/>
        <v>#NAME?</v>
      </c>
      <c r="T325" s="443" t="e">
        <f t="shared" ca="1" si="219"/>
        <v>#NAME?</v>
      </c>
      <c r="U325" s="369" t="e">
        <f t="shared" ca="1" si="220"/>
        <v>#NAME?</v>
      </c>
      <c r="V325" s="454" t="e">
        <f t="shared" ca="1" si="227"/>
        <v>#NAME?</v>
      </c>
      <c r="W325" s="457">
        <f t="shared" si="228"/>
        <v>1000</v>
      </c>
      <c r="X325" s="463" t="e">
        <f t="shared" ca="1" si="229"/>
        <v>#NAME?</v>
      </c>
      <c r="Y325" s="455" t="e">
        <f t="shared" ca="1" si="239"/>
        <v>#NAME?</v>
      </c>
      <c r="Z325" s="699">
        <f t="shared" si="221"/>
        <v>8.5</v>
      </c>
      <c r="AA325" s="355" t="str">
        <f t="shared" si="222"/>
        <v>ON</v>
      </c>
      <c r="AB325" s="357">
        <f t="shared" si="252"/>
        <v>1.4999999999999999E-2</v>
      </c>
      <c r="AC325" s="356" t="e">
        <f ca="1">IF(  Y324=0,0,IF(OR(S325="KCAS",S325="INOP",S325="MEFE"),   ( (5*( (   (((1+0.2*(T325/661.4786)^2)^3.5 -1)  )/( (1-6.8755856*10^-6 *100*Y325)^5.2558797) +1)^(2/7) -1) )^0.5),IF(S325="MACH",T325, IF(S325="LRC",BicubicInterpolation( 'LRC Mach'!$C$4:$AL$21, Y325,U325),  IF(S325="MRC",BicubicInterpolation( 'MRC Mach'!$C$3:$T$18, Y325,U325),  IF(S325="M0.84",0.84,  IF(S325="CI52",BicubicInterpolation('CI=52 Mach'!$C$3:$T$18, Y325,U325),  IF(S325="HOLDING",BicubicInterpolation(  'Holding Mach'!$C$4:$M$13, Y325,U325),                         IF(S325="LRCINOP", BicubicInterpolation('LRC INOP Mach'!$C$4:$AA$21,Y325,U325), IF(S325="HOLDINGINOP",  BicubicInterpolation('Holding INOP Mach'!$N$4:$U$13,Y325,U325),         "XXX" )))))))   )))</f>
        <v>#NAME?</v>
      </c>
      <c r="AD325" s="313" t="e">
        <f t="shared" ca="1" si="253"/>
        <v>#NAME?</v>
      </c>
      <c r="AE325" s="314" t="e">
        <f t="shared" ca="1" si="240"/>
        <v>#NAME?</v>
      </c>
      <c r="AF325" s="313" t="e">
        <f t="shared" ca="1" si="254"/>
        <v>#NAME?</v>
      </c>
      <c r="AG325" s="314" t="e">
        <f t="shared" ca="1" si="241"/>
        <v>#NAME?</v>
      </c>
      <c r="AH325" s="313" t="e">
        <f t="shared" ca="1" si="255"/>
        <v>#NAME?</v>
      </c>
      <c r="AI325" s="314" t="e">
        <f t="shared" ca="1" si="242"/>
        <v>#NAME?</v>
      </c>
      <c r="AJ325" s="315" t="e">
        <f t="shared" ca="1" si="243"/>
        <v>#NAME?</v>
      </c>
      <c r="AK325" s="568" t="e">
        <f t="shared" ca="1" si="256"/>
        <v>#NAME?</v>
      </c>
      <c r="AL325" s="313" t="e">
        <f t="shared" ca="1" si="257"/>
        <v>#NAME?</v>
      </c>
      <c r="AM325" s="313" t="e">
        <f t="shared" ca="1" si="244"/>
        <v>#NAME?</v>
      </c>
      <c r="AN325" s="313" t="e">
        <f t="shared" ca="1" si="245"/>
        <v>#NAME?</v>
      </c>
      <c r="AO325" s="316" t="e">
        <f t="shared" ca="1" si="258"/>
        <v>#NAME?</v>
      </c>
      <c r="AP325" s="313" t="e">
        <f t="shared" ca="1" si="259"/>
        <v>#NAME?</v>
      </c>
      <c r="AQ325" s="314" t="e">
        <f t="shared" ca="1" si="246"/>
        <v>#NAME?</v>
      </c>
      <c r="AR325" s="315" t="e">
        <f t="shared" ca="1" si="260"/>
        <v>#NAME?</v>
      </c>
      <c r="AS325" s="316" t="e">
        <f t="shared" ca="1" si="261"/>
        <v>#NAME?</v>
      </c>
      <c r="AT325" s="315" t="e">
        <f t="shared" ca="1" si="262"/>
        <v>#NAME?</v>
      </c>
      <c r="AU325" s="317">
        <v>427.8</v>
      </c>
      <c r="AV325" s="315" t="e">
        <f t="shared" ca="1" si="263"/>
        <v>#NAME?</v>
      </c>
      <c r="AW325" s="318" t="e">
        <f ca="1">0.0001*BicubicInterpolation('Drag Coef Table'!$B$4:$L$28,AV325,AC325)</f>
        <v>#NAME?</v>
      </c>
      <c r="AX325" s="319" t="e">
        <f t="shared" ca="1" si="264"/>
        <v>#NAME?</v>
      </c>
      <c r="AY325" s="318" t="e">
        <f t="shared" ca="1" si="265"/>
        <v>#NAME?</v>
      </c>
      <c r="AZ325" s="320" t="e">
        <f t="shared" ca="1" si="266"/>
        <v>#NAME?</v>
      </c>
      <c r="BA325" s="321" t="e">
        <f t="shared" ca="1" si="267"/>
        <v>#NAME?</v>
      </c>
      <c r="BB325" s="322" t="e">
        <f t="shared" ca="1" si="268"/>
        <v>#NAME?</v>
      </c>
      <c r="BC325" s="323">
        <v>75.196700000000007</v>
      </c>
      <c r="BD325" s="324" t="e">
        <f t="shared" ca="1" si="269"/>
        <v>#NAME?</v>
      </c>
      <c r="BE325" s="325" t="e">
        <f t="shared" ca="1" si="270"/>
        <v>#NAME?</v>
      </c>
      <c r="BF325" s="324" t="e">
        <f ca="1">BicubicInterpolation('TSFC Eff Table'!$B$4:$E$69,2,BB325)</f>
        <v>#NAME?</v>
      </c>
      <c r="BG325" s="326" t="e">
        <f t="shared" ca="1" si="271"/>
        <v>#NAME?</v>
      </c>
      <c r="BH325" s="694" t="e">
        <f ca="1">IF( S325="LRCINOP",   (1+(0.03/10)*Z325*(1+0.2*AC325^2) )*BicubicInterpolation( 'LRC INOP FF'!$C$4:$AA$21, Y325, U325 )-200, IF(S325 ="HOLDINGINOP", (1+(0.03/10)*Z325*(1+0.2*AC325^2) )*BicubicInterpolation( 'Holding INOP FF'!$C$4:$J$13,  Y325,  U325)/1.05-200,   BA325*BG325))</f>
        <v>#NAME?</v>
      </c>
      <c r="BI325" s="344" t="e">
        <f t="shared" ca="1" si="230"/>
        <v>#NAME?</v>
      </c>
      <c r="BJ325" s="322" t="e">
        <f t="shared" ca="1" si="272"/>
        <v>#NAME?</v>
      </c>
      <c r="BK325" s="338" t="e">
        <f t="shared" ca="1" si="231"/>
        <v>#NAME?</v>
      </c>
      <c r="BL325" s="327" t="e">
        <f t="shared" ca="1" si="273"/>
        <v>#NAME?</v>
      </c>
      <c r="BM325" s="328">
        <f t="shared" si="274"/>
        <v>200</v>
      </c>
      <c r="BN325" s="329" t="e">
        <f t="shared" ca="1" si="275"/>
        <v>#NAME?</v>
      </c>
      <c r="BO325" s="344" t="e">
        <f t="shared" ca="1" si="232"/>
        <v>#NAME?</v>
      </c>
      <c r="BP325" s="320" t="e">
        <f t="shared" ca="1" si="276"/>
        <v>#NAME?</v>
      </c>
      <c r="BQ325" s="344" t="e">
        <f t="shared" ca="1" si="233"/>
        <v>#NAME?</v>
      </c>
      <c r="BR325" s="347" t="e">
        <f t="shared" ca="1" si="234"/>
        <v>#NAME?</v>
      </c>
      <c r="BS325" s="326" t="e">
        <f t="shared" ca="1" si="277"/>
        <v>#NAME?</v>
      </c>
      <c r="BT325" s="437" t="e">
        <f t="shared" ca="1" si="247"/>
        <v>#NAME?</v>
      </c>
      <c r="BU325" s="437" t="e">
        <f t="shared" ca="1" si="248"/>
        <v>#NAME?</v>
      </c>
      <c r="BV325" s="441" t="e">
        <f t="shared" ca="1" si="249"/>
        <v>#NAME?</v>
      </c>
      <c r="BW325" s="442" t="e">
        <f t="shared" ca="1" si="250"/>
        <v>#NAME?</v>
      </c>
      <c r="BX325" s="470" t="e">
        <f t="shared" ca="1" si="223"/>
        <v>#NAME?</v>
      </c>
      <c r="BY325" s="484" t="e">
        <f t="shared" ca="1" si="235"/>
        <v>#NAME?</v>
      </c>
      <c r="BZ325" s="176"/>
    </row>
    <row r="326" spans="9:78" s="177" customFormat="1" ht="17.75" customHeight="1" x14ac:dyDescent="0.2">
      <c r="I326" s="366">
        <v>242</v>
      </c>
      <c r="J326" s="414">
        <f t="shared" si="236"/>
        <v>41705.880555556105</v>
      </c>
      <c r="K326" s="435" t="e">
        <f t="shared" ca="1" si="237"/>
        <v>#NAME?</v>
      </c>
      <c r="L326" s="435" t="e">
        <f t="shared" ca="1" si="224"/>
        <v>#NAME?</v>
      </c>
      <c r="M326" s="664" t="e">
        <f t="shared" ca="1" si="278"/>
        <v>#NAME?</v>
      </c>
      <c r="N326" s="664" t="e">
        <f t="shared" ca="1" si="279"/>
        <v>#NAME?</v>
      </c>
      <c r="O326" s="140" t="e">
        <f t="shared" ca="1" si="225"/>
        <v>#NAME?</v>
      </c>
      <c r="P326" s="352" t="e">
        <f t="shared" ca="1" si="238"/>
        <v>#NAME?</v>
      </c>
      <c r="Q326" s="665" t="e">
        <f t="shared" ca="1" si="280"/>
        <v>#NAME?</v>
      </c>
      <c r="R326" s="352" t="e">
        <f t="shared" ca="1" si="251"/>
        <v>#NAME?</v>
      </c>
      <c r="S326" s="662" t="e">
        <f t="shared" ca="1" si="226"/>
        <v>#NAME?</v>
      </c>
      <c r="T326" s="443" t="e">
        <f t="shared" ca="1" si="219"/>
        <v>#NAME?</v>
      </c>
      <c r="U326" s="369" t="e">
        <f t="shared" ca="1" si="220"/>
        <v>#NAME?</v>
      </c>
      <c r="V326" s="454" t="e">
        <f t="shared" ca="1" si="227"/>
        <v>#NAME?</v>
      </c>
      <c r="W326" s="457">
        <f t="shared" si="228"/>
        <v>1000</v>
      </c>
      <c r="X326" s="463" t="e">
        <f t="shared" ca="1" si="229"/>
        <v>#NAME?</v>
      </c>
      <c r="Y326" s="455" t="e">
        <f t="shared" ca="1" si="239"/>
        <v>#NAME?</v>
      </c>
      <c r="Z326" s="699">
        <f t="shared" si="221"/>
        <v>8.5</v>
      </c>
      <c r="AA326" s="355" t="str">
        <f t="shared" si="222"/>
        <v>ON</v>
      </c>
      <c r="AB326" s="357">
        <f t="shared" si="252"/>
        <v>1.4999999999999999E-2</v>
      </c>
      <c r="AC326" s="356" t="e">
        <f ca="1">IF(  Y325=0,0,IF(OR(S326="KCAS",S326="INOP",S326="MEFE"),   ( (5*( (   (((1+0.2*(T326/661.4786)^2)^3.5 -1)  )/( (1-6.8755856*10^-6 *100*Y326)^5.2558797) +1)^(2/7) -1) )^0.5),IF(S326="MACH",T326, IF(S326="LRC",BicubicInterpolation( 'LRC Mach'!$C$4:$AL$21, Y326,U326),  IF(S326="MRC",BicubicInterpolation( 'MRC Mach'!$C$3:$T$18, Y326,U326),  IF(S326="M0.84",0.84,  IF(S326="CI52",BicubicInterpolation('CI=52 Mach'!$C$3:$T$18, Y326,U326),  IF(S326="HOLDING",BicubicInterpolation(  'Holding Mach'!$C$4:$M$13, Y326,U326),                         IF(S326="LRCINOP", BicubicInterpolation('LRC INOP Mach'!$C$4:$AA$21,Y326,U326), IF(S326="HOLDINGINOP",  BicubicInterpolation('Holding INOP Mach'!$N$4:$U$13,Y326,U326),         "XXX" )))))))   )))</f>
        <v>#NAME?</v>
      </c>
      <c r="AD326" s="313" t="e">
        <f t="shared" ca="1" si="253"/>
        <v>#NAME?</v>
      </c>
      <c r="AE326" s="314" t="e">
        <f t="shared" ca="1" si="240"/>
        <v>#NAME?</v>
      </c>
      <c r="AF326" s="313" t="e">
        <f t="shared" ca="1" si="254"/>
        <v>#NAME?</v>
      </c>
      <c r="AG326" s="314" t="e">
        <f t="shared" ca="1" si="241"/>
        <v>#NAME?</v>
      </c>
      <c r="AH326" s="313" t="e">
        <f t="shared" ca="1" si="255"/>
        <v>#NAME?</v>
      </c>
      <c r="AI326" s="314" t="e">
        <f t="shared" ca="1" si="242"/>
        <v>#NAME?</v>
      </c>
      <c r="AJ326" s="315" t="e">
        <f t="shared" ca="1" si="243"/>
        <v>#NAME?</v>
      </c>
      <c r="AK326" s="568" t="e">
        <f t="shared" ca="1" si="256"/>
        <v>#NAME?</v>
      </c>
      <c r="AL326" s="313" t="e">
        <f t="shared" ca="1" si="257"/>
        <v>#NAME?</v>
      </c>
      <c r="AM326" s="313" t="e">
        <f t="shared" ca="1" si="244"/>
        <v>#NAME?</v>
      </c>
      <c r="AN326" s="313" t="e">
        <f t="shared" ca="1" si="245"/>
        <v>#NAME?</v>
      </c>
      <c r="AO326" s="316" t="e">
        <f t="shared" ca="1" si="258"/>
        <v>#NAME?</v>
      </c>
      <c r="AP326" s="313" t="e">
        <f t="shared" ca="1" si="259"/>
        <v>#NAME?</v>
      </c>
      <c r="AQ326" s="314" t="e">
        <f t="shared" ca="1" si="246"/>
        <v>#NAME?</v>
      </c>
      <c r="AR326" s="315" t="e">
        <f t="shared" ca="1" si="260"/>
        <v>#NAME?</v>
      </c>
      <c r="AS326" s="316" t="e">
        <f t="shared" ca="1" si="261"/>
        <v>#NAME?</v>
      </c>
      <c r="AT326" s="315" t="e">
        <f t="shared" ca="1" si="262"/>
        <v>#NAME?</v>
      </c>
      <c r="AU326" s="317">
        <v>427.8</v>
      </c>
      <c r="AV326" s="315" t="e">
        <f t="shared" ca="1" si="263"/>
        <v>#NAME?</v>
      </c>
      <c r="AW326" s="318" t="e">
        <f ca="1">0.0001*BicubicInterpolation('Drag Coef Table'!$B$4:$L$28,AV326,AC326)</f>
        <v>#NAME?</v>
      </c>
      <c r="AX326" s="319" t="e">
        <f t="shared" ca="1" si="264"/>
        <v>#NAME?</v>
      </c>
      <c r="AY326" s="318" t="e">
        <f t="shared" ca="1" si="265"/>
        <v>#NAME?</v>
      </c>
      <c r="AZ326" s="320" t="e">
        <f t="shared" ca="1" si="266"/>
        <v>#NAME?</v>
      </c>
      <c r="BA326" s="321" t="e">
        <f t="shared" ca="1" si="267"/>
        <v>#NAME?</v>
      </c>
      <c r="BB326" s="322" t="e">
        <f t="shared" ca="1" si="268"/>
        <v>#NAME?</v>
      </c>
      <c r="BC326" s="323">
        <v>75.196700000000007</v>
      </c>
      <c r="BD326" s="324" t="e">
        <f t="shared" ca="1" si="269"/>
        <v>#NAME?</v>
      </c>
      <c r="BE326" s="325" t="e">
        <f t="shared" ca="1" si="270"/>
        <v>#NAME?</v>
      </c>
      <c r="BF326" s="324" t="e">
        <f ca="1">BicubicInterpolation('TSFC Eff Table'!$B$4:$E$69,2,BB326)</f>
        <v>#NAME?</v>
      </c>
      <c r="BG326" s="326" t="e">
        <f t="shared" ca="1" si="271"/>
        <v>#NAME?</v>
      </c>
      <c r="BH326" s="694" t="e">
        <f ca="1">IF( S326="LRCINOP",   (1+(0.03/10)*Z326*(1+0.2*AC326^2) )*BicubicInterpolation( 'LRC INOP FF'!$C$4:$AA$21, Y326, U326 )-200, IF(S326 ="HOLDINGINOP", (1+(0.03/10)*Z326*(1+0.2*AC326^2) )*BicubicInterpolation( 'Holding INOP FF'!$C$4:$J$13,  Y326,  U326)/1.05-200,   BA326*BG326))</f>
        <v>#NAME?</v>
      </c>
      <c r="BI326" s="344" t="e">
        <f t="shared" ca="1" si="230"/>
        <v>#NAME?</v>
      </c>
      <c r="BJ326" s="322" t="e">
        <f t="shared" ca="1" si="272"/>
        <v>#NAME?</v>
      </c>
      <c r="BK326" s="338" t="e">
        <f t="shared" ca="1" si="231"/>
        <v>#NAME?</v>
      </c>
      <c r="BL326" s="327" t="e">
        <f t="shared" ca="1" si="273"/>
        <v>#NAME?</v>
      </c>
      <c r="BM326" s="328">
        <f t="shared" si="274"/>
        <v>200</v>
      </c>
      <c r="BN326" s="329" t="e">
        <f t="shared" ca="1" si="275"/>
        <v>#NAME?</v>
      </c>
      <c r="BO326" s="344" t="e">
        <f t="shared" ca="1" si="232"/>
        <v>#NAME?</v>
      </c>
      <c r="BP326" s="320" t="e">
        <f t="shared" ca="1" si="276"/>
        <v>#NAME?</v>
      </c>
      <c r="BQ326" s="344" t="e">
        <f t="shared" ca="1" si="233"/>
        <v>#NAME?</v>
      </c>
      <c r="BR326" s="347" t="e">
        <f t="shared" ca="1" si="234"/>
        <v>#NAME?</v>
      </c>
      <c r="BS326" s="326" t="e">
        <f t="shared" ca="1" si="277"/>
        <v>#NAME?</v>
      </c>
      <c r="BT326" s="437" t="e">
        <f t="shared" ca="1" si="247"/>
        <v>#NAME?</v>
      </c>
      <c r="BU326" s="437" t="e">
        <f t="shared" ca="1" si="248"/>
        <v>#NAME?</v>
      </c>
      <c r="BV326" s="441" t="e">
        <f t="shared" ca="1" si="249"/>
        <v>#NAME?</v>
      </c>
      <c r="BW326" s="442" t="e">
        <f t="shared" ca="1" si="250"/>
        <v>#NAME?</v>
      </c>
      <c r="BX326" s="470" t="e">
        <f t="shared" ca="1" si="223"/>
        <v>#NAME?</v>
      </c>
      <c r="BY326" s="484" t="e">
        <f t="shared" ca="1" si="235"/>
        <v>#NAME?</v>
      </c>
      <c r="BZ326" s="176"/>
    </row>
    <row r="327" spans="9:78" s="177" customFormat="1" ht="17.75" customHeight="1" x14ac:dyDescent="0.2">
      <c r="I327" s="366">
        <v>243</v>
      </c>
      <c r="J327" s="414">
        <f t="shared" si="236"/>
        <v>41705.881250000552</v>
      </c>
      <c r="K327" s="435" t="e">
        <f t="shared" ca="1" si="237"/>
        <v>#NAME?</v>
      </c>
      <c r="L327" s="435" t="e">
        <f t="shared" ca="1" si="224"/>
        <v>#NAME?</v>
      </c>
      <c r="M327" s="664" t="e">
        <f t="shared" ca="1" si="278"/>
        <v>#NAME?</v>
      </c>
      <c r="N327" s="664" t="e">
        <f t="shared" ca="1" si="279"/>
        <v>#NAME?</v>
      </c>
      <c r="O327" s="140" t="e">
        <f t="shared" ca="1" si="225"/>
        <v>#NAME?</v>
      </c>
      <c r="P327" s="352" t="e">
        <f t="shared" ca="1" si="238"/>
        <v>#NAME?</v>
      </c>
      <c r="Q327" s="665" t="e">
        <f t="shared" ca="1" si="280"/>
        <v>#NAME?</v>
      </c>
      <c r="R327" s="352" t="e">
        <f t="shared" ca="1" si="251"/>
        <v>#NAME?</v>
      </c>
      <c r="S327" s="662" t="e">
        <f t="shared" ca="1" si="226"/>
        <v>#NAME?</v>
      </c>
      <c r="T327" s="443" t="e">
        <f t="shared" ca="1" si="219"/>
        <v>#NAME?</v>
      </c>
      <c r="U327" s="369" t="e">
        <f t="shared" ca="1" si="220"/>
        <v>#NAME?</v>
      </c>
      <c r="V327" s="454" t="e">
        <f t="shared" ca="1" si="227"/>
        <v>#NAME?</v>
      </c>
      <c r="W327" s="457">
        <f t="shared" si="228"/>
        <v>1000</v>
      </c>
      <c r="X327" s="463" t="e">
        <f t="shared" ca="1" si="229"/>
        <v>#NAME?</v>
      </c>
      <c r="Y327" s="455" t="e">
        <f t="shared" ca="1" si="239"/>
        <v>#NAME?</v>
      </c>
      <c r="Z327" s="699">
        <f t="shared" si="221"/>
        <v>8.5</v>
      </c>
      <c r="AA327" s="355" t="str">
        <f t="shared" si="222"/>
        <v>ON</v>
      </c>
      <c r="AB327" s="357">
        <f t="shared" si="252"/>
        <v>1.4999999999999999E-2</v>
      </c>
      <c r="AC327" s="356" t="e">
        <f ca="1">IF(  Y326=0,0,IF(OR(S327="KCAS",S327="INOP",S327="MEFE"),   ( (5*( (   (((1+0.2*(T327/661.4786)^2)^3.5 -1)  )/( (1-6.8755856*10^-6 *100*Y327)^5.2558797) +1)^(2/7) -1) )^0.5),IF(S327="MACH",T327, IF(S327="LRC",BicubicInterpolation( 'LRC Mach'!$C$4:$AL$21, Y327,U327),  IF(S327="MRC",BicubicInterpolation( 'MRC Mach'!$C$3:$T$18, Y327,U327),  IF(S327="M0.84",0.84,  IF(S327="CI52",BicubicInterpolation('CI=52 Mach'!$C$3:$T$18, Y327,U327),  IF(S327="HOLDING",BicubicInterpolation(  'Holding Mach'!$C$4:$M$13, Y327,U327),                         IF(S327="LRCINOP", BicubicInterpolation('LRC INOP Mach'!$C$4:$AA$21,Y327,U327), IF(S327="HOLDINGINOP",  BicubicInterpolation('Holding INOP Mach'!$N$4:$U$13,Y327,U327),         "XXX" )))))))   )))</f>
        <v>#NAME?</v>
      </c>
      <c r="AD327" s="313" t="e">
        <f t="shared" ca="1" si="253"/>
        <v>#NAME?</v>
      </c>
      <c r="AE327" s="314" t="e">
        <f t="shared" ca="1" si="240"/>
        <v>#NAME?</v>
      </c>
      <c r="AF327" s="313" t="e">
        <f t="shared" ca="1" si="254"/>
        <v>#NAME?</v>
      </c>
      <c r="AG327" s="314" t="e">
        <f t="shared" ca="1" si="241"/>
        <v>#NAME?</v>
      </c>
      <c r="AH327" s="313" t="e">
        <f t="shared" ca="1" si="255"/>
        <v>#NAME?</v>
      </c>
      <c r="AI327" s="314" t="e">
        <f t="shared" ca="1" si="242"/>
        <v>#NAME?</v>
      </c>
      <c r="AJ327" s="315" t="e">
        <f t="shared" ca="1" si="243"/>
        <v>#NAME?</v>
      </c>
      <c r="AK327" s="568" t="e">
        <f t="shared" ca="1" si="256"/>
        <v>#NAME?</v>
      </c>
      <c r="AL327" s="313" t="e">
        <f t="shared" ca="1" si="257"/>
        <v>#NAME?</v>
      </c>
      <c r="AM327" s="313" t="e">
        <f t="shared" ca="1" si="244"/>
        <v>#NAME?</v>
      </c>
      <c r="AN327" s="313" t="e">
        <f t="shared" ca="1" si="245"/>
        <v>#NAME?</v>
      </c>
      <c r="AO327" s="316" t="e">
        <f t="shared" ca="1" si="258"/>
        <v>#NAME?</v>
      </c>
      <c r="AP327" s="313" t="e">
        <f t="shared" ca="1" si="259"/>
        <v>#NAME?</v>
      </c>
      <c r="AQ327" s="314" t="e">
        <f t="shared" ca="1" si="246"/>
        <v>#NAME?</v>
      </c>
      <c r="AR327" s="315" t="e">
        <f t="shared" ca="1" si="260"/>
        <v>#NAME?</v>
      </c>
      <c r="AS327" s="316" t="e">
        <f t="shared" ca="1" si="261"/>
        <v>#NAME?</v>
      </c>
      <c r="AT327" s="315" t="e">
        <f t="shared" ca="1" si="262"/>
        <v>#NAME?</v>
      </c>
      <c r="AU327" s="317">
        <v>427.8</v>
      </c>
      <c r="AV327" s="315" t="e">
        <f t="shared" ca="1" si="263"/>
        <v>#NAME?</v>
      </c>
      <c r="AW327" s="318" t="e">
        <f ca="1">0.0001*BicubicInterpolation('Drag Coef Table'!$B$4:$L$28,AV327,AC327)</f>
        <v>#NAME?</v>
      </c>
      <c r="AX327" s="319" t="e">
        <f t="shared" ca="1" si="264"/>
        <v>#NAME?</v>
      </c>
      <c r="AY327" s="318" t="e">
        <f t="shared" ca="1" si="265"/>
        <v>#NAME?</v>
      </c>
      <c r="AZ327" s="320" t="e">
        <f t="shared" ca="1" si="266"/>
        <v>#NAME?</v>
      </c>
      <c r="BA327" s="321" t="e">
        <f t="shared" ca="1" si="267"/>
        <v>#NAME?</v>
      </c>
      <c r="BB327" s="322" t="e">
        <f t="shared" ca="1" si="268"/>
        <v>#NAME?</v>
      </c>
      <c r="BC327" s="323">
        <v>75.196700000000007</v>
      </c>
      <c r="BD327" s="324" t="e">
        <f t="shared" ca="1" si="269"/>
        <v>#NAME?</v>
      </c>
      <c r="BE327" s="325" t="e">
        <f t="shared" ca="1" si="270"/>
        <v>#NAME?</v>
      </c>
      <c r="BF327" s="324" t="e">
        <f ca="1">BicubicInterpolation('TSFC Eff Table'!$B$4:$E$69,2,BB327)</f>
        <v>#NAME?</v>
      </c>
      <c r="BG327" s="326" t="e">
        <f t="shared" ca="1" si="271"/>
        <v>#NAME?</v>
      </c>
      <c r="BH327" s="694" t="e">
        <f ca="1">IF( S327="LRCINOP",   (1+(0.03/10)*Z327*(1+0.2*AC327^2) )*BicubicInterpolation( 'LRC INOP FF'!$C$4:$AA$21, Y327, U327 )-200, IF(S327 ="HOLDINGINOP", (1+(0.03/10)*Z327*(1+0.2*AC327^2) )*BicubicInterpolation( 'Holding INOP FF'!$C$4:$J$13,  Y327,  U327)/1.05-200,   BA327*BG327))</f>
        <v>#NAME?</v>
      </c>
      <c r="BI327" s="344" t="e">
        <f t="shared" ca="1" si="230"/>
        <v>#NAME?</v>
      </c>
      <c r="BJ327" s="322" t="e">
        <f t="shared" ca="1" si="272"/>
        <v>#NAME?</v>
      </c>
      <c r="BK327" s="338" t="e">
        <f t="shared" ca="1" si="231"/>
        <v>#NAME?</v>
      </c>
      <c r="BL327" s="327" t="e">
        <f t="shared" ca="1" si="273"/>
        <v>#NAME?</v>
      </c>
      <c r="BM327" s="328">
        <f t="shared" si="274"/>
        <v>200</v>
      </c>
      <c r="BN327" s="329" t="e">
        <f t="shared" ca="1" si="275"/>
        <v>#NAME?</v>
      </c>
      <c r="BO327" s="344" t="e">
        <f t="shared" ca="1" si="232"/>
        <v>#NAME?</v>
      </c>
      <c r="BP327" s="320" t="e">
        <f t="shared" ca="1" si="276"/>
        <v>#NAME?</v>
      </c>
      <c r="BQ327" s="344" t="e">
        <f t="shared" ca="1" si="233"/>
        <v>#NAME?</v>
      </c>
      <c r="BR327" s="347" t="e">
        <f t="shared" ca="1" si="234"/>
        <v>#NAME?</v>
      </c>
      <c r="BS327" s="326" t="e">
        <f t="shared" ca="1" si="277"/>
        <v>#NAME?</v>
      </c>
      <c r="BT327" s="437" t="e">
        <f t="shared" ca="1" si="247"/>
        <v>#NAME?</v>
      </c>
      <c r="BU327" s="437" t="e">
        <f t="shared" ca="1" si="248"/>
        <v>#NAME?</v>
      </c>
      <c r="BV327" s="441" t="e">
        <f t="shared" ca="1" si="249"/>
        <v>#NAME?</v>
      </c>
      <c r="BW327" s="442" t="e">
        <f t="shared" ca="1" si="250"/>
        <v>#NAME?</v>
      </c>
      <c r="BX327" s="470" t="e">
        <f t="shared" ca="1" si="223"/>
        <v>#NAME?</v>
      </c>
      <c r="BY327" s="484" t="e">
        <f t="shared" ca="1" si="235"/>
        <v>#NAME?</v>
      </c>
      <c r="BZ327" s="176"/>
    </row>
    <row r="328" spans="9:78" s="177" customFormat="1" ht="17.75" customHeight="1" x14ac:dyDescent="0.2">
      <c r="I328" s="366">
        <v>244</v>
      </c>
      <c r="J328" s="414">
        <f t="shared" si="236"/>
        <v>41705.881944444998</v>
      </c>
      <c r="K328" s="435" t="e">
        <f t="shared" ca="1" si="237"/>
        <v>#NAME?</v>
      </c>
      <c r="L328" s="435" t="e">
        <f t="shared" ca="1" si="224"/>
        <v>#NAME?</v>
      </c>
      <c r="M328" s="664" t="e">
        <f t="shared" ca="1" si="278"/>
        <v>#NAME?</v>
      </c>
      <c r="N328" s="664" t="e">
        <f t="shared" ca="1" si="279"/>
        <v>#NAME?</v>
      </c>
      <c r="O328" s="140" t="e">
        <f t="shared" ca="1" si="225"/>
        <v>#NAME?</v>
      </c>
      <c r="P328" s="352" t="e">
        <f t="shared" ca="1" si="238"/>
        <v>#NAME?</v>
      </c>
      <c r="Q328" s="665" t="e">
        <f t="shared" ca="1" si="280"/>
        <v>#NAME?</v>
      </c>
      <c r="R328" s="352" t="e">
        <f t="shared" ca="1" si="251"/>
        <v>#NAME?</v>
      </c>
      <c r="S328" s="662" t="e">
        <f t="shared" ca="1" si="226"/>
        <v>#NAME?</v>
      </c>
      <c r="T328" s="443" t="e">
        <f t="shared" ca="1" si="219"/>
        <v>#NAME?</v>
      </c>
      <c r="U328" s="369" t="e">
        <f t="shared" ca="1" si="220"/>
        <v>#NAME?</v>
      </c>
      <c r="V328" s="454" t="e">
        <f t="shared" ca="1" si="227"/>
        <v>#NAME?</v>
      </c>
      <c r="W328" s="457">
        <f t="shared" si="228"/>
        <v>1000</v>
      </c>
      <c r="X328" s="463" t="e">
        <f t="shared" ca="1" si="229"/>
        <v>#NAME?</v>
      </c>
      <c r="Y328" s="455" t="e">
        <f t="shared" ca="1" si="239"/>
        <v>#NAME?</v>
      </c>
      <c r="Z328" s="699">
        <f t="shared" si="221"/>
        <v>8.5</v>
      </c>
      <c r="AA328" s="355" t="str">
        <f t="shared" si="222"/>
        <v>ON</v>
      </c>
      <c r="AB328" s="357">
        <f t="shared" si="252"/>
        <v>1.4999999999999999E-2</v>
      </c>
      <c r="AC328" s="356" t="e">
        <f ca="1">IF(  Y327=0,0,IF(OR(S328="KCAS",S328="INOP",S328="MEFE"),   ( (5*( (   (((1+0.2*(T328/661.4786)^2)^3.5 -1)  )/( (1-6.8755856*10^-6 *100*Y328)^5.2558797) +1)^(2/7) -1) )^0.5),IF(S328="MACH",T328, IF(S328="LRC",BicubicInterpolation( 'LRC Mach'!$C$4:$AL$21, Y328,U328),  IF(S328="MRC",BicubicInterpolation( 'MRC Mach'!$C$3:$T$18, Y328,U328),  IF(S328="M0.84",0.84,  IF(S328="CI52",BicubicInterpolation('CI=52 Mach'!$C$3:$T$18, Y328,U328),  IF(S328="HOLDING",BicubicInterpolation(  'Holding Mach'!$C$4:$M$13, Y328,U328),                         IF(S328="LRCINOP", BicubicInterpolation('LRC INOP Mach'!$C$4:$AA$21,Y328,U328), IF(S328="HOLDINGINOP",  BicubicInterpolation('Holding INOP Mach'!$N$4:$U$13,Y328,U328),         "XXX" )))))))   )))</f>
        <v>#NAME?</v>
      </c>
      <c r="AD328" s="313" t="e">
        <f t="shared" ca="1" si="253"/>
        <v>#NAME?</v>
      </c>
      <c r="AE328" s="314" t="e">
        <f t="shared" ca="1" si="240"/>
        <v>#NAME?</v>
      </c>
      <c r="AF328" s="313" t="e">
        <f t="shared" ca="1" si="254"/>
        <v>#NAME?</v>
      </c>
      <c r="AG328" s="314" t="e">
        <f t="shared" ca="1" si="241"/>
        <v>#NAME?</v>
      </c>
      <c r="AH328" s="313" t="e">
        <f t="shared" ca="1" si="255"/>
        <v>#NAME?</v>
      </c>
      <c r="AI328" s="314" t="e">
        <f t="shared" ca="1" si="242"/>
        <v>#NAME?</v>
      </c>
      <c r="AJ328" s="315" t="e">
        <f t="shared" ca="1" si="243"/>
        <v>#NAME?</v>
      </c>
      <c r="AK328" s="568" t="e">
        <f t="shared" ca="1" si="256"/>
        <v>#NAME?</v>
      </c>
      <c r="AL328" s="313" t="e">
        <f t="shared" ca="1" si="257"/>
        <v>#NAME?</v>
      </c>
      <c r="AM328" s="313" t="e">
        <f t="shared" ca="1" si="244"/>
        <v>#NAME?</v>
      </c>
      <c r="AN328" s="313" t="e">
        <f t="shared" ca="1" si="245"/>
        <v>#NAME?</v>
      </c>
      <c r="AO328" s="316" t="e">
        <f t="shared" ca="1" si="258"/>
        <v>#NAME?</v>
      </c>
      <c r="AP328" s="313" t="e">
        <f t="shared" ca="1" si="259"/>
        <v>#NAME?</v>
      </c>
      <c r="AQ328" s="314" t="e">
        <f t="shared" ca="1" si="246"/>
        <v>#NAME?</v>
      </c>
      <c r="AR328" s="315" t="e">
        <f t="shared" ca="1" si="260"/>
        <v>#NAME?</v>
      </c>
      <c r="AS328" s="316" t="e">
        <f t="shared" ca="1" si="261"/>
        <v>#NAME?</v>
      </c>
      <c r="AT328" s="315" t="e">
        <f t="shared" ca="1" si="262"/>
        <v>#NAME?</v>
      </c>
      <c r="AU328" s="317">
        <v>427.8</v>
      </c>
      <c r="AV328" s="315" t="e">
        <f t="shared" ca="1" si="263"/>
        <v>#NAME?</v>
      </c>
      <c r="AW328" s="318" t="e">
        <f ca="1">0.0001*BicubicInterpolation('Drag Coef Table'!$B$4:$L$28,AV328,AC328)</f>
        <v>#NAME?</v>
      </c>
      <c r="AX328" s="319" t="e">
        <f t="shared" ca="1" si="264"/>
        <v>#NAME?</v>
      </c>
      <c r="AY328" s="318" t="e">
        <f t="shared" ca="1" si="265"/>
        <v>#NAME?</v>
      </c>
      <c r="AZ328" s="320" t="e">
        <f t="shared" ca="1" si="266"/>
        <v>#NAME?</v>
      </c>
      <c r="BA328" s="321" t="e">
        <f t="shared" ca="1" si="267"/>
        <v>#NAME?</v>
      </c>
      <c r="BB328" s="322" t="e">
        <f t="shared" ca="1" si="268"/>
        <v>#NAME?</v>
      </c>
      <c r="BC328" s="323">
        <v>75.196700000000007</v>
      </c>
      <c r="BD328" s="324" t="e">
        <f t="shared" ca="1" si="269"/>
        <v>#NAME?</v>
      </c>
      <c r="BE328" s="325" t="e">
        <f t="shared" ca="1" si="270"/>
        <v>#NAME?</v>
      </c>
      <c r="BF328" s="324" t="e">
        <f ca="1">BicubicInterpolation('TSFC Eff Table'!$B$4:$E$69,2,BB328)</f>
        <v>#NAME?</v>
      </c>
      <c r="BG328" s="326" t="e">
        <f t="shared" ca="1" si="271"/>
        <v>#NAME?</v>
      </c>
      <c r="BH328" s="694" t="e">
        <f ca="1">IF( S328="LRCINOP",   (1+(0.03/10)*Z328*(1+0.2*AC328^2) )*BicubicInterpolation( 'LRC INOP FF'!$C$4:$AA$21, Y328, U328 )-200, IF(S328 ="HOLDINGINOP", (1+(0.03/10)*Z328*(1+0.2*AC328^2) )*BicubicInterpolation( 'Holding INOP FF'!$C$4:$J$13,  Y328,  U328)/1.05-200,   BA328*BG328))</f>
        <v>#NAME?</v>
      </c>
      <c r="BI328" s="344" t="e">
        <f t="shared" ca="1" si="230"/>
        <v>#NAME?</v>
      </c>
      <c r="BJ328" s="322" t="e">
        <f t="shared" ca="1" si="272"/>
        <v>#NAME?</v>
      </c>
      <c r="BK328" s="338" t="e">
        <f t="shared" ca="1" si="231"/>
        <v>#NAME?</v>
      </c>
      <c r="BL328" s="327" t="e">
        <f t="shared" ca="1" si="273"/>
        <v>#NAME?</v>
      </c>
      <c r="BM328" s="328">
        <f t="shared" si="274"/>
        <v>200</v>
      </c>
      <c r="BN328" s="329" t="e">
        <f t="shared" ca="1" si="275"/>
        <v>#NAME?</v>
      </c>
      <c r="BO328" s="344" t="e">
        <f t="shared" ca="1" si="232"/>
        <v>#NAME?</v>
      </c>
      <c r="BP328" s="320" t="e">
        <f t="shared" ca="1" si="276"/>
        <v>#NAME?</v>
      </c>
      <c r="BQ328" s="344" t="e">
        <f t="shared" ca="1" si="233"/>
        <v>#NAME?</v>
      </c>
      <c r="BR328" s="347" t="e">
        <f t="shared" ca="1" si="234"/>
        <v>#NAME?</v>
      </c>
      <c r="BS328" s="326" t="e">
        <f t="shared" ca="1" si="277"/>
        <v>#NAME?</v>
      </c>
      <c r="BT328" s="437" t="e">
        <f t="shared" ca="1" si="247"/>
        <v>#NAME?</v>
      </c>
      <c r="BU328" s="437" t="e">
        <f t="shared" ca="1" si="248"/>
        <v>#NAME?</v>
      </c>
      <c r="BV328" s="441" t="e">
        <f t="shared" ca="1" si="249"/>
        <v>#NAME?</v>
      </c>
      <c r="BW328" s="442" t="e">
        <f t="shared" ca="1" si="250"/>
        <v>#NAME?</v>
      </c>
      <c r="BX328" s="470" t="e">
        <f t="shared" ca="1" si="223"/>
        <v>#NAME?</v>
      </c>
      <c r="BY328" s="484" t="e">
        <f t="shared" ca="1" si="235"/>
        <v>#NAME?</v>
      </c>
      <c r="BZ328" s="176"/>
    </row>
    <row r="329" spans="9:78" ht="17.75" customHeight="1" x14ac:dyDescent="0.2">
      <c r="I329" s="366">
        <v>245</v>
      </c>
      <c r="J329" s="414">
        <f t="shared" si="236"/>
        <v>41705.882638889445</v>
      </c>
      <c r="K329" s="435" t="e">
        <f t="shared" ca="1" si="237"/>
        <v>#NAME?</v>
      </c>
      <c r="L329" s="435" t="e">
        <f t="shared" ca="1" si="224"/>
        <v>#NAME?</v>
      </c>
      <c r="M329" s="664" t="e">
        <f t="shared" ca="1" si="278"/>
        <v>#NAME?</v>
      </c>
      <c r="N329" s="664" t="e">
        <f t="shared" ca="1" si="279"/>
        <v>#NAME?</v>
      </c>
      <c r="O329" s="140" t="e">
        <f t="shared" ca="1" si="225"/>
        <v>#NAME?</v>
      </c>
      <c r="P329" s="352" t="e">
        <f t="shared" ca="1" si="238"/>
        <v>#NAME?</v>
      </c>
      <c r="Q329" s="665" t="e">
        <f t="shared" ca="1" si="280"/>
        <v>#NAME?</v>
      </c>
      <c r="R329" s="352" t="e">
        <f t="shared" ca="1" si="251"/>
        <v>#NAME?</v>
      </c>
      <c r="S329" s="662" t="e">
        <f t="shared" ca="1" si="226"/>
        <v>#NAME?</v>
      </c>
      <c r="T329" s="443" t="e">
        <f t="shared" ca="1" si="219"/>
        <v>#NAME?</v>
      </c>
      <c r="U329" s="369" t="e">
        <f t="shared" ca="1" si="220"/>
        <v>#NAME?</v>
      </c>
      <c r="V329" s="454" t="e">
        <f t="shared" ca="1" si="227"/>
        <v>#NAME?</v>
      </c>
      <c r="W329" s="457">
        <f t="shared" si="228"/>
        <v>1000</v>
      </c>
      <c r="X329" s="463" t="e">
        <f t="shared" ca="1" si="229"/>
        <v>#NAME?</v>
      </c>
      <c r="Y329" s="455" t="e">
        <f t="shared" ca="1" si="239"/>
        <v>#NAME?</v>
      </c>
      <c r="Z329" s="699">
        <f t="shared" si="221"/>
        <v>8.5</v>
      </c>
      <c r="AA329" s="355" t="str">
        <f t="shared" si="222"/>
        <v>ON</v>
      </c>
      <c r="AB329" s="357">
        <f t="shared" si="252"/>
        <v>1.4999999999999999E-2</v>
      </c>
      <c r="AC329" s="356" t="e">
        <f ca="1">IF(  Y328=0,0,IF(OR(S329="KCAS",S329="INOP",S329="MEFE"),   ( (5*( (   (((1+0.2*(T329/661.4786)^2)^3.5 -1)  )/( (1-6.8755856*10^-6 *100*Y329)^5.2558797) +1)^(2/7) -1) )^0.5),IF(S329="MACH",T329, IF(S329="LRC",BicubicInterpolation( 'LRC Mach'!$C$4:$AL$21, Y329,U329),  IF(S329="MRC",BicubicInterpolation( 'MRC Mach'!$C$3:$T$18, Y329,U329),  IF(S329="M0.84",0.84,  IF(S329="CI52",BicubicInterpolation('CI=52 Mach'!$C$3:$T$18, Y329,U329),  IF(S329="HOLDING",BicubicInterpolation(  'Holding Mach'!$C$4:$M$13, Y329,U329),                         IF(S329="LRCINOP", BicubicInterpolation('LRC INOP Mach'!$C$4:$AA$21,Y329,U329), IF(S329="HOLDINGINOP",  BicubicInterpolation('Holding INOP Mach'!$N$4:$U$13,Y329,U329),         "XXX" )))))))   )))</f>
        <v>#NAME?</v>
      </c>
      <c r="AD329" s="313" t="e">
        <f t="shared" ca="1" si="253"/>
        <v>#NAME?</v>
      </c>
      <c r="AE329" s="314" t="e">
        <f t="shared" ca="1" si="240"/>
        <v>#NAME?</v>
      </c>
      <c r="AF329" s="313" t="e">
        <f t="shared" ca="1" si="254"/>
        <v>#NAME?</v>
      </c>
      <c r="AG329" s="314" t="e">
        <f t="shared" ca="1" si="241"/>
        <v>#NAME?</v>
      </c>
      <c r="AH329" s="313" t="e">
        <f t="shared" ca="1" si="255"/>
        <v>#NAME?</v>
      </c>
      <c r="AI329" s="314" t="e">
        <f t="shared" ca="1" si="242"/>
        <v>#NAME?</v>
      </c>
      <c r="AJ329" s="315" t="e">
        <f t="shared" ca="1" si="243"/>
        <v>#NAME?</v>
      </c>
      <c r="AK329" s="568" t="e">
        <f t="shared" ca="1" si="256"/>
        <v>#NAME?</v>
      </c>
      <c r="AL329" s="313" t="e">
        <f t="shared" ca="1" si="257"/>
        <v>#NAME?</v>
      </c>
      <c r="AM329" s="313" t="e">
        <f t="shared" ca="1" si="244"/>
        <v>#NAME?</v>
      </c>
      <c r="AN329" s="313" t="e">
        <f t="shared" ca="1" si="245"/>
        <v>#NAME?</v>
      </c>
      <c r="AO329" s="316" t="e">
        <f t="shared" ca="1" si="258"/>
        <v>#NAME?</v>
      </c>
      <c r="AP329" s="313" t="e">
        <f t="shared" ca="1" si="259"/>
        <v>#NAME?</v>
      </c>
      <c r="AQ329" s="314" t="e">
        <f t="shared" ca="1" si="246"/>
        <v>#NAME?</v>
      </c>
      <c r="AR329" s="315" t="e">
        <f t="shared" ca="1" si="260"/>
        <v>#NAME?</v>
      </c>
      <c r="AS329" s="316" t="e">
        <f t="shared" ca="1" si="261"/>
        <v>#NAME?</v>
      </c>
      <c r="AT329" s="315" t="e">
        <f t="shared" ca="1" si="262"/>
        <v>#NAME?</v>
      </c>
      <c r="AU329" s="317">
        <v>427.8</v>
      </c>
      <c r="AV329" s="315" t="e">
        <f t="shared" ca="1" si="263"/>
        <v>#NAME?</v>
      </c>
      <c r="AW329" s="318" t="e">
        <f ca="1">0.0001*BicubicInterpolation('Drag Coef Table'!$B$4:$L$28,AV329,AC329)</f>
        <v>#NAME?</v>
      </c>
      <c r="AX329" s="319" t="e">
        <f t="shared" ca="1" si="264"/>
        <v>#NAME?</v>
      </c>
      <c r="AY329" s="318" t="e">
        <f t="shared" ca="1" si="265"/>
        <v>#NAME?</v>
      </c>
      <c r="AZ329" s="320" t="e">
        <f t="shared" ca="1" si="266"/>
        <v>#NAME?</v>
      </c>
      <c r="BA329" s="321" t="e">
        <f t="shared" ca="1" si="267"/>
        <v>#NAME?</v>
      </c>
      <c r="BB329" s="322" t="e">
        <f t="shared" ca="1" si="268"/>
        <v>#NAME?</v>
      </c>
      <c r="BC329" s="323">
        <v>75.196700000000007</v>
      </c>
      <c r="BD329" s="324" t="e">
        <f t="shared" ca="1" si="269"/>
        <v>#NAME?</v>
      </c>
      <c r="BE329" s="325" t="e">
        <f t="shared" ca="1" si="270"/>
        <v>#NAME?</v>
      </c>
      <c r="BF329" s="324" t="e">
        <f ca="1">BicubicInterpolation('TSFC Eff Table'!$B$4:$E$69,2,BB329)</f>
        <v>#NAME?</v>
      </c>
      <c r="BG329" s="326" t="e">
        <f t="shared" ca="1" si="271"/>
        <v>#NAME?</v>
      </c>
      <c r="BH329" s="694" t="e">
        <f ca="1">IF( S329="LRCINOP",   (1+(0.03/10)*Z329*(1+0.2*AC329^2) )*BicubicInterpolation( 'LRC INOP FF'!$C$4:$AA$21, Y329, U329 )-200, IF(S329 ="HOLDINGINOP", (1+(0.03/10)*Z329*(1+0.2*AC329^2) )*BicubicInterpolation( 'Holding INOP FF'!$C$4:$J$13,  Y329,  U329)/1.05-200,   BA329*BG329))</f>
        <v>#NAME?</v>
      </c>
      <c r="BI329" s="344" t="e">
        <f t="shared" ca="1" si="230"/>
        <v>#NAME?</v>
      </c>
      <c r="BJ329" s="322" t="e">
        <f t="shared" ca="1" si="272"/>
        <v>#NAME?</v>
      </c>
      <c r="BK329" s="338" t="e">
        <f t="shared" ca="1" si="231"/>
        <v>#NAME?</v>
      </c>
      <c r="BL329" s="327" t="e">
        <f t="shared" ca="1" si="273"/>
        <v>#NAME?</v>
      </c>
      <c r="BM329" s="328">
        <f t="shared" si="274"/>
        <v>200</v>
      </c>
      <c r="BN329" s="329" t="e">
        <f t="shared" ca="1" si="275"/>
        <v>#NAME?</v>
      </c>
      <c r="BO329" s="344" t="e">
        <f t="shared" ca="1" si="232"/>
        <v>#NAME?</v>
      </c>
      <c r="BP329" s="320" t="e">
        <f t="shared" ca="1" si="276"/>
        <v>#NAME?</v>
      </c>
      <c r="BQ329" s="344" t="e">
        <f t="shared" ca="1" si="233"/>
        <v>#NAME?</v>
      </c>
      <c r="BR329" s="347" t="e">
        <f t="shared" ca="1" si="234"/>
        <v>#NAME?</v>
      </c>
      <c r="BS329" s="326" t="e">
        <f t="shared" ca="1" si="277"/>
        <v>#NAME?</v>
      </c>
      <c r="BT329" s="437" t="e">
        <f t="shared" ca="1" si="247"/>
        <v>#NAME?</v>
      </c>
      <c r="BU329" s="437" t="e">
        <f t="shared" ca="1" si="248"/>
        <v>#NAME?</v>
      </c>
      <c r="BV329" s="441" t="e">
        <f t="shared" ca="1" si="249"/>
        <v>#NAME?</v>
      </c>
      <c r="BW329" s="442" t="e">
        <f t="shared" ca="1" si="250"/>
        <v>#NAME?</v>
      </c>
      <c r="BX329" s="470" t="e">
        <f t="shared" ca="1" si="223"/>
        <v>#NAME?</v>
      </c>
      <c r="BY329" s="484" t="e">
        <f t="shared" ca="1" si="235"/>
        <v>#NAME?</v>
      </c>
    </row>
    <row r="330" spans="9:78" ht="17.75" customHeight="1" x14ac:dyDescent="0.2">
      <c r="I330" s="366">
        <v>246</v>
      </c>
      <c r="J330" s="414">
        <f t="shared" si="236"/>
        <v>41705.883333333892</v>
      </c>
      <c r="K330" s="435" t="e">
        <f t="shared" ca="1" si="237"/>
        <v>#NAME?</v>
      </c>
      <c r="L330" s="435" t="e">
        <f t="shared" ca="1" si="224"/>
        <v>#NAME?</v>
      </c>
      <c r="M330" s="664" t="e">
        <f t="shared" ca="1" si="278"/>
        <v>#NAME?</v>
      </c>
      <c r="N330" s="664" t="e">
        <f t="shared" ca="1" si="279"/>
        <v>#NAME?</v>
      </c>
      <c r="O330" s="140" t="e">
        <f t="shared" ca="1" si="225"/>
        <v>#NAME?</v>
      </c>
      <c r="P330" s="352" t="e">
        <f t="shared" ca="1" si="238"/>
        <v>#NAME?</v>
      </c>
      <c r="Q330" s="665" t="e">
        <f t="shared" ca="1" si="280"/>
        <v>#NAME?</v>
      </c>
      <c r="R330" s="352" t="e">
        <f t="shared" ca="1" si="251"/>
        <v>#NAME?</v>
      </c>
      <c r="S330" s="662" t="e">
        <f t="shared" ca="1" si="226"/>
        <v>#NAME?</v>
      </c>
      <c r="T330" s="443" t="e">
        <f t="shared" ca="1" si="219"/>
        <v>#NAME?</v>
      </c>
      <c r="U330" s="369" t="e">
        <f t="shared" ca="1" si="220"/>
        <v>#NAME?</v>
      </c>
      <c r="V330" s="454" t="e">
        <f t="shared" ca="1" si="227"/>
        <v>#NAME?</v>
      </c>
      <c r="W330" s="457">
        <f t="shared" si="228"/>
        <v>1000</v>
      </c>
      <c r="X330" s="463" t="e">
        <f t="shared" ca="1" si="229"/>
        <v>#NAME?</v>
      </c>
      <c r="Y330" s="455" t="e">
        <f t="shared" ca="1" si="239"/>
        <v>#NAME?</v>
      </c>
      <c r="Z330" s="699">
        <f t="shared" si="221"/>
        <v>8.5</v>
      </c>
      <c r="AA330" s="355" t="str">
        <f t="shared" si="222"/>
        <v>ON</v>
      </c>
      <c r="AB330" s="357">
        <f t="shared" si="252"/>
        <v>1.4999999999999999E-2</v>
      </c>
      <c r="AC330" s="356" t="e">
        <f ca="1">IF(  Y329=0,0,IF(OR(S330="KCAS",S330="INOP",S330="MEFE"),   ( (5*( (   (((1+0.2*(T330/661.4786)^2)^3.5 -1)  )/( (1-6.8755856*10^-6 *100*Y330)^5.2558797) +1)^(2/7) -1) )^0.5),IF(S330="MACH",T330, IF(S330="LRC",BicubicInterpolation( 'LRC Mach'!$C$4:$AL$21, Y330,U330),  IF(S330="MRC",BicubicInterpolation( 'MRC Mach'!$C$3:$T$18, Y330,U330),  IF(S330="M0.84",0.84,  IF(S330="CI52",BicubicInterpolation('CI=52 Mach'!$C$3:$T$18, Y330,U330),  IF(S330="HOLDING",BicubicInterpolation(  'Holding Mach'!$C$4:$M$13, Y330,U330),                         IF(S330="LRCINOP", BicubicInterpolation('LRC INOP Mach'!$C$4:$AA$21,Y330,U330), IF(S330="HOLDINGINOP",  BicubicInterpolation('Holding INOP Mach'!$N$4:$U$13,Y330,U330),         "XXX" )))))))   )))</f>
        <v>#NAME?</v>
      </c>
      <c r="AD330" s="313" t="e">
        <f t="shared" ca="1" si="253"/>
        <v>#NAME?</v>
      </c>
      <c r="AE330" s="314" t="e">
        <f t="shared" ca="1" si="240"/>
        <v>#NAME?</v>
      </c>
      <c r="AF330" s="313" t="e">
        <f t="shared" ca="1" si="254"/>
        <v>#NAME?</v>
      </c>
      <c r="AG330" s="314" t="e">
        <f t="shared" ca="1" si="241"/>
        <v>#NAME?</v>
      </c>
      <c r="AH330" s="313" t="e">
        <f t="shared" ca="1" si="255"/>
        <v>#NAME?</v>
      </c>
      <c r="AI330" s="314" t="e">
        <f t="shared" ca="1" si="242"/>
        <v>#NAME?</v>
      </c>
      <c r="AJ330" s="315" t="e">
        <f t="shared" ca="1" si="243"/>
        <v>#NAME?</v>
      </c>
      <c r="AK330" s="568" t="e">
        <f t="shared" ca="1" si="256"/>
        <v>#NAME?</v>
      </c>
      <c r="AL330" s="313" t="e">
        <f t="shared" ca="1" si="257"/>
        <v>#NAME?</v>
      </c>
      <c r="AM330" s="313" t="e">
        <f t="shared" ca="1" si="244"/>
        <v>#NAME?</v>
      </c>
      <c r="AN330" s="313" t="e">
        <f t="shared" ca="1" si="245"/>
        <v>#NAME?</v>
      </c>
      <c r="AO330" s="316" t="e">
        <f t="shared" ca="1" si="258"/>
        <v>#NAME?</v>
      </c>
      <c r="AP330" s="313" t="e">
        <f t="shared" ca="1" si="259"/>
        <v>#NAME?</v>
      </c>
      <c r="AQ330" s="314" t="e">
        <f t="shared" ca="1" si="246"/>
        <v>#NAME?</v>
      </c>
      <c r="AR330" s="315" t="e">
        <f t="shared" ca="1" si="260"/>
        <v>#NAME?</v>
      </c>
      <c r="AS330" s="316" t="e">
        <f t="shared" ca="1" si="261"/>
        <v>#NAME?</v>
      </c>
      <c r="AT330" s="315" t="e">
        <f t="shared" ca="1" si="262"/>
        <v>#NAME?</v>
      </c>
      <c r="AU330" s="317">
        <v>427.8</v>
      </c>
      <c r="AV330" s="315" t="e">
        <f t="shared" ca="1" si="263"/>
        <v>#NAME?</v>
      </c>
      <c r="AW330" s="318" t="e">
        <f ca="1">0.0001*BicubicInterpolation('Drag Coef Table'!$B$4:$L$28,AV330,AC330)</f>
        <v>#NAME?</v>
      </c>
      <c r="AX330" s="319" t="e">
        <f t="shared" ca="1" si="264"/>
        <v>#NAME?</v>
      </c>
      <c r="AY330" s="318" t="e">
        <f t="shared" ca="1" si="265"/>
        <v>#NAME?</v>
      </c>
      <c r="AZ330" s="320" t="e">
        <f t="shared" ca="1" si="266"/>
        <v>#NAME?</v>
      </c>
      <c r="BA330" s="321" t="e">
        <f t="shared" ca="1" si="267"/>
        <v>#NAME?</v>
      </c>
      <c r="BB330" s="322" t="e">
        <f t="shared" ca="1" si="268"/>
        <v>#NAME?</v>
      </c>
      <c r="BC330" s="323">
        <v>75.196700000000007</v>
      </c>
      <c r="BD330" s="324" t="e">
        <f t="shared" ca="1" si="269"/>
        <v>#NAME?</v>
      </c>
      <c r="BE330" s="325" t="e">
        <f t="shared" ca="1" si="270"/>
        <v>#NAME?</v>
      </c>
      <c r="BF330" s="324" t="e">
        <f ca="1">BicubicInterpolation('TSFC Eff Table'!$B$4:$E$69,2,BB330)</f>
        <v>#NAME?</v>
      </c>
      <c r="BG330" s="326" t="e">
        <f t="shared" ca="1" si="271"/>
        <v>#NAME?</v>
      </c>
      <c r="BH330" s="694" t="e">
        <f ca="1">IF( S330="LRCINOP",   (1+(0.03/10)*Z330*(1+0.2*AC330^2) )*BicubicInterpolation( 'LRC INOP FF'!$C$4:$AA$21, Y330, U330 )-200, IF(S330 ="HOLDINGINOP", (1+(0.03/10)*Z330*(1+0.2*AC330^2) )*BicubicInterpolation( 'Holding INOP FF'!$C$4:$J$13,  Y330,  U330)/1.05-200,   BA330*BG330))</f>
        <v>#NAME?</v>
      </c>
      <c r="BI330" s="344" t="e">
        <f t="shared" ca="1" si="230"/>
        <v>#NAME?</v>
      </c>
      <c r="BJ330" s="322" t="e">
        <f t="shared" ca="1" si="272"/>
        <v>#NAME?</v>
      </c>
      <c r="BK330" s="338" t="e">
        <f t="shared" ca="1" si="231"/>
        <v>#NAME?</v>
      </c>
      <c r="BL330" s="327" t="e">
        <f t="shared" ca="1" si="273"/>
        <v>#NAME?</v>
      </c>
      <c r="BM330" s="328">
        <f t="shared" si="274"/>
        <v>200</v>
      </c>
      <c r="BN330" s="329" t="e">
        <f t="shared" ca="1" si="275"/>
        <v>#NAME?</v>
      </c>
      <c r="BO330" s="344" t="e">
        <f t="shared" ca="1" si="232"/>
        <v>#NAME?</v>
      </c>
      <c r="BP330" s="320" t="e">
        <f t="shared" ca="1" si="276"/>
        <v>#NAME?</v>
      </c>
      <c r="BQ330" s="344" t="e">
        <f t="shared" ca="1" si="233"/>
        <v>#NAME?</v>
      </c>
      <c r="BR330" s="347" t="e">
        <f t="shared" ca="1" si="234"/>
        <v>#NAME?</v>
      </c>
      <c r="BS330" s="326" t="e">
        <f t="shared" ca="1" si="277"/>
        <v>#NAME?</v>
      </c>
      <c r="BT330" s="437" t="e">
        <f t="shared" ca="1" si="247"/>
        <v>#NAME?</v>
      </c>
      <c r="BU330" s="437" t="e">
        <f t="shared" ca="1" si="248"/>
        <v>#NAME?</v>
      </c>
      <c r="BV330" s="441" t="e">
        <f t="shared" ca="1" si="249"/>
        <v>#NAME?</v>
      </c>
      <c r="BW330" s="442" t="e">
        <f t="shared" ca="1" si="250"/>
        <v>#NAME?</v>
      </c>
      <c r="BX330" s="470" t="e">
        <f t="shared" ca="1" si="223"/>
        <v>#NAME?</v>
      </c>
      <c r="BY330" s="484" t="e">
        <f t="shared" ca="1" si="235"/>
        <v>#NAME?</v>
      </c>
    </row>
    <row r="331" spans="9:78" ht="17.75" customHeight="1" x14ac:dyDescent="0.2">
      <c r="I331" s="366">
        <v>247</v>
      </c>
      <c r="J331" s="414">
        <f t="shared" si="236"/>
        <v>41705.884027778338</v>
      </c>
      <c r="K331" s="435" t="e">
        <f t="shared" ca="1" si="237"/>
        <v>#NAME?</v>
      </c>
      <c r="L331" s="435" t="e">
        <f t="shared" ca="1" si="224"/>
        <v>#NAME?</v>
      </c>
      <c r="M331" s="664" t="e">
        <f t="shared" ca="1" si="278"/>
        <v>#NAME?</v>
      </c>
      <c r="N331" s="664" t="e">
        <f t="shared" ca="1" si="279"/>
        <v>#NAME?</v>
      </c>
      <c r="O331" s="140" t="e">
        <f t="shared" ca="1" si="225"/>
        <v>#NAME?</v>
      </c>
      <c r="P331" s="352" t="e">
        <f t="shared" ca="1" si="238"/>
        <v>#NAME?</v>
      </c>
      <c r="Q331" s="665" t="e">
        <f t="shared" ca="1" si="280"/>
        <v>#NAME?</v>
      </c>
      <c r="R331" s="352" t="e">
        <f t="shared" ca="1" si="251"/>
        <v>#NAME?</v>
      </c>
      <c r="S331" s="662" t="e">
        <f t="shared" ca="1" si="226"/>
        <v>#NAME?</v>
      </c>
      <c r="T331" s="443" t="e">
        <f t="shared" ca="1" si="219"/>
        <v>#NAME?</v>
      </c>
      <c r="U331" s="369" t="e">
        <f t="shared" ca="1" si="220"/>
        <v>#NAME?</v>
      </c>
      <c r="V331" s="454" t="e">
        <f t="shared" ca="1" si="227"/>
        <v>#NAME?</v>
      </c>
      <c r="W331" s="457">
        <f t="shared" si="228"/>
        <v>1000</v>
      </c>
      <c r="X331" s="463" t="e">
        <f t="shared" ca="1" si="229"/>
        <v>#NAME?</v>
      </c>
      <c r="Y331" s="455" t="e">
        <f t="shared" ca="1" si="239"/>
        <v>#NAME?</v>
      </c>
      <c r="Z331" s="699">
        <f t="shared" si="221"/>
        <v>8.5</v>
      </c>
      <c r="AA331" s="355" t="str">
        <f t="shared" si="222"/>
        <v>ON</v>
      </c>
      <c r="AB331" s="357">
        <f t="shared" si="252"/>
        <v>1.4999999999999999E-2</v>
      </c>
      <c r="AC331" s="356" t="e">
        <f ca="1">IF(  Y330=0,0,IF(OR(S331="KCAS",S331="INOP",S331="MEFE"),   ( (5*( (   (((1+0.2*(T331/661.4786)^2)^3.5 -1)  )/( (1-6.8755856*10^-6 *100*Y331)^5.2558797) +1)^(2/7) -1) )^0.5),IF(S331="MACH",T331, IF(S331="LRC",BicubicInterpolation( 'LRC Mach'!$C$4:$AL$21, Y331,U331),  IF(S331="MRC",BicubicInterpolation( 'MRC Mach'!$C$3:$T$18, Y331,U331),  IF(S331="M0.84",0.84,  IF(S331="CI52",BicubicInterpolation('CI=52 Mach'!$C$3:$T$18, Y331,U331),  IF(S331="HOLDING",BicubicInterpolation(  'Holding Mach'!$C$4:$M$13, Y331,U331),                         IF(S331="LRCINOP", BicubicInterpolation('LRC INOP Mach'!$C$4:$AA$21,Y331,U331), IF(S331="HOLDINGINOP",  BicubicInterpolation('Holding INOP Mach'!$N$4:$U$13,Y331,U331),         "XXX" )))))))   )))</f>
        <v>#NAME?</v>
      </c>
      <c r="AD331" s="313" t="e">
        <f t="shared" ca="1" si="253"/>
        <v>#NAME?</v>
      </c>
      <c r="AE331" s="314" t="e">
        <f t="shared" ca="1" si="240"/>
        <v>#NAME?</v>
      </c>
      <c r="AF331" s="313" t="e">
        <f t="shared" ca="1" si="254"/>
        <v>#NAME?</v>
      </c>
      <c r="AG331" s="314" t="e">
        <f t="shared" ca="1" si="241"/>
        <v>#NAME?</v>
      </c>
      <c r="AH331" s="313" t="e">
        <f t="shared" ca="1" si="255"/>
        <v>#NAME?</v>
      </c>
      <c r="AI331" s="314" t="e">
        <f t="shared" ca="1" si="242"/>
        <v>#NAME?</v>
      </c>
      <c r="AJ331" s="315" t="e">
        <f t="shared" ca="1" si="243"/>
        <v>#NAME?</v>
      </c>
      <c r="AK331" s="568" t="e">
        <f t="shared" ca="1" si="256"/>
        <v>#NAME?</v>
      </c>
      <c r="AL331" s="313" t="e">
        <f t="shared" ca="1" si="257"/>
        <v>#NAME?</v>
      </c>
      <c r="AM331" s="313" t="e">
        <f t="shared" ca="1" si="244"/>
        <v>#NAME?</v>
      </c>
      <c r="AN331" s="313" t="e">
        <f t="shared" ca="1" si="245"/>
        <v>#NAME?</v>
      </c>
      <c r="AO331" s="316" t="e">
        <f t="shared" ca="1" si="258"/>
        <v>#NAME?</v>
      </c>
      <c r="AP331" s="313" t="e">
        <f t="shared" ca="1" si="259"/>
        <v>#NAME?</v>
      </c>
      <c r="AQ331" s="314" t="e">
        <f t="shared" ca="1" si="246"/>
        <v>#NAME?</v>
      </c>
      <c r="AR331" s="315" t="e">
        <f t="shared" ca="1" si="260"/>
        <v>#NAME?</v>
      </c>
      <c r="AS331" s="316" t="e">
        <f t="shared" ca="1" si="261"/>
        <v>#NAME?</v>
      </c>
      <c r="AT331" s="315" t="e">
        <f t="shared" ca="1" si="262"/>
        <v>#NAME?</v>
      </c>
      <c r="AU331" s="317">
        <v>427.8</v>
      </c>
      <c r="AV331" s="315" t="e">
        <f t="shared" ca="1" si="263"/>
        <v>#NAME?</v>
      </c>
      <c r="AW331" s="318" t="e">
        <f ca="1">0.0001*BicubicInterpolation('Drag Coef Table'!$B$4:$L$28,AV331,AC331)</f>
        <v>#NAME?</v>
      </c>
      <c r="AX331" s="319" t="e">
        <f t="shared" ca="1" si="264"/>
        <v>#NAME?</v>
      </c>
      <c r="AY331" s="318" t="e">
        <f t="shared" ca="1" si="265"/>
        <v>#NAME?</v>
      </c>
      <c r="AZ331" s="320" t="e">
        <f t="shared" ca="1" si="266"/>
        <v>#NAME?</v>
      </c>
      <c r="BA331" s="321" t="e">
        <f t="shared" ca="1" si="267"/>
        <v>#NAME?</v>
      </c>
      <c r="BB331" s="322" t="e">
        <f t="shared" ca="1" si="268"/>
        <v>#NAME?</v>
      </c>
      <c r="BC331" s="323">
        <v>75.196700000000007</v>
      </c>
      <c r="BD331" s="324" t="e">
        <f t="shared" ca="1" si="269"/>
        <v>#NAME?</v>
      </c>
      <c r="BE331" s="325" t="e">
        <f t="shared" ca="1" si="270"/>
        <v>#NAME?</v>
      </c>
      <c r="BF331" s="324" t="e">
        <f ca="1">BicubicInterpolation('TSFC Eff Table'!$B$4:$E$69,2,BB331)</f>
        <v>#NAME?</v>
      </c>
      <c r="BG331" s="326" t="e">
        <f t="shared" ca="1" si="271"/>
        <v>#NAME?</v>
      </c>
      <c r="BH331" s="694" t="e">
        <f ca="1">IF( S331="LRCINOP",   (1+(0.03/10)*Z331*(1+0.2*AC331^2) )*BicubicInterpolation( 'LRC INOP FF'!$C$4:$AA$21, Y331, U331 )-200, IF(S331 ="HOLDINGINOP", (1+(0.03/10)*Z331*(1+0.2*AC331^2) )*BicubicInterpolation( 'Holding INOP FF'!$C$4:$J$13,  Y331,  U331)/1.05-200,   BA331*BG331))</f>
        <v>#NAME?</v>
      </c>
      <c r="BI331" s="344" t="e">
        <f t="shared" ca="1" si="230"/>
        <v>#NAME?</v>
      </c>
      <c r="BJ331" s="322" t="e">
        <f t="shared" ca="1" si="272"/>
        <v>#NAME?</v>
      </c>
      <c r="BK331" s="338" t="e">
        <f t="shared" ca="1" si="231"/>
        <v>#NAME?</v>
      </c>
      <c r="BL331" s="327" t="e">
        <f t="shared" ca="1" si="273"/>
        <v>#NAME?</v>
      </c>
      <c r="BM331" s="328">
        <f t="shared" si="274"/>
        <v>200</v>
      </c>
      <c r="BN331" s="329" t="e">
        <f t="shared" ca="1" si="275"/>
        <v>#NAME?</v>
      </c>
      <c r="BO331" s="344" t="e">
        <f t="shared" ca="1" si="232"/>
        <v>#NAME?</v>
      </c>
      <c r="BP331" s="320" t="e">
        <f t="shared" ca="1" si="276"/>
        <v>#NAME?</v>
      </c>
      <c r="BQ331" s="344" t="e">
        <f t="shared" ca="1" si="233"/>
        <v>#NAME?</v>
      </c>
      <c r="BR331" s="347" t="e">
        <f t="shared" ca="1" si="234"/>
        <v>#NAME?</v>
      </c>
      <c r="BS331" s="326" t="e">
        <f t="shared" ca="1" si="277"/>
        <v>#NAME?</v>
      </c>
      <c r="BT331" s="437" t="e">
        <f t="shared" ca="1" si="247"/>
        <v>#NAME?</v>
      </c>
      <c r="BU331" s="437" t="e">
        <f t="shared" ca="1" si="248"/>
        <v>#NAME?</v>
      </c>
      <c r="BV331" s="441" t="e">
        <f t="shared" ca="1" si="249"/>
        <v>#NAME?</v>
      </c>
      <c r="BW331" s="442" t="e">
        <f t="shared" ca="1" si="250"/>
        <v>#NAME?</v>
      </c>
      <c r="BX331" s="470" t="e">
        <f t="shared" ca="1" si="223"/>
        <v>#NAME?</v>
      </c>
      <c r="BY331" s="484" t="e">
        <f t="shared" ca="1" si="235"/>
        <v>#NAME?</v>
      </c>
    </row>
    <row r="332" spans="9:78" ht="17.75" customHeight="1" x14ac:dyDescent="0.2">
      <c r="I332" s="366">
        <v>248</v>
      </c>
      <c r="J332" s="414">
        <f t="shared" si="236"/>
        <v>41705.884722222785</v>
      </c>
      <c r="K332" s="435" t="e">
        <f t="shared" ca="1" si="237"/>
        <v>#NAME?</v>
      </c>
      <c r="L332" s="435" t="e">
        <f t="shared" ca="1" si="224"/>
        <v>#NAME?</v>
      </c>
      <c r="M332" s="664" t="e">
        <f t="shared" ca="1" si="278"/>
        <v>#NAME?</v>
      </c>
      <c r="N332" s="664" t="e">
        <f t="shared" ca="1" si="279"/>
        <v>#NAME?</v>
      </c>
      <c r="O332" s="140" t="e">
        <f t="shared" ca="1" si="225"/>
        <v>#NAME?</v>
      </c>
      <c r="P332" s="352" t="e">
        <f t="shared" ca="1" si="238"/>
        <v>#NAME?</v>
      </c>
      <c r="Q332" s="665" t="e">
        <f t="shared" ca="1" si="280"/>
        <v>#NAME?</v>
      </c>
      <c r="R332" s="352" t="e">
        <f t="shared" ca="1" si="251"/>
        <v>#NAME?</v>
      </c>
      <c r="S332" s="662" t="e">
        <f t="shared" ca="1" si="226"/>
        <v>#NAME?</v>
      </c>
      <c r="T332" s="443" t="e">
        <f t="shared" ca="1" si="219"/>
        <v>#NAME?</v>
      </c>
      <c r="U332" s="369" t="e">
        <f t="shared" ca="1" si="220"/>
        <v>#NAME?</v>
      </c>
      <c r="V332" s="454" t="e">
        <f t="shared" ca="1" si="227"/>
        <v>#NAME?</v>
      </c>
      <c r="W332" s="457">
        <f t="shared" si="228"/>
        <v>1000</v>
      </c>
      <c r="X332" s="463" t="e">
        <f t="shared" ca="1" si="229"/>
        <v>#NAME?</v>
      </c>
      <c r="Y332" s="455" t="e">
        <f t="shared" ca="1" si="239"/>
        <v>#NAME?</v>
      </c>
      <c r="Z332" s="699">
        <f t="shared" si="221"/>
        <v>8.5</v>
      </c>
      <c r="AA332" s="355" t="str">
        <f t="shared" si="222"/>
        <v>ON</v>
      </c>
      <c r="AB332" s="357">
        <f t="shared" si="252"/>
        <v>1.4999999999999999E-2</v>
      </c>
      <c r="AC332" s="356" t="e">
        <f ca="1">IF(  Y331=0,0,IF(OR(S332="KCAS",S332="INOP",S332="MEFE"),   ( (5*( (   (((1+0.2*(T332/661.4786)^2)^3.5 -1)  )/( (1-6.8755856*10^-6 *100*Y332)^5.2558797) +1)^(2/7) -1) )^0.5),IF(S332="MACH",T332, IF(S332="LRC",BicubicInterpolation( 'LRC Mach'!$C$4:$AL$21, Y332,U332),  IF(S332="MRC",BicubicInterpolation( 'MRC Mach'!$C$3:$T$18, Y332,U332),  IF(S332="M0.84",0.84,  IF(S332="CI52",BicubicInterpolation('CI=52 Mach'!$C$3:$T$18, Y332,U332),  IF(S332="HOLDING",BicubicInterpolation(  'Holding Mach'!$C$4:$M$13, Y332,U332),                         IF(S332="LRCINOP", BicubicInterpolation('LRC INOP Mach'!$C$4:$AA$21,Y332,U332), IF(S332="HOLDINGINOP",  BicubicInterpolation('Holding INOP Mach'!$N$4:$U$13,Y332,U332),         "XXX" )))))))   )))</f>
        <v>#NAME?</v>
      </c>
      <c r="AD332" s="313" t="e">
        <f t="shared" ca="1" si="253"/>
        <v>#NAME?</v>
      </c>
      <c r="AE332" s="314" t="e">
        <f t="shared" ca="1" si="240"/>
        <v>#NAME?</v>
      </c>
      <c r="AF332" s="313" t="e">
        <f t="shared" ca="1" si="254"/>
        <v>#NAME?</v>
      </c>
      <c r="AG332" s="314" t="e">
        <f t="shared" ca="1" si="241"/>
        <v>#NAME?</v>
      </c>
      <c r="AH332" s="313" t="e">
        <f t="shared" ca="1" si="255"/>
        <v>#NAME?</v>
      </c>
      <c r="AI332" s="314" t="e">
        <f t="shared" ca="1" si="242"/>
        <v>#NAME?</v>
      </c>
      <c r="AJ332" s="315" t="e">
        <f t="shared" ca="1" si="243"/>
        <v>#NAME?</v>
      </c>
      <c r="AK332" s="568" t="e">
        <f t="shared" ca="1" si="256"/>
        <v>#NAME?</v>
      </c>
      <c r="AL332" s="313" t="e">
        <f t="shared" ca="1" si="257"/>
        <v>#NAME?</v>
      </c>
      <c r="AM332" s="313" t="e">
        <f t="shared" ca="1" si="244"/>
        <v>#NAME?</v>
      </c>
      <c r="AN332" s="313" t="e">
        <f t="shared" ca="1" si="245"/>
        <v>#NAME?</v>
      </c>
      <c r="AO332" s="316" t="e">
        <f t="shared" ca="1" si="258"/>
        <v>#NAME?</v>
      </c>
      <c r="AP332" s="313" t="e">
        <f t="shared" ca="1" si="259"/>
        <v>#NAME?</v>
      </c>
      <c r="AQ332" s="314" t="e">
        <f t="shared" ca="1" si="246"/>
        <v>#NAME?</v>
      </c>
      <c r="AR332" s="315" t="e">
        <f t="shared" ca="1" si="260"/>
        <v>#NAME?</v>
      </c>
      <c r="AS332" s="316" t="e">
        <f t="shared" ca="1" si="261"/>
        <v>#NAME?</v>
      </c>
      <c r="AT332" s="315" t="e">
        <f t="shared" ca="1" si="262"/>
        <v>#NAME?</v>
      </c>
      <c r="AU332" s="317">
        <v>427.8</v>
      </c>
      <c r="AV332" s="315" t="e">
        <f t="shared" ca="1" si="263"/>
        <v>#NAME?</v>
      </c>
      <c r="AW332" s="318" t="e">
        <f ca="1">0.0001*BicubicInterpolation('Drag Coef Table'!$B$4:$L$28,AV332,AC332)</f>
        <v>#NAME?</v>
      </c>
      <c r="AX332" s="319" t="e">
        <f t="shared" ca="1" si="264"/>
        <v>#NAME?</v>
      </c>
      <c r="AY332" s="318" t="e">
        <f t="shared" ca="1" si="265"/>
        <v>#NAME?</v>
      </c>
      <c r="AZ332" s="320" t="e">
        <f t="shared" ca="1" si="266"/>
        <v>#NAME?</v>
      </c>
      <c r="BA332" s="321" t="e">
        <f t="shared" ca="1" si="267"/>
        <v>#NAME?</v>
      </c>
      <c r="BB332" s="322" t="e">
        <f t="shared" ca="1" si="268"/>
        <v>#NAME?</v>
      </c>
      <c r="BC332" s="323">
        <v>75.196700000000007</v>
      </c>
      <c r="BD332" s="324" t="e">
        <f t="shared" ca="1" si="269"/>
        <v>#NAME?</v>
      </c>
      <c r="BE332" s="325" t="e">
        <f t="shared" ca="1" si="270"/>
        <v>#NAME?</v>
      </c>
      <c r="BF332" s="324" t="e">
        <f ca="1">BicubicInterpolation('TSFC Eff Table'!$B$4:$E$69,2,BB332)</f>
        <v>#NAME?</v>
      </c>
      <c r="BG332" s="326" t="e">
        <f t="shared" ca="1" si="271"/>
        <v>#NAME?</v>
      </c>
      <c r="BH332" s="694" t="e">
        <f ca="1">IF( S332="LRCINOP",   (1+(0.03/10)*Z332*(1+0.2*AC332^2) )*BicubicInterpolation( 'LRC INOP FF'!$C$4:$AA$21, Y332, U332 )-200, IF(S332 ="HOLDINGINOP", (1+(0.03/10)*Z332*(1+0.2*AC332^2) )*BicubicInterpolation( 'Holding INOP FF'!$C$4:$J$13,  Y332,  U332)/1.05-200,   BA332*BG332))</f>
        <v>#NAME?</v>
      </c>
      <c r="BI332" s="344" t="e">
        <f t="shared" ca="1" si="230"/>
        <v>#NAME?</v>
      </c>
      <c r="BJ332" s="322" t="e">
        <f t="shared" ca="1" si="272"/>
        <v>#NAME?</v>
      </c>
      <c r="BK332" s="338" t="e">
        <f t="shared" ca="1" si="231"/>
        <v>#NAME?</v>
      </c>
      <c r="BL332" s="327" t="e">
        <f t="shared" ca="1" si="273"/>
        <v>#NAME?</v>
      </c>
      <c r="BM332" s="328">
        <f t="shared" si="274"/>
        <v>200</v>
      </c>
      <c r="BN332" s="329" t="e">
        <f t="shared" ca="1" si="275"/>
        <v>#NAME?</v>
      </c>
      <c r="BO332" s="344" t="e">
        <f t="shared" ca="1" si="232"/>
        <v>#NAME?</v>
      </c>
      <c r="BP332" s="320" t="e">
        <f t="shared" ca="1" si="276"/>
        <v>#NAME?</v>
      </c>
      <c r="BQ332" s="344" t="e">
        <f t="shared" ca="1" si="233"/>
        <v>#NAME?</v>
      </c>
      <c r="BR332" s="347" t="e">
        <f t="shared" ca="1" si="234"/>
        <v>#NAME?</v>
      </c>
      <c r="BS332" s="326" t="e">
        <f t="shared" ca="1" si="277"/>
        <v>#NAME?</v>
      </c>
      <c r="BT332" s="437" t="e">
        <f t="shared" ca="1" si="247"/>
        <v>#NAME?</v>
      </c>
      <c r="BU332" s="437" t="e">
        <f t="shared" ca="1" si="248"/>
        <v>#NAME?</v>
      </c>
      <c r="BV332" s="441" t="e">
        <f t="shared" ca="1" si="249"/>
        <v>#NAME?</v>
      </c>
      <c r="BW332" s="442" t="e">
        <f t="shared" ca="1" si="250"/>
        <v>#NAME?</v>
      </c>
      <c r="BX332" s="470" t="e">
        <f t="shared" ca="1" si="223"/>
        <v>#NAME?</v>
      </c>
      <c r="BY332" s="484" t="e">
        <f t="shared" ca="1" si="235"/>
        <v>#NAME?</v>
      </c>
    </row>
    <row r="333" spans="9:78" ht="17.75" customHeight="1" x14ac:dyDescent="0.2">
      <c r="I333" s="366">
        <v>249</v>
      </c>
      <c r="J333" s="414">
        <f t="shared" si="236"/>
        <v>41705.885416667232</v>
      </c>
      <c r="K333" s="435" t="e">
        <f t="shared" ca="1" si="237"/>
        <v>#NAME?</v>
      </c>
      <c r="L333" s="435" t="e">
        <f t="shared" ca="1" si="224"/>
        <v>#NAME?</v>
      </c>
      <c r="M333" s="664" t="e">
        <f t="shared" ca="1" si="278"/>
        <v>#NAME?</v>
      </c>
      <c r="N333" s="664" t="e">
        <f t="shared" ca="1" si="279"/>
        <v>#NAME?</v>
      </c>
      <c r="O333" s="140" t="e">
        <f t="shared" ca="1" si="225"/>
        <v>#NAME?</v>
      </c>
      <c r="P333" s="352" t="e">
        <f t="shared" ca="1" si="238"/>
        <v>#NAME?</v>
      </c>
      <c r="Q333" s="665" t="e">
        <f t="shared" ca="1" si="280"/>
        <v>#NAME?</v>
      </c>
      <c r="R333" s="352" t="e">
        <f t="shared" ca="1" si="251"/>
        <v>#NAME?</v>
      </c>
      <c r="S333" s="662" t="e">
        <f t="shared" ca="1" si="226"/>
        <v>#NAME?</v>
      </c>
      <c r="T333" s="443" t="e">
        <f t="shared" ca="1" si="219"/>
        <v>#NAME?</v>
      </c>
      <c r="U333" s="369" t="e">
        <f t="shared" ca="1" si="220"/>
        <v>#NAME?</v>
      </c>
      <c r="V333" s="454" t="e">
        <f t="shared" ca="1" si="227"/>
        <v>#NAME?</v>
      </c>
      <c r="W333" s="457">
        <f t="shared" si="228"/>
        <v>1000</v>
      </c>
      <c r="X333" s="463" t="e">
        <f t="shared" ca="1" si="229"/>
        <v>#NAME?</v>
      </c>
      <c r="Y333" s="455" t="e">
        <f t="shared" ca="1" si="239"/>
        <v>#NAME?</v>
      </c>
      <c r="Z333" s="699">
        <f t="shared" si="221"/>
        <v>8.5</v>
      </c>
      <c r="AA333" s="355" t="str">
        <f t="shared" si="222"/>
        <v>ON</v>
      </c>
      <c r="AB333" s="357">
        <f t="shared" si="252"/>
        <v>1.4999999999999999E-2</v>
      </c>
      <c r="AC333" s="356" t="e">
        <f ca="1">IF(  Y332=0,0,IF(OR(S333="KCAS",S333="INOP",S333="MEFE"),   ( (5*( (   (((1+0.2*(T333/661.4786)^2)^3.5 -1)  )/( (1-6.8755856*10^-6 *100*Y333)^5.2558797) +1)^(2/7) -1) )^0.5),IF(S333="MACH",T333, IF(S333="LRC",BicubicInterpolation( 'LRC Mach'!$C$4:$AL$21, Y333,U333),  IF(S333="MRC",BicubicInterpolation( 'MRC Mach'!$C$3:$T$18, Y333,U333),  IF(S333="M0.84",0.84,  IF(S333="CI52",BicubicInterpolation('CI=52 Mach'!$C$3:$T$18, Y333,U333),  IF(S333="HOLDING",BicubicInterpolation(  'Holding Mach'!$C$4:$M$13, Y333,U333),                         IF(S333="LRCINOP", BicubicInterpolation('LRC INOP Mach'!$C$4:$AA$21,Y333,U333), IF(S333="HOLDINGINOP",  BicubicInterpolation('Holding INOP Mach'!$N$4:$U$13,Y333,U333),         "XXX" )))))))   )))</f>
        <v>#NAME?</v>
      </c>
      <c r="AD333" s="313" t="e">
        <f t="shared" ca="1" si="253"/>
        <v>#NAME?</v>
      </c>
      <c r="AE333" s="314" t="e">
        <f t="shared" ca="1" si="240"/>
        <v>#NAME?</v>
      </c>
      <c r="AF333" s="313" t="e">
        <f t="shared" ca="1" si="254"/>
        <v>#NAME?</v>
      </c>
      <c r="AG333" s="314" t="e">
        <f t="shared" ca="1" si="241"/>
        <v>#NAME?</v>
      </c>
      <c r="AH333" s="313" t="e">
        <f t="shared" ca="1" si="255"/>
        <v>#NAME?</v>
      </c>
      <c r="AI333" s="314" t="e">
        <f t="shared" ca="1" si="242"/>
        <v>#NAME?</v>
      </c>
      <c r="AJ333" s="315" t="e">
        <f t="shared" ca="1" si="243"/>
        <v>#NAME?</v>
      </c>
      <c r="AK333" s="568" t="e">
        <f t="shared" ca="1" si="256"/>
        <v>#NAME?</v>
      </c>
      <c r="AL333" s="313" t="e">
        <f t="shared" ca="1" si="257"/>
        <v>#NAME?</v>
      </c>
      <c r="AM333" s="313" t="e">
        <f t="shared" ca="1" si="244"/>
        <v>#NAME?</v>
      </c>
      <c r="AN333" s="313" t="e">
        <f t="shared" ca="1" si="245"/>
        <v>#NAME?</v>
      </c>
      <c r="AO333" s="316" t="e">
        <f t="shared" ca="1" si="258"/>
        <v>#NAME?</v>
      </c>
      <c r="AP333" s="313" t="e">
        <f t="shared" ca="1" si="259"/>
        <v>#NAME?</v>
      </c>
      <c r="AQ333" s="314" t="e">
        <f t="shared" ca="1" si="246"/>
        <v>#NAME?</v>
      </c>
      <c r="AR333" s="315" t="e">
        <f t="shared" ca="1" si="260"/>
        <v>#NAME?</v>
      </c>
      <c r="AS333" s="316" t="e">
        <f t="shared" ca="1" si="261"/>
        <v>#NAME?</v>
      </c>
      <c r="AT333" s="315" t="e">
        <f t="shared" ca="1" si="262"/>
        <v>#NAME?</v>
      </c>
      <c r="AU333" s="317">
        <v>427.8</v>
      </c>
      <c r="AV333" s="315" t="e">
        <f t="shared" ca="1" si="263"/>
        <v>#NAME?</v>
      </c>
      <c r="AW333" s="318" t="e">
        <f ca="1">0.0001*BicubicInterpolation('Drag Coef Table'!$B$4:$L$28,AV333,AC333)</f>
        <v>#NAME?</v>
      </c>
      <c r="AX333" s="319" t="e">
        <f t="shared" ca="1" si="264"/>
        <v>#NAME?</v>
      </c>
      <c r="AY333" s="318" t="e">
        <f t="shared" ca="1" si="265"/>
        <v>#NAME?</v>
      </c>
      <c r="AZ333" s="320" t="e">
        <f t="shared" ca="1" si="266"/>
        <v>#NAME?</v>
      </c>
      <c r="BA333" s="321" t="e">
        <f t="shared" ca="1" si="267"/>
        <v>#NAME?</v>
      </c>
      <c r="BB333" s="322" t="e">
        <f t="shared" ca="1" si="268"/>
        <v>#NAME?</v>
      </c>
      <c r="BC333" s="323">
        <v>75.196700000000007</v>
      </c>
      <c r="BD333" s="324" t="e">
        <f t="shared" ca="1" si="269"/>
        <v>#NAME?</v>
      </c>
      <c r="BE333" s="325" t="e">
        <f t="shared" ca="1" si="270"/>
        <v>#NAME?</v>
      </c>
      <c r="BF333" s="324" t="e">
        <f ca="1">BicubicInterpolation('TSFC Eff Table'!$B$4:$E$69,2,BB333)</f>
        <v>#NAME?</v>
      </c>
      <c r="BG333" s="326" t="e">
        <f t="shared" ca="1" si="271"/>
        <v>#NAME?</v>
      </c>
      <c r="BH333" s="694" t="e">
        <f ca="1">IF( S333="LRCINOP",   (1+(0.03/10)*Z333*(1+0.2*AC333^2) )*BicubicInterpolation( 'LRC INOP FF'!$C$4:$AA$21, Y333, U333 )-200, IF(S333 ="HOLDINGINOP", (1+(0.03/10)*Z333*(1+0.2*AC333^2) )*BicubicInterpolation( 'Holding INOP FF'!$C$4:$J$13,  Y333,  U333)/1.05-200,   BA333*BG333))</f>
        <v>#NAME?</v>
      </c>
      <c r="BI333" s="344" t="e">
        <f t="shared" ca="1" si="230"/>
        <v>#NAME?</v>
      </c>
      <c r="BJ333" s="322" t="e">
        <f t="shared" ca="1" si="272"/>
        <v>#NAME?</v>
      </c>
      <c r="BK333" s="338" t="e">
        <f t="shared" ca="1" si="231"/>
        <v>#NAME?</v>
      </c>
      <c r="BL333" s="327" t="e">
        <f t="shared" ca="1" si="273"/>
        <v>#NAME?</v>
      </c>
      <c r="BM333" s="328">
        <f t="shared" si="274"/>
        <v>200</v>
      </c>
      <c r="BN333" s="329" t="e">
        <f t="shared" ca="1" si="275"/>
        <v>#NAME?</v>
      </c>
      <c r="BO333" s="344" t="e">
        <f t="shared" ca="1" si="232"/>
        <v>#NAME?</v>
      </c>
      <c r="BP333" s="320" t="e">
        <f t="shared" ca="1" si="276"/>
        <v>#NAME?</v>
      </c>
      <c r="BQ333" s="344" t="e">
        <f t="shared" ca="1" si="233"/>
        <v>#NAME?</v>
      </c>
      <c r="BR333" s="347" t="e">
        <f t="shared" ca="1" si="234"/>
        <v>#NAME?</v>
      </c>
      <c r="BS333" s="326" t="e">
        <f t="shared" ca="1" si="277"/>
        <v>#NAME?</v>
      </c>
      <c r="BT333" s="437" t="e">
        <f t="shared" ca="1" si="247"/>
        <v>#NAME?</v>
      </c>
      <c r="BU333" s="437" t="e">
        <f t="shared" ca="1" si="248"/>
        <v>#NAME?</v>
      </c>
      <c r="BV333" s="441" t="e">
        <f t="shared" ca="1" si="249"/>
        <v>#NAME?</v>
      </c>
      <c r="BW333" s="442" t="e">
        <f t="shared" ca="1" si="250"/>
        <v>#NAME?</v>
      </c>
      <c r="BX333" s="470" t="e">
        <f t="shared" ca="1" si="223"/>
        <v>#NAME?</v>
      </c>
      <c r="BY333" s="484" t="e">
        <f t="shared" ca="1" si="235"/>
        <v>#NAME?</v>
      </c>
    </row>
    <row r="334" spans="9:78" ht="17.75" customHeight="1" x14ac:dyDescent="0.2">
      <c r="I334" s="366">
        <v>250</v>
      </c>
      <c r="J334" s="414">
        <f t="shared" si="236"/>
        <v>41705.886111111678</v>
      </c>
      <c r="K334" s="435" t="e">
        <f t="shared" ca="1" si="237"/>
        <v>#NAME?</v>
      </c>
      <c r="L334" s="435" t="e">
        <f t="shared" ca="1" si="224"/>
        <v>#NAME?</v>
      </c>
      <c r="M334" s="664" t="e">
        <f t="shared" ca="1" si="278"/>
        <v>#NAME?</v>
      </c>
      <c r="N334" s="664" t="e">
        <f t="shared" ca="1" si="279"/>
        <v>#NAME?</v>
      </c>
      <c r="O334" s="140" t="e">
        <f t="shared" ca="1" si="225"/>
        <v>#NAME?</v>
      </c>
      <c r="P334" s="352" t="e">
        <f t="shared" ca="1" si="238"/>
        <v>#NAME?</v>
      </c>
      <c r="Q334" s="665" t="e">
        <f t="shared" ca="1" si="280"/>
        <v>#NAME?</v>
      </c>
      <c r="R334" s="352" t="e">
        <f t="shared" ca="1" si="251"/>
        <v>#NAME?</v>
      </c>
      <c r="S334" s="662" t="e">
        <f t="shared" ca="1" si="226"/>
        <v>#NAME?</v>
      </c>
      <c r="T334" s="443" t="e">
        <f t="shared" ca="1" si="219"/>
        <v>#NAME?</v>
      </c>
      <c r="U334" s="369" t="e">
        <f t="shared" ca="1" si="220"/>
        <v>#NAME?</v>
      </c>
      <c r="V334" s="454" t="e">
        <f t="shared" ca="1" si="227"/>
        <v>#NAME?</v>
      </c>
      <c r="W334" s="457">
        <f t="shared" si="228"/>
        <v>1000</v>
      </c>
      <c r="X334" s="463" t="e">
        <f t="shared" ca="1" si="229"/>
        <v>#NAME?</v>
      </c>
      <c r="Y334" s="455" t="e">
        <f t="shared" ca="1" si="239"/>
        <v>#NAME?</v>
      </c>
      <c r="Z334" s="699">
        <f t="shared" si="221"/>
        <v>8.5</v>
      </c>
      <c r="AA334" s="355" t="str">
        <f t="shared" si="222"/>
        <v>ON</v>
      </c>
      <c r="AB334" s="357">
        <f t="shared" si="252"/>
        <v>1.4999999999999999E-2</v>
      </c>
      <c r="AC334" s="356" t="e">
        <f ca="1">IF(  Y333=0,0,IF(OR(S334="KCAS",S334="INOP",S334="MEFE"),   ( (5*( (   (((1+0.2*(T334/661.4786)^2)^3.5 -1)  )/( (1-6.8755856*10^-6 *100*Y334)^5.2558797) +1)^(2/7) -1) )^0.5),IF(S334="MACH",T334, IF(S334="LRC",BicubicInterpolation( 'LRC Mach'!$C$4:$AL$21, Y334,U334),  IF(S334="MRC",BicubicInterpolation( 'MRC Mach'!$C$3:$T$18, Y334,U334),  IF(S334="M0.84",0.84,  IF(S334="CI52",BicubicInterpolation('CI=52 Mach'!$C$3:$T$18, Y334,U334),  IF(S334="HOLDING",BicubicInterpolation(  'Holding Mach'!$C$4:$M$13, Y334,U334),                         IF(S334="LRCINOP", BicubicInterpolation('LRC INOP Mach'!$C$4:$AA$21,Y334,U334), IF(S334="HOLDINGINOP",  BicubicInterpolation('Holding INOP Mach'!$N$4:$U$13,Y334,U334),         "XXX" )))))))   )))</f>
        <v>#NAME?</v>
      </c>
      <c r="AD334" s="313" t="e">
        <f t="shared" ca="1" si="253"/>
        <v>#NAME?</v>
      </c>
      <c r="AE334" s="314" t="e">
        <f t="shared" ca="1" si="240"/>
        <v>#NAME?</v>
      </c>
      <c r="AF334" s="313" t="e">
        <f t="shared" ca="1" si="254"/>
        <v>#NAME?</v>
      </c>
      <c r="AG334" s="314" t="e">
        <f t="shared" ca="1" si="241"/>
        <v>#NAME?</v>
      </c>
      <c r="AH334" s="313" t="e">
        <f t="shared" ca="1" si="255"/>
        <v>#NAME?</v>
      </c>
      <c r="AI334" s="314" t="e">
        <f t="shared" ca="1" si="242"/>
        <v>#NAME?</v>
      </c>
      <c r="AJ334" s="315" t="e">
        <f t="shared" ca="1" si="243"/>
        <v>#NAME?</v>
      </c>
      <c r="AK334" s="568" t="e">
        <f t="shared" ca="1" si="256"/>
        <v>#NAME?</v>
      </c>
      <c r="AL334" s="313" t="e">
        <f t="shared" ca="1" si="257"/>
        <v>#NAME?</v>
      </c>
      <c r="AM334" s="313" t="e">
        <f t="shared" ca="1" si="244"/>
        <v>#NAME?</v>
      </c>
      <c r="AN334" s="313" t="e">
        <f t="shared" ca="1" si="245"/>
        <v>#NAME?</v>
      </c>
      <c r="AO334" s="316" t="e">
        <f t="shared" ca="1" si="258"/>
        <v>#NAME?</v>
      </c>
      <c r="AP334" s="313" t="e">
        <f t="shared" ca="1" si="259"/>
        <v>#NAME?</v>
      </c>
      <c r="AQ334" s="314" t="e">
        <f t="shared" ca="1" si="246"/>
        <v>#NAME?</v>
      </c>
      <c r="AR334" s="315" t="e">
        <f t="shared" ca="1" si="260"/>
        <v>#NAME?</v>
      </c>
      <c r="AS334" s="316" t="e">
        <f t="shared" ca="1" si="261"/>
        <v>#NAME?</v>
      </c>
      <c r="AT334" s="315" t="e">
        <f t="shared" ca="1" si="262"/>
        <v>#NAME?</v>
      </c>
      <c r="AU334" s="317">
        <v>427.8</v>
      </c>
      <c r="AV334" s="315" t="e">
        <f t="shared" ca="1" si="263"/>
        <v>#NAME?</v>
      </c>
      <c r="AW334" s="318" t="e">
        <f ca="1">0.0001*BicubicInterpolation('Drag Coef Table'!$B$4:$L$28,AV334,AC334)</f>
        <v>#NAME?</v>
      </c>
      <c r="AX334" s="319" t="e">
        <f t="shared" ca="1" si="264"/>
        <v>#NAME?</v>
      </c>
      <c r="AY334" s="318" t="e">
        <f t="shared" ca="1" si="265"/>
        <v>#NAME?</v>
      </c>
      <c r="AZ334" s="320" t="e">
        <f t="shared" ca="1" si="266"/>
        <v>#NAME?</v>
      </c>
      <c r="BA334" s="321" t="e">
        <f t="shared" ca="1" si="267"/>
        <v>#NAME?</v>
      </c>
      <c r="BB334" s="322" t="e">
        <f t="shared" ca="1" si="268"/>
        <v>#NAME?</v>
      </c>
      <c r="BC334" s="323">
        <v>75.196700000000007</v>
      </c>
      <c r="BD334" s="324" t="e">
        <f t="shared" ca="1" si="269"/>
        <v>#NAME?</v>
      </c>
      <c r="BE334" s="325" t="e">
        <f t="shared" ca="1" si="270"/>
        <v>#NAME?</v>
      </c>
      <c r="BF334" s="324" t="e">
        <f ca="1">BicubicInterpolation('TSFC Eff Table'!$B$4:$E$69,2,BB334)</f>
        <v>#NAME?</v>
      </c>
      <c r="BG334" s="326" t="e">
        <f t="shared" ca="1" si="271"/>
        <v>#NAME?</v>
      </c>
      <c r="BH334" s="694" t="e">
        <f ca="1">IF( S334="LRCINOP",   (1+(0.03/10)*Z334*(1+0.2*AC334^2) )*BicubicInterpolation( 'LRC INOP FF'!$C$4:$AA$21, Y334, U334 )-200, IF(S334 ="HOLDINGINOP", (1+(0.03/10)*Z334*(1+0.2*AC334^2) )*BicubicInterpolation( 'Holding INOP FF'!$C$4:$J$13,  Y334,  U334)/1.05-200,   BA334*BG334))</f>
        <v>#NAME?</v>
      </c>
      <c r="BI334" s="344" t="e">
        <f t="shared" ca="1" si="230"/>
        <v>#NAME?</v>
      </c>
      <c r="BJ334" s="322" t="e">
        <f t="shared" ca="1" si="272"/>
        <v>#NAME?</v>
      </c>
      <c r="BK334" s="338" t="e">
        <f t="shared" ca="1" si="231"/>
        <v>#NAME?</v>
      </c>
      <c r="BL334" s="327" t="e">
        <f t="shared" ca="1" si="273"/>
        <v>#NAME?</v>
      </c>
      <c r="BM334" s="328">
        <f t="shared" si="274"/>
        <v>200</v>
      </c>
      <c r="BN334" s="329" t="e">
        <f t="shared" ca="1" si="275"/>
        <v>#NAME?</v>
      </c>
      <c r="BO334" s="344" t="e">
        <f t="shared" ca="1" si="232"/>
        <v>#NAME?</v>
      </c>
      <c r="BP334" s="320" t="e">
        <f t="shared" ca="1" si="276"/>
        <v>#NAME?</v>
      </c>
      <c r="BQ334" s="344" t="e">
        <f t="shared" ca="1" si="233"/>
        <v>#NAME?</v>
      </c>
      <c r="BR334" s="347" t="e">
        <f t="shared" ca="1" si="234"/>
        <v>#NAME?</v>
      </c>
      <c r="BS334" s="326" t="e">
        <f t="shared" ca="1" si="277"/>
        <v>#NAME?</v>
      </c>
      <c r="BT334" s="437" t="e">
        <f t="shared" ca="1" si="247"/>
        <v>#NAME?</v>
      </c>
      <c r="BU334" s="437" t="e">
        <f t="shared" ca="1" si="248"/>
        <v>#NAME?</v>
      </c>
      <c r="BV334" s="441" t="e">
        <f t="shared" ca="1" si="249"/>
        <v>#NAME?</v>
      </c>
      <c r="BW334" s="442" t="e">
        <f t="shared" ca="1" si="250"/>
        <v>#NAME?</v>
      </c>
      <c r="BX334" s="470" t="e">
        <f t="shared" ca="1" si="223"/>
        <v>#NAME?</v>
      </c>
      <c r="BY334" s="484" t="e">
        <f t="shared" ca="1" si="235"/>
        <v>#NAME?</v>
      </c>
    </row>
    <row r="335" spans="9:78" ht="17.75" customHeight="1" x14ac:dyDescent="0.2">
      <c r="I335" s="366">
        <v>251</v>
      </c>
      <c r="J335" s="414">
        <f t="shared" si="236"/>
        <v>41705.886805556125</v>
      </c>
      <c r="K335" s="435" t="e">
        <f t="shared" ca="1" si="237"/>
        <v>#NAME?</v>
      </c>
      <c r="L335" s="435" t="e">
        <f t="shared" ca="1" si="224"/>
        <v>#NAME?</v>
      </c>
      <c r="M335" s="664" t="e">
        <f t="shared" ca="1" si="278"/>
        <v>#NAME?</v>
      </c>
      <c r="N335" s="664" t="e">
        <f t="shared" ca="1" si="279"/>
        <v>#NAME?</v>
      </c>
      <c r="O335" s="140" t="e">
        <f t="shared" ca="1" si="225"/>
        <v>#NAME?</v>
      </c>
      <c r="P335" s="352" t="e">
        <f t="shared" ca="1" si="238"/>
        <v>#NAME?</v>
      </c>
      <c r="Q335" s="665" t="e">
        <f t="shared" ca="1" si="280"/>
        <v>#NAME?</v>
      </c>
      <c r="R335" s="352" t="e">
        <f t="shared" ca="1" si="251"/>
        <v>#NAME?</v>
      </c>
      <c r="S335" s="662" t="e">
        <f t="shared" ca="1" si="226"/>
        <v>#NAME?</v>
      </c>
      <c r="T335" s="443" t="e">
        <f t="shared" ca="1" si="219"/>
        <v>#NAME?</v>
      </c>
      <c r="U335" s="369" t="e">
        <f t="shared" ca="1" si="220"/>
        <v>#NAME?</v>
      </c>
      <c r="V335" s="454" t="e">
        <f t="shared" ca="1" si="227"/>
        <v>#NAME?</v>
      </c>
      <c r="W335" s="457">
        <f t="shared" si="228"/>
        <v>1000</v>
      </c>
      <c r="X335" s="463" t="e">
        <f t="shared" ca="1" si="229"/>
        <v>#NAME?</v>
      </c>
      <c r="Y335" s="455" t="e">
        <f t="shared" ca="1" si="239"/>
        <v>#NAME?</v>
      </c>
      <c r="Z335" s="699">
        <f t="shared" si="221"/>
        <v>8.5</v>
      </c>
      <c r="AA335" s="355" t="str">
        <f t="shared" si="222"/>
        <v>ON</v>
      </c>
      <c r="AB335" s="357">
        <f t="shared" si="252"/>
        <v>1.4999999999999999E-2</v>
      </c>
      <c r="AC335" s="356" t="e">
        <f ca="1">IF(  Y334=0,0,IF(OR(S335="KCAS",S335="INOP",S335="MEFE"),   ( (5*( (   (((1+0.2*(T335/661.4786)^2)^3.5 -1)  )/( (1-6.8755856*10^-6 *100*Y335)^5.2558797) +1)^(2/7) -1) )^0.5),IF(S335="MACH",T335, IF(S335="LRC",BicubicInterpolation( 'LRC Mach'!$C$4:$AL$21, Y335,U335),  IF(S335="MRC",BicubicInterpolation( 'MRC Mach'!$C$3:$T$18, Y335,U335),  IF(S335="M0.84",0.84,  IF(S335="CI52",BicubicInterpolation('CI=52 Mach'!$C$3:$T$18, Y335,U335),  IF(S335="HOLDING",BicubicInterpolation(  'Holding Mach'!$C$4:$M$13, Y335,U335),                         IF(S335="LRCINOP", BicubicInterpolation('LRC INOP Mach'!$C$4:$AA$21,Y335,U335), IF(S335="HOLDINGINOP",  BicubicInterpolation('Holding INOP Mach'!$N$4:$U$13,Y335,U335),         "XXX" )))))))   )))</f>
        <v>#NAME?</v>
      </c>
      <c r="AD335" s="313" t="e">
        <f t="shared" ca="1" si="253"/>
        <v>#NAME?</v>
      </c>
      <c r="AE335" s="314" t="e">
        <f t="shared" ca="1" si="240"/>
        <v>#NAME?</v>
      </c>
      <c r="AF335" s="313" t="e">
        <f t="shared" ca="1" si="254"/>
        <v>#NAME?</v>
      </c>
      <c r="AG335" s="314" t="e">
        <f t="shared" ca="1" si="241"/>
        <v>#NAME?</v>
      </c>
      <c r="AH335" s="313" t="e">
        <f t="shared" ca="1" si="255"/>
        <v>#NAME?</v>
      </c>
      <c r="AI335" s="314" t="e">
        <f t="shared" ca="1" si="242"/>
        <v>#NAME?</v>
      </c>
      <c r="AJ335" s="315" t="e">
        <f t="shared" ca="1" si="243"/>
        <v>#NAME?</v>
      </c>
      <c r="AK335" s="568" t="e">
        <f t="shared" ca="1" si="256"/>
        <v>#NAME?</v>
      </c>
      <c r="AL335" s="313" t="e">
        <f t="shared" ca="1" si="257"/>
        <v>#NAME?</v>
      </c>
      <c r="AM335" s="313" t="e">
        <f t="shared" ca="1" si="244"/>
        <v>#NAME?</v>
      </c>
      <c r="AN335" s="313" t="e">
        <f t="shared" ca="1" si="245"/>
        <v>#NAME?</v>
      </c>
      <c r="AO335" s="316" t="e">
        <f t="shared" ca="1" si="258"/>
        <v>#NAME?</v>
      </c>
      <c r="AP335" s="313" t="e">
        <f t="shared" ca="1" si="259"/>
        <v>#NAME?</v>
      </c>
      <c r="AQ335" s="314" t="e">
        <f t="shared" ca="1" si="246"/>
        <v>#NAME?</v>
      </c>
      <c r="AR335" s="315" t="e">
        <f t="shared" ca="1" si="260"/>
        <v>#NAME?</v>
      </c>
      <c r="AS335" s="316" t="e">
        <f t="shared" ca="1" si="261"/>
        <v>#NAME?</v>
      </c>
      <c r="AT335" s="315" t="e">
        <f t="shared" ca="1" si="262"/>
        <v>#NAME?</v>
      </c>
      <c r="AU335" s="317">
        <v>427.8</v>
      </c>
      <c r="AV335" s="315" t="e">
        <f t="shared" ca="1" si="263"/>
        <v>#NAME?</v>
      </c>
      <c r="AW335" s="318" t="e">
        <f ca="1">0.0001*BicubicInterpolation('Drag Coef Table'!$B$4:$L$28,AV335,AC335)</f>
        <v>#NAME?</v>
      </c>
      <c r="AX335" s="319" t="e">
        <f t="shared" ca="1" si="264"/>
        <v>#NAME?</v>
      </c>
      <c r="AY335" s="318" t="e">
        <f t="shared" ca="1" si="265"/>
        <v>#NAME?</v>
      </c>
      <c r="AZ335" s="320" t="e">
        <f t="shared" ca="1" si="266"/>
        <v>#NAME?</v>
      </c>
      <c r="BA335" s="321" t="e">
        <f t="shared" ca="1" si="267"/>
        <v>#NAME?</v>
      </c>
      <c r="BB335" s="322" t="e">
        <f t="shared" ca="1" si="268"/>
        <v>#NAME?</v>
      </c>
      <c r="BC335" s="323">
        <v>75.196700000000007</v>
      </c>
      <c r="BD335" s="324" t="e">
        <f t="shared" ca="1" si="269"/>
        <v>#NAME?</v>
      </c>
      <c r="BE335" s="325" t="e">
        <f t="shared" ca="1" si="270"/>
        <v>#NAME?</v>
      </c>
      <c r="BF335" s="324" t="e">
        <f ca="1">BicubicInterpolation('TSFC Eff Table'!$B$4:$E$69,2,BB335)</f>
        <v>#NAME?</v>
      </c>
      <c r="BG335" s="326" t="e">
        <f t="shared" ca="1" si="271"/>
        <v>#NAME?</v>
      </c>
      <c r="BH335" s="694" t="e">
        <f ca="1">IF( S335="LRCINOP",   (1+(0.03/10)*Z335*(1+0.2*AC335^2) )*BicubicInterpolation( 'LRC INOP FF'!$C$4:$AA$21, Y335, U335 )-200, IF(S335 ="HOLDINGINOP", (1+(0.03/10)*Z335*(1+0.2*AC335^2) )*BicubicInterpolation( 'Holding INOP FF'!$C$4:$J$13,  Y335,  U335)/1.05-200,   BA335*BG335))</f>
        <v>#NAME?</v>
      </c>
      <c r="BI335" s="344" t="e">
        <f t="shared" ca="1" si="230"/>
        <v>#NAME?</v>
      </c>
      <c r="BJ335" s="322" t="e">
        <f t="shared" ca="1" si="272"/>
        <v>#NAME?</v>
      </c>
      <c r="BK335" s="338" t="e">
        <f t="shared" ca="1" si="231"/>
        <v>#NAME?</v>
      </c>
      <c r="BL335" s="327" t="e">
        <f t="shared" ca="1" si="273"/>
        <v>#NAME?</v>
      </c>
      <c r="BM335" s="328">
        <f t="shared" si="274"/>
        <v>200</v>
      </c>
      <c r="BN335" s="329" t="e">
        <f t="shared" ca="1" si="275"/>
        <v>#NAME?</v>
      </c>
      <c r="BO335" s="344" t="e">
        <f t="shared" ca="1" si="232"/>
        <v>#NAME?</v>
      </c>
      <c r="BP335" s="320" t="e">
        <f t="shared" ca="1" si="276"/>
        <v>#NAME?</v>
      </c>
      <c r="BQ335" s="344" t="e">
        <f t="shared" ca="1" si="233"/>
        <v>#NAME?</v>
      </c>
      <c r="BR335" s="347" t="e">
        <f t="shared" ca="1" si="234"/>
        <v>#NAME?</v>
      </c>
      <c r="BS335" s="326" t="e">
        <f t="shared" ca="1" si="277"/>
        <v>#NAME?</v>
      </c>
      <c r="BT335" s="437" t="e">
        <f t="shared" ca="1" si="247"/>
        <v>#NAME?</v>
      </c>
      <c r="BU335" s="437" t="e">
        <f t="shared" ca="1" si="248"/>
        <v>#NAME?</v>
      </c>
      <c r="BV335" s="441" t="e">
        <f t="shared" ca="1" si="249"/>
        <v>#NAME?</v>
      </c>
      <c r="BW335" s="442" t="e">
        <f t="shared" ca="1" si="250"/>
        <v>#NAME?</v>
      </c>
      <c r="BX335" s="470" t="e">
        <f t="shared" ca="1" si="223"/>
        <v>#NAME?</v>
      </c>
      <c r="BY335" s="484" t="e">
        <f t="shared" ca="1" si="235"/>
        <v>#NAME?</v>
      </c>
    </row>
    <row r="336" spans="9:78" ht="17.75" customHeight="1" x14ac:dyDescent="0.2">
      <c r="I336" s="366">
        <v>252</v>
      </c>
      <c r="J336" s="414">
        <f t="shared" si="236"/>
        <v>41705.887500000572</v>
      </c>
      <c r="K336" s="435" t="e">
        <f t="shared" ca="1" si="237"/>
        <v>#NAME?</v>
      </c>
      <c r="L336" s="435" t="e">
        <f t="shared" ca="1" si="224"/>
        <v>#NAME?</v>
      </c>
      <c r="M336" s="664" t="e">
        <f t="shared" ca="1" si="278"/>
        <v>#NAME?</v>
      </c>
      <c r="N336" s="664" t="e">
        <f t="shared" ca="1" si="279"/>
        <v>#NAME?</v>
      </c>
      <c r="O336" s="140" t="e">
        <f t="shared" ca="1" si="225"/>
        <v>#NAME?</v>
      </c>
      <c r="P336" s="352" t="e">
        <f t="shared" ca="1" si="238"/>
        <v>#NAME?</v>
      </c>
      <c r="Q336" s="665" t="e">
        <f t="shared" ca="1" si="280"/>
        <v>#NAME?</v>
      </c>
      <c r="R336" s="352" t="e">
        <f t="shared" ca="1" si="251"/>
        <v>#NAME?</v>
      </c>
      <c r="S336" s="662" t="e">
        <f t="shared" ca="1" si="226"/>
        <v>#NAME?</v>
      </c>
      <c r="T336" s="443" t="e">
        <f t="shared" ca="1" si="219"/>
        <v>#NAME?</v>
      </c>
      <c r="U336" s="369" t="e">
        <f t="shared" ca="1" si="220"/>
        <v>#NAME?</v>
      </c>
      <c r="V336" s="454" t="e">
        <f t="shared" ca="1" si="227"/>
        <v>#NAME?</v>
      </c>
      <c r="W336" s="457">
        <f t="shared" si="228"/>
        <v>1000</v>
      </c>
      <c r="X336" s="463" t="e">
        <f t="shared" ca="1" si="229"/>
        <v>#NAME?</v>
      </c>
      <c r="Y336" s="455" t="e">
        <f t="shared" ca="1" si="239"/>
        <v>#NAME?</v>
      </c>
      <c r="Z336" s="699">
        <f t="shared" si="221"/>
        <v>8.5</v>
      </c>
      <c r="AA336" s="355" t="str">
        <f t="shared" si="222"/>
        <v>ON</v>
      </c>
      <c r="AB336" s="357">
        <f t="shared" si="252"/>
        <v>1.4999999999999999E-2</v>
      </c>
      <c r="AC336" s="356" t="e">
        <f ca="1">IF(  Y335=0,0,IF(OR(S336="KCAS",S336="INOP",S336="MEFE"),   ( (5*( (   (((1+0.2*(T336/661.4786)^2)^3.5 -1)  )/( (1-6.8755856*10^-6 *100*Y336)^5.2558797) +1)^(2/7) -1) )^0.5),IF(S336="MACH",T336, IF(S336="LRC",BicubicInterpolation( 'LRC Mach'!$C$4:$AL$21, Y336,U336),  IF(S336="MRC",BicubicInterpolation( 'MRC Mach'!$C$3:$T$18, Y336,U336),  IF(S336="M0.84",0.84,  IF(S336="CI52",BicubicInterpolation('CI=52 Mach'!$C$3:$T$18, Y336,U336),  IF(S336="HOLDING",BicubicInterpolation(  'Holding Mach'!$C$4:$M$13, Y336,U336),                         IF(S336="LRCINOP", BicubicInterpolation('LRC INOP Mach'!$C$4:$AA$21,Y336,U336), IF(S336="HOLDINGINOP",  BicubicInterpolation('Holding INOP Mach'!$N$4:$U$13,Y336,U336),         "XXX" )))))))   )))</f>
        <v>#NAME?</v>
      </c>
      <c r="AD336" s="313" t="e">
        <f t="shared" ca="1" si="253"/>
        <v>#NAME?</v>
      </c>
      <c r="AE336" s="314" t="e">
        <f t="shared" ca="1" si="240"/>
        <v>#NAME?</v>
      </c>
      <c r="AF336" s="313" t="e">
        <f t="shared" ca="1" si="254"/>
        <v>#NAME?</v>
      </c>
      <c r="AG336" s="314" t="e">
        <f t="shared" ca="1" si="241"/>
        <v>#NAME?</v>
      </c>
      <c r="AH336" s="313" t="e">
        <f t="shared" ca="1" si="255"/>
        <v>#NAME?</v>
      </c>
      <c r="AI336" s="314" t="e">
        <f t="shared" ca="1" si="242"/>
        <v>#NAME?</v>
      </c>
      <c r="AJ336" s="315" t="e">
        <f t="shared" ca="1" si="243"/>
        <v>#NAME?</v>
      </c>
      <c r="AK336" s="568" t="e">
        <f t="shared" ca="1" si="256"/>
        <v>#NAME?</v>
      </c>
      <c r="AL336" s="313" t="e">
        <f t="shared" ca="1" si="257"/>
        <v>#NAME?</v>
      </c>
      <c r="AM336" s="313" t="e">
        <f t="shared" ca="1" si="244"/>
        <v>#NAME?</v>
      </c>
      <c r="AN336" s="313" t="e">
        <f t="shared" ca="1" si="245"/>
        <v>#NAME?</v>
      </c>
      <c r="AO336" s="316" t="e">
        <f t="shared" ca="1" si="258"/>
        <v>#NAME?</v>
      </c>
      <c r="AP336" s="313" t="e">
        <f t="shared" ca="1" si="259"/>
        <v>#NAME?</v>
      </c>
      <c r="AQ336" s="314" t="e">
        <f t="shared" ca="1" si="246"/>
        <v>#NAME?</v>
      </c>
      <c r="AR336" s="315" t="e">
        <f t="shared" ca="1" si="260"/>
        <v>#NAME?</v>
      </c>
      <c r="AS336" s="316" t="e">
        <f t="shared" ca="1" si="261"/>
        <v>#NAME?</v>
      </c>
      <c r="AT336" s="315" t="e">
        <f t="shared" ca="1" si="262"/>
        <v>#NAME?</v>
      </c>
      <c r="AU336" s="317">
        <v>427.8</v>
      </c>
      <c r="AV336" s="315" t="e">
        <f t="shared" ca="1" si="263"/>
        <v>#NAME?</v>
      </c>
      <c r="AW336" s="318" t="e">
        <f ca="1">0.0001*BicubicInterpolation('Drag Coef Table'!$B$4:$L$28,AV336,AC336)</f>
        <v>#NAME?</v>
      </c>
      <c r="AX336" s="319" t="e">
        <f t="shared" ca="1" si="264"/>
        <v>#NAME?</v>
      </c>
      <c r="AY336" s="318" t="e">
        <f t="shared" ca="1" si="265"/>
        <v>#NAME?</v>
      </c>
      <c r="AZ336" s="320" t="e">
        <f t="shared" ca="1" si="266"/>
        <v>#NAME?</v>
      </c>
      <c r="BA336" s="321" t="e">
        <f t="shared" ca="1" si="267"/>
        <v>#NAME?</v>
      </c>
      <c r="BB336" s="322" t="e">
        <f t="shared" ca="1" si="268"/>
        <v>#NAME?</v>
      </c>
      <c r="BC336" s="323">
        <v>75.196700000000007</v>
      </c>
      <c r="BD336" s="324" t="e">
        <f t="shared" ca="1" si="269"/>
        <v>#NAME?</v>
      </c>
      <c r="BE336" s="325" t="e">
        <f t="shared" ca="1" si="270"/>
        <v>#NAME?</v>
      </c>
      <c r="BF336" s="324" t="e">
        <f ca="1">BicubicInterpolation('TSFC Eff Table'!$B$4:$E$69,2,BB336)</f>
        <v>#NAME?</v>
      </c>
      <c r="BG336" s="326" t="e">
        <f t="shared" ca="1" si="271"/>
        <v>#NAME?</v>
      </c>
      <c r="BH336" s="694" t="e">
        <f ca="1">IF( S336="LRCINOP",   (1+(0.03/10)*Z336*(1+0.2*AC336^2) )*BicubicInterpolation( 'LRC INOP FF'!$C$4:$AA$21, Y336, U336 )-200, IF(S336 ="HOLDINGINOP", (1+(0.03/10)*Z336*(1+0.2*AC336^2) )*BicubicInterpolation( 'Holding INOP FF'!$C$4:$J$13,  Y336,  U336)/1.05-200,   BA336*BG336))</f>
        <v>#NAME?</v>
      </c>
      <c r="BI336" s="344" t="e">
        <f t="shared" ca="1" si="230"/>
        <v>#NAME?</v>
      </c>
      <c r="BJ336" s="322" t="e">
        <f t="shared" ca="1" si="272"/>
        <v>#NAME?</v>
      </c>
      <c r="BK336" s="338" t="e">
        <f t="shared" ca="1" si="231"/>
        <v>#NAME?</v>
      </c>
      <c r="BL336" s="327" t="e">
        <f t="shared" ca="1" si="273"/>
        <v>#NAME?</v>
      </c>
      <c r="BM336" s="328">
        <f t="shared" si="274"/>
        <v>200</v>
      </c>
      <c r="BN336" s="329" t="e">
        <f t="shared" ca="1" si="275"/>
        <v>#NAME?</v>
      </c>
      <c r="BO336" s="344" t="e">
        <f t="shared" ca="1" si="232"/>
        <v>#NAME?</v>
      </c>
      <c r="BP336" s="320" t="e">
        <f t="shared" ca="1" si="276"/>
        <v>#NAME?</v>
      </c>
      <c r="BQ336" s="344" t="e">
        <f t="shared" ca="1" si="233"/>
        <v>#NAME?</v>
      </c>
      <c r="BR336" s="347" t="e">
        <f t="shared" ca="1" si="234"/>
        <v>#NAME?</v>
      </c>
      <c r="BS336" s="326" t="e">
        <f t="shared" ca="1" si="277"/>
        <v>#NAME?</v>
      </c>
      <c r="BT336" s="437" t="e">
        <f t="shared" ca="1" si="247"/>
        <v>#NAME?</v>
      </c>
      <c r="BU336" s="437" t="e">
        <f t="shared" ca="1" si="248"/>
        <v>#NAME?</v>
      </c>
      <c r="BV336" s="441" t="e">
        <f t="shared" ca="1" si="249"/>
        <v>#NAME?</v>
      </c>
      <c r="BW336" s="442" t="e">
        <f t="shared" ca="1" si="250"/>
        <v>#NAME?</v>
      </c>
      <c r="BX336" s="470" t="e">
        <f t="shared" ca="1" si="223"/>
        <v>#NAME?</v>
      </c>
      <c r="BY336" s="484" t="e">
        <f t="shared" ca="1" si="235"/>
        <v>#NAME?</v>
      </c>
    </row>
    <row r="337" spans="9:77" ht="17.75" customHeight="1" x14ac:dyDescent="0.2">
      <c r="I337" s="366">
        <v>253</v>
      </c>
      <c r="J337" s="414">
        <f t="shared" si="236"/>
        <v>41705.888194445019</v>
      </c>
      <c r="K337" s="435" t="e">
        <f t="shared" ca="1" si="237"/>
        <v>#NAME?</v>
      </c>
      <c r="L337" s="435" t="e">
        <f t="shared" ca="1" si="224"/>
        <v>#NAME?</v>
      </c>
      <c r="M337" s="664" t="e">
        <f t="shared" ca="1" si="278"/>
        <v>#NAME?</v>
      </c>
      <c r="N337" s="664" t="e">
        <f t="shared" ca="1" si="279"/>
        <v>#NAME?</v>
      </c>
      <c r="O337" s="140" t="e">
        <f t="shared" ca="1" si="225"/>
        <v>#NAME?</v>
      </c>
      <c r="P337" s="352" t="e">
        <f t="shared" ca="1" si="238"/>
        <v>#NAME?</v>
      </c>
      <c r="Q337" s="665" t="e">
        <f t="shared" ca="1" si="280"/>
        <v>#NAME?</v>
      </c>
      <c r="R337" s="352" t="e">
        <f t="shared" ca="1" si="251"/>
        <v>#NAME?</v>
      </c>
      <c r="S337" s="662" t="e">
        <f t="shared" ca="1" si="226"/>
        <v>#NAME?</v>
      </c>
      <c r="T337" s="443" t="e">
        <f t="shared" ca="1" si="219"/>
        <v>#NAME?</v>
      </c>
      <c r="U337" s="369" t="e">
        <f t="shared" ca="1" si="220"/>
        <v>#NAME?</v>
      </c>
      <c r="V337" s="454" t="e">
        <f t="shared" ca="1" si="227"/>
        <v>#NAME?</v>
      </c>
      <c r="W337" s="457">
        <f t="shared" si="228"/>
        <v>1000</v>
      </c>
      <c r="X337" s="463" t="e">
        <f t="shared" ca="1" si="229"/>
        <v>#NAME?</v>
      </c>
      <c r="Y337" s="455" t="e">
        <f t="shared" ca="1" si="239"/>
        <v>#NAME?</v>
      </c>
      <c r="Z337" s="699">
        <f t="shared" si="221"/>
        <v>8.5</v>
      </c>
      <c r="AA337" s="355" t="str">
        <f t="shared" si="222"/>
        <v>ON</v>
      </c>
      <c r="AB337" s="357">
        <f t="shared" si="252"/>
        <v>1.4999999999999999E-2</v>
      </c>
      <c r="AC337" s="356" t="e">
        <f ca="1">IF(  Y336=0,0,IF(OR(S337="KCAS",S337="INOP",S337="MEFE"),   ( (5*( (   (((1+0.2*(T337/661.4786)^2)^3.5 -1)  )/( (1-6.8755856*10^-6 *100*Y337)^5.2558797) +1)^(2/7) -1) )^0.5),IF(S337="MACH",T337, IF(S337="LRC",BicubicInterpolation( 'LRC Mach'!$C$4:$AL$21, Y337,U337),  IF(S337="MRC",BicubicInterpolation( 'MRC Mach'!$C$3:$T$18, Y337,U337),  IF(S337="M0.84",0.84,  IF(S337="CI52",BicubicInterpolation('CI=52 Mach'!$C$3:$T$18, Y337,U337),  IF(S337="HOLDING",BicubicInterpolation(  'Holding Mach'!$C$4:$M$13, Y337,U337),                         IF(S337="LRCINOP", BicubicInterpolation('LRC INOP Mach'!$C$4:$AA$21,Y337,U337), IF(S337="HOLDINGINOP",  BicubicInterpolation('Holding INOP Mach'!$N$4:$U$13,Y337,U337),         "XXX" )))))))   )))</f>
        <v>#NAME?</v>
      </c>
      <c r="AD337" s="313" t="e">
        <f t="shared" ca="1" si="253"/>
        <v>#NAME?</v>
      </c>
      <c r="AE337" s="314" t="e">
        <f t="shared" ca="1" si="240"/>
        <v>#NAME?</v>
      </c>
      <c r="AF337" s="313" t="e">
        <f t="shared" ca="1" si="254"/>
        <v>#NAME?</v>
      </c>
      <c r="AG337" s="314" t="e">
        <f t="shared" ca="1" si="241"/>
        <v>#NAME?</v>
      </c>
      <c r="AH337" s="313" t="e">
        <f t="shared" ca="1" si="255"/>
        <v>#NAME?</v>
      </c>
      <c r="AI337" s="314" t="e">
        <f t="shared" ca="1" si="242"/>
        <v>#NAME?</v>
      </c>
      <c r="AJ337" s="315" t="e">
        <f t="shared" ca="1" si="243"/>
        <v>#NAME?</v>
      </c>
      <c r="AK337" s="568" t="e">
        <f t="shared" ca="1" si="256"/>
        <v>#NAME?</v>
      </c>
      <c r="AL337" s="313" t="e">
        <f t="shared" ca="1" si="257"/>
        <v>#NAME?</v>
      </c>
      <c r="AM337" s="313" t="e">
        <f t="shared" ca="1" si="244"/>
        <v>#NAME?</v>
      </c>
      <c r="AN337" s="313" t="e">
        <f t="shared" ca="1" si="245"/>
        <v>#NAME?</v>
      </c>
      <c r="AO337" s="316" t="e">
        <f t="shared" ca="1" si="258"/>
        <v>#NAME?</v>
      </c>
      <c r="AP337" s="313" t="e">
        <f t="shared" ca="1" si="259"/>
        <v>#NAME?</v>
      </c>
      <c r="AQ337" s="314" t="e">
        <f t="shared" ca="1" si="246"/>
        <v>#NAME?</v>
      </c>
      <c r="AR337" s="315" t="e">
        <f t="shared" ca="1" si="260"/>
        <v>#NAME?</v>
      </c>
      <c r="AS337" s="316" t="e">
        <f t="shared" ca="1" si="261"/>
        <v>#NAME?</v>
      </c>
      <c r="AT337" s="315" t="e">
        <f t="shared" ca="1" si="262"/>
        <v>#NAME?</v>
      </c>
      <c r="AU337" s="317">
        <v>427.8</v>
      </c>
      <c r="AV337" s="315" t="e">
        <f t="shared" ca="1" si="263"/>
        <v>#NAME?</v>
      </c>
      <c r="AW337" s="318" t="e">
        <f ca="1">0.0001*BicubicInterpolation('Drag Coef Table'!$B$4:$L$28,AV337,AC337)</f>
        <v>#NAME?</v>
      </c>
      <c r="AX337" s="319" t="e">
        <f t="shared" ca="1" si="264"/>
        <v>#NAME?</v>
      </c>
      <c r="AY337" s="318" t="e">
        <f t="shared" ca="1" si="265"/>
        <v>#NAME?</v>
      </c>
      <c r="AZ337" s="320" t="e">
        <f t="shared" ca="1" si="266"/>
        <v>#NAME?</v>
      </c>
      <c r="BA337" s="321" t="e">
        <f t="shared" ca="1" si="267"/>
        <v>#NAME?</v>
      </c>
      <c r="BB337" s="322" t="e">
        <f t="shared" ca="1" si="268"/>
        <v>#NAME?</v>
      </c>
      <c r="BC337" s="323">
        <v>75.196700000000007</v>
      </c>
      <c r="BD337" s="324" t="e">
        <f t="shared" ca="1" si="269"/>
        <v>#NAME?</v>
      </c>
      <c r="BE337" s="325" t="e">
        <f t="shared" ca="1" si="270"/>
        <v>#NAME?</v>
      </c>
      <c r="BF337" s="324" t="e">
        <f ca="1">BicubicInterpolation('TSFC Eff Table'!$B$4:$E$69,2,BB337)</f>
        <v>#NAME?</v>
      </c>
      <c r="BG337" s="326" t="e">
        <f t="shared" ca="1" si="271"/>
        <v>#NAME?</v>
      </c>
      <c r="BH337" s="694" t="e">
        <f ca="1">IF( S337="LRCINOP",   (1+(0.03/10)*Z337*(1+0.2*AC337^2) )*BicubicInterpolation( 'LRC INOP FF'!$C$4:$AA$21, Y337, U337 )-200, IF(S337 ="HOLDINGINOP", (1+(0.03/10)*Z337*(1+0.2*AC337^2) )*BicubicInterpolation( 'Holding INOP FF'!$C$4:$J$13,  Y337,  U337)/1.05-200,   BA337*BG337))</f>
        <v>#NAME?</v>
      </c>
      <c r="BI337" s="344" t="e">
        <f t="shared" ca="1" si="230"/>
        <v>#NAME?</v>
      </c>
      <c r="BJ337" s="322" t="e">
        <f t="shared" ca="1" si="272"/>
        <v>#NAME?</v>
      </c>
      <c r="BK337" s="338" t="e">
        <f t="shared" ca="1" si="231"/>
        <v>#NAME?</v>
      </c>
      <c r="BL337" s="327" t="e">
        <f t="shared" ca="1" si="273"/>
        <v>#NAME?</v>
      </c>
      <c r="BM337" s="328">
        <f t="shared" si="274"/>
        <v>200</v>
      </c>
      <c r="BN337" s="329" t="e">
        <f t="shared" ca="1" si="275"/>
        <v>#NAME?</v>
      </c>
      <c r="BO337" s="344" t="e">
        <f t="shared" ca="1" si="232"/>
        <v>#NAME?</v>
      </c>
      <c r="BP337" s="320" t="e">
        <f t="shared" ca="1" si="276"/>
        <v>#NAME?</v>
      </c>
      <c r="BQ337" s="344" t="e">
        <f t="shared" ca="1" si="233"/>
        <v>#NAME?</v>
      </c>
      <c r="BR337" s="347" t="e">
        <f t="shared" ca="1" si="234"/>
        <v>#NAME?</v>
      </c>
      <c r="BS337" s="326" t="e">
        <f t="shared" ca="1" si="277"/>
        <v>#NAME?</v>
      </c>
      <c r="BT337" s="437" t="e">
        <f t="shared" ca="1" si="247"/>
        <v>#NAME?</v>
      </c>
      <c r="BU337" s="437" t="e">
        <f t="shared" ca="1" si="248"/>
        <v>#NAME?</v>
      </c>
      <c r="BV337" s="441" t="e">
        <f t="shared" ca="1" si="249"/>
        <v>#NAME?</v>
      </c>
      <c r="BW337" s="442" t="e">
        <f t="shared" ca="1" si="250"/>
        <v>#NAME?</v>
      </c>
      <c r="BX337" s="470" t="e">
        <f t="shared" ca="1" si="223"/>
        <v>#NAME?</v>
      </c>
      <c r="BY337" s="484" t="e">
        <f t="shared" ca="1" si="235"/>
        <v>#NAME?</v>
      </c>
    </row>
    <row r="338" spans="9:77" ht="17.75" customHeight="1" x14ac:dyDescent="0.2">
      <c r="I338" s="366">
        <v>254</v>
      </c>
      <c r="J338" s="414">
        <f t="shared" si="236"/>
        <v>41705.888888889465</v>
      </c>
      <c r="K338" s="435" t="e">
        <f t="shared" ca="1" si="237"/>
        <v>#NAME?</v>
      </c>
      <c r="L338" s="435" t="e">
        <f t="shared" ca="1" si="224"/>
        <v>#NAME?</v>
      </c>
      <c r="M338" s="664" t="e">
        <f t="shared" ca="1" si="278"/>
        <v>#NAME?</v>
      </c>
      <c r="N338" s="664" t="e">
        <f t="shared" ca="1" si="279"/>
        <v>#NAME?</v>
      </c>
      <c r="O338" s="140" t="e">
        <f t="shared" ca="1" si="225"/>
        <v>#NAME?</v>
      </c>
      <c r="P338" s="352" t="e">
        <f t="shared" ca="1" si="238"/>
        <v>#NAME?</v>
      </c>
      <c r="Q338" s="665" t="e">
        <f t="shared" ca="1" si="280"/>
        <v>#NAME?</v>
      </c>
      <c r="R338" s="352" t="e">
        <f t="shared" ca="1" si="251"/>
        <v>#NAME?</v>
      </c>
      <c r="S338" s="662" t="e">
        <f t="shared" ca="1" si="226"/>
        <v>#NAME?</v>
      </c>
      <c r="T338" s="443" t="e">
        <f t="shared" ca="1" si="219"/>
        <v>#NAME?</v>
      </c>
      <c r="U338" s="369" t="e">
        <f t="shared" ca="1" si="220"/>
        <v>#NAME?</v>
      </c>
      <c r="V338" s="454" t="e">
        <f t="shared" ca="1" si="227"/>
        <v>#NAME?</v>
      </c>
      <c r="W338" s="457">
        <f t="shared" si="228"/>
        <v>1000</v>
      </c>
      <c r="X338" s="463" t="e">
        <f t="shared" ca="1" si="229"/>
        <v>#NAME?</v>
      </c>
      <c r="Y338" s="455" t="e">
        <f t="shared" ca="1" si="239"/>
        <v>#NAME?</v>
      </c>
      <c r="Z338" s="699">
        <f t="shared" si="221"/>
        <v>8.5</v>
      </c>
      <c r="AA338" s="355" t="str">
        <f t="shared" si="222"/>
        <v>ON</v>
      </c>
      <c r="AB338" s="357">
        <f t="shared" si="252"/>
        <v>1.4999999999999999E-2</v>
      </c>
      <c r="AC338" s="356" t="e">
        <f ca="1">IF(  Y337=0,0,IF(OR(S338="KCAS",S338="INOP",S338="MEFE"),   ( (5*( (   (((1+0.2*(T338/661.4786)^2)^3.5 -1)  )/( (1-6.8755856*10^-6 *100*Y338)^5.2558797) +1)^(2/7) -1) )^0.5),IF(S338="MACH",T338, IF(S338="LRC",BicubicInterpolation( 'LRC Mach'!$C$4:$AL$21, Y338,U338),  IF(S338="MRC",BicubicInterpolation( 'MRC Mach'!$C$3:$T$18, Y338,U338),  IF(S338="M0.84",0.84,  IF(S338="CI52",BicubicInterpolation('CI=52 Mach'!$C$3:$T$18, Y338,U338),  IF(S338="HOLDING",BicubicInterpolation(  'Holding Mach'!$C$4:$M$13, Y338,U338),                         IF(S338="LRCINOP", BicubicInterpolation('LRC INOP Mach'!$C$4:$AA$21,Y338,U338), IF(S338="HOLDINGINOP",  BicubicInterpolation('Holding INOP Mach'!$N$4:$U$13,Y338,U338),         "XXX" )))))))   )))</f>
        <v>#NAME?</v>
      </c>
      <c r="AD338" s="313" t="e">
        <f t="shared" ca="1" si="253"/>
        <v>#NAME?</v>
      </c>
      <c r="AE338" s="314" t="e">
        <f t="shared" ca="1" si="240"/>
        <v>#NAME?</v>
      </c>
      <c r="AF338" s="313" t="e">
        <f t="shared" ca="1" si="254"/>
        <v>#NAME?</v>
      </c>
      <c r="AG338" s="314" t="e">
        <f t="shared" ca="1" si="241"/>
        <v>#NAME?</v>
      </c>
      <c r="AH338" s="313" t="e">
        <f t="shared" ca="1" si="255"/>
        <v>#NAME?</v>
      </c>
      <c r="AI338" s="314" t="e">
        <f t="shared" ca="1" si="242"/>
        <v>#NAME?</v>
      </c>
      <c r="AJ338" s="315" t="e">
        <f t="shared" ca="1" si="243"/>
        <v>#NAME?</v>
      </c>
      <c r="AK338" s="568" t="e">
        <f t="shared" ca="1" si="256"/>
        <v>#NAME?</v>
      </c>
      <c r="AL338" s="313" t="e">
        <f t="shared" ca="1" si="257"/>
        <v>#NAME?</v>
      </c>
      <c r="AM338" s="313" t="e">
        <f t="shared" ca="1" si="244"/>
        <v>#NAME?</v>
      </c>
      <c r="AN338" s="313" t="e">
        <f t="shared" ca="1" si="245"/>
        <v>#NAME?</v>
      </c>
      <c r="AO338" s="316" t="e">
        <f t="shared" ca="1" si="258"/>
        <v>#NAME?</v>
      </c>
      <c r="AP338" s="313" t="e">
        <f t="shared" ca="1" si="259"/>
        <v>#NAME?</v>
      </c>
      <c r="AQ338" s="314" t="e">
        <f t="shared" ca="1" si="246"/>
        <v>#NAME?</v>
      </c>
      <c r="AR338" s="315" t="e">
        <f t="shared" ca="1" si="260"/>
        <v>#NAME?</v>
      </c>
      <c r="AS338" s="316" t="e">
        <f t="shared" ca="1" si="261"/>
        <v>#NAME?</v>
      </c>
      <c r="AT338" s="315" t="e">
        <f t="shared" ca="1" si="262"/>
        <v>#NAME?</v>
      </c>
      <c r="AU338" s="317">
        <v>427.8</v>
      </c>
      <c r="AV338" s="315" t="e">
        <f t="shared" ca="1" si="263"/>
        <v>#NAME?</v>
      </c>
      <c r="AW338" s="318" t="e">
        <f ca="1">0.0001*BicubicInterpolation('Drag Coef Table'!$B$4:$L$28,AV338,AC338)</f>
        <v>#NAME?</v>
      </c>
      <c r="AX338" s="319" t="e">
        <f t="shared" ca="1" si="264"/>
        <v>#NAME?</v>
      </c>
      <c r="AY338" s="318" t="e">
        <f t="shared" ca="1" si="265"/>
        <v>#NAME?</v>
      </c>
      <c r="AZ338" s="320" t="e">
        <f t="shared" ca="1" si="266"/>
        <v>#NAME?</v>
      </c>
      <c r="BA338" s="321" t="e">
        <f t="shared" ca="1" si="267"/>
        <v>#NAME?</v>
      </c>
      <c r="BB338" s="322" t="e">
        <f t="shared" ca="1" si="268"/>
        <v>#NAME?</v>
      </c>
      <c r="BC338" s="323">
        <v>75.196700000000007</v>
      </c>
      <c r="BD338" s="324" t="e">
        <f t="shared" ca="1" si="269"/>
        <v>#NAME?</v>
      </c>
      <c r="BE338" s="325" t="e">
        <f t="shared" ca="1" si="270"/>
        <v>#NAME?</v>
      </c>
      <c r="BF338" s="324" t="e">
        <f ca="1">BicubicInterpolation('TSFC Eff Table'!$B$4:$E$69,2,BB338)</f>
        <v>#NAME?</v>
      </c>
      <c r="BG338" s="326" t="e">
        <f t="shared" ca="1" si="271"/>
        <v>#NAME?</v>
      </c>
      <c r="BH338" s="694" t="e">
        <f ca="1">IF( S338="LRCINOP",   (1+(0.03/10)*Z338*(1+0.2*AC338^2) )*BicubicInterpolation( 'LRC INOP FF'!$C$4:$AA$21, Y338, U338 )-200, IF(S338 ="HOLDINGINOP", (1+(0.03/10)*Z338*(1+0.2*AC338^2) )*BicubicInterpolation( 'Holding INOP FF'!$C$4:$J$13,  Y338,  U338)/1.05-200,   BA338*BG338))</f>
        <v>#NAME?</v>
      </c>
      <c r="BI338" s="344" t="e">
        <f t="shared" ca="1" si="230"/>
        <v>#NAME?</v>
      </c>
      <c r="BJ338" s="322" t="e">
        <f t="shared" ca="1" si="272"/>
        <v>#NAME?</v>
      </c>
      <c r="BK338" s="338" t="e">
        <f t="shared" ca="1" si="231"/>
        <v>#NAME?</v>
      </c>
      <c r="BL338" s="327" t="e">
        <f t="shared" ca="1" si="273"/>
        <v>#NAME?</v>
      </c>
      <c r="BM338" s="328">
        <f t="shared" si="274"/>
        <v>200</v>
      </c>
      <c r="BN338" s="329" t="e">
        <f t="shared" ca="1" si="275"/>
        <v>#NAME?</v>
      </c>
      <c r="BO338" s="344" t="e">
        <f t="shared" ca="1" si="232"/>
        <v>#NAME?</v>
      </c>
      <c r="BP338" s="320" t="e">
        <f t="shared" ca="1" si="276"/>
        <v>#NAME?</v>
      </c>
      <c r="BQ338" s="344" t="e">
        <f t="shared" ca="1" si="233"/>
        <v>#NAME?</v>
      </c>
      <c r="BR338" s="347" t="e">
        <f t="shared" ca="1" si="234"/>
        <v>#NAME?</v>
      </c>
      <c r="BS338" s="326" t="e">
        <f t="shared" ca="1" si="277"/>
        <v>#NAME?</v>
      </c>
      <c r="BT338" s="437" t="e">
        <f t="shared" ca="1" si="247"/>
        <v>#NAME?</v>
      </c>
      <c r="BU338" s="437" t="e">
        <f t="shared" ca="1" si="248"/>
        <v>#NAME?</v>
      </c>
      <c r="BV338" s="441" t="e">
        <f t="shared" ca="1" si="249"/>
        <v>#NAME?</v>
      </c>
      <c r="BW338" s="442" t="e">
        <f t="shared" ca="1" si="250"/>
        <v>#NAME?</v>
      </c>
      <c r="BX338" s="470" t="e">
        <f t="shared" ca="1" si="223"/>
        <v>#NAME?</v>
      </c>
      <c r="BY338" s="484" t="e">
        <f t="shared" ca="1" si="235"/>
        <v>#NAME?</v>
      </c>
    </row>
    <row r="339" spans="9:77" ht="17.75" customHeight="1" x14ac:dyDescent="0.2">
      <c r="I339" s="366">
        <v>255</v>
      </c>
      <c r="J339" s="414">
        <f t="shared" si="236"/>
        <v>41705.889583333912</v>
      </c>
      <c r="K339" s="435" t="e">
        <f t="shared" ca="1" si="237"/>
        <v>#NAME?</v>
      </c>
      <c r="L339" s="435" t="e">
        <f t="shared" ca="1" si="224"/>
        <v>#NAME?</v>
      </c>
      <c r="M339" s="664" t="e">
        <f t="shared" ca="1" si="278"/>
        <v>#NAME?</v>
      </c>
      <c r="N339" s="664" t="e">
        <f t="shared" ca="1" si="279"/>
        <v>#NAME?</v>
      </c>
      <c r="O339" s="140" t="e">
        <f t="shared" ca="1" si="225"/>
        <v>#NAME?</v>
      </c>
      <c r="P339" s="352" t="e">
        <f t="shared" ca="1" si="238"/>
        <v>#NAME?</v>
      </c>
      <c r="Q339" s="665" t="e">
        <f t="shared" ca="1" si="280"/>
        <v>#NAME?</v>
      </c>
      <c r="R339" s="352" t="e">
        <f t="shared" ca="1" si="251"/>
        <v>#NAME?</v>
      </c>
      <c r="S339" s="662" t="e">
        <f t="shared" ca="1" si="226"/>
        <v>#NAME?</v>
      </c>
      <c r="T339" s="443" t="e">
        <f t="shared" ca="1" si="219"/>
        <v>#NAME?</v>
      </c>
      <c r="U339" s="369" t="e">
        <f t="shared" ca="1" si="220"/>
        <v>#NAME?</v>
      </c>
      <c r="V339" s="454" t="e">
        <f t="shared" ca="1" si="227"/>
        <v>#NAME?</v>
      </c>
      <c r="W339" s="457">
        <f t="shared" si="228"/>
        <v>1000</v>
      </c>
      <c r="X339" s="463" t="e">
        <f t="shared" ca="1" si="229"/>
        <v>#NAME?</v>
      </c>
      <c r="Y339" s="455" t="e">
        <f t="shared" ca="1" si="239"/>
        <v>#NAME?</v>
      </c>
      <c r="Z339" s="699">
        <f t="shared" si="221"/>
        <v>8.5</v>
      </c>
      <c r="AA339" s="355" t="str">
        <f t="shared" si="222"/>
        <v>ON</v>
      </c>
      <c r="AB339" s="357">
        <f t="shared" si="252"/>
        <v>1.4999999999999999E-2</v>
      </c>
      <c r="AC339" s="356" t="e">
        <f ca="1">IF(  Y338=0,0,IF(OR(S339="KCAS",S339="INOP",S339="MEFE"),   ( (5*( (   (((1+0.2*(T339/661.4786)^2)^3.5 -1)  )/( (1-6.8755856*10^-6 *100*Y339)^5.2558797) +1)^(2/7) -1) )^0.5),IF(S339="MACH",T339, IF(S339="LRC",BicubicInterpolation( 'LRC Mach'!$C$4:$AL$21, Y339,U339),  IF(S339="MRC",BicubicInterpolation( 'MRC Mach'!$C$3:$T$18, Y339,U339),  IF(S339="M0.84",0.84,  IF(S339="CI52",BicubicInterpolation('CI=52 Mach'!$C$3:$T$18, Y339,U339),  IF(S339="HOLDING",BicubicInterpolation(  'Holding Mach'!$C$4:$M$13, Y339,U339),                         IF(S339="LRCINOP", BicubicInterpolation('LRC INOP Mach'!$C$4:$AA$21,Y339,U339), IF(S339="HOLDINGINOP",  BicubicInterpolation('Holding INOP Mach'!$N$4:$U$13,Y339,U339),         "XXX" )))))))   )))</f>
        <v>#NAME?</v>
      </c>
      <c r="AD339" s="313" t="e">
        <f t="shared" ca="1" si="253"/>
        <v>#NAME?</v>
      </c>
      <c r="AE339" s="314" t="e">
        <f t="shared" ca="1" si="240"/>
        <v>#NAME?</v>
      </c>
      <c r="AF339" s="313" t="e">
        <f t="shared" ca="1" si="254"/>
        <v>#NAME?</v>
      </c>
      <c r="AG339" s="314" t="e">
        <f t="shared" ca="1" si="241"/>
        <v>#NAME?</v>
      </c>
      <c r="AH339" s="313" t="e">
        <f t="shared" ca="1" si="255"/>
        <v>#NAME?</v>
      </c>
      <c r="AI339" s="314" t="e">
        <f t="shared" ca="1" si="242"/>
        <v>#NAME?</v>
      </c>
      <c r="AJ339" s="315" t="e">
        <f t="shared" ca="1" si="243"/>
        <v>#NAME?</v>
      </c>
      <c r="AK339" s="568" t="e">
        <f t="shared" ca="1" si="256"/>
        <v>#NAME?</v>
      </c>
      <c r="AL339" s="313" t="e">
        <f t="shared" ca="1" si="257"/>
        <v>#NAME?</v>
      </c>
      <c r="AM339" s="313" t="e">
        <f t="shared" ca="1" si="244"/>
        <v>#NAME?</v>
      </c>
      <c r="AN339" s="313" t="e">
        <f t="shared" ca="1" si="245"/>
        <v>#NAME?</v>
      </c>
      <c r="AO339" s="316" t="e">
        <f t="shared" ca="1" si="258"/>
        <v>#NAME?</v>
      </c>
      <c r="AP339" s="313" t="e">
        <f t="shared" ca="1" si="259"/>
        <v>#NAME?</v>
      </c>
      <c r="AQ339" s="314" t="e">
        <f t="shared" ca="1" si="246"/>
        <v>#NAME?</v>
      </c>
      <c r="AR339" s="315" t="e">
        <f t="shared" ca="1" si="260"/>
        <v>#NAME?</v>
      </c>
      <c r="AS339" s="316" t="e">
        <f t="shared" ca="1" si="261"/>
        <v>#NAME?</v>
      </c>
      <c r="AT339" s="315" t="e">
        <f t="shared" ca="1" si="262"/>
        <v>#NAME?</v>
      </c>
      <c r="AU339" s="317">
        <v>427.8</v>
      </c>
      <c r="AV339" s="315" t="e">
        <f t="shared" ca="1" si="263"/>
        <v>#NAME?</v>
      </c>
      <c r="AW339" s="318" t="e">
        <f ca="1">0.0001*BicubicInterpolation('Drag Coef Table'!$B$4:$L$28,AV339,AC339)</f>
        <v>#NAME?</v>
      </c>
      <c r="AX339" s="319" t="e">
        <f t="shared" ca="1" si="264"/>
        <v>#NAME?</v>
      </c>
      <c r="AY339" s="318" t="e">
        <f t="shared" ca="1" si="265"/>
        <v>#NAME?</v>
      </c>
      <c r="AZ339" s="320" t="e">
        <f t="shared" ca="1" si="266"/>
        <v>#NAME?</v>
      </c>
      <c r="BA339" s="321" t="e">
        <f t="shared" ca="1" si="267"/>
        <v>#NAME?</v>
      </c>
      <c r="BB339" s="322" t="e">
        <f t="shared" ca="1" si="268"/>
        <v>#NAME?</v>
      </c>
      <c r="BC339" s="323">
        <v>75.196700000000007</v>
      </c>
      <c r="BD339" s="324" t="e">
        <f t="shared" ca="1" si="269"/>
        <v>#NAME?</v>
      </c>
      <c r="BE339" s="325" t="e">
        <f t="shared" ca="1" si="270"/>
        <v>#NAME?</v>
      </c>
      <c r="BF339" s="324" t="e">
        <f ca="1">BicubicInterpolation('TSFC Eff Table'!$B$4:$E$69,2,BB339)</f>
        <v>#NAME?</v>
      </c>
      <c r="BG339" s="326" t="e">
        <f t="shared" ca="1" si="271"/>
        <v>#NAME?</v>
      </c>
      <c r="BH339" s="694" t="e">
        <f ca="1">IF( S339="LRCINOP",   (1+(0.03/10)*Z339*(1+0.2*AC339^2) )*BicubicInterpolation( 'LRC INOP FF'!$C$4:$AA$21, Y339, U339 )-200, IF(S339 ="HOLDINGINOP", (1+(0.03/10)*Z339*(1+0.2*AC339^2) )*BicubicInterpolation( 'Holding INOP FF'!$C$4:$J$13,  Y339,  U339)/1.05-200,   BA339*BG339))</f>
        <v>#NAME?</v>
      </c>
      <c r="BI339" s="344" t="e">
        <f t="shared" ca="1" si="230"/>
        <v>#NAME?</v>
      </c>
      <c r="BJ339" s="322" t="e">
        <f t="shared" ca="1" si="272"/>
        <v>#NAME?</v>
      </c>
      <c r="BK339" s="338" t="e">
        <f t="shared" ca="1" si="231"/>
        <v>#NAME?</v>
      </c>
      <c r="BL339" s="327" t="e">
        <f t="shared" ca="1" si="273"/>
        <v>#NAME?</v>
      </c>
      <c r="BM339" s="328">
        <f t="shared" si="274"/>
        <v>200</v>
      </c>
      <c r="BN339" s="329" t="e">
        <f t="shared" ca="1" si="275"/>
        <v>#NAME?</v>
      </c>
      <c r="BO339" s="344" t="e">
        <f t="shared" ca="1" si="232"/>
        <v>#NAME?</v>
      </c>
      <c r="BP339" s="320" t="e">
        <f t="shared" ca="1" si="276"/>
        <v>#NAME?</v>
      </c>
      <c r="BQ339" s="344" t="e">
        <f t="shared" ca="1" si="233"/>
        <v>#NAME?</v>
      </c>
      <c r="BR339" s="347" t="e">
        <f t="shared" ca="1" si="234"/>
        <v>#NAME?</v>
      </c>
      <c r="BS339" s="326" t="e">
        <f t="shared" ca="1" si="277"/>
        <v>#NAME?</v>
      </c>
      <c r="BT339" s="437" t="e">
        <f t="shared" ca="1" si="247"/>
        <v>#NAME?</v>
      </c>
      <c r="BU339" s="437" t="e">
        <f t="shared" ca="1" si="248"/>
        <v>#NAME?</v>
      </c>
      <c r="BV339" s="441" t="e">
        <f t="shared" ca="1" si="249"/>
        <v>#NAME?</v>
      </c>
      <c r="BW339" s="442" t="e">
        <f t="shared" ca="1" si="250"/>
        <v>#NAME?</v>
      </c>
      <c r="BX339" s="470" t="e">
        <f t="shared" ca="1" si="223"/>
        <v>#NAME?</v>
      </c>
      <c r="BY339" s="484" t="e">
        <f t="shared" ca="1" si="235"/>
        <v>#NAME?</v>
      </c>
    </row>
    <row r="340" spans="9:77" ht="17.75" customHeight="1" x14ac:dyDescent="0.2">
      <c r="I340" s="366">
        <v>256</v>
      </c>
      <c r="J340" s="414">
        <f t="shared" si="236"/>
        <v>41705.890277778359</v>
      </c>
      <c r="K340" s="435" t="e">
        <f t="shared" ca="1" si="237"/>
        <v>#NAME?</v>
      </c>
      <c r="L340" s="435" t="e">
        <f t="shared" ca="1" si="224"/>
        <v>#NAME?</v>
      </c>
      <c r="M340" s="664" t="e">
        <f t="shared" ca="1" si="278"/>
        <v>#NAME?</v>
      </c>
      <c r="N340" s="664" t="e">
        <f t="shared" ca="1" si="279"/>
        <v>#NAME?</v>
      </c>
      <c r="O340" s="140" t="e">
        <f t="shared" ca="1" si="225"/>
        <v>#NAME?</v>
      </c>
      <c r="P340" s="352" t="e">
        <f t="shared" ca="1" si="238"/>
        <v>#NAME?</v>
      </c>
      <c r="Q340" s="665" t="e">
        <f t="shared" ca="1" si="280"/>
        <v>#NAME?</v>
      </c>
      <c r="R340" s="352" t="e">
        <f t="shared" ca="1" si="251"/>
        <v>#NAME?</v>
      </c>
      <c r="S340" s="662" t="e">
        <f t="shared" ca="1" si="226"/>
        <v>#NAME?</v>
      </c>
      <c r="T340" s="443" t="e">
        <f t="shared" ca="1" si="219"/>
        <v>#NAME?</v>
      </c>
      <c r="U340" s="369" t="e">
        <f t="shared" ca="1" si="220"/>
        <v>#NAME?</v>
      </c>
      <c r="V340" s="454" t="e">
        <f t="shared" ca="1" si="227"/>
        <v>#NAME?</v>
      </c>
      <c r="W340" s="457">
        <f t="shared" si="228"/>
        <v>1000</v>
      </c>
      <c r="X340" s="463" t="e">
        <f t="shared" ca="1" si="229"/>
        <v>#NAME?</v>
      </c>
      <c r="Y340" s="455" t="e">
        <f t="shared" ca="1" si="239"/>
        <v>#NAME?</v>
      </c>
      <c r="Z340" s="699">
        <f t="shared" si="221"/>
        <v>8.5</v>
      </c>
      <c r="AA340" s="355" t="str">
        <f t="shared" si="222"/>
        <v>ON</v>
      </c>
      <c r="AB340" s="357">
        <f t="shared" si="252"/>
        <v>1.4999999999999999E-2</v>
      </c>
      <c r="AC340" s="356" t="e">
        <f ca="1">IF(  Y339=0,0,IF(OR(S340="KCAS",S340="INOP",S340="MEFE"),   ( (5*( (   (((1+0.2*(T340/661.4786)^2)^3.5 -1)  )/( (1-6.8755856*10^-6 *100*Y340)^5.2558797) +1)^(2/7) -1) )^0.5),IF(S340="MACH",T340, IF(S340="LRC",BicubicInterpolation( 'LRC Mach'!$C$4:$AL$21, Y340,U340),  IF(S340="MRC",BicubicInterpolation( 'MRC Mach'!$C$3:$T$18, Y340,U340),  IF(S340="M0.84",0.84,  IF(S340="CI52",BicubicInterpolation('CI=52 Mach'!$C$3:$T$18, Y340,U340),  IF(S340="HOLDING",BicubicInterpolation(  'Holding Mach'!$C$4:$M$13, Y340,U340),                         IF(S340="LRCINOP", BicubicInterpolation('LRC INOP Mach'!$C$4:$AA$21,Y340,U340), IF(S340="HOLDINGINOP",  BicubicInterpolation('Holding INOP Mach'!$N$4:$U$13,Y340,U340),         "XXX" )))))))   )))</f>
        <v>#NAME?</v>
      </c>
      <c r="AD340" s="313" t="e">
        <f t="shared" ca="1" si="253"/>
        <v>#NAME?</v>
      </c>
      <c r="AE340" s="314" t="e">
        <f t="shared" ca="1" si="240"/>
        <v>#NAME?</v>
      </c>
      <c r="AF340" s="313" t="e">
        <f t="shared" ca="1" si="254"/>
        <v>#NAME?</v>
      </c>
      <c r="AG340" s="314" t="e">
        <f t="shared" ca="1" si="241"/>
        <v>#NAME?</v>
      </c>
      <c r="AH340" s="313" t="e">
        <f t="shared" ca="1" si="255"/>
        <v>#NAME?</v>
      </c>
      <c r="AI340" s="314" t="e">
        <f t="shared" ca="1" si="242"/>
        <v>#NAME?</v>
      </c>
      <c r="AJ340" s="315" t="e">
        <f t="shared" ca="1" si="243"/>
        <v>#NAME?</v>
      </c>
      <c r="AK340" s="568" t="e">
        <f t="shared" ca="1" si="256"/>
        <v>#NAME?</v>
      </c>
      <c r="AL340" s="313" t="e">
        <f t="shared" ca="1" si="257"/>
        <v>#NAME?</v>
      </c>
      <c r="AM340" s="313" t="e">
        <f t="shared" ca="1" si="244"/>
        <v>#NAME?</v>
      </c>
      <c r="AN340" s="313" t="e">
        <f t="shared" ca="1" si="245"/>
        <v>#NAME?</v>
      </c>
      <c r="AO340" s="316" t="e">
        <f t="shared" ca="1" si="258"/>
        <v>#NAME?</v>
      </c>
      <c r="AP340" s="313" t="e">
        <f t="shared" ca="1" si="259"/>
        <v>#NAME?</v>
      </c>
      <c r="AQ340" s="314" t="e">
        <f t="shared" ca="1" si="246"/>
        <v>#NAME?</v>
      </c>
      <c r="AR340" s="315" t="e">
        <f t="shared" ca="1" si="260"/>
        <v>#NAME?</v>
      </c>
      <c r="AS340" s="316" t="e">
        <f t="shared" ca="1" si="261"/>
        <v>#NAME?</v>
      </c>
      <c r="AT340" s="315" t="e">
        <f t="shared" ca="1" si="262"/>
        <v>#NAME?</v>
      </c>
      <c r="AU340" s="317">
        <v>427.8</v>
      </c>
      <c r="AV340" s="315" t="e">
        <f t="shared" ca="1" si="263"/>
        <v>#NAME?</v>
      </c>
      <c r="AW340" s="318" t="e">
        <f ca="1">0.0001*BicubicInterpolation('Drag Coef Table'!$B$4:$L$28,AV340,AC340)</f>
        <v>#NAME?</v>
      </c>
      <c r="AX340" s="319" t="e">
        <f t="shared" ca="1" si="264"/>
        <v>#NAME?</v>
      </c>
      <c r="AY340" s="318" t="e">
        <f t="shared" ca="1" si="265"/>
        <v>#NAME?</v>
      </c>
      <c r="AZ340" s="320" t="e">
        <f t="shared" ca="1" si="266"/>
        <v>#NAME?</v>
      </c>
      <c r="BA340" s="321" t="e">
        <f t="shared" ca="1" si="267"/>
        <v>#NAME?</v>
      </c>
      <c r="BB340" s="322" t="e">
        <f t="shared" ca="1" si="268"/>
        <v>#NAME?</v>
      </c>
      <c r="BC340" s="323">
        <v>75.196700000000007</v>
      </c>
      <c r="BD340" s="324" t="e">
        <f t="shared" ca="1" si="269"/>
        <v>#NAME?</v>
      </c>
      <c r="BE340" s="325" t="e">
        <f t="shared" ca="1" si="270"/>
        <v>#NAME?</v>
      </c>
      <c r="BF340" s="324" t="e">
        <f ca="1">BicubicInterpolation('TSFC Eff Table'!$B$4:$E$69,2,BB340)</f>
        <v>#NAME?</v>
      </c>
      <c r="BG340" s="326" t="e">
        <f t="shared" ca="1" si="271"/>
        <v>#NAME?</v>
      </c>
      <c r="BH340" s="694" t="e">
        <f ca="1">IF( S340="LRCINOP",   (1+(0.03/10)*Z340*(1+0.2*AC340^2) )*BicubicInterpolation( 'LRC INOP FF'!$C$4:$AA$21, Y340, U340 )-200, IF(S340 ="HOLDINGINOP", (1+(0.03/10)*Z340*(1+0.2*AC340^2) )*BicubicInterpolation( 'Holding INOP FF'!$C$4:$J$13,  Y340,  U340)/1.05-200,   BA340*BG340))</f>
        <v>#NAME?</v>
      </c>
      <c r="BI340" s="344" t="e">
        <f t="shared" ca="1" si="230"/>
        <v>#NAME?</v>
      </c>
      <c r="BJ340" s="322" t="e">
        <f t="shared" ca="1" si="272"/>
        <v>#NAME?</v>
      </c>
      <c r="BK340" s="338" t="e">
        <f t="shared" ca="1" si="231"/>
        <v>#NAME?</v>
      </c>
      <c r="BL340" s="327" t="e">
        <f t="shared" ca="1" si="273"/>
        <v>#NAME?</v>
      </c>
      <c r="BM340" s="328">
        <f t="shared" si="274"/>
        <v>200</v>
      </c>
      <c r="BN340" s="329" t="e">
        <f t="shared" ca="1" si="275"/>
        <v>#NAME?</v>
      </c>
      <c r="BO340" s="344" t="e">
        <f t="shared" ca="1" si="232"/>
        <v>#NAME?</v>
      </c>
      <c r="BP340" s="320" t="e">
        <f t="shared" ca="1" si="276"/>
        <v>#NAME?</v>
      </c>
      <c r="BQ340" s="344" t="e">
        <f t="shared" ca="1" si="233"/>
        <v>#NAME?</v>
      </c>
      <c r="BR340" s="347" t="e">
        <f t="shared" ca="1" si="234"/>
        <v>#NAME?</v>
      </c>
      <c r="BS340" s="326" t="e">
        <f t="shared" ca="1" si="277"/>
        <v>#NAME?</v>
      </c>
      <c r="BT340" s="437" t="e">
        <f t="shared" ca="1" si="247"/>
        <v>#NAME?</v>
      </c>
      <c r="BU340" s="437" t="e">
        <f t="shared" ca="1" si="248"/>
        <v>#NAME?</v>
      </c>
      <c r="BV340" s="441" t="e">
        <f t="shared" ca="1" si="249"/>
        <v>#NAME?</v>
      </c>
      <c r="BW340" s="442" t="e">
        <f t="shared" ca="1" si="250"/>
        <v>#NAME?</v>
      </c>
      <c r="BX340" s="470" t="e">
        <f t="shared" ca="1" si="223"/>
        <v>#NAME?</v>
      </c>
      <c r="BY340" s="484" t="e">
        <f t="shared" ca="1" si="235"/>
        <v>#NAME?</v>
      </c>
    </row>
    <row r="341" spans="9:77" ht="17.75" customHeight="1" x14ac:dyDescent="0.2">
      <c r="I341" s="366">
        <v>257</v>
      </c>
      <c r="J341" s="414">
        <f t="shared" si="236"/>
        <v>41705.890972222805</v>
      </c>
      <c r="K341" s="435" t="e">
        <f t="shared" ca="1" si="237"/>
        <v>#NAME?</v>
      </c>
      <c r="L341" s="435" t="e">
        <f t="shared" ca="1" si="224"/>
        <v>#NAME?</v>
      </c>
      <c r="M341" s="664" t="e">
        <f t="shared" ca="1" si="278"/>
        <v>#NAME?</v>
      </c>
      <c r="N341" s="664" t="e">
        <f t="shared" ca="1" si="279"/>
        <v>#NAME?</v>
      </c>
      <c r="O341" s="140" t="e">
        <f t="shared" ca="1" si="225"/>
        <v>#NAME?</v>
      </c>
      <c r="P341" s="352" t="e">
        <f t="shared" ca="1" si="238"/>
        <v>#NAME?</v>
      </c>
      <c r="Q341" s="665" t="e">
        <f t="shared" ca="1" si="280"/>
        <v>#NAME?</v>
      </c>
      <c r="R341" s="352" t="e">
        <f t="shared" ca="1" si="251"/>
        <v>#NAME?</v>
      </c>
      <c r="S341" s="662" t="e">
        <f t="shared" ca="1" si="226"/>
        <v>#NAME?</v>
      </c>
      <c r="T341" s="443" t="e">
        <f t="shared" ref="T341:T404" ca="1" si="281">IF(AND(S341="MEFE",  S340="MEFE"), MAX(T340+$C$43,$C$39), IF(AND(S340="INOP",S341="MEFE"),  MAX(T340+$C$38,$C$39), IF(AND(S341="INOP",S340="INOP"), MAX(T340+$C$38,$C$39),IF(S341="INOP", AO340,IF($J341&lt;$C$12,$C$6,IF($J341&lt;$C$18,$C$14,$C$20))))))</f>
        <v>#NAME?</v>
      </c>
      <c r="U341" s="369" t="e">
        <f t="shared" ref="U341:U404" ca="1" si="282">P341</f>
        <v>#NAME?</v>
      </c>
      <c r="V341" s="454" t="e">
        <f t="shared" ca="1" si="227"/>
        <v>#NAME?</v>
      </c>
      <c r="W341" s="457">
        <f t="shared" si="228"/>
        <v>1000</v>
      </c>
      <c r="X341" s="463" t="e">
        <f t="shared" ca="1" si="229"/>
        <v>#NAME?</v>
      </c>
      <c r="Y341" s="455" t="e">
        <f t="shared" ca="1" si="239"/>
        <v>#NAME?</v>
      </c>
      <c r="Z341" s="699">
        <f t="shared" ref="Z341:Z404" si="283">IF(I341&gt;$M$83-1,$C$22,IF(I341&gt;$K$83-1,$C$16,$C$8))</f>
        <v>8.5</v>
      </c>
      <c r="AA341" s="355" t="str">
        <f t="shared" ref="AA341:AA404" si="284">IF(I341&lt;$K$83,$C$9, IF( I341&lt;$L$83, $C$17,$C$23))</f>
        <v>ON</v>
      </c>
      <c r="AB341" s="357">
        <f t="shared" si="252"/>
        <v>1.4999999999999999E-2</v>
      </c>
      <c r="AC341" s="356" t="e">
        <f ca="1">IF(  Y340=0,0,IF(OR(S341="KCAS",S341="INOP",S341="MEFE"),   ( (5*( (   (((1+0.2*(T341/661.4786)^2)^3.5 -1)  )/( (1-6.8755856*10^-6 *100*Y341)^5.2558797) +1)^(2/7) -1) )^0.5),IF(S341="MACH",T341, IF(S341="LRC",BicubicInterpolation( 'LRC Mach'!$C$4:$AL$21, Y341,U341),  IF(S341="MRC",BicubicInterpolation( 'MRC Mach'!$C$3:$T$18, Y341,U341),  IF(S341="M0.84",0.84,  IF(S341="CI52",BicubicInterpolation('CI=52 Mach'!$C$3:$T$18, Y341,U341),  IF(S341="HOLDING",BicubicInterpolation(  'Holding Mach'!$C$4:$M$13, Y341,U341),                         IF(S341="LRCINOP", BicubicInterpolation('LRC INOP Mach'!$C$4:$AA$21,Y341,U341), IF(S341="HOLDINGINOP",  BicubicInterpolation('Holding INOP Mach'!$N$4:$U$13,Y341,U341),         "XXX" )))))))   )))</f>
        <v>#NAME?</v>
      </c>
      <c r="AD341" s="313" t="e">
        <f t="shared" ca="1" si="253"/>
        <v>#NAME?</v>
      </c>
      <c r="AE341" s="314" t="e">
        <f t="shared" ca="1" si="240"/>
        <v>#NAME?</v>
      </c>
      <c r="AF341" s="313" t="e">
        <f t="shared" ca="1" si="254"/>
        <v>#NAME?</v>
      </c>
      <c r="AG341" s="314" t="e">
        <f t="shared" ca="1" si="241"/>
        <v>#NAME?</v>
      </c>
      <c r="AH341" s="313" t="e">
        <f t="shared" ca="1" si="255"/>
        <v>#NAME?</v>
      </c>
      <c r="AI341" s="314" t="e">
        <f t="shared" ca="1" si="242"/>
        <v>#NAME?</v>
      </c>
      <c r="AJ341" s="315" t="e">
        <f t="shared" ca="1" si="243"/>
        <v>#NAME?</v>
      </c>
      <c r="AK341" s="568" t="e">
        <f t="shared" ca="1" si="256"/>
        <v>#NAME?</v>
      </c>
      <c r="AL341" s="313" t="e">
        <f t="shared" ca="1" si="257"/>
        <v>#NAME?</v>
      </c>
      <c r="AM341" s="313" t="e">
        <f t="shared" ca="1" si="244"/>
        <v>#NAME?</v>
      </c>
      <c r="AN341" s="313" t="e">
        <f t="shared" ca="1" si="245"/>
        <v>#NAME?</v>
      </c>
      <c r="AO341" s="316" t="e">
        <f t="shared" ca="1" si="258"/>
        <v>#NAME?</v>
      </c>
      <c r="AP341" s="313" t="e">
        <f t="shared" ca="1" si="259"/>
        <v>#NAME?</v>
      </c>
      <c r="AQ341" s="314" t="e">
        <f t="shared" ca="1" si="246"/>
        <v>#NAME?</v>
      </c>
      <c r="AR341" s="315" t="e">
        <f t="shared" ca="1" si="260"/>
        <v>#NAME?</v>
      </c>
      <c r="AS341" s="316" t="e">
        <f t="shared" ca="1" si="261"/>
        <v>#NAME?</v>
      </c>
      <c r="AT341" s="315" t="e">
        <f t="shared" ca="1" si="262"/>
        <v>#NAME?</v>
      </c>
      <c r="AU341" s="317">
        <v>427.8</v>
      </c>
      <c r="AV341" s="315" t="e">
        <f t="shared" ca="1" si="263"/>
        <v>#NAME?</v>
      </c>
      <c r="AW341" s="318" t="e">
        <f ca="1">0.0001*BicubicInterpolation('Drag Coef Table'!$B$4:$L$28,AV341,AC341)</f>
        <v>#NAME?</v>
      </c>
      <c r="AX341" s="319" t="e">
        <f t="shared" ca="1" si="264"/>
        <v>#NAME?</v>
      </c>
      <c r="AY341" s="318" t="e">
        <f t="shared" ca="1" si="265"/>
        <v>#NAME?</v>
      </c>
      <c r="AZ341" s="320" t="e">
        <f t="shared" ca="1" si="266"/>
        <v>#NAME?</v>
      </c>
      <c r="BA341" s="321" t="e">
        <f t="shared" ca="1" si="267"/>
        <v>#NAME?</v>
      </c>
      <c r="BB341" s="322" t="e">
        <f t="shared" ca="1" si="268"/>
        <v>#NAME?</v>
      </c>
      <c r="BC341" s="323">
        <v>75.196700000000007</v>
      </c>
      <c r="BD341" s="324" t="e">
        <f t="shared" ca="1" si="269"/>
        <v>#NAME?</v>
      </c>
      <c r="BE341" s="325" t="e">
        <f t="shared" ca="1" si="270"/>
        <v>#NAME?</v>
      </c>
      <c r="BF341" s="324" t="e">
        <f ca="1">BicubicInterpolation('TSFC Eff Table'!$B$4:$E$69,2,BB341)</f>
        <v>#NAME?</v>
      </c>
      <c r="BG341" s="326" t="e">
        <f t="shared" ca="1" si="271"/>
        <v>#NAME?</v>
      </c>
      <c r="BH341" s="694" t="e">
        <f ca="1">IF( S341="LRCINOP",   (1+(0.03/10)*Z341*(1+0.2*AC341^2) )*BicubicInterpolation( 'LRC INOP FF'!$C$4:$AA$21, Y341, U341 )-200, IF(S341 ="HOLDINGINOP", (1+(0.03/10)*Z341*(1+0.2*AC341^2) )*BicubicInterpolation( 'Holding INOP FF'!$C$4:$J$13,  Y341,  U341)/1.05-200,   BA341*BG341))</f>
        <v>#NAME?</v>
      </c>
      <c r="BI341" s="344" t="e">
        <f t="shared" ca="1" si="230"/>
        <v>#NAME?</v>
      </c>
      <c r="BJ341" s="322" t="e">
        <f t="shared" ca="1" si="272"/>
        <v>#NAME?</v>
      </c>
      <c r="BK341" s="338" t="e">
        <f t="shared" ca="1" si="231"/>
        <v>#NAME?</v>
      </c>
      <c r="BL341" s="327" t="e">
        <f t="shared" ca="1" si="273"/>
        <v>#NAME?</v>
      </c>
      <c r="BM341" s="328">
        <f t="shared" si="274"/>
        <v>200</v>
      </c>
      <c r="BN341" s="329" t="e">
        <f t="shared" ca="1" si="275"/>
        <v>#NAME?</v>
      </c>
      <c r="BO341" s="344" t="e">
        <f t="shared" ca="1" si="232"/>
        <v>#NAME?</v>
      </c>
      <c r="BP341" s="320" t="e">
        <f t="shared" ca="1" si="276"/>
        <v>#NAME?</v>
      </c>
      <c r="BQ341" s="344" t="e">
        <f t="shared" ca="1" si="233"/>
        <v>#NAME?</v>
      </c>
      <c r="BR341" s="347" t="e">
        <f t="shared" ca="1" si="234"/>
        <v>#NAME?</v>
      </c>
      <c r="BS341" s="326" t="e">
        <f t="shared" ca="1" si="277"/>
        <v>#NAME?</v>
      </c>
      <c r="BT341" s="437" t="e">
        <f t="shared" ca="1" si="247"/>
        <v>#NAME?</v>
      </c>
      <c r="BU341" s="437" t="e">
        <f t="shared" ca="1" si="248"/>
        <v>#NAME?</v>
      </c>
      <c r="BV341" s="441" t="e">
        <f t="shared" ca="1" si="249"/>
        <v>#NAME?</v>
      </c>
      <c r="BW341" s="442" t="e">
        <f t="shared" ca="1" si="250"/>
        <v>#NAME?</v>
      </c>
      <c r="BX341" s="470" t="e">
        <f t="shared" ref="BX341:BX404" ca="1" si="285">IF(Y341=0,I341,"")</f>
        <v>#NAME?</v>
      </c>
      <c r="BY341" s="484" t="e">
        <f t="shared" ca="1" si="235"/>
        <v>#NAME?</v>
      </c>
    </row>
    <row r="342" spans="9:77" ht="17.75" customHeight="1" x14ac:dyDescent="0.2">
      <c r="I342" s="366">
        <v>258</v>
      </c>
      <c r="J342" s="414">
        <f t="shared" si="236"/>
        <v>41705.891666667252</v>
      </c>
      <c r="K342" s="435" t="e">
        <f t="shared" ca="1" si="237"/>
        <v>#NAME?</v>
      </c>
      <c r="L342" s="435" t="e">
        <f t="shared" ref="L342:L405" ca="1" si="286">IF(N342=0,0,Q342*(1+$C$79)/60)</f>
        <v>#NAME?</v>
      </c>
      <c r="M342" s="664" t="e">
        <f t="shared" ca="1" si="278"/>
        <v>#NAME?</v>
      </c>
      <c r="N342" s="664" t="e">
        <f t="shared" ca="1" si="279"/>
        <v>#NAME?</v>
      </c>
      <c r="O342" s="140" t="e">
        <f t="shared" ref="O342:O405" ca="1" si="287">M342+N342</f>
        <v>#NAME?</v>
      </c>
      <c r="P342" s="352" t="e">
        <f t="shared" ca="1" si="238"/>
        <v>#NAME?</v>
      </c>
      <c r="Q342" s="665" t="e">
        <f t="shared" ca="1" si="280"/>
        <v>#NAME?</v>
      </c>
      <c r="R342" s="352" t="e">
        <f t="shared" ca="1" si="251"/>
        <v>#NAME?</v>
      </c>
      <c r="S342" s="662" t="e">
        <f t="shared" ref="S342:S405" ca="1" si="288">IF(O342=0, "MEFE",IF(AND(  NOT(S341="LRCINOP"),NOT(S341="HOLDINGINOP"),  N342=0), "INOP",IF(I342&gt;$M$83-1,$C$19,IF(I342&gt;$K$83-1,$C$13,$C$5))))</f>
        <v>#NAME?</v>
      </c>
      <c r="T342" s="443" t="e">
        <f t="shared" ca="1" si="281"/>
        <v>#NAME?</v>
      </c>
      <c r="U342" s="369" t="e">
        <f t="shared" ca="1" si="282"/>
        <v>#NAME?</v>
      </c>
      <c r="V342" s="454" t="e">
        <f t="shared" ref="V342:V405" ca="1" si="289">IF(S341="MEFE",0,IF(AND(S341="INOP", T342=$C$39 ), MIN($C$40,V341 ),IF(J341&lt;$C$12,$C$7,IF(J341&lt;$C$18,$C$15,$C$21))))</f>
        <v>#NAME?</v>
      </c>
      <c r="W342" s="457">
        <f t="shared" ref="W342:W405" si="290">$C$27</f>
        <v>1000</v>
      </c>
      <c r="X342" s="463" t="e">
        <f t="shared" ref="X342:X405" ca="1" si="291">IF(   Y341=0,  0,   IF(S342="INOP", $C$41, IF(S342="MEFE", $C$42,IF(OR(S342="KCAS",S342="HOLDING"), $C$31,$C$28 ) ))             )</f>
        <v>#NAME?</v>
      </c>
      <c r="Y342" s="455" t="e">
        <f t="shared" ca="1" si="239"/>
        <v>#NAME?</v>
      </c>
      <c r="Z342" s="699">
        <f t="shared" si="283"/>
        <v>8.5</v>
      </c>
      <c r="AA342" s="355" t="str">
        <f t="shared" si="284"/>
        <v>ON</v>
      </c>
      <c r="AB342" s="357">
        <f t="shared" si="252"/>
        <v>1.4999999999999999E-2</v>
      </c>
      <c r="AC342" s="356" t="e">
        <f ca="1">IF(  Y341=0,0,IF(OR(S342="KCAS",S342="INOP",S342="MEFE"),   ( (5*( (   (((1+0.2*(T342/661.4786)^2)^3.5 -1)  )/( (1-6.8755856*10^-6 *100*Y342)^5.2558797) +1)^(2/7) -1) )^0.5),IF(S342="MACH",T342, IF(S342="LRC",BicubicInterpolation( 'LRC Mach'!$C$4:$AL$21, Y342,U342),  IF(S342="MRC",BicubicInterpolation( 'MRC Mach'!$C$3:$T$18, Y342,U342),  IF(S342="M0.84",0.84,  IF(S342="CI52",BicubicInterpolation('CI=52 Mach'!$C$3:$T$18, Y342,U342),  IF(S342="HOLDING",BicubicInterpolation(  'Holding Mach'!$C$4:$M$13, Y342,U342),                         IF(S342="LRCINOP", BicubicInterpolation('LRC INOP Mach'!$C$4:$AA$21,Y342,U342), IF(S342="HOLDINGINOP",  BicubicInterpolation('Holding INOP Mach'!$N$4:$U$13,Y342,U342),         "XXX" )))))))   )))</f>
        <v>#NAME?</v>
      </c>
      <c r="AD342" s="313" t="e">
        <f t="shared" ca="1" si="253"/>
        <v>#NAME?</v>
      </c>
      <c r="AE342" s="314" t="e">
        <f t="shared" ca="1" si="240"/>
        <v>#NAME?</v>
      </c>
      <c r="AF342" s="313" t="e">
        <f t="shared" ca="1" si="254"/>
        <v>#NAME?</v>
      </c>
      <c r="AG342" s="314" t="e">
        <f t="shared" ca="1" si="241"/>
        <v>#NAME?</v>
      </c>
      <c r="AH342" s="313" t="e">
        <f t="shared" ca="1" si="255"/>
        <v>#NAME?</v>
      </c>
      <c r="AI342" s="314" t="e">
        <f t="shared" ca="1" si="242"/>
        <v>#NAME?</v>
      </c>
      <c r="AJ342" s="315" t="e">
        <f t="shared" ca="1" si="243"/>
        <v>#NAME?</v>
      </c>
      <c r="AK342" s="568" t="e">
        <f t="shared" ca="1" si="256"/>
        <v>#NAME?</v>
      </c>
      <c r="AL342" s="313" t="e">
        <f t="shared" ca="1" si="257"/>
        <v>#NAME?</v>
      </c>
      <c r="AM342" s="313" t="e">
        <f t="shared" ca="1" si="244"/>
        <v>#NAME?</v>
      </c>
      <c r="AN342" s="313" t="e">
        <f t="shared" ca="1" si="245"/>
        <v>#NAME?</v>
      </c>
      <c r="AO342" s="316" t="e">
        <f t="shared" ca="1" si="258"/>
        <v>#NAME?</v>
      </c>
      <c r="AP342" s="313" t="e">
        <f t="shared" ca="1" si="259"/>
        <v>#NAME?</v>
      </c>
      <c r="AQ342" s="314" t="e">
        <f t="shared" ca="1" si="246"/>
        <v>#NAME?</v>
      </c>
      <c r="AR342" s="315" t="e">
        <f t="shared" ca="1" si="260"/>
        <v>#NAME?</v>
      </c>
      <c r="AS342" s="316" t="e">
        <f t="shared" ca="1" si="261"/>
        <v>#NAME?</v>
      </c>
      <c r="AT342" s="315" t="e">
        <f t="shared" ca="1" si="262"/>
        <v>#NAME?</v>
      </c>
      <c r="AU342" s="317">
        <v>427.8</v>
      </c>
      <c r="AV342" s="315" t="e">
        <f t="shared" ca="1" si="263"/>
        <v>#NAME?</v>
      </c>
      <c r="AW342" s="318" t="e">
        <f ca="1">0.0001*BicubicInterpolation('Drag Coef Table'!$B$4:$L$28,AV342,AC342)</f>
        <v>#NAME?</v>
      </c>
      <c r="AX342" s="319" t="e">
        <f t="shared" ca="1" si="264"/>
        <v>#NAME?</v>
      </c>
      <c r="AY342" s="318" t="e">
        <f t="shared" ca="1" si="265"/>
        <v>#NAME?</v>
      </c>
      <c r="AZ342" s="320" t="e">
        <f t="shared" ca="1" si="266"/>
        <v>#NAME?</v>
      </c>
      <c r="BA342" s="321" t="e">
        <f t="shared" ca="1" si="267"/>
        <v>#NAME?</v>
      </c>
      <c r="BB342" s="322" t="e">
        <f t="shared" ca="1" si="268"/>
        <v>#NAME?</v>
      </c>
      <c r="BC342" s="323">
        <v>75.196700000000007</v>
      </c>
      <c r="BD342" s="324" t="e">
        <f t="shared" ca="1" si="269"/>
        <v>#NAME?</v>
      </c>
      <c r="BE342" s="325" t="e">
        <f t="shared" ca="1" si="270"/>
        <v>#NAME?</v>
      </c>
      <c r="BF342" s="324" t="e">
        <f ca="1">BicubicInterpolation('TSFC Eff Table'!$B$4:$E$69,2,BB342)</f>
        <v>#NAME?</v>
      </c>
      <c r="BG342" s="326" t="e">
        <f t="shared" ca="1" si="271"/>
        <v>#NAME?</v>
      </c>
      <c r="BH342" s="694" t="e">
        <f ca="1">IF( S342="LRCINOP",   (1+(0.03/10)*Z342*(1+0.2*AC342^2) )*BicubicInterpolation( 'LRC INOP FF'!$C$4:$AA$21, Y342, U342 )-200, IF(S342 ="HOLDINGINOP", (1+(0.03/10)*Z342*(1+0.2*AC342^2) )*BicubicInterpolation( 'Holding INOP FF'!$C$4:$J$13,  Y342,  U342)/1.05-200,   BA342*BG342))</f>
        <v>#NAME?</v>
      </c>
      <c r="BI342" s="344" t="e">
        <f t="shared" ref="BI342:BI405" ca="1" si="292">IF( OR( S342="LRCINOP", S342 ="HOLDINGINOP"),BH342, BH342/2)</f>
        <v>#NAME?</v>
      </c>
      <c r="BJ342" s="322" t="e">
        <f t="shared" ca="1" si="272"/>
        <v>#NAME?</v>
      </c>
      <c r="BK342" s="338" t="e">
        <f t="shared" ref="BK342:BK405" ca="1" si="293">IF( OR( S342="LRCINOP", S342 ="HOLDINGINOP"),BJ342, 2*BJ342)</f>
        <v>#NAME?</v>
      </c>
      <c r="BL342" s="327" t="e">
        <f t="shared" ca="1" si="273"/>
        <v>#NAME?</v>
      </c>
      <c r="BM342" s="328">
        <f t="shared" si="274"/>
        <v>200</v>
      </c>
      <c r="BN342" s="329" t="e">
        <f t="shared" ca="1" si="275"/>
        <v>#NAME?</v>
      </c>
      <c r="BO342" s="344" t="e">
        <f t="shared" ref="BO342:BO405" ca="1" si="294">IF( OR( S342="LRCINOP", S342 ="HOLDINGINOP"), BN342, 2*BN342)</f>
        <v>#NAME?</v>
      </c>
      <c r="BP342" s="320" t="e">
        <f t="shared" ca="1" si="276"/>
        <v>#NAME?</v>
      </c>
      <c r="BQ342" s="344" t="e">
        <f t="shared" ref="BQ342:BQ405" ca="1" si="295">BN342*(1+$C$25)</f>
        <v>#NAME?</v>
      </c>
      <c r="BR342" s="347" t="e">
        <f t="shared" ref="BR342:BR405" ca="1" si="296">BO342*(1+$C$25)</f>
        <v>#NAME?</v>
      </c>
      <c r="BS342" s="326" t="e">
        <f t="shared" ca="1" si="277"/>
        <v>#NAME?</v>
      </c>
      <c r="BT342" s="437" t="e">
        <f t="shared" ca="1" si="247"/>
        <v>#NAME?</v>
      </c>
      <c r="BU342" s="437" t="e">
        <f t="shared" ca="1" si="248"/>
        <v>#NAME?</v>
      </c>
      <c r="BV342" s="441" t="e">
        <f t="shared" ca="1" si="249"/>
        <v>#NAME?</v>
      </c>
      <c r="BW342" s="442" t="e">
        <f t="shared" ca="1" si="250"/>
        <v>#NAME?</v>
      </c>
      <c r="BX342" s="470" t="e">
        <f t="shared" ca="1" si="285"/>
        <v>#NAME?</v>
      </c>
      <c r="BY342" s="484" t="e">
        <f t="shared" ref="BY342:BY405" ca="1" si="297">100*O342</f>
        <v>#NAME?</v>
      </c>
    </row>
    <row r="343" spans="9:77" ht="17.75" customHeight="1" x14ac:dyDescent="0.2">
      <c r="I343" s="366">
        <v>259</v>
      </c>
      <c r="J343" s="414">
        <f t="shared" ref="J343:J406" si="298">J342+1/1440</f>
        <v>41705.892361111699</v>
      </c>
      <c r="K343" s="435" t="e">
        <f t="shared" ref="K343:K406" ca="1" si="299">IF(M343=0,0,Q343*(1+$C$78)/60)</f>
        <v>#NAME?</v>
      </c>
      <c r="L343" s="435" t="e">
        <f t="shared" ca="1" si="286"/>
        <v>#NAME?</v>
      </c>
      <c r="M343" s="664" t="e">
        <f t="shared" ca="1" si="278"/>
        <v>#NAME?</v>
      </c>
      <c r="N343" s="664" t="e">
        <f t="shared" ca="1" si="279"/>
        <v>#NAME?</v>
      </c>
      <c r="O343" s="140" t="e">
        <f t="shared" ca="1" si="287"/>
        <v>#NAME?</v>
      </c>
      <c r="P343" s="352" t="e">
        <f t="shared" ref="P343:P406" ca="1" si="300">MAX(O343+$C$24,$C$24)</f>
        <v>#NAME?</v>
      </c>
      <c r="Q343" s="665" t="e">
        <f t="shared" ca="1" si="280"/>
        <v>#NAME?</v>
      </c>
      <c r="R343" s="352" t="e">
        <f t="shared" ca="1" si="251"/>
        <v>#NAME?</v>
      </c>
      <c r="S343" s="662" t="e">
        <f t="shared" ca="1" si="288"/>
        <v>#NAME?</v>
      </c>
      <c r="T343" s="443" t="e">
        <f t="shared" ca="1" si="281"/>
        <v>#NAME?</v>
      </c>
      <c r="U343" s="369" t="e">
        <f t="shared" ca="1" si="282"/>
        <v>#NAME?</v>
      </c>
      <c r="V343" s="454" t="e">
        <f t="shared" ca="1" si="289"/>
        <v>#NAME?</v>
      </c>
      <c r="W343" s="457">
        <f t="shared" si="290"/>
        <v>1000</v>
      </c>
      <c r="X343" s="463" t="e">
        <f t="shared" ca="1" si="291"/>
        <v>#NAME?</v>
      </c>
      <c r="Y343" s="455" t="e">
        <f t="shared" ref="Y343:Y406" ca="1" si="301">Y342   +   IF(   V343=Y342,   0,   IF(V343-Y342&lt;0, MAX(V343-Y342,X343/100), IF(    V343-Y342&gt;0,    MIN(V343-Y342, W343/100 ))))</f>
        <v>#NAME?</v>
      </c>
      <c r="Z343" s="699">
        <f t="shared" si="283"/>
        <v>8.5</v>
      </c>
      <c r="AA343" s="355" t="str">
        <f t="shared" si="284"/>
        <v>ON</v>
      </c>
      <c r="AB343" s="357">
        <f t="shared" si="252"/>
        <v>1.4999999999999999E-2</v>
      </c>
      <c r="AC343" s="356" t="e">
        <f ca="1">IF(  Y342=0,0,IF(OR(S343="KCAS",S343="INOP",S343="MEFE"),   ( (5*( (   (((1+0.2*(T343/661.4786)^2)^3.5 -1)  )/( (1-6.8755856*10^-6 *100*Y343)^5.2558797) +1)^(2/7) -1) )^0.5),IF(S343="MACH",T343, IF(S343="LRC",BicubicInterpolation( 'LRC Mach'!$C$4:$AL$21, Y343,U343),  IF(S343="MRC",BicubicInterpolation( 'MRC Mach'!$C$3:$T$18, Y343,U343),  IF(S343="M0.84",0.84,  IF(S343="CI52",BicubicInterpolation('CI=52 Mach'!$C$3:$T$18, Y343,U343),  IF(S343="HOLDING",BicubicInterpolation(  'Holding Mach'!$C$4:$M$13, Y343,U343),                         IF(S343="LRCINOP", BicubicInterpolation('LRC INOP Mach'!$C$4:$AA$21,Y343,U343), IF(S343="HOLDINGINOP",  BicubicInterpolation('Holding INOP Mach'!$N$4:$U$13,Y343,U343),         "XXX" )))))))   )))</f>
        <v>#NAME?</v>
      </c>
      <c r="AD343" s="313" t="e">
        <f t="shared" ca="1" si="253"/>
        <v>#NAME?</v>
      </c>
      <c r="AE343" s="314" t="e">
        <f t="shared" ref="AE343:AE406" ca="1" si="302">AD343/288.15</f>
        <v>#NAME?</v>
      </c>
      <c r="AF343" s="313" t="e">
        <f t="shared" ca="1" si="254"/>
        <v>#NAME?</v>
      </c>
      <c r="AG343" s="314" t="e">
        <f t="shared" ref="AG343:AG406" ca="1" si="303">AF343/288.15</f>
        <v>#NAME?</v>
      </c>
      <c r="AH343" s="313" t="e">
        <f t="shared" ca="1" si="255"/>
        <v>#NAME?</v>
      </c>
      <c r="AI343" s="314" t="e">
        <f t="shared" ref="AI343:AI406" ca="1" si="304">AH343/288.15</f>
        <v>#NAME?</v>
      </c>
      <c r="AJ343" s="315" t="e">
        <f t="shared" ref="AJ343:AJ406" ca="1" si="305">AI343^0.68</f>
        <v>#NAME?</v>
      </c>
      <c r="AK343" s="568" t="e">
        <f t="shared" ca="1" si="256"/>
        <v>#NAME?</v>
      </c>
      <c r="AL343" s="313" t="e">
        <f t="shared" ca="1" si="257"/>
        <v>#NAME?</v>
      </c>
      <c r="AM343" s="313" t="e">
        <f t="shared" ref="AM343:AM406" ca="1" si="306">AL343*0.5144444</f>
        <v>#NAME?</v>
      </c>
      <c r="AN343" s="313" t="e">
        <f t="shared" ref="AN343:AN406" ca="1" si="307">AN342+AVERAGE(AL342:AL343)/60</f>
        <v>#NAME?</v>
      </c>
      <c r="AO343" s="316" t="e">
        <f t="shared" ca="1" si="258"/>
        <v>#NAME?</v>
      </c>
      <c r="AP343" s="313" t="e">
        <f t="shared" ca="1" si="259"/>
        <v>#NAME?</v>
      </c>
      <c r="AQ343" s="314" t="e">
        <f t="shared" ref="AQ343:AQ406" ca="1" si="308">AP343/1013.25</f>
        <v>#NAME?</v>
      </c>
      <c r="AR343" s="315" t="e">
        <f t="shared" ca="1" si="260"/>
        <v>#NAME?</v>
      </c>
      <c r="AS343" s="316" t="e">
        <f t="shared" ca="1" si="261"/>
        <v>#NAME?</v>
      </c>
      <c r="AT343" s="315" t="e">
        <f t="shared" ca="1" si="262"/>
        <v>#NAME?</v>
      </c>
      <c r="AU343" s="317">
        <v>427.8</v>
      </c>
      <c r="AV343" s="315" t="e">
        <f t="shared" ca="1" si="263"/>
        <v>#NAME?</v>
      </c>
      <c r="AW343" s="318" t="e">
        <f ca="1">0.0001*BicubicInterpolation('Drag Coef Table'!$B$4:$L$28,AV343,AC343)</f>
        <v>#NAME?</v>
      </c>
      <c r="AX343" s="319" t="e">
        <f t="shared" ca="1" si="264"/>
        <v>#NAME?</v>
      </c>
      <c r="AY343" s="318" t="e">
        <f t="shared" ca="1" si="265"/>
        <v>#NAME?</v>
      </c>
      <c r="AZ343" s="320" t="e">
        <f t="shared" ca="1" si="266"/>
        <v>#NAME?</v>
      </c>
      <c r="BA343" s="321" t="e">
        <f t="shared" ca="1" si="267"/>
        <v>#NAME?</v>
      </c>
      <c r="BB343" s="322" t="e">
        <f t="shared" ca="1" si="268"/>
        <v>#NAME?</v>
      </c>
      <c r="BC343" s="323">
        <v>75.196700000000007</v>
      </c>
      <c r="BD343" s="324" t="e">
        <f t="shared" ca="1" si="269"/>
        <v>#NAME?</v>
      </c>
      <c r="BE343" s="325" t="e">
        <f t="shared" ca="1" si="270"/>
        <v>#NAME?</v>
      </c>
      <c r="BF343" s="324" t="e">
        <f ca="1">BicubicInterpolation('TSFC Eff Table'!$B$4:$E$69,2,BB343)</f>
        <v>#NAME?</v>
      </c>
      <c r="BG343" s="326" t="e">
        <f t="shared" ca="1" si="271"/>
        <v>#NAME?</v>
      </c>
      <c r="BH343" s="694" t="e">
        <f ca="1">IF( S343="LRCINOP",   (1+(0.03/10)*Z343*(1+0.2*AC343^2) )*BicubicInterpolation( 'LRC INOP FF'!$C$4:$AA$21, Y343, U343 )-200, IF(S343 ="HOLDINGINOP", (1+(0.03/10)*Z343*(1+0.2*AC343^2) )*BicubicInterpolation( 'Holding INOP FF'!$C$4:$J$13,  Y343,  U343)/1.05-200,   BA343*BG343))</f>
        <v>#NAME?</v>
      </c>
      <c r="BI343" s="344" t="e">
        <f t="shared" ca="1" si="292"/>
        <v>#NAME?</v>
      </c>
      <c r="BJ343" s="322" t="e">
        <f t="shared" ca="1" si="272"/>
        <v>#NAME?</v>
      </c>
      <c r="BK343" s="338" t="e">
        <f t="shared" ca="1" si="293"/>
        <v>#NAME?</v>
      </c>
      <c r="BL343" s="327" t="e">
        <f t="shared" ca="1" si="273"/>
        <v>#NAME?</v>
      </c>
      <c r="BM343" s="328">
        <f t="shared" si="274"/>
        <v>200</v>
      </c>
      <c r="BN343" s="329" t="e">
        <f t="shared" ca="1" si="275"/>
        <v>#NAME?</v>
      </c>
      <c r="BO343" s="344" t="e">
        <f t="shared" ca="1" si="294"/>
        <v>#NAME?</v>
      </c>
      <c r="BP343" s="320" t="e">
        <f t="shared" ca="1" si="276"/>
        <v>#NAME?</v>
      </c>
      <c r="BQ343" s="344" t="e">
        <f t="shared" ca="1" si="295"/>
        <v>#NAME?</v>
      </c>
      <c r="BR343" s="347" t="e">
        <f t="shared" ca="1" si="296"/>
        <v>#NAME?</v>
      </c>
      <c r="BS343" s="326" t="e">
        <f t="shared" ca="1" si="277"/>
        <v>#NAME?</v>
      </c>
      <c r="BT343" s="437" t="e">
        <f t="shared" ref="BT343:BT406" ca="1" si="309">IF(AND(M343=0,M342&gt;0),I343,"")</f>
        <v>#NAME?</v>
      </c>
      <c r="BU343" s="437" t="e">
        <f t="shared" ref="BU343:BU406" ca="1" si="310">IF(AND(N343=0,N342&gt;0),$I343,"")</f>
        <v>#NAME?</v>
      </c>
      <c r="BV343" s="441" t="e">
        <f t="shared" ref="BV343:BV406" ca="1" si="311">BV342+AC342</f>
        <v>#NAME?</v>
      </c>
      <c r="BW343" s="442" t="e">
        <f t="shared" ref="BW343:BW406" ca="1" si="312">BW342+AL342</f>
        <v>#NAME?</v>
      </c>
      <c r="BX343" s="470" t="e">
        <f t="shared" ca="1" si="285"/>
        <v>#NAME?</v>
      </c>
      <c r="BY343" s="484" t="e">
        <f t="shared" ca="1" si="297"/>
        <v>#NAME?</v>
      </c>
    </row>
    <row r="344" spans="9:77" ht="17.75" customHeight="1" x14ac:dyDescent="0.2">
      <c r="I344" s="366">
        <v>260</v>
      </c>
      <c r="J344" s="414">
        <f t="shared" si="298"/>
        <v>41705.893055556146</v>
      </c>
      <c r="K344" s="435" t="e">
        <f t="shared" ca="1" si="299"/>
        <v>#NAME?</v>
      </c>
      <c r="L344" s="435" t="e">
        <f t="shared" ca="1" si="286"/>
        <v>#NAME?</v>
      </c>
      <c r="M344" s="664" t="e">
        <f t="shared" ca="1" si="278"/>
        <v>#NAME?</v>
      </c>
      <c r="N344" s="664" t="e">
        <f t="shared" ca="1" si="279"/>
        <v>#NAME?</v>
      </c>
      <c r="O344" s="140" t="e">
        <f t="shared" ca="1" si="287"/>
        <v>#NAME?</v>
      </c>
      <c r="P344" s="352" t="e">
        <f t="shared" ca="1" si="300"/>
        <v>#NAME?</v>
      </c>
      <c r="Q344" s="665" t="e">
        <f t="shared" ca="1" si="280"/>
        <v>#NAME?</v>
      </c>
      <c r="R344" s="352" t="e">
        <f t="shared" ca="1" si="251"/>
        <v>#NAME?</v>
      </c>
      <c r="S344" s="662" t="e">
        <f t="shared" ca="1" si="288"/>
        <v>#NAME?</v>
      </c>
      <c r="T344" s="443" t="e">
        <f t="shared" ca="1" si="281"/>
        <v>#NAME?</v>
      </c>
      <c r="U344" s="369" t="e">
        <f t="shared" ca="1" si="282"/>
        <v>#NAME?</v>
      </c>
      <c r="V344" s="454" t="e">
        <f t="shared" ca="1" si="289"/>
        <v>#NAME?</v>
      </c>
      <c r="W344" s="457">
        <f t="shared" si="290"/>
        <v>1000</v>
      </c>
      <c r="X344" s="463" t="e">
        <f t="shared" ca="1" si="291"/>
        <v>#NAME?</v>
      </c>
      <c r="Y344" s="455" t="e">
        <f t="shared" ca="1" si="301"/>
        <v>#NAME?</v>
      </c>
      <c r="Z344" s="699">
        <f t="shared" si="283"/>
        <v>8.5</v>
      </c>
      <c r="AA344" s="355" t="str">
        <f t="shared" si="284"/>
        <v>ON</v>
      </c>
      <c r="AB344" s="357">
        <f t="shared" si="252"/>
        <v>1.4999999999999999E-2</v>
      </c>
      <c r="AC344" s="356" t="e">
        <f ca="1">IF(  Y343=0,0,IF(OR(S344="KCAS",S344="INOP",S344="MEFE"),   ( (5*( (   (((1+0.2*(T344/661.4786)^2)^3.5 -1)  )/( (1-6.8755856*10^-6 *100*Y344)^5.2558797) +1)^(2/7) -1) )^0.5),IF(S344="MACH",T344, IF(S344="LRC",BicubicInterpolation( 'LRC Mach'!$C$4:$AL$21, Y344,U344),  IF(S344="MRC",BicubicInterpolation( 'MRC Mach'!$C$3:$T$18, Y344,U344),  IF(S344="M0.84",0.84,  IF(S344="CI52",BicubicInterpolation('CI=52 Mach'!$C$3:$T$18, Y344,U344),  IF(S344="HOLDING",BicubicInterpolation(  'Holding Mach'!$C$4:$M$13, Y344,U344),                         IF(S344="LRCINOP", BicubicInterpolation('LRC INOP Mach'!$C$4:$AA$21,Y344,U344), IF(S344="HOLDINGINOP",  BicubicInterpolation('Holding INOP Mach'!$N$4:$U$13,Y344,U344),         "XXX" )))))))   )))</f>
        <v>#NAME?</v>
      </c>
      <c r="AD344" s="313" t="e">
        <f t="shared" ca="1" si="253"/>
        <v>#NAME?</v>
      </c>
      <c r="AE344" s="314" t="e">
        <f t="shared" ca="1" si="302"/>
        <v>#NAME?</v>
      </c>
      <c r="AF344" s="313" t="e">
        <f t="shared" ca="1" si="254"/>
        <v>#NAME?</v>
      </c>
      <c r="AG344" s="314" t="e">
        <f t="shared" ca="1" si="303"/>
        <v>#NAME?</v>
      </c>
      <c r="AH344" s="313" t="e">
        <f t="shared" ca="1" si="255"/>
        <v>#NAME?</v>
      </c>
      <c r="AI344" s="314" t="e">
        <f t="shared" ca="1" si="304"/>
        <v>#NAME?</v>
      </c>
      <c r="AJ344" s="315" t="e">
        <f t="shared" ca="1" si="305"/>
        <v>#NAME?</v>
      </c>
      <c r="AK344" s="568" t="e">
        <f t="shared" ca="1" si="256"/>
        <v>#NAME?</v>
      </c>
      <c r="AL344" s="313" t="e">
        <f t="shared" ca="1" si="257"/>
        <v>#NAME?</v>
      </c>
      <c r="AM344" s="313" t="e">
        <f t="shared" ca="1" si="306"/>
        <v>#NAME?</v>
      </c>
      <c r="AN344" s="313" t="e">
        <f t="shared" ca="1" si="307"/>
        <v>#NAME?</v>
      </c>
      <c r="AO344" s="316" t="e">
        <f t="shared" ca="1" si="258"/>
        <v>#NAME?</v>
      </c>
      <c r="AP344" s="313" t="e">
        <f t="shared" ca="1" si="259"/>
        <v>#NAME?</v>
      </c>
      <c r="AQ344" s="314" t="e">
        <f t="shared" ca="1" si="308"/>
        <v>#NAME?</v>
      </c>
      <c r="AR344" s="315" t="e">
        <f t="shared" ca="1" si="260"/>
        <v>#NAME?</v>
      </c>
      <c r="AS344" s="316" t="e">
        <f t="shared" ca="1" si="261"/>
        <v>#NAME?</v>
      </c>
      <c r="AT344" s="315" t="e">
        <f t="shared" ca="1" si="262"/>
        <v>#NAME?</v>
      </c>
      <c r="AU344" s="317">
        <v>427.8</v>
      </c>
      <c r="AV344" s="315" t="e">
        <f t="shared" ca="1" si="263"/>
        <v>#NAME?</v>
      </c>
      <c r="AW344" s="318" t="e">
        <f ca="1">0.0001*BicubicInterpolation('Drag Coef Table'!$B$4:$L$28,AV344,AC344)</f>
        <v>#NAME?</v>
      </c>
      <c r="AX344" s="319" t="e">
        <f t="shared" ca="1" si="264"/>
        <v>#NAME?</v>
      </c>
      <c r="AY344" s="318" t="e">
        <f t="shared" ca="1" si="265"/>
        <v>#NAME?</v>
      </c>
      <c r="AZ344" s="320" t="e">
        <f t="shared" ca="1" si="266"/>
        <v>#NAME?</v>
      </c>
      <c r="BA344" s="321" t="e">
        <f t="shared" ca="1" si="267"/>
        <v>#NAME?</v>
      </c>
      <c r="BB344" s="322" t="e">
        <f t="shared" ca="1" si="268"/>
        <v>#NAME?</v>
      </c>
      <c r="BC344" s="323">
        <v>75.196700000000007</v>
      </c>
      <c r="BD344" s="324" t="e">
        <f t="shared" ca="1" si="269"/>
        <v>#NAME?</v>
      </c>
      <c r="BE344" s="325" t="e">
        <f t="shared" ca="1" si="270"/>
        <v>#NAME?</v>
      </c>
      <c r="BF344" s="324" t="e">
        <f ca="1">BicubicInterpolation('TSFC Eff Table'!$B$4:$E$69,2,BB344)</f>
        <v>#NAME?</v>
      </c>
      <c r="BG344" s="326" t="e">
        <f t="shared" ca="1" si="271"/>
        <v>#NAME?</v>
      </c>
      <c r="BH344" s="694" t="e">
        <f ca="1">IF( S344="LRCINOP",   (1+(0.03/10)*Z344*(1+0.2*AC344^2) )*BicubicInterpolation( 'LRC INOP FF'!$C$4:$AA$21, Y344, U344 )-200, IF(S344 ="HOLDINGINOP", (1+(0.03/10)*Z344*(1+0.2*AC344^2) )*BicubicInterpolation( 'Holding INOP FF'!$C$4:$J$13,  Y344,  U344)/1.05-200,   BA344*BG344))</f>
        <v>#NAME?</v>
      </c>
      <c r="BI344" s="344" t="e">
        <f t="shared" ca="1" si="292"/>
        <v>#NAME?</v>
      </c>
      <c r="BJ344" s="322" t="e">
        <f t="shared" ca="1" si="272"/>
        <v>#NAME?</v>
      </c>
      <c r="BK344" s="338" t="e">
        <f t="shared" ca="1" si="293"/>
        <v>#NAME?</v>
      </c>
      <c r="BL344" s="327" t="e">
        <f t="shared" ca="1" si="273"/>
        <v>#NAME?</v>
      </c>
      <c r="BM344" s="328">
        <f t="shared" si="274"/>
        <v>200</v>
      </c>
      <c r="BN344" s="329" t="e">
        <f t="shared" ca="1" si="275"/>
        <v>#NAME?</v>
      </c>
      <c r="BO344" s="344" t="e">
        <f t="shared" ca="1" si="294"/>
        <v>#NAME?</v>
      </c>
      <c r="BP344" s="320" t="e">
        <f t="shared" ca="1" si="276"/>
        <v>#NAME?</v>
      </c>
      <c r="BQ344" s="344" t="e">
        <f t="shared" ca="1" si="295"/>
        <v>#NAME?</v>
      </c>
      <c r="BR344" s="347" t="e">
        <f t="shared" ca="1" si="296"/>
        <v>#NAME?</v>
      </c>
      <c r="BS344" s="326" t="e">
        <f t="shared" ca="1" si="277"/>
        <v>#NAME?</v>
      </c>
      <c r="BT344" s="437" t="e">
        <f t="shared" ca="1" si="309"/>
        <v>#NAME?</v>
      </c>
      <c r="BU344" s="437" t="e">
        <f t="shared" ca="1" si="310"/>
        <v>#NAME?</v>
      </c>
      <c r="BV344" s="441" t="e">
        <f t="shared" ca="1" si="311"/>
        <v>#NAME?</v>
      </c>
      <c r="BW344" s="442" t="e">
        <f t="shared" ca="1" si="312"/>
        <v>#NAME?</v>
      </c>
      <c r="BX344" s="470" t="e">
        <f t="shared" ca="1" si="285"/>
        <v>#NAME?</v>
      </c>
      <c r="BY344" s="484" t="e">
        <f t="shared" ca="1" si="297"/>
        <v>#NAME?</v>
      </c>
    </row>
    <row r="345" spans="9:77" ht="17.75" customHeight="1" x14ac:dyDescent="0.2">
      <c r="I345" s="366">
        <v>261</v>
      </c>
      <c r="J345" s="414">
        <f t="shared" si="298"/>
        <v>41705.893750000592</v>
      </c>
      <c r="K345" s="435" t="e">
        <f t="shared" ca="1" si="299"/>
        <v>#NAME?</v>
      </c>
      <c r="L345" s="435" t="e">
        <f t="shared" ca="1" si="286"/>
        <v>#NAME?</v>
      </c>
      <c r="M345" s="664" t="e">
        <f t="shared" ca="1" si="278"/>
        <v>#NAME?</v>
      </c>
      <c r="N345" s="664" t="e">
        <f t="shared" ca="1" si="279"/>
        <v>#NAME?</v>
      </c>
      <c r="O345" s="140" t="e">
        <f t="shared" ca="1" si="287"/>
        <v>#NAME?</v>
      </c>
      <c r="P345" s="352" t="e">
        <f t="shared" ca="1" si="300"/>
        <v>#NAME?</v>
      </c>
      <c r="Q345" s="665" t="e">
        <f t="shared" ca="1" si="280"/>
        <v>#NAME?</v>
      </c>
      <c r="R345" s="352" t="e">
        <f t="shared" ca="1" si="251"/>
        <v>#NAME?</v>
      </c>
      <c r="S345" s="662" t="e">
        <f t="shared" ca="1" si="288"/>
        <v>#NAME?</v>
      </c>
      <c r="T345" s="443" t="e">
        <f t="shared" ca="1" si="281"/>
        <v>#NAME?</v>
      </c>
      <c r="U345" s="369" t="e">
        <f t="shared" ca="1" si="282"/>
        <v>#NAME?</v>
      </c>
      <c r="V345" s="454" t="e">
        <f t="shared" ca="1" si="289"/>
        <v>#NAME?</v>
      </c>
      <c r="W345" s="457">
        <f t="shared" si="290"/>
        <v>1000</v>
      </c>
      <c r="X345" s="463" t="e">
        <f t="shared" ca="1" si="291"/>
        <v>#NAME?</v>
      </c>
      <c r="Y345" s="455" t="e">
        <f t="shared" ca="1" si="301"/>
        <v>#NAME?</v>
      </c>
      <c r="Z345" s="699">
        <f t="shared" si="283"/>
        <v>8.5</v>
      </c>
      <c r="AA345" s="355" t="str">
        <f t="shared" si="284"/>
        <v>ON</v>
      </c>
      <c r="AB345" s="357">
        <f t="shared" si="252"/>
        <v>1.4999999999999999E-2</v>
      </c>
      <c r="AC345" s="356" t="e">
        <f ca="1">IF(  Y344=0,0,IF(OR(S345="KCAS",S345="INOP",S345="MEFE"),   ( (5*( (   (((1+0.2*(T345/661.4786)^2)^3.5 -1)  )/( (1-6.8755856*10^-6 *100*Y345)^5.2558797) +1)^(2/7) -1) )^0.5),IF(S345="MACH",T345, IF(S345="LRC",BicubicInterpolation( 'LRC Mach'!$C$4:$AL$21, Y345,U345),  IF(S345="MRC",BicubicInterpolation( 'MRC Mach'!$C$3:$T$18, Y345,U345),  IF(S345="M0.84",0.84,  IF(S345="CI52",BicubicInterpolation('CI=52 Mach'!$C$3:$T$18, Y345,U345),  IF(S345="HOLDING",BicubicInterpolation(  'Holding Mach'!$C$4:$M$13, Y345,U345),                         IF(S345="LRCINOP", BicubicInterpolation('LRC INOP Mach'!$C$4:$AA$21,Y345,U345), IF(S345="HOLDINGINOP",  BicubicInterpolation('Holding INOP Mach'!$N$4:$U$13,Y345,U345),         "XXX" )))))))   )))</f>
        <v>#NAME?</v>
      </c>
      <c r="AD345" s="313" t="e">
        <f t="shared" ca="1" si="253"/>
        <v>#NAME?</v>
      </c>
      <c r="AE345" s="314" t="e">
        <f t="shared" ca="1" si="302"/>
        <v>#NAME?</v>
      </c>
      <c r="AF345" s="313" t="e">
        <f t="shared" ca="1" si="254"/>
        <v>#NAME?</v>
      </c>
      <c r="AG345" s="314" t="e">
        <f t="shared" ca="1" si="303"/>
        <v>#NAME?</v>
      </c>
      <c r="AH345" s="313" t="e">
        <f t="shared" ca="1" si="255"/>
        <v>#NAME?</v>
      </c>
      <c r="AI345" s="314" t="e">
        <f t="shared" ca="1" si="304"/>
        <v>#NAME?</v>
      </c>
      <c r="AJ345" s="315" t="e">
        <f t="shared" ca="1" si="305"/>
        <v>#NAME?</v>
      </c>
      <c r="AK345" s="568" t="e">
        <f t="shared" ca="1" si="256"/>
        <v>#NAME?</v>
      </c>
      <c r="AL345" s="313" t="e">
        <f t="shared" ca="1" si="257"/>
        <v>#NAME?</v>
      </c>
      <c r="AM345" s="313" t="e">
        <f t="shared" ca="1" si="306"/>
        <v>#NAME?</v>
      </c>
      <c r="AN345" s="313" t="e">
        <f t="shared" ca="1" si="307"/>
        <v>#NAME?</v>
      </c>
      <c r="AO345" s="316" t="e">
        <f t="shared" ca="1" si="258"/>
        <v>#NAME?</v>
      </c>
      <c r="AP345" s="313" t="e">
        <f t="shared" ca="1" si="259"/>
        <v>#NAME?</v>
      </c>
      <c r="AQ345" s="314" t="e">
        <f t="shared" ca="1" si="308"/>
        <v>#NAME?</v>
      </c>
      <c r="AR345" s="315" t="e">
        <f t="shared" ca="1" si="260"/>
        <v>#NAME?</v>
      </c>
      <c r="AS345" s="316" t="e">
        <f t="shared" ca="1" si="261"/>
        <v>#NAME?</v>
      </c>
      <c r="AT345" s="315" t="e">
        <f t="shared" ca="1" si="262"/>
        <v>#NAME?</v>
      </c>
      <c r="AU345" s="317">
        <v>427.8</v>
      </c>
      <c r="AV345" s="315" t="e">
        <f t="shared" ca="1" si="263"/>
        <v>#NAME?</v>
      </c>
      <c r="AW345" s="318" t="e">
        <f ca="1">0.0001*BicubicInterpolation('Drag Coef Table'!$B$4:$L$28,AV345,AC345)</f>
        <v>#NAME?</v>
      </c>
      <c r="AX345" s="319" t="e">
        <f t="shared" ca="1" si="264"/>
        <v>#NAME?</v>
      </c>
      <c r="AY345" s="318" t="e">
        <f t="shared" ca="1" si="265"/>
        <v>#NAME?</v>
      </c>
      <c r="AZ345" s="320" t="e">
        <f t="shared" ca="1" si="266"/>
        <v>#NAME?</v>
      </c>
      <c r="BA345" s="321" t="e">
        <f t="shared" ca="1" si="267"/>
        <v>#NAME?</v>
      </c>
      <c r="BB345" s="322" t="e">
        <f t="shared" ca="1" si="268"/>
        <v>#NAME?</v>
      </c>
      <c r="BC345" s="323">
        <v>75.196700000000007</v>
      </c>
      <c r="BD345" s="324" t="e">
        <f t="shared" ca="1" si="269"/>
        <v>#NAME?</v>
      </c>
      <c r="BE345" s="325" t="e">
        <f t="shared" ca="1" si="270"/>
        <v>#NAME?</v>
      </c>
      <c r="BF345" s="324" t="e">
        <f ca="1">BicubicInterpolation('TSFC Eff Table'!$B$4:$E$69,2,BB345)</f>
        <v>#NAME?</v>
      </c>
      <c r="BG345" s="326" t="e">
        <f t="shared" ca="1" si="271"/>
        <v>#NAME?</v>
      </c>
      <c r="BH345" s="694" t="e">
        <f ca="1">IF( S345="LRCINOP",   (1+(0.03/10)*Z345*(1+0.2*AC345^2) )*BicubicInterpolation( 'LRC INOP FF'!$C$4:$AA$21, Y345, U345 )-200, IF(S345 ="HOLDINGINOP", (1+(0.03/10)*Z345*(1+0.2*AC345^2) )*BicubicInterpolation( 'Holding INOP FF'!$C$4:$J$13,  Y345,  U345)/1.05-200,   BA345*BG345))</f>
        <v>#NAME?</v>
      </c>
      <c r="BI345" s="344" t="e">
        <f t="shared" ca="1" si="292"/>
        <v>#NAME?</v>
      </c>
      <c r="BJ345" s="322" t="e">
        <f t="shared" ca="1" si="272"/>
        <v>#NAME?</v>
      </c>
      <c r="BK345" s="338" t="e">
        <f t="shared" ca="1" si="293"/>
        <v>#NAME?</v>
      </c>
      <c r="BL345" s="327" t="e">
        <f t="shared" ca="1" si="273"/>
        <v>#NAME?</v>
      </c>
      <c r="BM345" s="328">
        <f t="shared" si="274"/>
        <v>200</v>
      </c>
      <c r="BN345" s="329" t="e">
        <f t="shared" ca="1" si="275"/>
        <v>#NAME?</v>
      </c>
      <c r="BO345" s="344" t="e">
        <f t="shared" ca="1" si="294"/>
        <v>#NAME?</v>
      </c>
      <c r="BP345" s="320" t="e">
        <f t="shared" ca="1" si="276"/>
        <v>#NAME?</v>
      </c>
      <c r="BQ345" s="344" t="e">
        <f t="shared" ca="1" si="295"/>
        <v>#NAME?</v>
      </c>
      <c r="BR345" s="347" t="e">
        <f t="shared" ca="1" si="296"/>
        <v>#NAME?</v>
      </c>
      <c r="BS345" s="326" t="e">
        <f t="shared" ca="1" si="277"/>
        <v>#NAME?</v>
      </c>
      <c r="BT345" s="437" t="e">
        <f t="shared" ca="1" si="309"/>
        <v>#NAME?</v>
      </c>
      <c r="BU345" s="437" t="e">
        <f t="shared" ca="1" si="310"/>
        <v>#NAME?</v>
      </c>
      <c r="BV345" s="441" t="e">
        <f t="shared" ca="1" si="311"/>
        <v>#NAME?</v>
      </c>
      <c r="BW345" s="442" t="e">
        <f t="shared" ca="1" si="312"/>
        <v>#NAME?</v>
      </c>
      <c r="BX345" s="470" t="e">
        <f t="shared" ca="1" si="285"/>
        <v>#NAME?</v>
      </c>
      <c r="BY345" s="484" t="e">
        <f t="shared" ca="1" si="297"/>
        <v>#NAME?</v>
      </c>
    </row>
    <row r="346" spans="9:77" ht="17.75" customHeight="1" x14ac:dyDescent="0.2">
      <c r="I346" s="366">
        <v>262</v>
      </c>
      <c r="J346" s="414">
        <f t="shared" si="298"/>
        <v>41705.894444445039</v>
      </c>
      <c r="K346" s="435" t="e">
        <f t="shared" ca="1" si="299"/>
        <v>#NAME?</v>
      </c>
      <c r="L346" s="435" t="e">
        <f t="shared" ca="1" si="286"/>
        <v>#NAME?</v>
      </c>
      <c r="M346" s="664" t="e">
        <f t="shared" ca="1" si="278"/>
        <v>#NAME?</v>
      </c>
      <c r="N346" s="664" t="e">
        <f t="shared" ca="1" si="279"/>
        <v>#NAME?</v>
      </c>
      <c r="O346" s="140" t="e">
        <f t="shared" ca="1" si="287"/>
        <v>#NAME?</v>
      </c>
      <c r="P346" s="352" t="e">
        <f t="shared" ca="1" si="300"/>
        <v>#NAME?</v>
      </c>
      <c r="Q346" s="665" t="e">
        <f t="shared" ca="1" si="280"/>
        <v>#NAME?</v>
      </c>
      <c r="R346" s="352" t="e">
        <f t="shared" ca="1" si="251"/>
        <v>#NAME?</v>
      </c>
      <c r="S346" s="662" t="e">
        <f t="shared" ca="1" si="288"/>
        <v>#NAME?</v>
      </c>
      <c r="T346" s="443" t="e">
        <f t="shared" ca="1" si="281"/>
        <v>#NAME?</v>
      </c>
      <c r="U346" s="369" t="e">
        <f t="shared" ca="1" si="282"/>
        <v>#NAME?</v>
      </c>
      <c r="V346" s="454" t="e">
        <f t="shared" ca="1" si="289"/>
        <v>#NAME?</v>
      </c>
      <c r="W346" s="457">
        <f t="shared" si="290"/>
        <v>1000</v>
      </c>
      <c r="X346" s="463" t="e">
        <f t="shared" ca="1" si="291"/>
        <v>#NAME?</v>
      </c>
      <c r="Y346" s="455" t="e">
        <f t="shared" ca="1" si="301"/>
        <v>#NAME?</v>
      </c>
      <c r="Z346" s="699">
        <f t="shared" si="283"/>
        <v>8.5</v>
      </c>
      <c r="AA346" s="355" t="str">
        <f t="shared" si="284"/>
        <v>ON</v>
      </c>
      <c r="AB346" s="357">
        <f t="shared" si="252"/>
        <v>1.4999999999999999E-2</v>
      </c>
      <c r="AC346" s="356" t="e">
        <f ca="1">IF(  Y345=0,0,IF(OR(S346="KCAS",S346="INOP",S346="MEFE"),   ( (5*( (   (((1+0.2*(T346/661.4786)^2)^3.5 -1)  )/( (1-6.8755856*10^-6 *100*Y346)^5.2558797) +1)^(2/7) -1) )^0.5),IF(S346="MACH",T346, IF(S346="LRC",BicubicInterpolation( 'LRC Mach'!$C$4:$AL$21, Y346,U346),  IF(S346="MRC",BicubicInterpolation( 'MRC Mach'!$C$3:$T$18, Y346,U346),  IF(S346="M0.84",0.84,  IF(S346="CI52",BicubicInterpolation('CI=52 Mach'!$C$3:$T$18, Y346,U346),  IF(S346="HOLDING",BicubicInterpolation(  'Holding Mach'!$C$4:$M$13, Y346,U346),                         IF(S346="LRCINOP", BicubicInterpolation('LRC INOP Mach'!$C$4:$AA$21,Y346,U346), IF(S346="HOLDINGINOP",  BicubicInterpolation('Holding INOP Mach'!$N$4:$U$13,Y346,U346),         "XXX" )))))))   )))</f>
        <v>#NAME?</v>
      </c>
      <c r="AD346" s="313" t="e">
        <f t="shared" ca="1" si="253"/>
        <v>#NAME?</v>
      </c>
      <c r="AE346" s="314" t="e">
        <f t="shared" ca="1" si="302"/>
        <v>#NAME?</v>
      </c>
      <c r="AF346" s="313" t="e">
        <f t="shared" ca="1" si="254"/>
        <v>#NAME?</v>
      </c>
      <c r="AG346" s="314" t="e">
        <f t="shared" ca="1" si="303"/>
        <v>#NAME?</v>
      </c>
      <c r="AH346" s="313" t="e">
        <f t="shared" ca="1" si="255"/>
        <v>#NAME?</v>
      </c>
      <c r="AI346" s="314" t="e">
        <f t="shared" ca="1" si="304"/>
        <v>#NAME?</v>
      </c>
      <c r="AJ346" s="315" t="e">
        <f t="shared" ca="1" si="305"/>
        <v>#NAME?</v>
      </c>
      <c r="AK346" s="568" t="e">
        <f t="shared" ca="1" si="256"/>
        <v>#NAME?</v>
      </c>
      <c r="AL346" s="313" t="e">
        <f t="shared" ca="1" si="257"/>
        <v>#NAME?</v>
      </c>
      <c r="AM346" s="313" t="e">
        <f t="shared" ca="1" si="306"/>
        <v>#NAME?</v>
      </c>
      <c r="AN346" s="313" t="e">
        <f t="shared" ca="1" si="307"/>
        <v>#NAME?</v>
      </c>
      <c r="AO346" s="316" t="e">
        <f t="shared" ca="1" si="258"/>
        <v>#NAME?</v>
      </c>
      <c r="AP346" s="313" t="e">
        <f t="shared" ca="1" si="259"/>
        <v>#NAME?</v>
      </c>
      <c r="AQ346" s="314" t="e">
        <f t="shared" ca="1" si="308"/>
        <v>#NAME?</v>
      </c>
      <c r="AR346" s="315" t="e">
        <f t="shared" ca="1" si="260"/>
        <v>#NAME?</v>
      </c>
      <c r="AS346" s="316" t="e">
        <f t="shared" ca="1" si="261"/>
        <v>#NAME?</v>
      </c>
      <c r="AT346" s="315" t="e">
        <f t="shared" ca="1" si="262"/>
        <v>#NAME?</v>
      </c>
      <c r="AU346" s="317">
        <v>427.8</v>
      </c>
      <c r="AV346" s="315" t="e">
        <f t="shared" ca="1" si="263"/>
        <v>#NAME?</v>
      </c>
      <c r="AW346" s="318" t="e">
        <f ca="1">0.0001*BicubicInterpolation('Drag Coef Table'!$B$4:$L$28,AV346,AC346)</f>
        <v>#NAME?</v>
      </c>
      <c r="AX346" s="319" t="e">
        <f t="shared" ca="1" si="264"/>
        <v>#NAME?</v>
      </c>
      <c r="AY346" s="318" t="e">
        <f t="shared" ca="1" si="265"/>
        <v>#NAME?</v>
      </c>
      <c r="AZ346" s="320" t="e">
        <f t="shared" ca="1" si="266"/>
        <v>#NAME?</v>
      </c>
      <c r="BA346" s="321" t="e">
        <f t="shared" ca="1" si="267"/>
        <v>#NAME?</v>
      </c>
      <c r="BB346" s="322" t="e">
        <f t="shared" ca="1" si="268"/>
        <v>#NAME?</v>
      </c>
      <c r="BC346" s="323">
        <v>75.196700000000007</v>
      </c>
      <c r="BD346" s="324" t="e">
        <f t="shared" ca="1" si="269"/>
        <v>#NAME?</v>
      </c>
      <c r="BE346" s="325" t="e">
        <f t="shared" ca="1" si="270"/>
        <v>#NAME?</v>
      </c>
      <c r="BF346" s="324" t="e">
        <f ca="1">BicubicInterpolation('TSFC Eff Table'!$B$4:$E$69,2,BB346)</f>
        <v>#NAME?</v>
      </c>
      <c r="BG346" s="326" t="e">
        <f t="shared" ca="1" si="271"/>
        <v>#NAME?</v>
      </c>
      <c r="BH346" s="694" t="e">
        <f ca="1">IF( S346="LRCINOP",   (1+(0.03/10)*Z346*(1+0.2*AC346^2) )*BicubicInterpolation( 'LRC INOP FF'!$C$4:$AA$21, Y346, U346 )-200, IF(S346 ="HOLDINGINOP", (1+(0.03/10)*Z346*(1+0.2*AC346^2) )*BicubicInterpolation( 'Holding INOP FF'!$C$4:$J$13,  Y346,  U346)/1.05-200,   BA346*BG346))</f>
        <v>#NAME?</v>
      </c>
      <c r="BI346" s="344" t="e">
        <f t="shared" ca="1" si="292"/>
        <v>#NAME?</v>
      </c>
      <c r="BJ346" s="322" t="e">
        <f t="shared" ca="1" si="272"/>
        <v>#NAME?</v>
      </c>
      <c r="BK346" s="338" t="e">
        <f t="shared" ca="1" si="293"/>
        <v>#NAME?</v>
      </c>
      <c r="BL346" s="327" t="e">
        <f t="shared" ca="1" si="273"/>
        <v>#NAME?</v>
      </c>
      <c r="BM346" s="328">
        <f t="shared" si="274"/>
        <v>200</v>
      </c>
      <c r="BN346" s="329" t="e">
        <f t="shared" ca="1" si="275"/>
        <v>#NAME?</v>
      </c>
      <c r="BO346" s="344" t="e">
        <f t="shared" ca="1" si="294"/>
        <v>#NAME?</v>
      </c>
      <c r="BP346" s="320" t="e">
        <f t="shared" ca="1" si="276"/>
        <v>#NAME?</v>
      </c>
      <c r="BQ346" s="344" t="e">
        <f t="shared" ca="1" si="295"/>
        <v>#NAME?</v>
      </c>
      <c r="BR346" s="347" t="e">
        <f t="shared" ca="1" si="296"/>
        <v>#NAME?</v>
      </c>
      <c r="BS346" s="326" t="e">
        <f t="shared" ca="1" si="277"/>
        <v>#NAME?</v>
      </c>
      <c r="BT346" s="437" t="e">
        <f t="shared" ca="1" si="309"/>
        <v>#NAME?</v>
      </c>
      <c r="BU346" s="437" t="e">
        <f t="shared" ca="1" si="310"/>
        <v>#NAME?</v>
      </c>
      <c r="BV346" s="441" t="e">
        <f t="shared" ca="1" si="311"/>
        <v>#NAME?</v>
      </c>
      <c r="BW346" s="442" t="e">
        <f t="shared" ca="1" si="312"/>
        <v>#NAME?</v>
      </c>
      <c r="BX346" s="470" t="e">
        <f t="shared" ca="1" si="285"/>
        <v>#NAME?</v>
      </c>
      <c r="BY346" s="484" t="e">
        <f t="shared" ca="1" si="297"/>
        <v>#NAME?</v>
      </c>
    </row>
    <row r="347" spans="9:77" ht="17.75" customHeight="1" x14ac:dyDescent="0.2">
      <c r="I347" s="366">
        <v>263</v>
      </c>
      <c r="J347" s="414">
        <f t="shared" si="298"/>
        <v>41705.895138889486</v>
      </c>
      <c r="K347" s="435" t="e">
        <f t="shared" ca="1" si="299"/>
        <v>#NAME?</v>
      </c>
      <c r="L347" s="435" t="e">
        <f t="shared" ca="1" si="286"/>
        <v>#NAME?</v>
      </c>
      <c r="M347" s="664" t="e">
        <f t="shared" ca="1" si="278"/>
        <v>#NAME?</v>
      </c>
      <c r="N347" s="664" t="e">
        <f t="shared" ca="1" si="279"/>
        <v>#NAME?</v>
      </c>
      <c r="O347" s="140" t="e">
        <f t="shared" ca="1" si="287"/>
        <v>#NAME?</v>
      </c>
      <c r="P347" s="352" t="e">
        <f t="shared" ca="1" si="300"/>
        <v>#NAME?</v>
      </c>
      <c r="Q347" s="665" t="e">
        <f t="shared" ca="1" si="280"/>
        <v>#NAME?</v>
      </c>
      <c r="R347" s="352" t="e">
        <f t="shared" ca="1" si="251"/>
        <v>#NAME?</v>
      </c>
      <c r="S347" s="662" t="e">
        <f t="shared" ca="1" si="288"/>
        <v>#NAME?</v>
      </c>
      <c r="T347" s="443" t="e">
        <f t="shared" ca="1" si="281"/>
        <v>#NAME?</v>
      </c>
      <c r="U347" s="369" t="e">
        <f t="shared" ca="1" si="282"/>
        <v>#NAME?</v>
      </c>
      <c r="V347" s="454" t="e">
        <f t="shared" ca="1" si="289"/>
        <v>#NAME?</v>
      </c>
      <c r="W347" s="457">
        <f t="shared" si="290"/>
        <v>1000</v>
      </c>
      <c r="X347" s="463" t="e">
        <f t="shared" ca="1" si="291"/>
        <v>#NAME?</v>
      </c>
      <c r="Y347" s="455" t="e">
        <f t="shared" ca="1" si="301"/>
        <v>#NAME?</v>
      </c>
      <c r="Z347" s="699">
        <f t="shared" si="283"/>
        <v>8.5</v>
      </c>
      <c r="AA347" s="355" t="str">
        <f t="shared" si="284"/>
        <v>ON</v>
      </c>
      <c r="AB347" s="357">
        <f t="shared" si="252"/>
        <v>1.4999999999999999E-2</v>
      </c>
      <c r="AC347" s="356" t="e">
        <f ca="1">IF(  Y346=0,0,IF(OR(S347="KCAS",S347="INOP",S347="MEFE"),   ( (5*( (   (((1+0.2*(T347/661.4786)^2)^3.5 -1)  )/( (1-6.8755856*10^-6 *100*Y347)^5.2558797) +1)^(2/7) -1) )^0.5),IF(S347="MACH",T347, IF(S347="LRC",BicubicInterpolation( 'LRC Mach'!$C$4:$AL$21, Y347,U347),  IF(S347="MRC",BicubicInterpolation( 'MRC Mach'!$C$3:$T$18, Y347,U347),  IF(S347="M0.84",0.84,  IF(S347="CI52",BicubicInterpolation('CI=52 Mach'!$C$3:$T$18, Y347,U347),  IF(S347="HOLDING",BicubicInterpolation(  'Holding Mach'!$C$4:$M$13, Y347,U347),                         IF(S347="LRCINOP", BicubicInterpolation('LRC INOP Mach'!$C$4:$AA$21,Y347,U347), IF(S347="HOLDINGINOP",  BicubicInterpolation('Holding INOP Mach'!$N$4:$U$13,Y347,U347),         "XXX" )))))))   )))</f>
        <v>#NAME?</v>
      </c>
      <c r="AD347" s="313" t="e">
        <f t="shared" ca="1" si="253"/>
        <v>#NAME?</v>
      </c>
      <c r="AE347" s="314" t="e">
        <f t="shared" ca="1" si="302"/>
        <v>#NAME?</v>
      </c>
      <c r="AF347" s="313" t="e">
        <f t="shared" ca="1" si="254"/>
        <v>#NAME?</v>
      </c>
      <c r="AG347" s="314" t="e">
        <f t="shared" ca="1" si="303"/>
        <v>#NAME?</v>
      </c>
      <c r="AH347" s="313" t="e">
        <f t="shared" ca="1" si="255"/>
        <v>#NAME?</v>
      </c>
      <c r="AI347" s="314" t="e">
        <f t="shared" ca="1" si="304"/>
        <v>#NAME?</v>
      </c>
      <c r="AJ347" s="315" t="e">
        <f t="shared" ca="1" si="305"/>
        <v>#NAME?</v>
      </c>
      <c r="AK347" s="568" t="e">
        <f t="shared" ca="1" si="256"/>
        <v>#NAME?</v>
      </c>
      <c r="AL347" s="313" t="e">
        <f t="shared" ca="1" si="257"/>
        <v>#NAME?</v>
      </c>
      <c r="AM347" s="313" t="e">
        <f t="shared" ca="1" si="306"/>
        <v>#NAME?</v>
      </c>
      <c r="AN347" s="313" t="e">
        <f t="shared" ca="1" si="307"/>
        <v>#NAME?</v>
      </c>
      <c r="AO347" s="316" t="e">
        <f t="shared" ca="1" si="258"/>
        <v>#NAME?</v>
      </c>
      <c r="AP347" s="313" t="e">
        <f t="shared" ca="1" si="259"/>
        <v>#NAME?</v>
      </c>
      <c r="AQ347" s="314" t="e">
        <f t="shared" ca="1" si="308"/>
        <v>#NAME?</v>
      </c>
      <c r="AR347" s="315" t="e">
        <f t="shared" ca="1" si="260"/>
        <v>#NAME?</v>
      </c>
      <c r="AS347" s="316" t="e">
        <f t="shared" ca="1" si="261"/>
        <v>#NAME?</v>
      </c>
      <c r="AT347" s="315" t="e">
        <f t="shared" ca="1" si="262"/>
        <v>#NAME?</v>
      </c>
      <c r="AU347" s="317">
        <v>427.8</v>
      </c>
      <c r="AV347" s="315" t="e">
        <f t="shared" ca="1" si="263"/>
        <v>#NAME?</v>
      </c>
      <c r="AW347" s="318" t="e">
        <f ca="1">0.0001*BicubicInterpolation('Drag Coef Table'!$B$4:$L$28,AV347,AC347)</f>
        <v>#NAME?</v>
      </c>
      <c r="AX347" s="319" t="e">
        <f t="shared" ca="1" si="264"/>
        <v>#NAME?</v>
      </c>
      <c r="AY347" s="318" t="e">
        <f t="shared" ca="1" si="265"/>
        <v>#NAME?</v>
      </c>
      <c r="AZ347" s="320" t="e">
        <f t="shared" ca="1" si="266"/>
        <v>#NAME?</v>
      </c>
      <c r="BA347" s="321" t="e">
        <f t="shared" ca="1" si="267"/>
        <v>#NAME?</v>
      </c>
      <c r="BB347" s="322" t="e">
        <f t="shared" ca="1" si="268"/>
        <v>#NAME?</v>
      </c>
      <c r="BC347" s="323">
        <v>75.196700000000007</v>
      </c>
      <c r="BD347" s="324" t="e">
        <f t="shared" ca="1" si="269"/>
        <v>#NAME?</v>
      </c>
      <c r="BE347" s="325" t="e">
        <f t="shared" ca="1" si="270"/>
        <v>#NAME?</v>
      </c>
      <c r="BF347" s="324" t="e">
        <f ca="1">BicubicInterpolation('TSFC Eff Table'!$B$4:$E$69,2,BB347)</f>
        <v>#NAME?</v>
      </c>
      <c r="BG347" s="326" t="e">
        <f t="shared" ca="1" si="271"/>
        <v>#NAME?</v>
      </c>
      <c r="BH347" s="694" t="e">
        <f ca="1">IF( S347="LRCINOP",   (1+(0.03/10)*Z347*(1+0.2*AC347^2) )*BicubicInterpolation( 'LRC INOP FF'!$C$4:$AA$21, Y347, U347 )-200, IF(S347 ="HOLDINGINOP", (1+(0.03/10)*Z347*(1+0.2*AC347^2) )*BicubicInterpolation( 'Holding INOP FF'!$C$4:$J$13,  Y347,  U347)/1.05-200,   BA347*BG347))</f>
        <v>#NAME?</v>
      </c>
      <c r="BI347" s="344" t="e">
        <f t="shared" ca="1" si="292"/>
        <v>#NAME?</v>
      </c>
      <c r="BJ347" s="322" t="e">
        <f t="shared" ca="1" si="272"/>
        <v>#NAME?</v>
      </c>
      <c r="BK347" s="338" t="e">
        <f t="shared" ca="1" si="293"/>
        <v>#NAME?</v>
      </c>
      <c r="BL347" s="327" t="e">
        <f t="shared" ca="1" si="273"/>
        <v>#NAME?</v>
      </c>
      <c r="BM347" s="328">
        <f t="shared" si="274"/>
        <v>200</v>
      </c>
      <c r="BN347" s="329" t="e">
        <f t="shared" ca="1" si="275"/>
        <v>#NAME?</v>
      </c>
      <c r="BO347" s="344" t="e">
        <f t="shared" ca="1" si="294"/>
        <v>#NAME?</v>
      </c>
      <c r="BP347" s="320" t="e">
        <f t="shared" ca="1" si="276"/>
        <v>#NAME?</v>
      </c>
      <c r="BQ347" s="344" t="e">
        <f t="shared" ca="1" si="295"/>
        <v>#NAME?</v>
      </c>
      <c r="BR347" s="347" t="e">
        <f t="shared" ca="1" si="296"/>
        <v>#NAME?</v>
      </c>
      <c r="BS347" s="326" t="e">
        <f t="shared" ca="1" si="277"/>
        <v>#NAME?</v>
      </c>
      <c r="BT347" s="437" t="e">
        <f t="shared" ca="1" si="309"/>
        <v>#NAME?</v>
      </c>
      <c r="BU347" s="437" t="e">
        <f t="shared" ca="1" si="310"/>
        <v>#NAME?</v>
      </c>
      <c r="BV347" s="441" t="e">
        <f t="shared" ca="1" si="311"/>
        <v>#NAME?</v>
      </c>
      <c r="BW347" s="442" t="e">
        <f t="shared" ca="1" si="312"/>
        <v>#NAME?</v>
      </c>
      <c r="BX347" s="470" t="e">
        <f t="shared" ca="1" si="285"/>
        <v>#NAME?</v>
      </c>
      <c r="BY347" s="484" t="e">
        <f t="shared" ca="1" si="297"/>
        <v>#NAME?</v>
      </c>
    </row>
    <row r="348" spans="9:77" ht="17.75" customHeight="1" x14ac:dyDescent="0.2">
      <c r="I348" s="366">
        <v>264</v>
      </c>
      <c r="J348" s="414">
        <f t="shared" si="298"/>
        <v>41705.895833333932</v>
      </c>
      <c r="K348" s="435" t="e">
        <f t="shared" ca="1" si="299"/>
        <v>#NAME?</v>
      </c>
      <c r="L348" s="435" t="e">
        <f t="shared" ca="1" si="286"/>
        <v>#NAME?</v>
      </c>
      <c r="M348" s="664" t="e">
        <f t="shared" ca="1" si="278"/>
        <v>#NAME?</v>
      </c>
      <c r="N348" s="664" t="e">
        <f t="shared" ca="1" si="279"/>
        <v>#NAME?</v>
      </c>
      <c r="O348" s="140" t="e">
        <f t="shared" ca="1" si="287"/>
        <v>#NAME?</v>
      </c>
      <c r="P348" s="352" t="e">
        <f t="shared" ca="1" si="300"/>
        <v>#NAME?</v>
      </c>
      <c r="Q348" s="665" t="e">
        <f t="shared" ca="1" si="280"/>
        <v>#NAME?</v>
      </c>
      <c r="R348" s="352" t="e">
        <f t="shared" ca="1" si="251"/>
        <v>#NAME?</v>
      </c>
      <c r="S348" s="662" t="e">
        <f t="shared" ca="1" si="288"/>
        <v>#NAME?</v>
      </c>
      <c r="T348" s="443" t="e">
        <f t="shared" ca="1" si="281"/>
        <v>#NAME?</v>
      </c>
      <c r="U348" s="369" t="e">
        <f t="shared" ca="1" si="282"/>
        <v>#NAME?</v>
      </c>
      <c r="V348" s="454" t="e">
        <f t="shared" ca="1" si="289"/>
        <v>#NAME?</v>
      </c>
      <c r="W348" s="457">
        <f t="shared" si="290"/>
        <v>1000</v>
      </c>
      <c r="X348" s="463" t="e">
        <f t="shared" ca="1" si="291"/>
        <v>#NAME?</v>
      </c>
      <c r="Y348" s="455" t="e">
        <f t="shared" ca="1" si="301"/>
        <v>#NAME?</v>
      </c>
      <c r="Z348" s="699">
        <f t="shared" si="283"/>
        <v>8.5</v>
      </c>
      <c r="AA348" s="355" t="str">
        <f t="shared" si="284"/>
        <v>ON</v>
      </c>
      <c r="AB348" s="357">
        <f t="shared" si="252"/>
        <v>1.4999999999999999E-2</v>
      </c>
      <c r="AC348" s="356" t="e">
        <f ca="1">IF(  Y347=0,0,IF(OR(S348="KCAS",S348="INOP",S348="MEFE"),   ( (5*( (   (((1+0.2*(T348/661.4786)^2)^3.5 -1)  )/( (1-6.8755856*10^-6 *100*Y348)^5.2558797) +1)^(2/7) -1) )^0.5),IF(S348="MACH",T348, IF(S348="LRC",BicubicInterpolation( 'LRC Mach'!$C$4:$AL$21, Y348,U348),  IF(S348="MRC",BicubicInterpolation( 'MRC Mach'!$C$3:$T$18, Y348,U348),  IF(S348="M0.84",0.84,  IF(S348="CI52",BicubicInterpolation('CI=52 Mach'!$C$3:$T$18, Y348,U348),  IF(S348="HOLDING",BicubicInterpolation(  'Holding Mach'!$C$4:$M$13, Y348,U348),                         IF(S348="LRCINOP", BicubicInterpolation('LRC INOP Mach'!$C$4:$AA$21,Y348,U348), IF(S348="HOLDINGINOP",  BicubicInterpolation('Holding INOP Mach'!$N$4:$U$13,Y348,U348),         "XXX" )))))))   )))</f>
        <v>#NAME?</v>
      </c>
      <c r="AD348" s="313" t="e">
        <f t="shared" ca="1" si="253"/>
        <v>#NAME?</v>
      </c>
      <c r="AE348" s="314" t="e">
        <f t="shared" ca="1" si="302"/>
        <v>#NAME?</v>
      </c>
      <c r="AF348" s="313" t="e">
        <f t="shared" ca="1" si="254"/>
        <v>#NAME?</v>
      </c>
      <c r="AG348" s="314" t="e">
        <f t="shared" ca="1" si="303"/>
        <v>#NAME?</v>
      </c>
      <c r="AH348" s="313" t="e">
        <f t="shared" ca="1" si="255"/>
        <v>#NAME?</v>
      </c>
      <c r="AI348" s="314" t="e">
        <f t="shared" ca="1" si="304"/>
        <v>#NAME?</v>
      </c>
      <c r="AJ348" s="315" t="e">
        <f t="shared" ca="1" si="305"/>
        <v>#NAME?</v>
      </c>
      <c r="AK348" s="568" t="e">
        <f t="shared" ca="1" si="256"/>
        <v>#NAME?</v>
      </c>
      <c r="AL348" s="313" t="e">
        <f t="shared" ca="1" si="257"/>
        <v>#NAME?</v>
      </c>
      <c r="AM348" s="313" t="e">
        <f t="shared" ca="1" si="306"/>
        <v>#NAME?</v>
      </c>
      <c r="AN348" s="313" t="e">
        <f t="shared" ca="1" si="307"/>
        <v>#NAME?</v>
      </c>
      <c r="AO348" s="316" t="e">
        <f t="shared" ca="1" si="258"/>
        <v>#NAME?</v>
      </c>
      <c r="AP348" s="313" t="e">
        <f t="shared" ca="1" si="259"/>
        <v>#NAME?</v>
      </c>
      <c r="AQ348" s="314" t="e">
        <f t="shared" ca="1" si="308"/>
        <v>#NAME?</v>
      </c>
      <c r="AR348" s="315" t="e">
        <f t="shared" ca="1" si="260"/>
        <v>#NAME?</v>
      </c>
      <c r="AS348" s="316" t="e">
        <f t="shared" ca="1" si="261"/>
        <v>#NAME?</v>
      </c>
      <c r="AT348" s="315" t="e">
        <f t="shared" ca="1" si="262"/>
        <v>#NAME?</v>
      </c>
      <c r="AU348" s="317">
        <v>427.8</v>
      </c>
      <c r="AV348" s="315" t="e">
        <f t="shared" ca="1" si="263"/>
        <v>#NAME?</v>
      </c>
      <c r="AW348" s="318" t="e">
        <f ca="1">0.0001*BicubicInterpolation('Drag Coef Table'!$B$4:$L$28,AV348,AC348)</f>
        <v>#NAME?</v>
      </c>
      <c r="AX348" s="319" t="e">
        <f t="shared" ca="1" si="264"/>
        <v>#NAME?</v>
      </c>
      <c r="AY348" s="318" t="e">
        <f t="shared" ca="1" si="265"/>
        <v>#NAME?</v>
      </c>
      <c r="AZ348" s="320" t="e">
        <f t="shared" ca="1" si="266"/>
        <v>#NAME?</v>
      </c>
      <c r="BA348" s="321" t="e">
        <f t="shared" ca="1" si="267"/>
        <v>#NAME?</v>
      </c>
      <c r="BB348" s="322" t="e">
        <f t="shared" ca="1" si="268"/>
        <v>#NAME?</v>
      </c>
      <c r="BC348" s="323">
        <v>75.196700000000007</v>
      </c>
      <c r="BD348" s="324" t="e">
        <f t="shared" ca="1" si="269"/>
        <v>#NAME?</v>
      </c>
      <c r="BE348" s="325" t="e">
        <f t="shared" ca="1" si="270"/>
        <v>#NAME?</v>
      </c>
      <c r="BF348" s="324" t="e">
        <f ca="1">BicubicInterpolation('TSFC Eff Table'!$B$4:$E$69,2,BB348)</f>
        <v>#NAME?</v>
      </c>
      <c r="BG348" s="326" t="e">
        <f t="shared" ca="1" si="271"/>
        <v>#NAME?</v>
      </c>
      <c r="BH348" s="694" t="e">
        <f ca="1">IF( S348="LRCINOP",   (1+(0.03/10)*Z348*(1+0.2*AC348^2) )*BicubicInterpolation( 'LRC INOP FF'!$C$4:$AA$21, Y348, U348 )-200, IF(S348 ="HOLDINGINOP", (1+(0.03/10)*Z348*(1+0.2*AC348^2) )*BicubicInterpolation( 'Holding INOP FF'!$C$4:$J$13,  Y348,  U348)/1.05-200,   BA348*BG348))</f>
        <v>#NAME?</v>
      </c>
      <c r="BI348" s="344" t="e">
        <f t="shared" ca="1" si="292"/>
        <v>#NAME?</v>
      </c>
      <c r="BJ348" s="322" t="e">
        <f t="shared" ca="1" si="272"/>
        <v>#NAME?</v>
      </c>
      <c r="BK348" s="338" t="e">
        <f t="shared" ca="1" si="293"/>
        <v>#NAME?</v>
      </c>
      <c r="BL348" s="327" t="e">
        <f t="shared" ca="1" si="273"/>
        <v>#NAME?</v>
      </c>
      <c r="BM348" s="328">
        <f t="shared" si="274"/>
        <v>200</v>
      </c>
      <c r="BN348" s="329" t="e">
        <f t="shared" ca="1" si="275"/>
        <v>#NAME?</v>
      </c>
      <c r="BO348" s="344" t="e">
        <f t="shared" ca="1" si="294"/>
        <v>#NAME?</v>
      </c>
      <c r="BP348" s="320" t="e">
        <f t="shared" ca="1" si="276"/>
        <v>#NAME?</v>
      </c>
      <c r="BQ348" s="344" t="e">
        <f t="shared" ca="1" si="295"/>
        <v>#NAME?</v>
      </c>
      <c r="BR348" s="347" t="e">
        <f t="shared" ca="1" si="296"/>
        <v>#NAME?</v>
      </c>
      <c r="BS348" s="326" t="e">
        <f t="shared" ca="1" si="277"/>
        <v>#NAME?</v>
      </c>
      <c r="BT348" s="437" t="e">
        <f t="shared" ca="1" si="309"/>
        <v>#NAME?</v>
      </c>
      <c r="BU348" s="437" t="e">
        <f t="shared" ca="1" si="310"/>
        <v>#NAME?</v>
      </c>
      <c r="BV348" s="441" t="e">
        <f t="shared" ca="1" si="311"/>
        <v>#NAME?</v>
      </c>
      <c r="BW348" s="442" t="e">
        <f t="shared" ca="1" si="312"/>
        <v>#NAME?</v>
      </c>
      <c r="BX348" s="470" t="e">
        <f t="shared" ca="1" si="285"/>
        <v>#NAME?</v>
      </c>
      <c r="BY348" s="484" t="e">
        <f t="shared" ca="1" si="297"/>
        <v>#NAME?</v>
      </c>
    </row>
    <row r="349" spans="9:77" ht="17.75" customHeight="1" x14ac:dyDescent="0.2">
      <c r="I349" s="366">
        <v>265</v>
      </c>
      <c r="J349" s="414">
        <f t="shared" si="298"/>
        <v>41705.896527778379</v>
      </c>
      <c r="K349" s="435" t="e">
        <f t="shared" ca="1" si="299"/>
        <v>#NAME?</v>
      </c>
      <c r="L349" s="435" t="e">
        <f t="shared" ca="1" si="286"/>
        <v>#NAME?</v>
      </c>
      <c r="M349" s="664" t="e">
        <f t="shared" ca="1" si="278"/>
        <v>#NAME?</v>
      </c>
      <c r="N349" s="664" t="e">
        <f t="shared" ca="1" si="279"/>
        <v>#NAME?</v>
      </c>
      <c r="O349" s="140" t="e">
        <f t="shared" ca="1" si="287"/>
        <v>#NAME?</v>
      </c>
      <c r="P349" s="352" t="e">
        <f t="shared" ca="1" si="300"/>
        <v>#NAME?</v>
      </c>
      <c r="Q349" s="665" t="e">
        <f t="shared" ca="1" si="280"/>
        <v>#NAME?</v>
      </c>
      <c r="R349" s="352" t="e">
        <f t="shared" ca="1" si="251"/>
        <v>#NAME?</v>
      </c>
      <c r="S349" s="662" t="e">
        <f t="shared" ca="1" si="288"/>
        <v>#NAME?</v>
      </c>
      <c r="T349" s="443" t="e">
        <f t="shared" ca="1" si="281"/>
        <v>#NAME?</v>
      </c>
      <c r="U349" s="369" t="e">
        <f t="shared" ca="1" si="282"/>
        <v>#NAME?</v>
      </c>
      <c r="V349" s="454" t="e">
        <f t="shared" ca="1" si="289"/>
        <v>#NAME?</v>
      </c>
      <c r="W349" s="457">
        <f t="shared" si="290"/>
        <v>1000</v>
      </c>
      <c r="X349" s="463" t="e">
        <f t="shared" ca="1" si="291"/>
        <v>#NAME?</v>
      </c>
      <c r="Y349" s="455" t="e">
        <f t="shared" ca="1" si="301"/>
        <v>#NAME?</v>
      </c>
      <c r="Z349" s="699">
        <f t="shared" si="283"/>
        <v>8.5</v>
      </c>
      <c r="AA349" s="355" t="str">
        <f t="shared" si="284"/>
        <v>ON</v>
      </c>
      <c r="AB349" s="357">
        <f t="shared" si="252"/>
        <v>1.4999999999999999E-2</v>
      </c>
      <c r="AC349" s="356" t="e">
        <f ca="1">IF(  Y348=0,0,IF(OR(S349="KCAS",S349="INOP",S349="MEFE"),   ( (5*( (   (((1+0.2*(T349/661.4786)^2)^3.5 -1)  )/( (1-6.8755856*10^-6 *100*Y349)^5.2558797) +1)^(2/7) -1) )^0.5),IF(S349="MACH",T349, IF(S349="LRC",BicubicInterpolation( 'LRC Mach'!$C$4:$AL$21, Y349,U349),  IF(S349="MRC",BicubicInterpolation( 'MRC Mach'!$C$3:$T$18, Y349,U349),  IF(S349="M0.84",0.84,  IF(S349="CI52",BicubicInterpolation('CI=52 Mach'!$C$3:$T$18, Y349,U349),  IF(S349="HOLDING",BicubicInterpolation(  'Holding Mach'!$C$4:$M$13, Y349,U349),                         IF(S349="LRCINOP", BicubicInterpolation('LRC INOP Mach'!$C$4:$AA$21,Y349,U349), IF(S349="HOLDINGINOP",  BicubicInterpolation('Holding INOP Mach'!$N$4:$U$13,Y349,U349),         "XXX" )))))))   )))</f>
        <v>#NAME?</v>
      </c>
      <c r="AD349" s="313" t="e">
        <f t="shared" ca="1" si="253"/>
        <v>#NAME?</v>
      </c>
      <c r="AE349" s="314" t="e">
        <f t="shared" ca="1" si="302"/>
        <v>#NAME?</v>
      </c>
      <c r="AF349" s="313" t="e">
        <f t="shared" ca="1" si="254"/>
        <v>#NAME?</v>
      </c>
      <c r="AG349" s="314" t="e">
        <f t="shared" ca="1" si="303"/>
        <v>#NAME?</v>
      </c>
      <c r="AH349" s="313" t="e">
        <f t="shared" ca="1" si="255"/>
        <v>#NAME?</v>
      </c>
      <c r="AI349" s="314" t="e">
        <f t="shared" ca="1" si="304"/>
        <v>#NAME?</v>
      </c>
      <c r="AJ349" s="315" t="e">
        <f t="shared" ca="1" si="305"/>
        <v>#NAME?</v>
      </c>
      <c r="AK349" s="568" t="e">
        <f t="shared" ca="1" si="256"/>
        <v>#NAME?</v>
      </c>
      <c r="AL349" s="313" t="e">
        <f t="shared" ca="1" si="257"/>
        <v>#NAME?</v>
      </c>
      <c r="AM349" s="313" t="e">
        <f t="shared" ca="1" si="306"/>
        <v>#NAME?</v>
      </c>
      <c r="AN349" s="313" t="e">
        <f t="shared" ca="1" si="307"/>
        <v>#NAME?</v>
      </c>
      <c r="AO349" s="316" t="e">
        <f t="shared" ca="1" si="258"/>
        <v>#NAME?</v>
      </c>
      <c r="AP349" s="313" t="e">
        <f t="shared" ca="1" si="259"/>
        <v>#NAME?</v>
      </c>
      <c r="AQ349" s="314" t="e">
        <f t="shared" ca="1" si="308"/>
        <v>#NAME?</v>
      </c>
      <c r="AR349" s="315" t="e">
        <f t="shared" ca="1" si="260"/>
        <v>#NAME?</v>
      </c>
      <c r="AS349" s="316" t="e">
        <f t="shared" ca="1" si="261"/>
        <v>#NAME?</v>
      </c>
      <c r="AT349" s="315" t="e">
        <f t="shared" ca="1" si="262"/>
        <v>#NAME?</v>
      </c>
      <c r="AU349" s="317">
        <v>427.8</v>
      </c>
      <c r="AV349" s="315" t="e">
        <f t="shared" ca="1" si="263"/>
        <v>#NAME?</v>
      </c>
      <c r="AW349" s="318" t="e">
        <f ca="1">0.0001*BicubicInterpolation('Drag Coef Table'!$B$4:$L$28,AV349,AC349)</f>
        <v>#NAME?</v>
      </c>
      <c r="AX349" s="319" t="e">
        <f t="shared" ca="1" si="264"/>
        <v>#NAME?</v>
      </c>
      <c r="AY349" s="318" t="e">
        <f t="shared" ca="1" si="265"/>
        <v>#NAME?</v>
      </c>
      <c r="AZ349" s="320" t="e">
        <f t="shared" ca="1" si="266"/>
        <v>#NAME?</v>
      </c>
      <c r="BA349" s="321" t="e">
        <f t="shared" ca="1" si="267"/>
        <v>#NAME?</v>
      </c>
      <c r="BB349" s="322" t="e">
        <f t="shared" ca="1" si="268"/>
        <v>#NAME?</v>
      </c>
      <c r="BC349" s="323">
        <v>75.196700000000007</v>
      </c>
      <c r="BD349" s="324" t="e">
        <f t="shared" ca="1" si="269"/>
        <v>#NAME?</v>
      </c>
      <c r="BE349" s="325" t="e">
        <f t="shared" ca="1" si="270"/>
        <v>#NAME?</v>
      </c>
      <c r="BF349" s="324" t="e">
        <f ca="1">BicubicInterpolation('TSFC Eff Table'!$B$4:$E$69,2,BB349)</f>
        <v>#NAME?</v>
      </c>
      <c r="BG349" s="326" t="e">
        <f t="shared" ca="1" si="271"/>
        <v>#NAME?</v>
      </c>
      <c r="BH349" s="694" t="e">
        <f ca="1">IF( S349="LRCINOP",   (1+(0.03/10)*Z349*(1+0.2*AC349^2) )*BicubicInterpolation( 'LRC INOP FF'!$C$4:$AA$21, Y349, U349 )-200, IF(S349 ="HOLDINGINOP", (1+(0.03/10)*Z349*(1+0.2*AC349^2) )*BicubicInterpolation( 'Holding INOP FF'!$C$4:$J$13,  Y349,  U349)/1.05-200,   BA349*BG349))</f>
        <v>#NAME?</v>
      </c>
      <c r="BI349" s="344" t="e">
        <f t="shared" ca="1" si="292"/>
        <v>#NAME?</v>
      </c>
      <c r="BJ349" s="322" t="e">
        <f t="shared" ca="1" si="272"/>
        <v>#NAME?</v>
      </c>
      <c r="BK349" s="338" t="e">
        <f t="shared" ca="1" si="293"/>
        <v>#NAME?</v>
      </c>
      <c r="BL349" s="327" t="e">
        <f t="shared" ca="1" si="273"/>
        <v>#NAME?</v>
      </c>
      <c r="BM349" s="328">
        <f t="shared" si="274"/>
        <v>200</v>
      </c>
      <c r="BN349" s="329" t="e">
        <f t="shared" ca="1" si="275"/>
        <v>#NAME?</v>
      </c>
      <c r="BO349" s="344" t="e">
        <f t="shared" ca="1" si="294"/>
        <v>#NAME?</v>
      </c>
      <c r="BP349" s="320" t="e">
        <f t="shared" ca="1" si="276"/>
        <v>#NAME?</v>
      </c>
      <c r="BQ349" s="344" t="e">
        <f t="shared" ca="1" si="295"/>
        <v>#NAME?</v>
      </c>
      <c r="BR349" s="347" t="e">
        <f t="shared" ca="1" si="296"/>
        <v>#NAME?</v>
      </c>
      <c r="BS349" s="326" t="e">
        <f t="shared" ca="1" si="277"/>
        <v>#NAME?</v>
      </c>
      <c r="BT349" s="437" t="e">
        <f t="shared" ca="1" si="309"/>
        <v>#NAME?</v>
      </c>
      <c r="BU349" s="437" t="e">
        <f t="shared" ca="1" si="310"/>
        <v>#NAME?</v>
      </c>
      <c r="BV349" s="441" t="e">
        <f t="shared" ca="1" si="311"/>
        <v>#NAME?</v>
      </c>
      <c r="BW349" s="442" t="e">
        <f t="shared" ca="1" si="312"/>
        <v>#NAME?</v>
      </c>
      <c r="BX349" s="470" t="e">
        <f t="shared" ca="1" si="285"/>
        <v>#NAME?</v>
      </c>
      <c r="BY349" s="484" t="e">
        <f t="shared" ca="1" si="297"/>
        <v>#NAME?</v>
      </c>
    </row>
    <row r="350" spans="9:77" ht="17.75" customHeight="1" x14ac:dyDescent="0.2">
      <c r="I350" s="366">
        <v>266</v>
      </c>
      <c r="J350" s="414">
        <f t="shared" si="298"/>
        <v>41705.897222222826</v>
      </c>
      <c r="K350" s="435" t="e">
        <f t="shared" ca="1" si="299"/>
        <v>#NAME?</v>
      </c>
      <c r="L350" s="435" t="e">
        <f t="shared" ca="1" si="286"/>
        <v>#NAME?</v>
      </c>
      <c r="M350" s="664" t="e">
        <f t="shared" ca="1" si="278"/>
        <v>#NAME?</v>
      </c>
      <c r="N350" s="664" t="e">
        <f t="shared" ca="1" si="279"/>
        <v>#NAME?</v>
      </c>
      <c r="O350" s="140" t="e">
        <f t="shared" ca="1" si="287"/>
        <v>#NAME?</v>
      </c>
      <c r="P350" s="352" t="e">
        <f t="shared" ca="1" si="300"/>
        <v>#NAME?</v>
      </c>
      <c r="Q350" s="665" t="e">
        <f t="shared" ca="1" si="280"/>
        <v>#NAME?</v>
      </c>
      <c r="R350" s="352" t="e">
        <f t="shared" ca="1" si="251"/>
        <v>#NAME?</v>
      </c>
      <c r="S350" s="662" t="e">
        <f t="shared" ca="1" si="288"/>
        <v>#NAME?</v>
      </c>
      <c r="T350" s="443" t="e">
        <f t="shared" ca="1" si="281"/>
        <v>#NAME?</v>
      </c>
      <c r="U350" s="369" t="e">
        <f t="shared" ca="1" si="282"/>
        <v>#NAME?</v>
      </c>
      <c r="V350" s="454" t="e">
        <f t="shared" ca="1" si="289"/>
        <v>#NAME?</v>
      </c>
      <c r="W350" s="457">
        <f t="shared" si="290"/>
        <v>1000</v>
      </c>
      <c r="X350" s="463" t="e">
        <f t="shared" ca="1" si="291"/>
        <v>#NAME?</v>
      </c>
      <c r="Y350" s="455" t="e">
        <f t="shared" ca="1" si="301"/>
        <v>#NAME?</v>
      </c>
      <c r="Z350" s="699">
        <f t="shared" si="283"/>
        <v>8.5</v>
      </c>
      <c r="AA350" s="355" t="str">
        <f t="shared" si="284"/>
        <v>ON</v>
      </c>
      <c r="AB350" s="357">
        <f t="shared" si="252"/>
        <v>1.4999999999999999E-2</v>
      </c>
      <c r="AC350" s="356" t="e">
        <f ca="1">IF(  Y349=0,0,IF(OR(S350="KCAS",S350="INOP",S350="MEFE"),   ( (5*( (   (((1+0.2*(T350/661.4786)^2)^3.5 -1)  )/( (1-6.8755856*10^-6 *100*Y350)^5.2558797) +1)^(2/7) -1) )^0.5),IF(S350="MACH",T350, IF(S350="LRC",BicubicInterpolation( 'LRC Mach'!$C$4:$AL$21, Y350,U350),  IF(S350="MRC",BicubicInterpolation( 'MRC Mach'!$C$3:$T$18, Y350,U350),  IF(S350="M0.84",0.84,  IF(S350="CI52",BicubicInterpolation('CI=52 Mach'!$C$3:$T$18, Y350,U350),  IF(S350="HOLDING",BicubicInterpolation(  'Holding Mach'!$C$4:$M$13, Y350,U350),                         IF(S350="LRCINOP", BicubicInterpolation('LRC INOP Mach'!$C$4:$AA$21,Y350,U350), IF(S350="HOLDINGINOP",  BicubicInterpolation('Holding INOP Mach'!$N$4:$U$13,Y350,U350),         "XXX" )))))))   )))</f>
        <v>#NAME?</v>
      </c>
      <c r="AD350" s="313" t="e">
        <f t="shared" ca="1" si="253"/>
        <v>#NAME?</v>
      </c>
      <c r="AE350" s="314" t="e">
        <f t="shared" ca="1" si="302"/>
        <v>#NAME?</v>
      </c>
      <c r="AF350" s="313" t="e">
        <f t="shared" ca="1" si="254"/>
        <v>#NAME?</v>
      </c>
      <c r="AG350" s="314" t="e">
        <f t="shared" ca="1" si="303"/>
        <v>#NAME?</v>
      </c>
      <c r="AH350" s="313" t="e">
        <f t="shared" ca="1" si="255"/>
        <v>#NAME?</v>
      </c>
      <c r="AI350" s="314" t="e">
        <f t="shared" ca="1" si="304"/>
        <v>#NAME?</v>
      </c>
      <c r="AJ350" s="315" t="e">
        <f t="shared" ca="1" si="305"/>
        <v>#NAME?</v>
      </c>
      <c r="AK350" s="568" t="e">
        <f t="shared" ca="1" si="256"/>
        <v>#NAME?</v>
      </c>
      <c r="AL350" s="313" t="e">
        <f t="shared" ca="1" si="257"/>
        <v>#NAME?</v>
      </c>
      <c r="AM350" s="313" t="e">
        <f t="shared" ca="1" si="306"/>
        <v>#NAME?</v>
      </c>
      <c r="AN350" s="313" t="e">
        <f t="shared" ca="1" si="307"/>
        <v>#NAME?</v>
      </c>
      <c r="AO350" s="316" t="e">
        <f t="shared" ca="1" si="258"/>
        <v>#NAME?</v>
      </c>
      <c r="AP350" s="313" t="e">
        <f t="shared" ca="1" si="259"/>
        <v>#NAME?</v>
      </c>
      <c r="AQ350" s="314" t="e">
        <f t="shared" ca="1" si="308"/>
        <v>#NAME?</v>
      </c>
      <c r="AR350" s="315" t="e">
        <f t="shared" ca="1" si="260"/>
        <v>#NAME?</v>
      </c>
      <c r="AS350" s="316" t="e">
        <f t="shared" ca="1" si="261"/>
        <v>#NAME?</v>
      </c>
      <c r="AT350" s="315" t="e">
        <f t="shared" ca="1" si="262"/>
        <v>#NAME?</v>
      </c>
      <c r="AU350" s="317">
        <v>427.8</v>
      </c>
      <c r="AV350" s="315" t="e">
        <f t="shared" ca="1" si="263"/>
        <v>#NAME?</v>
      </c>
      <c r="AW350" s="318" t="e">
        <f ca="1">0.0001*BicubicInterpolation('Drag Coef Table'!$B$4:$L$28,AV350,AC350)</f>
        <v>#NAME?</v>
      </c>
      <c r="AX350" s="319" t="e">
        <f t="shared" ca="1" si="264"/>
        <v>#NAME?</v>
      </c>
      <c r="AY350" s="318" t="e">
        <f t="shared" ca="1" si="265"/>
        <v>#NAME?</v>
      </c>
      <c r="AZ350" s="320" t="e">
        <f t="shared" ca="1" si="266"/>
        <v>#NAME?</v>
      </c>
      <c r="BA350" s="321" t="e">
        <f t="shared" ca="1" si="267"/>
        <v>#NAME?</v>
      </c>
      <c r="BB350" s="322" t="e">
        <f t="shared" ca="1" si="268"/>
        <v>#NAME?</v>
      </c>
      <c r="BC350" s="323">
        <v>75.196700000000007</v>
      </c>
      <c r="BD350" s="324" t="e">
        <f t="shared" ca="1" si="269"/>
        <v>#NAME?</v>
      </c>
      <c r="BE350" s="325" t="e">
        <f t="shared" ca="1" si="270"/>
        <v>#NAME?</v>
      </c>
      <c r="BF350" s="324" t="e">
        <f ca="1">BicubicInterpolation('TSFC Eff Table'!$B$4:$E$69,2,BB350)</f>
        <v>#NAME?</v>
      </c>
      <c r="BG350" s="326" t="e">
        <f t="shared" ca="1" si="271"/>
        <v>#NAME?</v>
      </c>
      <c r="BH350" s="694" t="e">
        <f ca="1">IF( S350="LRCINOP",   (1+(0.03/10)*Z350*(1+0.2*AC350^2) )*BicubicInterpolation( 'LRC INOP FF'!$C$4:$AA$21, Y350, U350 )-200, IF(S350 ="HOLDINGINOP", (1+(0.03/10)*Z350*(1+0.2*AC350^2) )*BicubicInterpolation( 'Holding INOP FF'!$C$4:$J$13,  Y350,  U350)/1.05-200,   BA350*BG350))</f>
        <v>#NAME?</v>
      </c>
      <c r="BI350" s="344" t="e">
        <f t="shared" ca="1" si="292"/>
        <v>#NAME?</v>
      </c>
      <c r="BJ350" s="322" t="e">
        <f t="shared" ca="1" si="272"/>
        <v>#NAME?</v>
      </c>
      <c r="BK350" s="338" t="e">
        <f t="shared" ca="1" si="293"/>
        <v>#NAME?</v>
      </c>
      <c r="BL350" s="327" t="e">
        <f t="shared" ca="1" si="273"/>
        <v>#NAME?</v>
      </c>
      <c r="BM350" s="328">
        <f t="shared" si="274"/>
        <v>200</v>
      </c>
      <c r="BN350" s="329" t="e">
        <f t="shared" ca="1" si="275"/>
        <v>#NAME?</v>
      </c>
      <c r="BO350" s="344" t="e">
        <f t="shared" ca="1" si="294"/>
        <v>#NAME?</v>
      </c>
      <c r="BP350" s="320" t="e">
        <f t="shared" ca="1" si="276"/>
        <v>#NAME?</v>
      </c>
      <c r="BQ350" s="344" t="e">
        <f t="shared" ca="1" si="295"/>
        <v>#NAME?</v>
      </c>
      <c r="BR350" s="347" t="e">
        <f t="shared" ca="1" si="296"/>
        <v>#NAME?</v>
      </c>
      <c r="BS350" s="326" t="e">
        <f t="shared" ca="1" si="277"/>
        <v>#NAME?</v>
      </c>
      <c r="BT350" s="437" t="e">
        <f t="shared" ca="1" si="309"/>
        <v>#NAME?</v>
      </c>
      <c r="BU350" s="437" t="e">
        <f t="shared" ca="1" si="310"/>
        <v>#NAME?</v>
      </c>
      <c r="BV350" s="441" t="e">
        <f t="shared" ca="1" si="311"/>
        <v>#NAME?</v>
      </c>
      <c r="BW350" s="442" t="e">
        <f t="shared" ca="1" si="312"/>
        <v>#NAME?</v>
      </c>
      <c r="BX350" s="470" t="e">
        <f t="shared" ca="1" si="285"/>
        <v>#NAME?</v>
      </c>
      <c r="BY350" s="484" t="e">
        <f t="shared" ca="1" si="297"/>
        <v>#NAME?</v>
      </c>
    </row>
    <row r="351" spans="9:77" ht="17.75" customHeight="1" x14ac:dyDescent="0.2">
      <c r="I351" s="366">
        <v>267</v>
      </c>
      <c r="J351" s="414">
        <f t="shared" si="298"/>
        <v>41705.897916667273</v>
      </c>
      <c r="K351" s="435" t="e">
        <f t="shared" ca="1" si="299"/>
        <v>#NAME?</v>
      </c>
      <c r="L351" s="435" t="e">
        <f t="shared" ca="1" si="286"/>
        <v>#NAME?</v>
      </c>
      <c r="M351" s="664" t="e">
        <f t="shared" ca="1" si="278"/>
        <v>#NAME?</v>
      </c>
      <c r="N351" s="664" t="e">
        <f t="shared" ca="1" si="279"/>
        <v>#NAME?</v>
      </c>
      <c r="O351" s="140" t="e">
        <f t="shared" ca="1" si="287"/>
        <v>#NAME?</v>
      </c>
      <c r="P351" s="352" t="e">
        <f t="shared" ca="1" si="300"/>
        <v>#NAME?</v>
      </c>
      <c r="Q351" s="665" t="e">
        <f t="shared" ca="1" si="280"/>
        <v>#NAME?</v>
      </c>
      <c r="R351" s="352" t="e">
        <f t="shared" ref="R351:R414" ca="1" si="313">AC351</f>
        <v>#NAME?</v>
      </c>
      <c r="S351" s="662" t="e">
        <f t="shared" ca="1" si="288"/>
        <v>#NAME?</v>
      </c>
      <c r="T351" s="443" t="e">
        <f t="shared" ca="1" si="281"/>
        <v>#NAME?</v>
      </c>
      <c r="U351" s="369" t="e">
        <f t="shared" ca="1" si="282"/>
        <v>#NAME?</v>
      </c>
      <c r="V351" s="454" t="e">
        <f t="shared" ca="1" si="289"/>
        <v>#NAME?</v>
      </c>
      <c r="W351" s="457">
        <f t="shared" si="290"/>
        <v>1000</v>
      </c>
      <c r="X351" s="463" t="e">
        <f t="shared" ca="1" si="291"/>
        <v>#NAME?</v>
      </c>
      <c r="Y351" s="455" t="e">
        <f t="shared" ca="1" si="301"/>
        <v>#NAME?</v>
      </c>
      <c r="Z351" s="699">
        <f t="shared" si="283"/>
        <v>8.5</v>
      </c>
      <c r="AA351" s="355" t="str">
        <f t="shared" si="284"/>
        <v>ON</v>
      </c>
      <c r="AB351" s="357">
        <f t="shared" ref="AB351:AB414" si="314">AB350</f>
        <v>1.4999999999999999E-2</v>
      </c>
      <c r="AC351" s="356" t="e">
        <f ca="1">IF(  Y350=0,0,IF(OR(S351="KCAS",S351="INOP",S351="MEFE"),   ( (5*( (   (((1+0.2*(T351/661.4786)^2)^3.5 -1)  )/( (1-6.8755856*10^-6 *100*Y351)^5.2558797) +1)^(2/7) -1) )^0.5),IF(S351="MACH",T351, IF(S351="LRC",BicubicInterpolation( 'LRC Mach'!$C$4:$AL$21, Y351,U351),  IF(S351="MRC",BicubicInterpolation( 'MRC Mach'!$C$3:$T$18, Y351,U351),  IF(S351="M0.84",0.84,  IF(S351="CI52",BicubicInterpolation('CI=52 Mach'!$C$3:$T$18, Y351,U351),  IF(S351="HOLDING",BicubicInterpolation(  'Holding Mach'!$C$4:$M$13, Y351,U351),                         IF(S351="LRCINOP", BicubicInterpolation('LRC INOP Mach'!$C$4:$AA$21,Y351,U351), IF(S351="HOLDINGINOP",  BicubicInterpolation('Holding INOP Mach'!$N$4:$U$13,Y351,U351),         "XXX" )))))))   )))</f>
        <v>#NAME?</v>
      </c>
      <c r="AD351" s="313" t="e">
        <f t="shared" ref="AD351:AD414" ca="1" si="315">IF(Y351&lt;360.8924,288.15-1.9812*Y351/10,216.65)</f>
        <v>#NAME?</v>
      </c>
      <c r="AE351" s="314" t="e">
        <f t="shared" ca="1" si="302"/>
        <v>#NAME?</v>
      </c>
      <c r="AF351" s="313" t="e">
        <f t="shared" ref="AF351:AF414" ca="1" si="316">AD351+Z351</f>
        <v>#NAME?</v>
      </c>
      <c r="AG351" s="314" t="e">
        <f t="shared" ca="1" si="303"/>
        <v>#NAME?</v>
      </c>
      <c r="AH351" s="313" t="e">
        <f t="shared" ref="AH351:AH414" ca="1" si="317">AF351*(1+0.2*AC351^2)</f>
        <v>#NAME?</v>
      </c>
      <c r="AI351" s="314" t="e">
        <f t="shared" ca="1" si="304"/>
        <v>#NAME?</v>
      </c>
      <c r="AJ351" s="315" t="e">
        <f t="shared" ca="1" si="305"/>
        <v>#NAME?</v>
      </c>
      <c r="AK351" s="568" t="e">
        <f t="shared" ref="AK351:AK414" ca="1" si="318">661.4786*SQRT(AG351)</f>
        <v>#NAME?</v>
      </c>
      <c r="AL351" s="313" t="e">
        <f t="shared" ref="AL351:AL414" ca="1" si="319">AC351*AK351</f>
        <v>#NAME?</v>
      </c>
      <c r="AM351" s="313" t="e">
        <f t="shared" ca="1" si="306"/>
        <v>#NAME?</v>
      </c>
      <c r="AN351" s="313" t="e">
        <f t="shared" ca="1" si="307"/>
        <v>#NAME?</v>
      </c>
      <c r="AO351" s="316" t="e">
        <f t="shared" ref="AO351:AO414" ca="1" si="320">661.4786*(5*((1 + ( (1-0.00068755856*Y351)^5.2558797)*((1 + AC351^2/5)^3.5 - 1))^(2/7) - 1))^0.5</f>
        <v>#NAME?</v>
      </c>
      <c r="AP351" s="313" t="e">
        <f t="shared" ref="AP351:AP414" ca="1" si="321">IF(Y351&lt;360.8924,1013.25*(1-0.0000068755856*100*Y351)^5.2558797,0.01*0.2233609*101325*EXP(-0.004806346*(Y351-360.8924)))</f>
        <v>#NAME?</v>
      </c>
      <c r="AQ351" s="314" t="e">
        <f t="shared" ca="1" si="308"/>
        <v>#NAME?</v>
      </c>
      <c r="AR351" s="315" t="e">
        <f t="shared" ref="AR351:AR414" ca="1" si="322">AQ351*(1+0.2*AC351^2)^3.5</f>
        <v>#NAME?</v>
      </c>
      <c r="AS351" s="316" t="e">
        <f t="shared" ref="AS351:AS414" ca="1" si="323">U351/AQ351</f>
        <v>#NAME?</v>
      </c>
      <c r="AT351" s="315" t="e">
        <f t="shared" ref="AT351:AT414" ca="1" si="324">1.225*AQ351/AG351</f>
        <v>#NAME?</v>
      </c>
      <c r="AU351" s="317">
        <v>427.8</v>
      </c>
      <c r="AV351" s="315" t="e">
        <f t="shared" ref="AV351:AV414" ca="1" si="325">1000*9.80665*U351/(0.5*AT351*AU351*(AM351)^2)</f>
        <v>#NAME?</v>
      </c>
      <c r="AW351" s="318" t="e">
        <f ca="1">0.0001*BicubicInterpolation('Drag Coef Table'!$B$4:$L$28,AV351,AC351)</f>
        <v>#NAME?</v>
      </c>
      <c r="AX351" s="319" t="e">
        <f t="shared" ref="AX351:AX414" ca="1" si="326">(-45.29)*0.0001*LOG10(  (  ( AG351 + 0.38312 ) / AG351^2    )   /   (   (AE351 +0.38312)/(AE351)^2  ) )</f>
        <v>#NAME?</v>
      </c>
      <c r="AY351" s="318" t="e">
        <f t="shared" ref="AY351:AY414" ca="1" si="327">AW351+AX351</f>
        <v>#NAME?</v>
      </c>
      <c r="AZ351" s="320" t="e">
        <f t="shared" ref="AZ351:AZ414" ca="1" si="328">AV351/AY351</f>
        <v>#NAME?</v>
      </c>
      <c r="BA351" s="321" t="e">
        <f t="shared" ref="BA351:BA414" ca="1" si="329">AY351*0.5*AT351*(AM351^2)*AU351/1000</f>
        <v>#NAME?</v>
      </c>
      <c r="BB351" s="322" t="e">
        <f t="shared" ref="BB351:BB414" ca="1" si="330">BA351/AQ351/9.80665</f>
        <v>#NAME?</v>
      </c>
      <c r="BC351" s="323">
        <v>75.196700000000007</v>
      </c>
      <c r="BD351" s="324" t="e">
        <f t="shared" ref="BD351:BD414" ca="1" si="331">AG351^0.68</f>
        <v>#NAME?</v>
      </c>
      <c r="BE351" s="325" t="e">
        <f t="shared" ref="BE351:BE414" ca="1" si="332">AC351^0.53</f>
        <v>#NAME?</v>
      </c>
      <c r="BF351" s="324" t="e">
        <f ca="1">BicubicInterpolation('TSFC Eff Table'!$B$4:$E$69,2,BB351)</f>
        <v>#NAME?</v>
      </c>
      <c r="BG351" s="326" t="e">
        <f t="shared" ref="BG351:BG414" ca="1" si="333">BC351*BD351*BE351/BF351</f>
        <v>#NAME?</v>
      </c>
      <c r="BH351" s="694" t="e">
        <f ca="1">IF( S351="LRCINOP",   (1+(0.03/10)*Z351*(1+0.2*AC351^2) )*BicubicInterpolation( 'LRC INOP FF'!$C$4:$AA$21, Y351, U351 )-200, IF(S351 ="HOLDINGINOP", (1+(0.03/10)*Z351*(1+0.2*AC351^2) )*BicubicInterpolation( 'Holding INOP FF'!$C$4:$J$13,  Y351,  U351)/1.05-200,   BA351*BG351))</f>
        <v>#NAME?</v>
      </c>
      <c r="BI351" s="344" t="e">
        <f t="shared" ca="1" si="292"/>
        <v>#NAME?</v>
      </c>
      <c r="BJ351" s="322" t="e">
        <f t="shared" ref="BJ351:BJ414" ca="1" si="334">BI351/(AR351*AJ351)/1000</f>
        <v>#NAME?</v>
      </c>
      <c r="BK351" s="338" t="e">
        <f t="shared" ca="1" si="293"/>
        <v>#NAME?</v>
      </c>
      <c r="BL351" s="327" t="e">
        <f t="shared" ref="BL351:BL414" ca="1" si="335">100*BK351/AS351</f>
        <v>#NAME?</v>
      </c>
      <c r="BM351" s="328">
        <f t="shared" ref="BM351:BM414" si="336">200-IF(AA351="OFF",55,0)</f>
        <v>200</v>
      </c>
      <c r="BN351" s="329" t="e">
        <f t="shared" ref="BN351:BN414" ca="1" si="337">BI351+BM351</f>
        <v>#NAME?</v>
      </c>
      <c r="BO351" s="344" t="e">
        <f t="shared" ca="1" si="294"/>
        <v>#NAME?</v>
      </c>
      <c r="BP351" s="320" t="e">
        <f t="shared" ref="BP351:BP414" ca="1" si="338">1000*AL351/BO351</f>
        <v>#NAME?</v>
      </c>
      <c r="BQ351" s="344" t="e">
        <f t="shared" ca="1" si="295"/>
        <v>#NAME?</v>
      </c>
      <c r="BR351" s="347" t="e">
        <f t="shared" ca="1" si="296"/>
        <v>#NAME?</v>
      </c>
      <c r="BS351" s="326" t="e">
        <f t="shared" ref="BS351:BS414" ca="1" si="339">1000*AL351/BR351</f>
        <v>#NAME?</v>
      </c>
      <c r="BT351" s="437" t="e">
        <f t="shared" ca="1" si="309"/>
        <v>#NAME?</v>
      </c>
      <c r="BU351" s="437" t="e">
        <f t="shared" ca="1" si="310"/>
        <v>#NAME?</v>
      </c>
      <c r="BV351" s="441" t="e">
        <f t="shared" ca="1" si="311"/>
        <v>#NAME?</v>
      </c>
      <c r="BW351" s="442" t="e">
        <f t="shared" ca="1" si="312"/>
        <v>#NAME?</v>
      </c>
      <c r="BX351" s="470" t="e">
        <f t="shared" ca="1" si="285"/>
        <v>#NAME?</v>
      </c>
      <c r="BY351" s="484" t="e">
        <f t="shared" ca="1" si="297"/>
        <v>#NAME?</v>
      </c>
    </row>
    <row r="352" spans="9:77" ht="17.75" customHeight="1" x14ac:dyDescent="0.2">
      <c r="I352" s="366">
        <v>268</v>
      </c>
      <c r="J352" s="414">
        <f t="shared" si="298"/>
        <v>41705.898611111719</v>
      </c>
      <c r="K352" s="435" t="e">
        <f t="shared" ca="1" si="299"/>
        <v>#NAME?</v>
      </c>
      <c r="L352" s="435" t="e">
        <f t="shared" ca="1" si="286"/>
        <v>#NAME?</v>
      </c>
      <c r="M352" s="664" t="e">
        <f t="shared" ca="1" si="278"/>
        <v>#NAME?</v>
      </c>
      <c r="N352" s="664" t="e">
        <f t="shared" ca="1" si="279"/>
        <v>#NAME?</v>
      </c>
      <c r="O352" s="140" t="e">
        <f t="shared" ca="1" si="287"/>
        <v>#NAME?</v>
      </c>
      <c r="P352" s="352" t="e">
        <f t="shared" ca="1" si="300"/>
        <v>#NAME?</v>
      </c>
      <c r="Q352" s="665" t="e">
        <f t="shared" ca="1" si="280"/>
        <v>#NAME?</v>
      </c>
      <c r="R352" s="352" t="e">
        <f t="shared" ca="1" si="313"/>
        <v>#NAME?</v>
      </c>
      <c r="S352" s="662" t="e">
        <f t="shared" ca="1" si="288"/>
        <v>#NAME?</v>
      </c>
      <c r="T352" s="443" t="e">
        <f t="shared" ca="1" si="281"/>
        <v>#NAME?</v>
      </c>
      <c r="U352" s="369" t="e">
        <f t="shared" ca="1" si="282"/>
        <v>#NAME?</v>
      </c>
      <c r="V352" s="454" t="e">
        <f t="shared" ca="1" si="289"/>
        <v>#NAME?</v>
      </c>
      <c r="W352" s="457">
        <f t="shared" si="290"/>
        <v>1000</v>
      </c>
      <c r="X352" s="463" t="e">
        <f t="shared" ca="1" si="291"/>
        <v>#NAME?</v>
      </c>
      <c r="Y352" s="455" t="e">
        <f t="shared" ca="1" si="301"/>
        <v>#NAME?</v>
      </c>
      <c r="Z352" s="699">
        <f t="shared" si="283"/>
        <v>8.5</v>
      </c>
      <c r="AA352" s="355" t="str">
        <f t="shared" si="284"/>
        <v>ON</v>
      </c>
      <c r="AB352" s="357">
        <f t="shared" si="314"/>
        <v>1.4999999999999999E-2</v>
      </c>
      <c r="AC352" s="356" t="e">
        <f ca="1">IF(  Y351=0,0,IF(OR(S352="KCAS",S352="INOP",S352="MEFE"),   ( (5*( (   (((1+0.2*(T352/661.4786)^2)^3.5 -1)  )/( (1-6.8755856*10^-6 *100*Y352)^5.2558797) +1)^(2/7) -1) )^0.5),IF(S352="MACH",T352, IF(S352="LRC",BicubicInterpolation( 'LRC Mach'!$C$4:$AL$21, Y352,U352),  IF(S352="MRC",BicubicInterpolation( 'MRC Mach'!$C$3:$T$18, Y352,U352),  IF(S352="M0.84",0.84,  IF(S352="CI52",BicubicInterpolation('CI=52 Mach'!$C$3:$T$18, Y352,U352),  IF(S352="HOLDING",BicubicInterpolation(  'Holding Mach'!$C$4:$M$13, Y352,U352),                         IF(S352="LRCINOP", BicubicInterpolation('LRC INOP Mach'!$C$4:$AA$21,Y352,U352), IF(S352="HOLDINGINOP",  BicubicInterpolation('Holding INOP Mach'!$N$4:$U$13,Y352,U352),         "XXX" )))))))   )))</f>
        <v>#NAME?</v>
      </c>
      <c r="AD352" s="313" t="e">
        <f t="shared" ca="1" si="315"/>
        <v>#NAME?</v>
      </c>
      <c r="AE352" s="314" t="e">
        <f t="shared" ca="1" si="302"/>
        <v>#NAME?</v>
      </c>
      <c r="AF352" s="313" t="e">
        <f t="shared" ca="1" si="316"/>
        <v>#NAME?</v>
      </c>
      <c r="AG352" s="314" t="e">
        <f t="shared" ca="1" si="303"/>
        <v>#NAME?</v>
      </c>
      <c r="AH352" s="313" t="e">
        <f t="shared" ca="1" si="317"/>
        <v>#NAME?</v>
      </c>
      <c r="AI352" s="314" t="e">
        <f t="shared" ca="1" si="304"/>
        <v>#NAME?</v>
      </c>
      <c r="AJ352" s="315" t="e">
        <f t="shared" ca="1" si="305"/>
        <v>#NAME?</v>
      </c>
      <c r="AK352" s="568" t="e">
        <f t="shared" ca="1" si="318"/>
        <v>#NAME?</v>
      </c>
      <c r="AL352" s="313" t="e">
        <f t="shared" ca="1" si="319"/>
        <v>#NAME?</v>
      </c>
      <c r="AM352" s="313" t="e">
        <f t="shared" ca="1" si="306"/>
        <v>#NAME?</v>
      </c>
      <c r="AN352" s="313" t="e">
        <f t="shared" ca="1" si="307"/>
        <v>#NAME?</v>
      </c>
      <c r="AO352" s="316" t="e">
        <f t="shared" ca="1" si="320"/>
        <v>#NAME?</v>
      </c>
      <c r="AP352" s="313" t="e">
        <f t="shared" ca="1" si="321"/>
        <v>#NAME?</v>
      </c>
      <c r="AQ352" s="314" t="e">
        <f t="shared" ca="1" si="308"/>
        <v>#NAME?</v>
      </c>
      <c r="AR352" s="315" t="e">
        <f t="shared" ca="1" si="322"/>
        <v>#NAME?</v>
      </c>
      <c r="AS352" s="316" t="e">
        <f t="shared" ca="1" si="323"/>
        <v>#NAME?</v>
      </c>
      <c r="AT352" s="315" t="e">
        <f t="shared" ca="1" si="324"/>
        <v>#NAME?</v>
      </c>
      <c r="AU352" s="317">
        <v>427.8</v>
      </c>
      <c r="AV352" s="315" t="e">
        <f t="shared" ca="1" si="325"/>
        <v>#NAME?</v>
      </c>
      <c r="AW352" s="318" t="e">
        <f ca="1">0.0001*BicubicInterpolation('Drag Coef Table'!$B$4:$L$28,AV352,AC352)</f>
        <v>#NAME?</v>
      </c>
      <c r="AX352" s="319" t="e">
        <f t="shared" ca="1" si="326"/>
        <v>#NAME?</v>
      </c>
      <c r="AY352" s="318" t="e">
        <f t="shared" ca="1" si="327"/>
        <v>#NAME?</v>
      </c>
      <c r="AZ352" s="320" t="e">
        <f t="shared" ca="1" si="328"/>
        <v>#NAME?</v>
      </c>
      <c r="BA352" s="321" t="e">
        <f t="shared" ca="1" si="329"/>
        <v>#NAME?</v>
      </c>
      <c r="BB352" s="322" t="e">
        <f t="shared" ca="1" si="330"/>
        <v>#NAME?</v>
      </c>
      <c r="BC352" s="323">
        <v>75.196700000000007</v>
      </c>
      <c r="BD352" s="324" t="e">
        <f t="shared" ca="1" si="331"/>
        <v>#NAME?</v>
      </c>
      <c r="BE352" s="325" t="e">
        <f t="shared" ca="1" si="332"/>
        <v>#NAME?</v>
      </c>
      <c r="BF352" s="324" t="e">
        <f ca="1">BicubicInterpolation('TSFC Eff Table'!$B$4:$E$69,2,BB352)</f>
        <v>#NAME?</v>
      </c>
      <c r="BG352" s="326" t="e">
        <f t="shared" ca="1" si="333"/>
        <v>#NAME?</v>
      </c>
      <c r="BH352" s="694" t="e">
        <f ca="1">IF( S352="LRCINOP",   (1+(0.03/10)*Z352*(1+0.2*AC352^2) )*BicubicInterpolation( 'LRC INOP FF'!$C$4:$AA$21, Y352, U352 )-200, IF(S352 ="HOLDINGINOP", (1+(0.03/10)*Z352*(1+0.2*AC352^2) )*BicubicInterpolation( 'Holding INOP FF'!$C$4:$J$13,  Y352,  U352)/1.05-200,   BA352*BG352))</f>
        <v>#NAME?</v>
      </c>
      <c r="BI352" s="344" t="e">
        <f t="shared" ca="1" si="292"/>
        <v>#NAME?</v>
      </c>
      <c r="BJ352" s="322" t="e">
        <f t="shared" ca="1" si="334"/>
        <v>#NAME?</v>
      </c>
      <c r="BK352" s="338" t="e">
        <f t="shared" ca="1" si="293"/>
        <v>#NAME?</v>
      </c>
      <c r="BL352" s="327" t="e">
        <f t="shared" ca="1" si="335"/>
        <v>#NAME?</v>
      </c>
      <c r="BM352" s="328">
        <f t="shared" si="336"/>
        <v>200</v>
      </c>
      <c r="BN352" s="329" t="e">
        <f t="shared" ca="1" si="337"/>
        <v>#NAME?</v>
      </c>
      <c r="BO352" s="344" t="e">
        <f t="shared" ca="1" si="294"/>
        <v>#NAME?</v>
      </c>
      <c r="BP352" s="320" t="e">
        <f t="shared" ca="1" si="338"/>
        <v>#NAME?</v>
      </c>
      <c r="BQ352" s="344" t="e">
        <f t="shared" ca="1" si="295"/>
        <v>#NAME?</v>
      </c>
      <c r="BR352" s="347" t="e">
        <f t="shared" ca="1" si="296"/>
        <v>#NAME?</v>
      </c>
      <c r="BS352" s="326" t="e">
        <f t="shared" ca="1" si="339"/>
        <v>#NAME?</v>
      </c>
      <c r="BT352" s="437" t="e">
        <f t="shared" ca="1" si="309"/>
        <v>#NAME?</v>
      </c>
      <c r="BU352" s="437" t="e">
        <f t="shared" ca="1" si="310"/>
        <v>#NAME?</v>
      </c>
      <c r="BV352" s="441" t="e">
        <f t="shared" ca="1" si="311"/>
        <v>#NAME?</v>
      </c>
      <c r="BW352" s="442" t="e">
        <f t="shared" ca="1" si="312"/>
        <v>#NAME?</v>
      </c>
      <c r="BX352" s="470" t="e">
        <f t="shared" ca="1" si="285"/>
        <v>#NAME?</v>
      </c>
      <c r="BY352" s="484" t="e">
        <f t="shared" ca="1" si="297"/>
        <v>#NAME?</v>
      </c>
    </row>
    <row r="353" spans="9:77" ht="17.75" customHeight="1" x14ac:dyDescent="0.2">
      <c r="I353" s="366">
        <v>269</v>
      </c>
      <c r="J353" s="414">
        <f t="shared" si="298"/>
        <v>41705.899305556166</v>
      </c>
      <c r="K353" s="435" t="e">
        <f t="shared" ca="1" si="299"/>
        <v>#NAME?</v>
      </c>
      <c r="L353" s="435" t="e">
        <f t="shared" ca="1" si="286"/>
        <v>#NAME?</v>
      </c>
      <c r="M353" s="664" t="e">
        <f t="shared" ca="1" si="278"/>
        <v>#NAME?</v>
      </c>
      <c r="N353" s="664" t="e">
        <f t="shared" ca="1" si="279"/>
        <v>#NAME?</v>
      </c>
      <c r="O353" s="140" t="e">
        <f t="shared" ca="1" si="287"/>
        <v>#NAME?</v>
      </c>
      <c r="P353" s="352" t="e">
        <f t="shared" ca="1" si="300"/>
        <v>#NAME?</v>
      </c>
      <c r="Q353" s="665" t="e">
        <f t="shared" ca="1" si="280"/>
        <v>#NAME?</v>
      </c>
      <c r="R353" s="352" t="e">
        <f t="shared" ca="1" si="313"/>
        <v>#NAME?</v>
      </c>
      <c r="S353" s="662" t="e">
        <f t="shared" ca="1" si="288"/>
        <v>#NAME?</v>
      </c>
      <c r="T353" s="443" t="e">
        <f t="shared" ca="1" si="281"/>
        <v>#NAME?</v>
      </c>
      <c r="U353" s="369" t="e">
        <f t="shared" ca="1" si="282"/>
        <v>#NAME?</v>
      </c>
      <c r="V353" s="454" t="e">
        <f t="shared" ca="1" si="289"/>
        <v>#NAME?</v>
      </c>
      <c r="W353" s="457">
        <f t="shared" si="290"/>
        <v>1000</v>
      </c>
      <c r="X353" s="463" t="e">
        <f t="shared" ca="1" si="291"/>
        <v>#NAME?</v>
      </c>
      <c r="Y353" s="455" t="e">
        <f t="shared" ca="1" si="301"/>
        <v>#NAME?</v>
      </c>
      <c r="Z353" s="699">
        <f t="shared" si="283"/>
        <v>8.5</v>
      </c>
      <c r="AA353" s="355" t="str">
        <f t="shared" si="284"/>
        <v>ON</v>
      </c>
      <c r="AB353" s="357">
        <f t="shared" si="314"/>
        <v>1.4999999999999999E-2</v>
      </c>
      <c r="AC353" s="356" t="e">
        <f ca="1">IF(  Y352=0,0,IF(OR(S353="KCAS",S353="INOP",S353="MEFE"),   ( (5*( (   (((1+0.2*(T353/661.4786)^2)^3.5 -1)  )/( (1-6.8755856*10^-6 *100*Y353)^5.2558797) +1)^(2/7) -1) )^0.5),IF(S353="MACH",T353, IF(S353="LRC",BicubicInterpolation( 'LRC Mach'!$C$4:$AL$21, Y353,U353),  IF(S353="MRC",BicubicInterpolation( 'MRC Mach'!$C$3:$T$18, Y353,U353),  IF(S353="M0.84",0.84,  IF(S353="CI52",BicubicInterpolation('CI=52 Mach'!$C$3:$T$18, Y353,U353),  IF(S353="HOLDING",BicubicInterpolation(  'Holding Mach'!$C$4:$M$13, Y353,U353),                         IF(S353="LRCINOP", BicubicInterpolation('LRC INOP Mach'!$C$4:$AA$21,Y353,U353), IF(S353="HOLDINGINOP",  BicubicInterpolation('Holding INOP Mach'!$N$4:$U$13,Y353,U353),         "XXX" )))))))   )))</f>
        <v>#NAME?</v>
      </c>
      <c r="AD353" s="313" t="e">
        <f t="shared" ca="1" si="315"/>
        <v>#NAME?</v>
      </c>
      <c r="AE353" s="314" t="e">
        <f t="shared" ca="1" si="302"/>
        <v>#NAME?</v>
      </c>
      <c r="AF353" s="313" t="e">
        <f t="shared" ca="1" si="316"/>
        <v>#NAME?</v>
      </c>
      <c r="AG353" s="314" t="e">
        <f t="shared" ca="1" si="303"/>
        <v>#NAME?</v>
      </c>
      <c r="AH353" s="313" t="e">
        <f t="shared" ca="1" si="317"/>
        <v>#NAME?</v>
      </c>
      <c r="AI353" s="314" t="e">
        <f t="shared" ca="1" si="304"/>
        <v>#NAME?</v>
      </c>
      <c r="AJ353" s="315" t="e">
        <f t="shared" ca="1" si="305"/>
        <v>#NAME?</v>
      </c>
      <c r="AK353" s="568" t="e">
        <f t="shared" ca="1" si="318"/>
        <v>#NAME?</v>
      </c>
      <c r="AL353" s="313" t="e">
        <f t="shared" ca="1" si="319"/>
        <v>#NAME?</v>
      </c>
      <c r="AM353" s="313" t="e">
        <f t="shared" ca="1" si="306"/>
        <v>#NAME?</v>
      </c>
      <c r="AN353" s="313" t="e">
        <f t="shared" ca="1" si="307"/>
        <v>#NAME?</v>
      </c>
      <c r="AO353" s="316" t="e">
        <f t="shared" ca="1" si="320"/>
        <v>#NAME?</v>
      </c>
      <c r="AP353" s="313" t="e">
        <f t="shared" ca="1" si="321"/>
        <v>#NAME?</v>
      </c>
      <c r="AQ353" s="314" t="e">
        <f t="shared" ca="1" si="308"/>
        <v>#NAME?</v>
      </c>
      <c r="AR353" s="315" t="e">
        <f t="shared" ca="1" si="322"/>
        <v>#NAME?</v>
      </c>
      <c r="AS353" s="316" t="e">
        <f t="shared" ca="1" si="323"/>
        <v>#NAME?</v>
      </c>
      <c r="AT353" s="315" t="e">
        <f t="shared" ca="1" si="324"/>
        <v>#NAME?</v>
      </c>
      <c r="AU353" s="317">
        <v>427.8</v>
      </c>
      <c r="AV353" s="315" t="e">
        <f t="shared" ca="1" si="325"/>
        <v>#NAME?</v>
      </c>
      <c r="AW353" s="318" t="e">
        <f ca="1">0.0001*BicubicInterpolation('Drag Coef Table'!$B$4:$L$28,AV353,AC353)</f>
        <v>#NAME?</v>
      </c>
      <c r="AX353" s="319" t="e">
        <f t="shared" ca="1" si="326"/>
        <v>#NAME?</v>
      </c>
      <c r="AY353" s="318" t="e">
        <f t="shared" ca="1" si="327"/>
        <v>#NAME?</v>
      </c>
      <c r="AZ353" s="320" t="e">
        <f t="shared" ca="1" si="328"/>
        <v>#NAME?</v>
      </c>
      <c r="BA353" s="321" t="e">
        <f t="shared" ca="1" si="329"/>
        <v>#NAME?</v>
      </c>
      <c r="BB353" s="322" t="e">
        <f t="shared" ca="1" si="330"/>
        <v>#NAME?</v>
      </c>
      <c r="BC353" s="323">
        <v>75.196700000000007</v>
      </c>
      <c r="BD353" s="324" t="e">
        <f t="shared" ca="1" si="331"/>
        <v>#NAME?</v>
      </c>
      <c r="BE353" s="325" t="e">
        <f t="shared" ca="1" si="332"/>
        <v>#NAME?</v>
      </c>
      <c r="BF353" s="324" t="e">
        <f ca="1">BicubicInterpolation('TSFC Eff Table'!$B$4:$E$69,2,BB353)</f>
        <v>#NAME?</v>
      </c>
      <c r="BG353" s="326" t="e">
        <f t="shared" ca="1" si="333"/>
        <v>#NAME?</v>
      </c>
      <c r="BH353" s="694" t="e">
        <f ca="1">IF( S353="LRCINOP",   (1+(0.03/10)*Z353*(1+0.2*AC353^2) )*BicubicInterpolation( 'LRC INOP FF'!$C$4:$AA$21, Y353, U353 )-200, IF(S353 ="HOLDINGINOP", (1+(0.03/10)*Z353*(1+0.2*AC353^2) )*BicubicInterpolation( 'Holding INOP FF'!$C$4:$J$13,  Y353,  U353)/1.05-200,   BA353*BG353))</f>
        <v>#NAME?</v>
      </c>
      <c r="BI353" s="344" t="e">
        <f t="shared" ca="1" si="292"/>
        <v>#NAME?</v>
      </c>
      <c r="BJ353" s="322" t="e">
        <f t="shared" ca="1" si="334"/>
        <v>#NAME?</v>
      </c>
      <c r="BK353" s="338" t="e">
        <f t="shared" ca="1" si="293"/>
        <v>#NAME?</v>
      </c>
      <c r="BL353" s="327" t="e">
        <f t="shared" ca="1" si="335"/>
        <v>#NAME?</v>
      </c>
      <c r="BM353" s="328">
        <f t="shared" si="336"/>
        <v>200</v>
      </c>
      <c r="BN353" s="329" t="e">
        <f t="shared" ca="1" si="337"/>
        <v>#NAME?</v>
      </c>
      <c r="BO353" s="344" t="e">
        <f t="shared" ca="1" si="294"/>
        <v>#NAME?</v>
      </c>
      <c r="BP353" s="320" t="e">
        <f t="shared" ca="1" si="338"/>
        <v>#NAME?</v>
      </c>
      <c r="BQ353" s="344" t="e">
        <f t="shared" ca="1" si="295"/>
        <v>#NAME?</v>
      </c>
      <c r="BR353" s="347" t="e">
        <f t="shared" ca="1" si="296"/>
        <v>#NAME?</v>
      </c>
      <c r="BS353" s="326" t="e">
        <f t="shared" ca="1" si="339"/>
        <v>#NAME?</v>
      </c>
      <c r="BT353" s="437" t="e">
        <f t="shared" ca="1" si="309"/>
        <v>#NAME?</v>
      </c>
      <c r="BU353" s="437" t="e">
        <f t="shared" ca="1" si="310"/>
        <v>#NAME?</v>
      </c>
      <c r="BV353" s="441" t="e">
        <f t="shared" ca="1" si="311"/>
        <v>#NAME?</v>
      </c>
      <c r="BW353" s="442" t="e">
        <f t="shared" ca="1" si="312"/>
        <v>#NAME?</v>
      </c>
      <c r="BX353" s="470" t="e">
        <f t="shared" ca="1" si="285"/>
        <v>#NAME?</v>
      </c>
      <c r="BY353" s="484" t="e">
        <f t="shared" ca="1" si="297"/>
        <v>#NAME?</v>
      </c>
    </row>
    <row r="354" spans="9:77" ht="17.75" customHeight="1" x14ac:dyDescent="0.2">
      <c r="I354" s="366">
        <v>270</v>
      </c>
      <c r="J354" s="414">
        <f t="shared" si="298"/>
        <v>41705.900000000613</v>
      </c>
      <c r="K354" s="435" t="e">
        <f t="shared" ca="1" si="299"/>
        <v>#NAME?</v>
      </c>
      <c r="L354" s="435" t="e">
        <f t="shared" ca="1" si="286"/>
        <v>#NAME?</v>
      </c>
      <c r="M354" s="664" t="e">
        <f t="shared" ca="1" si="278"/>
        <v>#NAME?</v>
      </c>
      <c r="N354" s="664" t="e">
        <f t="shared" ca="1" si="279"/>
        <v>#NAME?</v>
      </c>
      <c r="O354" s="140" t="e">
        <f t="shared" ca="1" si="287"/>
        <v>#NAME?</v>
      </c>
      <c r="P354" s="352" t="e">
        <f t="shared" ca="1" si="300"/>
        <v>#NAME?</v>
      </c>
      <c r="Q354" s="665" t="e">
        <f t="shared" ca="1" si="280"/>
        <v>#NAME?</v>
      </c>
      <c r="R354" s="352" t="e">
        <f t="shared" ca="1" si="313"/>
        <v>#NAME?</v>
      </c>
      <c r="S354" s="662" t="e">
        <f t="shared" ca="1" si="288"/>
        <v>#NAME?</v>
      </c>
      <c r="T354" s="443" t="e">
        <f t="shared" ca="1" si="281"/>
        <v>#NAME?</v>
      </c>
      <c r="U354" s="369" t="e">
        <f t="shared" ca="1" si="282"/>
        <v>#NAME?</v>
      </c>
      <c r="V354" s="454" t="e">
        <f t="shared" ca="1" si="289"/>
        <v>#NAME?</v>
      </c>
      <c r="W354" s="457">
        <f t="shared" si="290"/>
        <v>1000</v>
      </c>
      <c r="X354" s="463" t="e">
        <f t="shared" ca="1" si="291"/>
        <v>#NAME?</v>
      </c>
      <c r="Y354" s="455" t="e">
        <f t="shared" ca="1" si="301"/>
        <v>#NAME?</v>
      </c>
      <c r="Z354" s="699">
        <f t="shared" si="283"/>
        <v>8.5</v>
      </c>
      <c r="AA354" s="355" t="str">
        <f t="shared" si="284"/>
        <v>ON</v>
      </c>
      <c r="AB354" s="357">
        <f t="shared" si="314"/>
        <v>1.4999999999999999E-2</v>
      </c>
      <c r="AC354" s="356" t="e">
        <f ca="1">IF(  Y353=0,0,IF(OR(S354="KCAS",S354="INOP",S354="MEFE"),   ( (5*( (   (((1+0.2*(T354/661.4786)^2)^3.5 -1)  )/( (1-6.8755856*10^-6 *100*Y354)^5.2558797) +1)^(2/7) -1) )^0.5),IF(S354="MACH",T354, IF(S354="LRC",BicubicInterpolation( 'LRC Mach'!$C$4:$AL$21, Y354,U354),  IF(S354="MRC",BicubicInterpolation( 'MRC Mach'!$C$3:$T$18, Y354,U354),  IF(S354="M0.84",0.84,  IF(S354="CI52",BicubicInterpolation('CI=52 Mach'!$C$3:$T$18, Y354,U354),  IF(S354="HOLDING",BicubicInterpolation(  'Holding Mach'!$C$4:$M$13, Y354,U354),                         IF(S354="LRCINOP", BicubicInterpolation('LRC INOP Mach'!$C$4:$AA$21,Y354,U354), IF(S354="HOLDINGINOP",  BicubicInterpolation('Holding INOP Mach'!$N$4:$U$13,Y354,U354),         "XXX" )))))))   )))</f>
        <v>#NAME?</v>
      </c>
      <c r="AD354" s="313" t="e">
        <f t="shared" ca="1" si="315"/>
        <v>#NAME?</v>
      </c>
      <c r="AE354" s="314" t="e">
        <f t="shared" ca="1" si="302"/>
        <v>#NAME?</v>
      </c>
      <c r="AF354" s="313" t="e">
        <f t="shared" ca="1" si="316"/>
        <v>#NAME?</v>
      </c>
      <c r="AG354" s="314" t="e">
        <f t="shared" ca="1" si="303"/>
        <v>#NAME?</v>
      </c>
      <c r="AH354" s="313" t="e">
        <f t="shared" ca="1" si="317"/>
        <v>#NAME?</v>
      </c>
      <c r="AI354" s="314" t="e">
        <f t="shared" ca="1" si="304"/>
        <v>#NAME?</v>
      </c>
      <c r="AJ354" s="315" t="e">
        <f t="shared" ca="1" si="305"/>
        <v>#NAME?</v>
      </c>
      <c r="AK354" s="568" t="e">
        <f t="shared" ca="1" si="318"/>
        <v>#NAME?</v>
      </c>
      <c r="AL354" s="313" t="e">
        <f t="shared" ca="1" si="319"/>
        <v>#NAME?</v>
      </c>
      <c r="AM354" s="313" t="e">
        <f t="shared" ca="1" si="306"/>
        <v>#NAME?</v>
      </c>
      <c r="AN354" s="313" t="e">
        <f t="shared" ca="1" si="307"/>
        <v>#NAME?</v>
      </c>
      <c r="AO354" s="316" t="e">
        <f t="shared" ca="1" si="320"/>
        <v>#NAME?</v>
      </c>
      <c r="AP354" s="313" t="e">
        <f t="shared" ca="1" si="321"/>
        <v>#NAME?</v>
      </c>
      <c r="AQ354" s="314" t="e">
        <f t="shared" ca="1" si="308"/>
        <v>#NAME?</v>
      </c>
      <c r="AR354" s="315" t="e">
        <f t="shared" ca="1" si="322"/>
        <v>#NAME?</v>
      </c>
      <c r="AS354" s="316" t="e">
        <f t="shared" ca="1" si="323"/>
        <v>#NAME?</v>
      </c>
      <c r="AT354" s="315" t="e">
        <f t="shared" ca="1" si="324"/>
        <v>#NAME?</v>
      </c>
      <c r="AU354" s="317">
        <v>427.8</v>
      </c>
      <c r="AV354" s="315" t="e">
        <f t="shared" ca="1" si="325"/>
        <v>#NAME?</v>
      </c>
      <c r="AW354" s="318" t="e">
        <f ca="1">0.0001*BicubicInterpolation('Drag Coef Table'!$B$4:$L$28,AV354,AC354)</f>
        <v>#NAME?</v>
      </c>
      <c r="AX354" s="319" t="e">
        <f t="shared" ca="1" si="326"/>
        <v>#NAME?</v>
      </c>
      <c r="AY354" s="318" t="e">
        <f t="shared" ca="1" si="327"/>
        <v>#NAME?</v>
      </c>
      <c r="AZ354" s="320" t="e">
        <f t="shared" ca="1" si="328"/>
        <v>#NAME?</v>
      </c>
      <c r="BA354" s="321" t="e">
        <f t="shared" ca="1" si="329"/>
        <v>#NAME?</v>
      </c>
      <c r="BB354" s="322" t="e">
        <f t="shared" ca="1" si="330"/>
        <v>#NAME?</v>
      </c>
      <c r="BC354" s="323">
        <v>75.196700000000007</v>
      </c>
      <c r="BD354" s="324" t="e">
        <f t="shared" ca="1" si="331"/>
        <v>#NAME?</v>
      </c>
      <c r="BE354" s="325" t="e">
        <f t="shared" ca="1" si="332"/>
        <v>#NAME?</v>
      </c>
      <c r="BF354" s="324" t="e">
        <f ca="1">BicubicInterpolation('TSFC Eff Table'!$B$4:$E$69,2,BB354)</f>
        <v>#NAME?</v>
      </c>
      <c r="BG354" s="326" t="e">
        <f t="shared" ca="1" si="333"/>
        <v>#NAME?</v>
      </c>
      <c r="BH354" s="694" t="e">
        <f ca="1">IF( S354="LRCINOP",   (1+(0.03/10)*Z354*(1+0.2*AC354^2) )*BicubicInterpolation( 'LRC INOP FF'!$C$4:$AA$21, Y354, U354 )-200, IF(S354 ="HOLDINGINOP", (1+(0.03/10)*Z354*(1+0.2*AC354^2) )*BicubicInterpolation( 'Holding INOP FF'!$C$4:$J$13,  Y354,  U354)/1.05-200,   BA354*BG354))</f>
        <v>#NAME?</v>
      </c>
      <c r="BI354" s="344" t="e">
        <f t="shared" ca="1" si="292"/>
        <v>#NAME?</v>
      </c>
      <c r="BJ354" s="322" t="e">
        <f t="shared" ca="1" si="334"/>
        <v>#NAME?</v>
      </c>
      <c r="BK354" s="338" t="e">
        <f t="shared" ca="1" si="293"/>
        <v>#NAME?</v>
      </c>
      <c r="BL354" s="327" t="e">
        <f t="shared" ca="1" si="335"/>
        <v>#NAME?</v>
      </c>
      <c r="BM354" s="328">
        <f t="shared" si="336"/>
        <v>200</v>
      </c>
      <c r="BN354" s="329" t="e">
        <f t="shared" ca="1" si="337"/>
        <v>#NAME?</v>
      </c>
      <c r="BO354" s="344" t="e">
        <f t="shared" ca="1" si="294"/>
        <v>#NAME?</v>
      </c>
      <c r="BP354" s="320" t="e">
        <f t="shared" ca="1" si="338"/>
        <v>#NAME?</v>
      </c>
      <c r="BQ354" s="344" t="e">
        <f t="shared" ca="1" si="295"/>
        <v>#NAME?</v>
      </c>
      <c r="BR354" s="347" t="e">
        <f t="shared" ca="1" si="296"/>
        <v>#NAME?</v>
      </c>
      <c r="BS354" s="326" t="e">
        <f t="shared" ca="1" si="339"/>
        <v>#NAME?</v>
      </c>
      <c r="BT354" s="437" t="e">
        <f t="shared" ca="1" si="309"/>
        <v>#NAME?</v>
      </c>
      <c r="BU354" s="437" t="e">
        <f t="shared" ca="1" si="310"/>
        <v>#NAME?</v>
      </c>
      <c r="BV354" s="441" t="e">
        <f t="shared" ca="1" si="311"/>
        <v>#NAME?</v>
      </c>
      <c r="BW354" s="442" t="e">
        <f t="shared" ca="1" si="312"/>
        <v>#NAME?</v>
      </c>
      <c r="BX354" s="470" t="e">
        <f t="shared" ca="1" si="285"/>
        <v>#NAME?</v>
      </c>
      <c r="BY354" s="484" t="e">
        <f t="shared" ca="1" si="297"/>
        <v>#NAME?</v>
      </c>
    </row>
    <row r="355" spans="9:77" ht="17.75" customHeight="1" x14ac:dyDescent="0.2">
      <c r="I355" s="366">
        <v>271</v>
      </c>
      <c r="J355" s="414">
        <f t="shared" si="298"/>
        <v>41705.900694445059</v>
      </c>
      <c r="K355" s="435" t="e">
        <f t="shared" ca="1" si="299"/>
        <v>#NAME?</v>
      </c>
      <c r="L355" s="435" t="e">
        <f t="shared" ca="1" si="286"/>
        <v>#NAME?</v>
      </c>
      <c r="M355" s="664" t="e">
        <f t="shared" ca="1" si="278"/>
        <v>#NAME?</v>
      </c>
      <c r="N355" s="664" t="e">
        <f t="shared" ca="1" si="279"/>
        <v>#NAME?</v>
      </c>
      <c r="O355" s="140" t="e">
        <f t="shared" ca="1" si="287"/>
        <v>#NAME?</v>
      </c>
      <c r="P355" s="352" t="e">
        <f t="shared" ca="1" si="300"/>
        <v>#NAME?</v>
      </c>
      <c r="Q355" s="665" t="e">
        <f t="shared" ca="1" si="280"/>
        <v>#NAME?</v>
      </c>
      <c r="R355" s="352" t="e">
        <f t="shared" ca="1" si="313"/>
        <v>#NAME?</v>
      </c>
      <c r="S355" s="662" t="e">
        <f t="shared" ca="1" si="288"/>
        <v>#NAME?</v>
      </c>
      <c r="T355" s="443" t="e">
        <f t="shared" ca="1" si="281"/>
        <v>#NAME?</v>
      </c>
      <c r="U355" s="369" t="e">
        <f t="shared" ca="1" si="282"/>
        <v>#NAME?</v>
      </c>
      <c r="V355" s="454" t="e">
        <f t="shared" ca="1" si="289"/>
        <v>#NAME?</v>
      </c>
      <c r="W355" s="457">
        <f t="shared" si="290"/>
        <v>1000</v>
      </c>
      <c r="X355" s="463" t="e">
        <f t="shared" ca="1" si="291"/>
        <v>#NAME?</v>
      </c>
      <c r="Y355" s="455" t="e">
        <f t="shared" ca="1" si="301"/>
        <v>#NAME?</v>
      </c>
      <c r="Z355" s="699">
        <f t="shared" si="283"/>
        <v>8.5</v>
      </c>
      <c r="AA355" s="355" t="str">
        <f t="shared" si="284"/>
        <v>ON</v>
      </c>
      <c r="AB355" s="357">
        <f t="shared" si="314"/>
        <v>1.4999999999999999E-2</v>
      </c>
      <c r="AC355" s="356" t="e">
        <f ca="1">IF(  Y354=0,0,IF(OR(S355="KCAS",S355="INOP",S355="MEFE"),   ( (5*( (   (((1+0.2*(T355/661.4786)^2)^3.5 -1)  )/( (1-6.8755856*10^-6 *100*Y355)^5.2558797) +1)^(2/7) -1) )^0.5),IF(S355="MACH",T355, IF(S355="LRC",BicubicInterpolation( 'LRC Mach'!$C$4:$AL$21, Y355,U355),  IF(S355="MRC",BicubicInterpolation( 'MRC Mach'!$C$3:$T$18, Y355,U355),  IF(S355="M0.84",0.84,  IF(S355="CI52",BicubicInterpolation('CI=52 Mach'!$C$3:$T$18, Y355,U355),  IF(S355="HOLDING",BicubicInterpolation(  'Holding Mach'!$C$4:$M$13, Y355,U355),                         IF(S355="LRCINOP", BicubicInterpolation('LRC INOP Mach'!$C$4:$AA$21,Y355,U355), IF(S355="HOLDINGINOP",  BicubicInterpolation('Holding INOP Mach'!$N$4:$U$13,Y355,U355),         "XXX" )))))))   )))</f>
        <v>#NAME?</v>
      </c>
      <c r="AD355" s="313" t="e">
        <f t="shared" ca="1" si="315"/>
        <v>#NAME?</v>
      </c>
      <c r="AE355" s="314" t="e">
        <f t="shared" ca="1" si="302"/>
        <v>#NAME?</v>
      </c>
      <c r="AF355" s="313" t="e">
        <f t="shared" ca="1" si="316"/>
        <v>#NAME?</v>
      </c>
      <c r="AG355" s="314" t="e">
        <f t="shared" ca="1" si="303"/>
        <v>#NAME?</v>
      </c>
      <c r="AH355" s="313" t="e">
        <f t="shared" ca="1" si="317"/>
        <v>#NAME?</v>
      </c>
      <c r="AI355" s="314" t="e">
        <f t="shared" ca="1" si="304"/>
        <v>#NAME?</v>
      </c>
      <c r="AJ355" s="315" t="e">
        <f t="shared" ca="1" si="305"/>
        <v>#NAME?</v>
      </c>
      <c r="AK355" s="568" t="e">
        <f t="shared" ca="1" si="318"/>
        <v>#NAME?</v>
      </c>
      <c r="AL355" s="313" t="e">
        <f t="shared" ca="1" si="319"/>
        <v>#NAME?</v>
      </c>
      <c r="AM355" s="313" t="e">
        <f t="shared" ca="1" si="306"/>
        <v>#NAME?</v>
      </c>
      <c r="AN355" s="313" t="e">
        <f t="shared" ca="1" si="307"/>
        <v>#NAME?</v>
      </c>
      <c r="AO355" s="316" t="e">
        <f t="shared" ca="1" si="320"/>
        <v>#NAME?</v>
      </c>
      <c r="AP355" s="313" t="e">
        <f t="shared" ca="1" si="321"/>
        <v>#NAME?</v>
      </c>
      <c r="AQ355" s="314" t="e">
        <f t="shared" ca="1" si="308"/>
        <v>#NAME?</v>
      </c>
      <c r="AR355" s="315" t="e">
        <f t="shared" ca="1" si="322"/>
        <v>#NAME?</v>
      </c>
      <c r="AS355" s="316" t="e">
        <f t="shared" ca="1" si="323"/>
        <v>#NAME?</v>
      </c>
      <c r="AT355" s="315" t="e">
        <f t="shared" ca="1" si="324"/>
        <v>#NAME?</v>
      </c>
      <c r="AU355" s="317">
        <v>427.8</v>
      </c>
      <c r="AV355" s="315" t="e">
        <f t="shared" ca="1" si="325"/>
        <v>#NAME?</v>
      </c>
      <c r="AW355" s="318" t="e">
        <f ca="1">0.0001*BicubicInterpolation('Drag Coef Table'!$B$4:$L$28,AV355,AC355)</f>
        <v>#NAME?</v>
      </c>
      <c r="AX355" s="319" t="e">
        <f t="shared" ca="1" si="326"/>
        <v>#NAME?</v>
      </c>
      <c r="AY355" s="318" t="e">
        <f t="shared" ca="1" si="327"/>
        <v>#NAME?</v>
      </c>
      <c r="AZ355" s="320" t="e">
        <f t="shared" ca="1" si="328"/>
        <v>#NAME?</v>
      </c>
      <c r="BA355" s="321" t="e">
        <f t="shared" ca="1" si="329"/>
        <v>#NAME?</v>
      </c>
      <c r="BB355" s="322" t="e">
        <f t="shared" ca="1" si="330"/>
        <v>#NAME?</v>
      </c>
      <c r="BC355" s="323">
        <v>75.196700000000007</v>
      </c>
      <c r="BD355" s="324" t="e">
        <f t="shared" ca="1" si="331"/>
        <v>#NAME?</v>
      </c>
      <c r="BE355" s="325" t="e">
        <f t="shared" ca="1" si="332"/>
        <v>#NAME?</v>
      </c>
      <c r="BF355" s="324" t="e">
        <f ca="1">BicubicInterpolation('TSFC Eff Table'!$B$4:$E$69,2,BB355)</f>
        <v>#NAME?</v>
      </c>
      <c r="BG355" s="326" t="e">
        <f t="shared" ca="1" si="333"/>
        <v>#NAME?</v>
      </c>
      <c r="BH355" s="694" t="e">
        <f ca="1">IF( S355="LRCINOP",   (1+(0.03/10)*Z355*(1+0.2*AC355^2) )*BicubicInterpolation( 'LRC INOP FF'!$C$4:$AA$21, Y355, U355 )-200, IF(S355 ="HOLDINGINOP", (1+(0.03/10)*Z355*(1+0.2*AC355^2) )*BicubicInterpolation( 'Holding INOP FF'!$C$4:$J$13,  Y355,  U355)/1.05-200,   BA355*BG355))</f>
        <v>#NAME?</v>
      </c>
      <c r="BI355" s="344" t="e">
        <f t="shared" ca="1" si="292"/>
        <v>#NAME?</v>
      </c>
      <c r="BJ355" s="322" t="e">
        <f t="shared" ca="1" si="334"/>
        <v>#NAME?</v>
      </c>
      <c r="BK355" s="338" t="e">
        <f t="shared" ca="1" si="293"/>
        <v>#NAME?</v>
      </c>
      <c r="BL355" s="327" t="e">
        <f t="shared" ca="1" si="335"/>
        <v>#NAME?</v>
      </c>
      <c r="BM355" s="328">
        <f t="shared" si="336"/>
        <v>200</v>
      </c>
      <c r="BN355" s="329" t="e">
        <f t="shared" ca="1" si="337"/>
        <v>#NAME?</v>
      </c>
      <c r="BO355" s="344" t="e">
        <f t="shared" ca="1" si="294"/>
        <v>#NAME?</v>
      </c>
      <c r="BP355" s="320" t="e">
        <f t="shared" ca="1" si="338"/>
        <v>#NAME?</v>
      </c>
      <c r="BQ355" s="344" t="e">
        <f t="shared" ca="1" si="295"/>
        <v>#NAME?</v>
      </c>
      <c r="BR355" s="347" t="e">
        <f t="shared" ca="1" si="296"/>
        <v>#NAME?</v>
      </c>
      <c r="BS355" s="326" t="e">
        <f t="shared" ca="1" si="339"/>
        <v>#NAME?</v>
      </c>
      <c r="BT355" s="437" t="e">
        <f t="shared" ca="1" si="309"/>
        <v>#NAME?</v>
      </c>
      <c r="BU355" s="437" t="e">
        <f t="shared" ca="1" si="310"/>
        <v>#NAME?</v>
      </c>
      <c r="BV355" s="441" t="e">
        <f t="shared" ca="1" si="311"/>
        <v>#NAME?</v>
      </c>
      <c r="BW355" s="442" t="e">
        <f t="shared" ca="1" si="312"/>
        <v>#NAME?</v>
      </c>
      <c r="BX355" s="470" t="e">
        <f t="shared" ca="1" si="285"/>
        <v>#NAME?</v>
      </c>
      <c r="BY355" s="484" t="e">
        <f t="shared" ca="1" si="297"/>
        <v>#NAME?</v>
      </c>
    </row>
    <row r="356" spans="9:77" ht="17.75" customHeight="1" x14ac:dyDescent="0.2">
      <c r="I356" s="366">
        <v>272</v>
      </c>
      <c r="J356" s="414">
        <f t="shared" si="298"/>
        <v>41705.901388889506</v>
      </c>
      <c r="K356" s="435" t="e">
        <f t="shared" ca="1" si="299"/>
        <v>#NAME?</v>
      </c>
      <c r="L356" s="435" t="e">
        <f t="shared" ca="1" si="286"/>
        <v>#NAME?</v>
      </c>
      <c r="M356" s="664" t="e">
        <f t="shared" ca="1" si="278"/>
        <v>#NAME?</v>
      </c>
      <c r="N356" s="664" t="e">
        <f t="shared" ca="1" si="279"/>
        <v>#NAME?</v>
      </c>
      <c r="O356" s="140" t="e">
        <f t="shared" ca="1" si="287"/>
        <v>#NAME?</v>
      </c>
      <c r="P356" s="352" t="e">
        <f t="shared" ca="1" si="300"/>
        <v>#NAME?</v>
      </c>
      <c r="Q356" s="665" t="e">
        <f t="shared" ca="1" si="280"/>
        <v>#NAME?</v>
      </c>
      <c r="R356" s="352" t="e">
        <f t="shared" ca="1" si="313"/>
        <v>#NAME?</v>
      </c>
      <c r="S356" s="662" t="e">
        <f t="shared" ca="1" si="288"/>
        <v>#NAME?</v>
      </c>
      <c r="T356" s="443" t="e">
        <f t="shared" ca="1" si="281"/>
        <v>#NAME?</v>
      </c>
      <c r="U356" s="369" t="e">
        <f t="shared" ca="1" si="282"/>
        <v>#NAME?</v>
      </c>
      <c r="V356" s="454" t="e">
        <f t="shared" ca="1" si="289"/>
        <v>#NAME?</v>
      </c>
      <c r="W356" s="457">
        <f t="shared" si="290"/>
        <v>1000</v>
      </c>
      <c r="X356" s="463" t="e">
        <f t="shared" ca="1" si="291"/>
        <v>#NAME?</v>
      </c>
      <c r="Y356" s="455" t="e">
        <f t="shared" ca="1" si="301"/>
        <v>#NAME?</v>
      </c>
      <c r="Z356" s="699">
        <f t="shared" si="283"/>
        <v>8.5</v>
      </c>
      <c r="AA356" s="355" t="str">
        <f t="shared" si="284"/>
        <v>ON</v>
      </c>
      <c r="AB356" s="357">
        <f t="shared" si="314"/>
        <v>1.4999999999999999E-2</v>
      </c>
      <c r="AC356" s="356" t="e">
        <f ca="1">IF(  Y355=0,0,IF(OR(S356="KCAS",S356="INOP",S356="MEFE"),   ( (5*( (   (((1+0.2*(T356/661.4786)^2)^3.5 -1)  )/( (1-6.8755856*10^-6 *100*Y356)^5.2558797) +1)^(2/7) -1) )^0.5),IF(S356="MACH",T356, IF(S356="LRC",BicubicInterpolation( 'LRC Mach'!$C$4:$AL$21, Y356,U356),  IF(S356="MRC",BicubicInterpolation( 'MRC Mach'!$C$3:$T$18, Y356,U356),  IF(S356="M0.84",0.84,  IF(S356="CI52",BicubicInterpolation('CI=52 Mach'!$C$3:$T$18, Y356,U356),  IF(S356="HOLDING",BicubicInterpolation(  'Holding Mach'!$C$4:$M$13, Y356,U356),                         IF(S356="LRCINOP", BicubicInterpolation('LRC INOP Mach'!$C$4:$AA$21,Y356,U356), IF(S356="HOLDINGINOP",  BicubicInterpolation('Holding INOP Mach'!$N$4:$U$13,Y356,U356),         "XXX" )))))))   )))</f>
        <v>#NAME?</v>
      </c>
      <c r="AD356" s="313" t="e">
        <f t="shared" ca="1" si="315"/>
        <v>#NAME?</v>
      </c>
      <c r="AE356" s="314" t="e">
        <f t="shared" ca="1" si="302"/>
        <v>#NAME?</v>
      </c>
      <c r="AF356" s="313" t="e">
        <f t="shared" ca="1" si="316"/>
        <v>#NAME?</v>
      </c>
      <c r="AG356" s="314" t="e">
        <f t="shared" ca="1" si="303"/>
        <v>#NAME?</v>
      </c>
      <c r="AH356" s="313" t="e">
        <f t="shared" ca="1" si="317"/>
        <v>#NAME?</v>
      </c>
      <c r="AI356" s="314" t="e">
        <f t="shared" ca="1" si="304"/>
        <v>#NAME?</v>
      </c>
      <c r="AJ356" s="315" t="e">
        <f t="shared" ca="1" si="305"/>
        <v>#NAME?</v>
      </c>
      <c r="AK356" s="568" t="e">
        <f t="shared" ca="1" si="318"/>
        <v>#NAME?</v>
      </c>
      <c r="AL356" s="313" t="e">
        <f t="shared" ca="1" si="319"/>
        <v>#NAME?</v>
      </c>
      <c r="AM356" s="313" t="e">
        <f t="shared" ca="1" si="306"/>
        <v>#NAME?</v>
      </c>
      <c r="AN356" s="313" t="e">
        <f t="shared" ca="1" si="307"/>
        <v>#NAME?</v>
      </c>
      <c r="AO356" s="316" t="e">
        <f t="shared" ca="1" si="320"/>
        <v>#NAME?</v>
      </c>
      <c r="AP356" s="313" t="e">
        <f t="shared" ca="1" si="321"/>
        <v>#NAME?</v>
      </c>
      <c r="AQ356" s="314" t="e">
        <f t="shared" ca="1" si="308"/>
        <v>#NAME?</v>
      </c>
      <c r="AR356" s="315" t="e">
        <f t="shared" ca="1" si="322"/>
        <v>#NAME?</v>
      </c>
      <c r="AS356" s="316" t="e">
        <f t="shared" ca="1" si="323"/>
        <v>#NAME?</v>
      </c>
      <c r="AT356" s="315" t="e">
        <f t="shared" ca="1" si="324"/>
        <v>#NAME?</v>
      </c>
      <c r="AU356" s="317">
        <v>427.8</v>
      </c>
      <c r="AV356" s="315" t="e">
        <f t="shared" ca="1" si="325"/>
        <v>#NAME?</v>
      </c>
      <c r="AW356" s="318" t="e">
        <f ca="1">0.0001*BicubicInterpolation('Drag Coef Table'!$B$4:$L$28,AV356,AC356)</f>
        <v>#NAME?</v>
      </c>
      <c r="AX356" s="319" t="e">
        <f t="shared" ca="1" si="326"/>
        <v>#NAME?</v>
      </c>
      <c r="AY356" s="318" t="e">
        <f t="shared" ca="1" si="327"/>
        <v>#NAME?</v>
      </c>
      <c r="AZ356" s="320" t="e">
        <f t="shared" ca="1" si="328"/>
        <v>#NAME?</v>
      </c>
      <c r="BA356" s="321" t="e">
        <f t="shared" ca="1" si="329"/>
        <v>#NAME?</v>
      </c>
      <c r="BB356" s="322" t="e">
        <f t="shared" ca="1" si="330"/>
        <v>#NAME?</v>
      </c>
      <c r="BC356" s="323">
        <v>75.196700000000007</v>
      </c>
      <c r="BD356" s="324" t="e">
        <f t="shared" ca="1" si="331"/>
        <v>#NAME?</v>
      </c>
      <c r="BE356" s="325" t="e">
        <f t="shared" ca="1" si="332"/>
        <v>#NAME?</v>
      </c>
      <c r="BF356" s="324" t="e">
        <f ca="1">BicubicInterpolation('TSFC Eff Table'!$B$4:$E$69,2,BB356)</f>
        <v>#NAME?</v>
      </c>
      <c r="BG356" s="326" t="e">
        <f t="shared" ca="1" si="333"/>
        <v>#NAME?</v>
      </c>
      <c r="BH356" s="694" t="e">
        <f ca="1">IF( S356="LRCINOP",   (1+(0.03/10)*Z356*(1+0.2*AC356^2) )*BicubicInterpolation( 'LRC INOP FF'!$C$4:$AA$21, Y356, U356 )-200, IF(S356 ="HOLDINGINOP", (1+(0.03/10)*Z356*(1+0.2*AC356^2) )*BicubicInterpolation( 'Holding INOP FF'!$C$4:$J$13,  Y356,  U356)/1.05-200,   BA356*BG356))</f>
        <v>#NAME?</v>
      </c>
      <c r="BI356" s="344" t="e">
        <f t="shared" ca="1" si="292"/>
        <v>#NAME?</v>
      </c>
      <c r="BJ356" s="322" t="e">
        <f t="shared" ca="1" si="334"/>
        <v>#NAME?</v>
      </c>
      <c r="BK356" s="338" t="e">
        <f t="shared" ca="1" si="293"/>
        <v>#NAME?</v>
      </c>
      <c r="BL356" s="327" t="e">
        <f t="shared" ca="1" si="335"/>
        <v>#NAME?</v>
      </c>
      <c r="BM356" s="328">
        <f t="shared" si="336"/>
        <v>200</v>
      </c>
      <c r="BN356" s="329" t="e">
        <f t="shared" ca="1" si="337"/>
        <v>#NAME?</v>
      </c>
      <c r="BO356" s="344" t="e">
        <f t="shared" ca="1" si="294"/>
        <v>#NAME?</v>
      </c>
      <c r="BP356" s="320" t="e">
        <f t="shared" ca="1" si="338"/>
        <v>#NAME?</v>
      </c>
      <c r="BQ356" s="344" t="e">
        <f t="shared" ca="1" si="295"/>
        <v>#NAME?</v>
      </c>
      <c r="BR356" s="347" t="e">
        <f t="shared" ca="1" si="296"/>
        <v>#NAME?</v>
      </c>
      <c r="BS356" s="326" t="e">
        <f t="shared" ca="1" si="339"/>
        <v>#NAME?</v>
      </c>
      <c r="BT356" s="437" t="e">
        <f t="shared" ca="1" si="309"/>
        <v>#NAME?</v>
      </c>
      <c r="BU356" s="437" t="e">
        <f t="shared" ca="1" si="310"/>
        <v>#NAME?</v>
      </c>
      <c r="BV356" s="441" t="e">
        <f t="shared" ca="1" si="311"/>
        <v>#NAME?</v>
      </c>
      <c r="BW356" s="442" t="e">
        <f t="shared" ca="1" si="312"/>
        <v>#NAME?</v>
      </c>
      <c r="BX356" s="470" t="e">
        <f t="shared" ca="1" si="285"/>
        <v>#NAME?</v>
      </c>
      <c r="BY356" s="484" t="e">
        <f t="shared" ca="1" si="297"/>
        <v>#NAME?</v>
      </c>
    </row>
    <row r="357" spans="9:77" ht="17.75" customHeight="1" x14ac:dyDescent="0.2">
      <c r="I357" s="366">
        <v>273</v>
      </c>
      <c r="J357" s="414">
        <f t="shared" si="298"/>
        <v>41705.902083333953</v>
      </c>
      <c r="K357" s="435" t="e">
        <f t="shared" ca="1" si="299"/>
        <v>#NAME?</v>
      </c>
      <c r="L357" s="435" t="e">
        <f t="shared" ca="1" si="286"/>
        <v>#NAME?</v>
      </c>
      <c r="M357" s="664" t="e">
        <f t="shared" ca="1" si="278"/>
        <v>#NAME?</v>
      </c>
      <c r="N357" s="664" t="e">
        <f t="shared" ca="1" si="279"/>
        <v>#NAME?</v>
      </c>
      <c r="O357" s="140" t="e">
        <f t="shared" ca="1" si="287"/>
        <v>#NAME?</v>
      </c>
      <c r="P357" s="352" t="e">
        <f t="shared" ca="1" si="300"/>
        <v>#NAME?</v>
      </c>
      <c r="Q357" s="665" t="e">
        <f t="shared" ca="1" si="280"/>
        <v>#NAME?</v>
      </c>
      <c r="R357" s="352" t="e">
        <f t="shared" ca="1" si="313"/>
        <v>#NAME?</v>
      </c>
      <c r="S357" s="662" t="e">
        <f t="shared" ca="1" si="288"/>
        <v>#NAME?</v>
      </c>
      <c r="T357" s="443" t="e">
        <f t="shared" ca="1" si="281"/>
        <v>#NAME?</v>
      </c>
      <c r="U357" s="369" t="e">
        <f t="shared" ca="1" si="282"/>
        <v>#NAME?</v>
      </c>
      <c r="V357" s="454" t="e">
        <f t="shared" ca="1" si="289"/>
        <v>#NAME?</v>
      </c>
      <c r="W357" s="457">
        <f t="shared" si="290"/>
        <v>1000</v>
      </c>
      <c r="X357" s="463" t="e">
        <f t="shared" ca="1" si="291"/>
        <v>#NAME?</v>
      </c>
      <c r="Y357" s="455" t="e">
        <f t="shared" ca="1" si="301"/>
        <v>#NAME?</v>
      </c>
      <c r="Z357" s="699">
        <f t="shared" si="283"/>
        <v>8.5</v>
      </c>
      <c r="AA357" s="355" t="str">
        <f t="shared" si="284"/>
        <v>ON</v>
      </c>
      <c r="AB357" s="357">
        <f t="shared" si="314"/>
        <v>1.4999999999999999E-2</v>
      </c>
      <c r="AC357" s="356" t="e">
        <f ca="1">IF(  Y356=0,0,IF(OR(S357="KCAS",S357="INOP",S357="MEFE"),   ( (5*( (   (((1+0.2*(T357/661.4786)^2)^3.5 -1)  )/( (1-6.8755856*10^-6 *100*Y357)^5.2558797) +1)^(2/7) -1) )^0.5),IF(S357="MACH",T357, IF(S357="LRC",BicubicInterpolation( 'LRC Mach'!$C$4:$AL$21, Y357,U357),  IF(S357="MRC",BicubicInterpolation( 'MRC Mach'!$C$3:$T$18, Y357,U357),  IF(S357="M0.84",0.84,  IF(S357="CI52",BicubicInterpolation('CI=52 Mach'!$C$3:$T$18, Y357,U357),  IF(S357="HOLDING",BicubicInterpolation(  'Holding Mach'!$C$4:$M$13, Y357,U357),                         IF(S357="LRCINOP", BicubicInterpolation('LRC INOP Mach'!$C$4:$AA$21,Y357,U357), IF(S357="HOLDINGINOP",  BicubicInterpolation('Holding INOP Mach'!$N$4:$U$13,Y357,U357),         "XXX" )))))))   )))</f>
        <v>#NAME?</v>
      </c>
      <c r="AD357" s="313" t="e">
        <f t="shared" ca="1" si="315"/>
        <v>#NAME?</v>
      </c>
      <c r="AE357" s="314" t="e">
        <f t="shared" ca="1" si="302"/>
        <v>#NAME?</v>
      </c>
      <c r="AF357" s="313" t="e">
        <f t="shared" ca="1" si="316"/>
        <v>#NAME?</v>
      </c>
      <c r="AG357" s="314" t="e">
        <f t="shared" ca="1" si="303"/>
        <v>#NAME?</v>
      </c>
      <c r="AH357" s="313" t="e">
        <f t="shared" ca="1" si="317"/>
        <v>#NAME?</v>
      </c>
      <c r="AI357" s="314" t="e">
        <f t="shared" ca="1" si="304"/>
        <v>#NAME?</v>
      </c>
      <c r="AJ357" s="315" t="e">
        <f t="shared" ca="1" si="305"/>
        <v>#NAME?</v>
      </c>
      <c r="AK357" s="568" t="e">
        <f t="shared" ca="1" si="318"/>
        <v>#NAME?</v>
      </c>
      <c r="AL357" s="313" t="e">
        <f t="shared" ca="1" si="319"/>
        <v>#NAME?</v>
      </c>
      <c r="AM357" s="313" t="e">
        <f t="shared" ca="1" si="306"/>
        <v>#NAME?</v>
      </c>
      <c r="AN357" s="313" t="e">
        <f t="shared" ca="1" si="307"/>
        <v>#NAME?</v>
      </c>
      <c r="AO357" s="316" t="e">
        <f t="shared" ca="1" si="320"/>
        <v>#NAME?</v>
      </c>
      <c r="AP357" s="313" t="e">
        <f t="shared" ca="1" si="321"/>
        <v>#NAME?</v>
      </c>
      <c r="AQ357" s="314" t="e">
        <f t="shared" ca="1" si="308"/>
        <v>#NAME?</v>
      </c>
      <c r="AR357" s="315" t="e">
        <f t="shared" ca="1" si="322"/>
        <v>#NAME?</v>
      </c>
      <c r="AS357" s="316" t="e">
        <f t="shared" ca="1" si="323"/>
        <v>#NAME?</v>
      </c>
      <c r="AT357" s="315" t="e">
        <f t="shared" ca="1" si="324"/>
        <v>#NAME?</v>
      </c>
      <c r="AU357" s="317">
        <v>427.8</v>
      </c>
      <c r="AV357" s="315" t="e">
        <f t="shared" ca="1" si="325"/>
        <v>#NAME?</v>
      </c>
      <c r="AW357" s="318" t="e">
        <f ca="1">0.0001*BicubicInterpolation('Drag Coef Table'!$B$4:$L$28,AV357,AC357)</f>
        <v>#NAME?</v>
      </c>
      <c r="AX357" s="319" t="e">
        <f t="shared" ca="1" si="326"/>
        <v>#NAME?</v>
      </c>
      <c r="AY357" s="318" t="e">
        <f t="shared" ca="1" si="327"/>
        <v>#NAME?</v>
      </c>
      <c r="AZ357" s="320" t="e">
        <f t="shared" ca="1" si="328"/>
        <v>#NAME?</v>
      </c>
      <c r="BA357" s="321" t="e">
        <f t="shared" ca="1" si="329"/>
        <v>#NAME?</v>
      </c>
      <c r="BB357" s="322" t="e">
        <f t="shared" ca="1" si="330"/>
        <v>#NAME?</v>
      </c>
      <c r="BC357" s="323">
        <v>75.196700000000007</v>
      </c>
      <c r="BD357" s="324" t="e">
        <f t="shared" ca="1" si="331"/>
        <v>#NAME?</v>
      </c>
      <c r="BE357" s="325" t="e">
        <f t="shared" ca="1" si="332"/>
        <v>#NAME?</v>
      </c>
      <c r="BF357" s="324" t="e">
        <f ca="1">BicubicInterpolation('TSFC Eff Table'!$B$4:$E$69,2,BB357)</f>
        <v>#NAME?</v>
      </c>
      <c r="BG357" s="326" t="e">
        <f t="shared" ca="1" si="333"/>
        <v>#NAME?</v>
      </c>
      <c r="BH357" s="694" t="e">
        <f ca="1">IF( S357="LRCINOP",   (1+(0.03/10)*Z357*(1+0.2*AC357^2) )*BicubicInterpolation( 'LRC INOP FF'!$C$4:$AA$21, Y357, U357 )-200, IF(S357 ="HOLDINGINOP", (1+(0.03/10)*Z357*(1+0.2*AC357^2) )*BicubicInterpolation( 'Holding INOP FF'!$C$4:$J$13,  Y357,  U357)/1.05-200,   BA357*BG357))</f>
        <v>#NAME?</v>
      </c>
      <c r="BI357" s="344" t="e">
        <f t="shared" ca="1" si="292"/>
        <v>#NAME?</v>
      </c>
      <c r="BJ357" s="322" t="e">
        <f t="shared" ca="1" si="334"/>
        <v>#NAME?</v>
      </c>
      <c r="BK357" s="338" t="e">
        <f t="shared" ca="1" si="293"/>
        <v>#NAME?</v>
      </c>
      <c r="BL357" s="327" t="e">
        <f t="shared" ca="1" si="335"/>
        <v>#NAME?</v>
      </c>
      <c r="BM357" s="328">
        <f t="shared" si="336"/>
        <v>200</v>
      </c>
      <c r="BN357" s="329" t="e">
        <f t="shared" ca="1" si="337"/>
        <v>#NAME?</v>
      </c>
      <c r="BO357" s="344" t="e">
        <f t="shared" ca="1" si="294"/>
        <v>#NAME?</v>
      </c>
      <c r="BP357" s="320" t="e">
        <f t="shared" ca="1" si="338"/>
        <v>#NAME?</v>
      </c>
      <c r="BQ357" s="344" t="e">
        <f t="shared" ca="1" si="295"/>
        <v>#NAME?</v>
      </c>
      <c r="BR357" s="347" t="e">
        <f t="shared" ca="1" si="296"/>
        <v>#NAME?</v>
      </c>
      <c r="BS357" s="326" t="e">
        <f t="shared" ca="1" si="339"/>
        <v>#NAME?</v>
      </c>
      <c r="BT357" s="437" t="e">
        <f t="shared" ca="1" si="309"/>
        <v>#NAME?</v>
      </c>
      <c r="BU357" s="437" t="e">
        <f t="shared" ca="1" si="310"/>
        <v>#NAME?</v>
      </c>
      <c r="BV357" s="441" t="e">
        <f t="shared" ca="1" si="311"/>
        <v>#NAME?</v>
      </c>
      <c r="BW357" s="442" t="e">
        <f t="shared" ca="1" si="312"/>
        <v>#NAME?</v>
      </c>
      <c r="BX357" s="470" t="e">
        <f t="shared" ca="1" si="285"/>
        <v>#NAME?</v>
      </c>
      <c r="BY357" s="484" t="e">
        <f t="shared" ca="1" si="297"/>
        <v>#NAME?</v>
      </c>
    </row>
    <row r="358" spans="9:77" ht="17.75" customHeight="1" x14ac:dyDescent="0.2">
      <c r="I358" s="366">
        <v>274</v>
      </c>
      <c r="J358" s="414">
        <f t="shared" si="298"/>
        <v>41705.902777778399</v>
      </c>
      <c r="K358" s="435" t="e">
        <f t="shared" ca="1" si="299"/>
        <v>#NAME?</v>
      </c>
      <c r="L358" s="435" t="e">
        <f t="shared" ca="1" si="286"/>
        <v>#NAME?</v>
      </c>
      <c r="M358" s="664" t="e">
        <f t="shared" ca="1" si="278"/>
        <v>#NAME?</v>
      </c>
      <c r="N358" s="664" t="e">
        <f t="shared" ca="1" si="279"/>
        <v>#NAME?</v>
      </c>
      <c r="O358" s="140" t="e">
        <f t="shared" ca="1" si="287"/>
        <v>#NAME?</v>
      </c>
      <c r="P358" s="352" t="e">
        <f t="shared" ca="1" si="300"/>
        <v>#NAME?</v>
      </c>
      <c r="Q358" s="665" t="e">
        <f t="shared" ca="1" si="280"/>
        <v>#NAME?</v>
      </c>
      <c r="R358" s="352" t="e">
        <f t="shared" ca="1" si="313"/>
        <v>#NAME?</v>
      </c>
      <c r="S358" s="662" t="e">
        <f t="shared" ca="1" si="288"/>
        <v>#NAME?</v>
      </c>
      <c r="T358" s="443" t="e">
        <f t="shared" ca="1" si="281"/>
        <v>#NAME?</v>
      </c>
      <c r="U358" s="369" t="e">
        <f t="shared" ca="1" si="282"/>
        <v>#NAME?</v>
      </c>
      <c r="V358" s="454" t="e">
        <f t="shared" ca="1" si="289"/>
        <v>#NAME?</v>
      </c>
      <c r="W358" s="457">
        <f t="shared" si="290"/>
        <v>1000</v>
      </c>
      <c r="X358" s="463" t="e">
        <f t="shared" ca="1" si="291"/>
        <v>#NAME?</v>
      </c>
      <c r="Y358" s="455" t="e">
        <f t="shared" ca="1" si="301"/>
        <v>#NAME?</v>
      </c>
      <c r="Z358" s="699">
        <f t="shared" si="283"/>
        <v>8.5</v>
      </c>
      <c r="AA358" s="355" t="str">
        <f t="shared" si="284"/>
        <v>ON</v>
      </c>
      <c r="AB358" s="357">
        <f t="shared" si="314"/>
        <v>1.4999999999999999E-2</v>
      </c>
      <c r="AC358" s="356" t="e">
        <f ca="1">IF(  Y357=0,0,IF(OR(S358="KCAS",S358="INOP",S358="MEFE"),   ( (5*( (   (((1+0.2*(T358/661.4786)^2)^3.5 -1)  )/( (1-6.8755856*10^-6 *100*Y358)^5.2558797) +1)^(2/7) -1) )^0.5),IF(S358="MACH",T358, IF(S358="LRC",BicubicInterpolation( 'LRC Mach'!$C$4:$AL$21, Y358,U358),  IF(S358="MRC",BicubicInterpolation( 'MRC Mach'!$C$3:$T$18, Y358,U358),  IF(S358="M0.84",0.84,  IF(S358="CI52",BicubicInterpolation('CI=52 Mach'!$C$3:$T$18, Y358,U358),  IF(S358="HOLDING",BicubicInterpolation(  'Holding Mach'!$C$4:$M$13, Y358,U358),                         IF(S358="LRCINOP", BicubicInterpolation('LRC INOP Mach'!$C$4:$AA$21,Y358,U358), IF(S358="HOLDINGINOP",  BicubicInterpolation('Holding INOP Mach'!$N$4:$U$13,Y358,U358),         "XXX" )))))))   )))</f>
        <v>#NAME?</v>
      </c>
      <c r="AD358" s="313" t="e">
        <f t="shared" ca="1" si="315"/>
        <v>#NAME?</v>
      </c>
      <c r="AE358" s="314" t="e">
        <f t="shared" ca="1" si="302"/>
        <v>#NAME?</v>
      </c>
      <c r="AF358" s="313" t="e">
        <f t="shared" ca="1" si="316"/>
        <v>#NAME?</v>
      </c>
      <c r="AG358" s="314" t="e">
        <f t="shared" ca="1" si="303"/>
        <v>#NAME?</v>
      </c>
      <c r="AH358" s="313" t="e">
        <f t="shared" ca="1" si="317"/>
        <v>#NAME?</v>
      </c>
      <c r="AI358" s="314" t="e">
        <f t="shared" ca="1" si="304"/>
        <v>#NAME?</v>
      </c>
      <c r="AJ358" s="315" t="e">
        <f t="shared" ca="1" si="305"/>
        <v>#NAME?</v>
      </c>
      <c r="AK358" s="568" t="e">
        <f t="shared" ca="1" si="318"/>
        <v>#NAME?</v>
      </c>
      <c r="AL358" s="313" t="e">
        <f t="shared" ca="1" si="319"/>
        <v>#NAME?</v>
      </c>
      <c r="AM358" s="313" t="e">
        <f t="shared" ca="1" si="306"/>
        <v>#NAME?</v>
      </c>
      <c r="AN358" s="313" t="e">
        <f t="shared" ca="1" si="307"/>
        <v>#NAME?</v>
      </c>
      <c r="AO358" s="316" t="e">
        <f t="shared" ca="1" si="320"/>
        <v>#NAME?</v>
      </c>
      <c r="AP358" s="313" t="e">
        <f t="shared" ca="1" si="321"/>
        <v>#NAME?</v>
      </c>
      <c r="AQ358" s="314" t="e">
        <f t="shared" ca="1" si="308"/>
        <v>#NAME?</v>
      </c>
      <c r="AR358" s="315" t="e">
        <f t="shared" ca="1" si="322"/>
        <v>#NAME?</v>
      </c>
      <c r="AS358" s="316" t="e">
        <f t="shared" ca="1" si="323"/>
        <v>#NAME?</v>
      </c>
      <c r="AT358" s="315" t="e">
        <f t="shared" ca="1" si="324"/>
        <v>#NAME?</v>
      </c>
      <c r="AU358" s="317">
        <v>427.8</v>
      </c>
      <c r="AV358" s="315" t="e">
        <f t="shared" ca="1" si="325"/>
        <v>#NAME?</v>
      </c>
      <c r="AW358" s="318" t="e">
        <f ca="1">0.0001*BicubicInterpolation('Drag Coef Table'!$B$4:$L$28,AV358,AC358)</f>
        <v>#NAME?</v>
      </c>
      <c r="AX358" s="319" t="e">
        <f t="shared" ca="1" si="326"/>
        <v>#NAME?</v>
      </c>
      <c r="AY358" s="318" t="e">
        <f t="shared" ca="1" si="327"/>
        <v>#NAME?</v>
      </c>
      <c r="AZ358" s="320" t="e">
        <f t="shared" ca="1" si="328"/>
        <v>#NAME?</v>
      </c>
      <c r="BA358" s="321" t="e">
        <f t="shared" ca="1" si="329"/>
        <v>#NAME?</v>
      </c>
      <c r="BB358" s="322" t="e">
        <f t="shared" ca="1" si="330"/>
        <v>#NAME?</v>
      </c>
      <c r="BC358" s="323">
        <v>75.196700000000007</v>
      </c>
      <c r="BD358" s="324" t="e">
        <f t="shared" ca="1" si="331"/>
        <v>#NAME?</v>
      </c>
      <c r="BE358" s="325" t="e">
        <f t="shared" ca="1" si="332"/>
        <v>#NAME?</v>
      </c>
      <c r="BF358" s="324" t="e">
        <f ca="1">BicubicInterpolation('TSFC Eff Table'!$B$4:$E$69,2,BB358)</f>
        <v>#NAME?</v>
      </c>
      <c r="BG358" s="326" t="e">
        <f t="shared" ca="1" si="333"/>
        <v>#NAME?</v>
      </c>
      <c r="BH358" s="694" t="e">
        <f ca="1">IF( S358="LRCINOP",   (1+(0.03/10)*Z358*(1+0.2*AC358^2) )*BicubicInterpolation( 'LRC INOP FF'!$C$4:$AA$21, Y358, U358 )-200, IF(S358 ="HOLDINGINOP", (1+(0.03/10)*Z358*(1+0.2*AC358^2) )*BicubicInterpolation( 'Holding INOP FF'!$C$4:$J$13,  Y358,  U358)/1.05-200,   BA358*BG358))</f>
        <v>#NAME?</v>
      </c>
      <c r="BI358" s="344" t="e">
        <f t="shared" ca="1" si="292"/>
        <v>#NAME?</v>
      </c>
      <c r="BJ358" s="322" t="e">
        <f t="shared" ca="1" si="334"/>
        <v>#NAME?</v>
      </c>
      <c r="BK358" s="338" t="e">
        <f t="shared" ca="1" si="293"/>
        <v>#NAME?</v>
      </c>
      <c r="BL358" s="327" t="e">
        <f t="shared" ca="1" si="335"/>
        <v>#NAME?</v>
      </c>
      <c r="BM358" s="328">
        <f t="shared" si="336"/>
        <v>200</v>
      </c>
      <c r="BN358" s="329" t="e">
        <f t="shared" ca="1" si="337"/>
        <v>#NAME?</v>
      </c>
      <c r="BO358" s="344" t="e">
        <f t="shared" ca="1" si="294"/>
        <v>#NAME?</v>
      </c>
      <c r="BP358" s="320" t="e">
        <f t="shared" ca="1" si="338"/>
        <v>#NAME?</v>
      </c>
      <c r="BQ358" s="344" t="e">
        <f t="shared" ca="1" si="295"/>
        <v>#NAME?</v>
      </c>
      <c r="BR358" s="347" t="e">
        <f t="shared" ca="1" si="296"/>
        <v>#NAME?</v>
      </c>
      <c r="BS358" s="326" t="e">
        <f t="shared" ca="1" si="339"/>
        <v>#NAME?</v>
      </c>
      <c r="BT358" s="437" t="e">
        <f t="shared" ca="1" si="309"/>
        <v>#NAME?</v>
      </c>
      <c r="BU358" s="437" t="e">
        <f t="shared" ca="1" si="310"/>
        <v>#NAME?</v>
      </c>
      <c r="BV358" s="441" t="e">
        <f t="shared" ca="1" si="311"/>
        <v>#NAME?</v>
      </c>
      <c r="BW358" s="442" t="e">
        <f t="shared" ca="1" si="312"/>
        <v>#NAME?</v>
      </c>
      <c r="BX358" s="470" t="e">
        <f t="shared" ca="1" si="285"/>
        <v>#NAME?</v>
      </c>
      <c r="BY358" s="484" t="e">
        <f t="shared" ca="1" si="297"/>
        <v>#NAME?</v>
      </c>
    </row>
    <row r="359" spans="9:77" ht="17.75" customHeight="1" x14ac:dyDescent="0.2">
      <c r="I359" s="366">
        <v>275</v>
      </c>
      <c r="J359" s="414">
        <f t="shared" si="298"/>
        <v>41705.903472222846</v>
      </c>
      <c r="K359" s="435" t="e">
        <f t="shared" ca="1" si="299"/>
        <v>#NAME?</v>
      </c>
      <c r="L359" s="435" t="e">
        <f t="shared" ca="1" si="286"/>
        <v>#NAME?</v>
      </c>
      <c r="M359" s="664" t="e">
        <f t="shared" ca="1" si="278"/>
        <v>#NAME?</v>
      </c>
      <c r="N359" s="664" t="e">
        <f t="shared" ca="1" si="279"/>
        <v>#NAME?</v>
      </c>
      <c r="O359" s="140" t="e">
        <f t="shared" ca="1" si="287"/>
        <v>#NAME?</v>
      </c>
      <c r="P359" s="352" t="e">
        <f t="shared" ca="1" si="300"/>
        <v>#NAME?</v>
      </c>
      <c r="Q359" s="665" t="e">
        <f t="shared" ca="1" si="280"/>
        <v>#NAME?</v>
      </c>
      <c r="R359" s="352" t="e">
        <f t="shared" ca="1" si="313"/>
        <v>#NAME?</v>
      </c>
      <c r="S359" s="662" t="e">
        <f t="shared" ca="1" si="288"/>
        <v>#NAME?</v>
      </c>
      <c r="T359" s="443" t="e">
        <f t="shared" ca="1" si="281"/>
        <v>#NAME?</v>
      </c>
      <c r="U359" s="369" t="e">
        <f t="shared" ca="1" si="282"/>
        <v>#NAME?</v>
      </c>
      <c r="V359" s="454" t="e">
        <f t="shared" ca="1" si="289"/>
        <v>#NAME?</v>
      </c>
      <c r="W359" s="457">
        <f t="shared" si="290"/>
        <v>1000</v>
      </c>
      <c r="X359" s="463" t="e">
        <f t="shared" ca="1" si="291"/>
        <v>#NAME?</v>
      </c>
      <c r="Y359" s="455" t="e">
        <f t="shared" ca="1" si="301"/>
        <v>#NAME?</v>
      </c>
      <c r="Z359" s="699">
        <f t="shared" si="283"/>
        <v>8.5</v>
      </c>
      <c r="AA359" s="355" t="str">
        <f t="shared" si="284"/>
        <v>ON</v>
      </c>
      <c r="AB359" s="357">
        <f t="shared" si="314"/>
        <v>1.4999999999999999E-2</v>
      </c>
      <c r="AC359" s="356" t="e">
        <f ca="1">IF(  Y358=0,0,IF(OR(S359="KCAS",S359="INOP",S359="MEFE"),   ( (5*( (   (((1+0.2*(T359/661.4786)^2)^3.5 -1)  )/( (1-6.8755856*10^-6 *100*Y359)^5.2558797) +1)^(2/7) -1) )^0.5),IF(S359="MACH",T359, IF(S359="LRC",BicubicInterpolation( 'LRC Mach'!$C$4:$AL$21, Y359,U359),  IF(S359="MRC",BicubicInterpolation( 'MRC Mach'!$C$3:$T$18, Y359,U359),  IF(S359="M0.84",0.84,  IF(S359="CI52",BicubicInterpolation('CI=52 Mach'!$C$3:$T$18, Y359,U359),  IF(S359="HOLDING",BicubicInterpolation(  'Holding Mach'!$C$4:$M$13, Y359,U359),                         IF(S359="LRCINOP", BicubicInterpolation('LRC INOP Mach'!$C$4:$AA$21,Y359,U359), IF(S359="HOLDINGINOP",  BicubicInterpolation('Holding INOP Mach'!$N$4:$U$13,Y359,U359),         "XXX" )))))))   )))</f>
        <v>#NAME?</v>
      </c>
      <c r="AD359" s="313" t="e">
        <f t="shared" ca="1" si="315"/>
        <v>#NAME?</v>
      </c>
      <c r="AE359" s="314" t="e">
        <f t="shared" ca="1" si="302"/>
        <v>#NAME?</v>
      </c>
      <c r="AF359" s="313" t="e">
        <f t="shared" ca="1" si="316"/>
        <v>#NAME?</v>
      </c>
      <c r="AG359" s="314" t="e">
        <f t="shared" ca="1" si="303"/>
        <v>#NAME?</v>
      </c>
      <c r="AH359" s="313" t="e">
        <f t="shared" ca="1" si="317"/>
        <v>#NAME?</v>
      </c>
      <c r="AI359" s="314" t="e">
        <f t="shared" ca="1" si="304"/>
        <v>#NAME?</v>
      </c>
      <c r="AJ359" s="315" t="e">
        <f t="shared" ca="1" si="305"/>
        <v>#NAME?</v>
      </c>
      <c r="AK359" s="568" t="e">
        <f t="shared" ca="1" si="318"/>
        <v>#NAME?</v>
      </c>
      <c r="AL359" s="313" t="e">
        <f t="shared" ca="1" si="319"/>
        <v>#NAME?</v>
      </c>
      <c r="AM359" s="313" t="e">
        <f t="shared" ca="1" si="306"/>
        <v>#NAME?</v>
      </c>
      <c r="AN359" s="313" t="e">
        <f t="shared" ca="1" si="307"/>
        <v>#NAME?</v>
      </c>
      <c r="AO359" s="316" t="e">
        <f t="shared" ca="1" si="320"/>
        <v>#NAME?</v>
      </c>
      <c r="AP359" s="313" t="e">
        <f t="shared" ca="1" si="321"/>
        <v>#NAME?</v>
      </c>
      <c r="AQ359" s="314" t="e">
        <f t="shared" ca="1" si="308"/>
        <v>#NAME?</v>
      </c>
      <c r="AR359" s="315" t="e">
        <f t="shared" ca="1" si="322"/>
        <v>#NAME?</v>
      </c>
      <c r="AS359" s="316" t="e">
        <f t="shared" ca="1" si="323"/>
        <v>#NAME?</v>
      </c>
      <c r="AT359" s="315" t="e">
        <f t="shared" ca="1" si="324"/>
        <v>#NAME?</v>
      </c>
      <c r="AU359" s="317">
        <v>427.8</v>
      </c>
      <c r="AV359" s="315" t="e">
        <f t="shared" ca="1" si="325"/>
        <v>#NAME?</v>
      </c>
      <c r="AW359" s="318" t="e">
        <f ca="1">0.0001*BicubicInterpolation('Drag Coef Table'!$B$4:$L$28,AV359,AC359)</f>
        <v>#NAME?</v>
      </c>
      <c r="AX359" s="319" t="e">
        <f t="shared" ca="1" si="326"/>
        <v>#NAME?</v>
      </c>
      <c r="AY359" s="318" t="e">
        <f t="shared" ca="1" si="327"/>
        <v>#NAME?</v>
      </c>
      <c r="AZ359" s="320" t="e">
        <f t="shared" ca="1" si="328"/>
        <v>#NAME?</v>
      </c>
      <c r="BA359" s="321" t="e">
        <f t="shared" ca="1" si="329"/>
        <v>#NAME?</v>
      </c>
      <c r="BB359" s="322" t="e">
        <f t="shared" ca="1" si="330"/>
        <v>#NAME?</v>
      </c>
      <c r="BC359" s="323">
        <v>75.196700000000007</v>
      </c>
      <c r="BD359" s="324" t="e">
        <f t="shared" ca="1" si="331"/>
        <v>#NAME?</v>
      </c>
      <c r="BE359" s="325" t="e">
        <f t="shared" ca="1" si="332"/>
        <v>#NAME?</v>
      </c>
      <c r="BF359" s="324" t="e">
        <f ca="1">BicubicInterpolation('TSFC Eff Table'!$B$4:$E$69,2,BB359)</f>
        <v>#NAME?</v>
      </c>
      <c r="BG359" s="326" t="e">
        <f t="shared" ca="1" si="333"/>
        <v>#NAME?</v>
      </c>
      <c r="BH359" s="694" t="e">
        <f ca="1">IF( S359="LRCINOP",   (1+(0.03/10)*Z359*(1+0.2*AC359^2) )*BicubicInterpolation( 'LRC INOP FF'!$C$4:$AA$21, Y359, U359 )-200, IF(S359 ="HOLDINGINOP", (1+(0.03/10)*Z359*(1+0.2*AC359^2) )*BicubicInterpolation( 'Holding INOP FF'!$C$4:$J$13,  Y359,  U359)/1.05-200,   BA359*BG359))</f>
        <v>#NAME?</v>
      </c>
      <c r="BI359" s="344" t="e">
        <f t="shared" ca="1" si="292"/>
        <v>#NAME?</v>
      </c>
      <c r="BJ359" s="322" t="e">
        <f t="shared" ca="1" si="334"/>
        <v>#NAME?</v>
      </c>
      <c r="BK359" s="338" t="e">
        <f t="shared" ca="1" si="293"/>
        <v>#NAME?</v>
      </c>
      <c r="BL359" s="327" t="e">
        <f t="shared" ca="1" si="335"/>
        <v>#NAME?</v>
      </c>
      <c r="BM359" s="328">
        <f t="shared" si="336"/>
        <v>200</v>
      </c>
      <c r="BN359" s="329" t="e">
        <f t="shared" ca="1" si="337"/>
        <v>#NAME?</v>
      </c>
      <c r="BO359" s="344" t="e">
        <f t="shared" ca="1" si="294"/>
        <v>#NAME?</v>
      </c>
      <c r="BP359" s="320" t="e">
        <f t="shared" ca="1" si="338"/>
        <v>#NAME?</v>
      </c>
      <c r="BQ359" s="344" t="e">
        <f t="shared" ca="1" si="295"/>
        <v>#NAME?</v>
      </c>
      <c r="BR359" s="347" t="e">
        <f t="shared" ca="1" si="296"/>
        <v>#NAME?</v>
      </c>
      <c r="BS359" s="326" t="e">
        <f t="shared" ca="1" si="339"/>
        <v>#NAME?</v>
      </c>
      <c r="BT359" s="437" t="e">
        <f t="shared" ca="1" si="309"/>
        <v>#NAME?</v>
      </c>
      <c r="BU359" s="437" t="e">
        <f t="shared" ca="1" si="310"/>
        <v>#NAME?</v>
      </c>
      <c r="BV359" s="441" t="e">
        <f t="shared" ca="1" si="311"/>
        <v>#NAME?</v>
      </c>
      <c r="BW359" s="442" t="e">
        <f t="shared" ca="1" si="312"/>
        <v>#NAME?</v>
      </c>
      <c r="BX359" s="470" t="e">
        <f t="shared" ca="1" si="285"/>
        <v>#NAME?</v>
      </c>
      <c r="BY359" s="484" t="e">
        <f t="shared" ca="1" si="297"/>
        <v>#NAME?</v>
      </c>
    </row>
    <row r="360" spans="9:77" ht="17.75" customHeight="1" x14ac:dyDescent="0.2">
      <c r="I360" s="366">
        <v>276</v>
      </c>
      <c r="J360" s="414">
        <f t="shared" si="298"/>
        <v>41705.904166667293</v>
      </c>
      <c r="K360" s="435" t="e">
        <f t="shared" ca="1" si="299"/>
        <v>#NAME?</v>
      </c>
      <c r="L360" s="435" t="e">
        <f t="shared" ca="1" si="286"/>
        <v>#NAME?</v>
      </c>
      <c r="M360" s="664" t="e">
        <f t="shared" ca="1" si="278"/>
        <v>#NAME?</v>
      </c>
      <c r="N360" s="664" t="e">
        <f t="shared" ca="1" si="279"/>
        <v>#NAME?</v>
      </c>
      <c r="O360" s="140" t="e">
        <f t="shared" ca="1" si="287"/>
        <v>#NAME?</v>
      </c>
      <c r="P360" s="352" t="e">
        <f t="shared" ca="1" si="300"/>
        <v>#NAME?</v>
      </c>
      <c r="Q360" s="665" t="e">
        <f t="shared" ca="1" si="280"/>
        <v>#NAME?</v>
      </c>
      <c r="R360" s="352" t="e">
        <f t="shared" ca="1" si="313"/>
        <v>#NAME?</v>
      </c>
      <c r="S360" s="662" t="e">
        <f t="shared" ca="1" si="288"/>
        <v>#NAME?</v>
      </c>
      <c r="T360" s="443" t="e">
        <f t="shared" ca="1" si="281"/>
        <v>#NAME?</v>
      </c>
      <c r="U360" s="369" t="e">
        <f t="shared" ca="1" si="282"/>
        <v>#NAME?</v>
      </c>
      <c r="V360" s="454" t="e">
        <f t="shared" ca="1" si="289"/>
        <v>#NAME?</v>
      </c>
      <c r="W360" s="457">
        <f t="shared" si="290"/>
        <v>1000</v>
      </c>
      <c r="X360" s="463" t="e">
        <f t="shared" ca="1" si="291"/>
        <v>#NAME?</v>
      </c>
      <c r="Y360" s="455" t="e">
        <f t="shared" ca="1" si="301"/>
        <v>#NAME?</v>
      </c>
      <c r="Z360" s="699">
        <f t="shared" si="283"/>
        <v>8.5</v>
      </c>
      <c r="AA360" s="355" t="str">
        <f t="shared" si="284"/>
        <v>ON</v>
      </c>
      <c r="AB360" s="357">
        <f t="shared" si="314"/>
        <v>1.4999999999999999E-2</v>
      </c>
      <c r="AC360" s="356" t="e">
        <f ca="1">IF(  Y359=0,0,IF(OR(S360="KCAS",S360="INOP",S360="MEFE"),   ( (5*( (   (((1+0.2*(T360/661.4786)^2)^3.5 -1)  )/( (1-6.8755856*10^-6 *100*Y360)^5.2558797) +1)^(2/7) -1) )^0.5),IF(S360="MACH",T360, IF(S360="LRC",BicubicInterpolation( 'LRC Mach'!$C$4:$AL$21, Y360,U360),  IF(S360="MRC",BicubicInterpolation( 'MRC Mach'!$C$3:$T$18, Y360,U360),  IF(S360="M0.84",0.84,  IF(S360="CI52",BicubicInterpolation('CI=52 Mach'!$C$3:$T$18, Y360,U360),  IF(S360="HOLDING",BicubicInterpolation(  'Holding Mach'!$C$4:$M$13, Y360,U360),                         IF(S360="LRCINOP", BicubicInterpolation('LRC INOP Mach'!$C$4:$AA$21,Y360,U360), IF(S360="HOLDINGINOP",  BicubicInterpolation('Holding INOP Mach'!$N$4:$U$13,Y360,U360),         "XXX" )))))))   )))</f>
        <v>#NAME?</v>
      </c>
      <c r="AD360" s="313" t="e">
        <f t="shared" ca="1" si="315"/>
        <v>#NAME?</v>
      </c>
      <c r="AE360" s="314" t="e">
        <f t="shared" ca="1" si="302"/>
        <v>#NAME?</v>
      </c>
      <c r="AF360" s="313" t="e">
        <f t="shared" ca="1" si="316"/>
        <v>#NAME?</v>
      </c>
      <c r="AG360" s="314" t="e">
        <f t="shared" ca="1" si="303"/>
        <v>#NAME?</v>
      </c>
      <c r="AH360" s="313" t="e">
        <f t="shared" ca="1" si="317"/>
        <v>#NAME?</v>
      </c>
      <c r="AI360" s="314" t="e">
        <f t="shared" ca="1" si="304"/>
        <v>#NAME?</v>
      </c>
      <c r="AJ360" s="315" t="e">
        <f t="shared" ca="1" si="305"/>
        <v>#NAME?</v>
      </c>
      <c r="AK360" s="568" t="e">
        <f t="shared" ca="1" si="318"/>
        <v>#NAME?</v>
      </c>
      <c r="AL360" s="313" t="e">
        <f t="shared" ca="1" si="319"/>
        <v>#NAME?</v>
      </c>
      <c r="AM360" s="313" t="e">
        <f t="shared" ca="1" si="306"/>
        <v>#NAME?</v>
      </c>
      <c r="AN360" s="313" t="e">
        <f t="shared" ca="1" si="307"/>
        <v>#NAME?</v>
      </c>
      <c r="AO360" s="316" t="e">
        <f t="shared" ca="1" si="320"/>
        <v>#NAME?</v>
      </c>
      <c r="AP360" s="313" t="e">
        <f t="shared" ca="1" si="321"/>
        <v>#NAME?</v>
      </c>
      <c r="AQ360" s="314" t="e">
        <f t="shared" ca="1" si="308"/>
        <v>#NAME?</v>
      </c>
      <c r="AR360" s="315" t="e">
        <f t="shared" ca="1" si="322"/>
        <v>#NAME?</v>
      </c>
      <c r="AS360" s="316" t="e">
        <f t="shared" ca="1" si="323"/>
        <v>#NAME?</v>
      </c>
      <c r="AT360" s="315" t="e">
        <f t="shared" ca="1" si="324"/>
        <v>#NAME?</v>
      </c>
      <c r="AU360" s="317">
        <v>427.8</v>
      </c>
      <c r="AV360" s="315" t="e">
        <f t="shared" ca="1" si="325"/>
        <v>#NAME?</v>
      </c>
      <c r="AW360" s="318" t="e">
        <f ca="1">0.0001*BicubicInterpolation('Drag Coef Table'!$B$4:$L$28,AV360,AC360)</f>
        <v>#NAME?</v>
      </c>
      <c r="AX360" s="319" t="e">
        <f t="shared" ca="1" si="326"/>
        <v>#NAME?</v>
      </c>
      <c r="AY360" s="318" t="e">
        <f t="shared" ca="1" si="327"/>
        <v>#NAME?</v>
      </c>
      <c r="AZ360" s="320" t="e">
        <f t="shared" ca="1" si="328"/>
        <v>#NAME?</v>
      </c>
      <c r="BA360" s="321" t="e">
        <f t="shared" ca="1" si="329"/>
        <v>#NAME?</v>
      </c>
      <c r="BB360" s="322" t="e">
        <f t="shared" ca="1" si="330"/>
        <v>#NAME?</v>
      </c>
      <c r="BC360" s="323">
        <v>75.196700000000007</v>
      </c>
      <c r="BD360" s="324" t="e">
        <f t="shared" ca="1" si="331"/>
        <v>#NAME?</v>
      </c>
      <c r="BE360" s="325" t="e">
        <f t="shared" ca="1" si="332"/>
        <v>#NAME?</v>
      </c>
      <c r="BF360" s="324" t="e">
        <f ca="1">BicubicInterpolation('TSFC Eff Table'!$B$4:$E$69,2,BB360)</f>
        <v>#NAME?</v>
      </c>
      <c r="BG360" s="326" t="e">
        <f t="shared" ca="1" si="333"/>
        <v>#NAME?</v>
      </c>
      <c r="BH360" s="694" t="e">
        <f ca="1">IF( S360="LRCINOP",   (1+(0.03/10)*Z360*(1+0.2*AC360^2) )*BicubicInterpolation( 'LRC INOP FF'!$C$4:$AA$21, Y360, U360 )-200, IF(S360 ="HOLDINGINOP", (1+(0.03/10)*Z360*(1+0.2*AC360^2) )*BicubicInterpolation( 'Holding INOP FF'!$C$4:$J$13,  Y360,  U360)/1.05-200,   BA360*BG360))</f>
        <v>#NAME?</v>
      </c>
      <c r="BI360" s="344" t="e">
        <f t="shared" ca="1" si="292"/>
        <v>#NAME?</v>
      </c>
      <c r="BJ360" s="322" t="e">
        <f t="shared" ca="1" si="334"/>
        <v>#NAME?</v>
      </c>
      <c r="BK360" s="338" t="e">
        <f t="shared" ca="1" si="293"/>
        <v>#NAME?</v>
      </c>
      <c r="BL360" s="327" t="e">
        <f t="shared" ca="1" si="335"/>
        <v>#NAME?</v>
      </c>
      <c r="BM360" s="328">
        <f t="shared" si="336"/>
        <v>200</v>
      </c>
      <c r="BN360" s="329" t="e">
        <f t="shared" ca="1" si="337"/>
        <v>#NAME?</v>
      </c>
      <c r="BO360" s="344" t="e">
        <f t="shared" ca="1" si="294"/>
        <v>#NAME?</v>
      </c>
      <c r="BP360" s="320" t="e">
        <f t="shared" ca="1" si="338"/>
        <v>#NAME?</v>
      </c>
      <c r="BQ360" s="344" t="e">
        <f t="shared" ca="1" si="295"/>
        <v>#NAME?</v>
      </c>
      <c r="BR360" s="347" t="e">
        <f t="shared" ca="1" si="296"/>
        <v>#NAME?</v>
      </c>
      <c r="BS360" s="326" t="e">
        <f t="shared" ca="1" si="339"/>
        <v>#NAME?</v>
      </c>
      <c r="BT360" s="437" t="e">
        <f t="shared" ca="1" si="309"/>
        <v>#NAME?</v>
      </c>
      <c r="BU360" s="437" t="e">
        <f t="shared" ca="1" si="310"/>
        <v>#NAME?</v>
      </c>
      <c r="BV360" s="441" t="e">
        <f t="shared" ca="1" si="311"/>
        <v>#NAME?</v>
      </c>
      <c r="BW360" s="442" t="e">
        <f t="shared" ca="1" si="312"/>
        <v>#NAME?</v>
      </c>
      <c r="BX360" s="470" t="e">
        <f t="shared" ca="1" si="285"/>
        <v>#NAME?</v>
      </c>
      <c r="BY360" s="484" t="e">
        <f t="shared" ca="1" si="297"/>
        <v>#NAME?</v>
      </c>
    </row>
    <row r="361" spans="9:77" ht="17.75" customHeight="1" x14ac:dyDescent="0.2">
      <c r="I361" s="366">
        <v>277</v>
      </c>
      <c r="J361" s="414">
        <f t="shared" si="298"/>
        <v>41705.90486111174</v>
      </c>
      <c r="K361" s="435" t="e">
        <f t="shared" ca="1" si="299"/>
        <v>#NAME?</v>
      </c>
      <c r="L361" s="435" t="e">
        <f t="shared" ca="1" si="286"/>
        <v>#NAME?</v>
      </c>
      <c r="M361" s="664" t="e">
        <f t="shared" ref="M361:M424" ca="1" si="340">IF(  AND(OR(S360="LRCINOP",S360="HOLDINGINOP"),NOT(S360=S359), $C$35="L"), 0,   IF(  AND(OR(S360="LRCINOP",S360="HOLDINGINOP"),NOT(S360=S359), $C$35="R"),  MAX(M360-K360/1000+N360,0),MAX(M360-K360/1000,0)   ))</f>
        <v>#NAME?</v>
      </c>
      <c r="N361" s="664" t="e">
        <f t="shared" ref="N361:N424" ca="1" si="341">IF(  AND(OR(S360="LRCINOP",S360="HOLDINGINOP"),NOT(S360=S359), $C$35="R"), 0,   IF(  AND(OR(S360="LRCINOP",S360="HOLDINGINOP"),NOT(S360=S359), $C$35="L"),  MAX(N360-L360/1000+M360,0),MAX(N360-L360/1000,0)   ))</f>
        <v>#NAME?</v>
      </c>
      <c r="O361" s="140" t="e">
        <f t="shared" ca="1" si="287"/>
        <v>#NAME?</v>
      </c>
      <c r="P361" s="352" t="e">
        <f t="shared" ca="1" si="300"/>
        <v>#NAME?</v>
      </c>
      <c r="Q361" s="665" t="e">
        <f t="shared" ca="1" si="280"/>
        <v>#NAME?</v>
      </c>
      <c r="R361" s="352" t="e">
        <f t="shared" ca="1" si="313"/>
        <v>#NAME?</v>
      </c>
      <c r="S361" s="662" t="e">
        <f t="shared" ca="1" si="288"/>
        <v>#NAME?</v>
      </c>
      <c r="T361" s="443" t="e">
        <f t="shared" ca="1" si="281"/>
        <v>#NAME?</v>
      </c>
      <c r="U361" s="369" t="e">
        <f t="shared" ca="1" si="282"/>
        <v>#NAME?</v>
      </c>
      <c r="V361" s="454" t="e">
        <f t="shared" ca="1" si="289"/>
        <v>#NAME?</v>
      </c>
      <c r="W361" s="457">
        <f t="shared" si="290"/>
        <v>1000</v>
      </c>
      <c r="X361" s="463" t="e">
        <f t="shared" ca="1" si="291"/>
        <v>#NAME?</v>
      </c>
      <c r="Y361" s="455" t="e">
        <f t="shared" ca="1" si="301"/>
        <v>#NAME?</v>
      </c>
      <c r="Z361" s="699">
        <f t="shared" si="283"/>
        <v>8.5</v>
      </c>
      <c r="AA361" s="355" t="str">
        <f t="shared" si="284"/>
        <v>ON</v>
      </c>
      <c r="AB361" s="357">
        <f t="shared" si="314"/>
        <v>1.4999999999999999E-2</v>
      </c>
      <c r="AC361" s="356" t="e">
        <f ca="1">IF(  Y360=0,0,IF(OR(S361="KCAS",S361="INOP",S361="MEFE"),   ( (5*( (   (((1+0.2*(T361/661.4786)^2)^3.5 -1)  )/( (1-6.8755856*10^-6 *100*Y361)^5.2558797) +1)^(2/7) -1) )^0.5),IF(S361="MACH",T361, IF(S361="LRC",BicubicInterpolation( 'LRC Mach'!$C$4:$AL$21, Y361,U361),  IF(S361="MRC",BicubicInterpolation( 'MRC Mach'!$C$3:$T$18, Y361,U361),  IF(S361="M0.84",0.84,  IF(S361="CI52",BicubicInterpolation('CI=52 Mach'!$C$3:$T$18, Y361,U361),  IF(S361="HOLDING",BicubicInterpolation(  'Holding Mach'!$C$4:$M$13, Y361,U361),                         IF(S361="LRCINOP", BicubicInterpolation('LRC INOP Mach'!$C$4:$AA$21,Y361,U361), IF(S361="HOLDINGINOP",  BicubicInterpolation('Holding INOP Mach'!$N$4:$U$13,Y361,U361),         "XXX" )))))))   )))</f>
        <v>#NAME?</v>
      </c>
      <c r="AD361" s="313" t="e">
        <f t="shared" ca="1" si="315"/>
        <v>#NAME?</v>
      </c>
      <c r="AE361" s="314" t="e">
        <f t="shared" ca="1" si="302"/>
        <v>#NAME?</v>
      </c>
      <c r="AF361" s="313" t="e">
        <f t="shared" ca="1" si="316"/>
        <v>#NAME?</v>
      </c>
      <c r="AG361" s="314" t="e">
        <f t="shared" ca="1" si="303"/>
        <v>#NAME?</v>
      </c>
      <c r="AH361" s="313" t="e">
        <f t="shared" ca="1" si="317"/>
        <v>#NAME?</v>
      </c>
      <c r="AI361" s="314" t="e">
        <f t="shared" ca="1" si="304"/>
        <v>#NAME?</v>
      </c>
      <c r="AJ361" s="315" t="e">
        <f t="shared" ca="1" si="305"/>
        <v>#NAME?</v>
      </c>
      <c r="AK361" s="568" t="e">
        <f t="shared" ca="1" si="318"/>
        <v>#NAME?</v>
      </c>
      <c r="AL361" s="313" t="e">
        <f t="shared" ca="1" si="319"/>
        <v>#NAME?</v>
      </c>
      <c r="AM361" s="313" t="e">
        <f t="shared" ca="1" si="306"/>
        <v>#NAME?</v>
      </c>
      <c r="AN361" s="313" t="e">
        <f t="shared" ca="1" si="307"/>
        <v>#NAME?</v>
      </c>
      <c r="AO361" s="316" t="e">
        <f t="shared" ca="1" si="320"/>
        <v>#NAME?</v>
      </c>
      <c r="AP361" s="313" t="e">
        <f t="shared" ca="1" si="321"/>
        <v>#NAME?</v>
      </c>
      <c r="AQ361" s="314" t="e">
        <f t="shared" ca="1" si="308"/>
        <v>#NAME?</v>
      </c>
      <c r="AR361" s="315" t="e">
        <f t="shared" ca="1" si="322"/>
        <v>#NAME?</v>
      </c>
      <c r="AS361" s="316" t="e">
        <f t="shared" ca="1" si="323"/>
        <v>#NAME?</v>
      </c>
      <c r="AT361" s="315" t="e">
        <f t="shared" ca="1" si="324"/>
        <v>#NAME?</v>
      </c>
      <c r="AU361" s="317">
        <v>427.8</v>
      </c>
      <c r="AV361" s="315" t="e">
        <f t="shared" ca="1" si="325"/>
        <v>#NAME?</v>
      </c>
      <c r="AW361" s="318" t="e">
        <f ca="1">0.0001*BicubicInterpolation('Drag Coef Table'!$B$4:$L$28,AV361,AC361)</f>
        <v>#NAME?</v>
      </c>
      <c r="AX361" s="319" t="e">
        <f t="shared" ca="1" si="326"/>
        <v>#NAME?</v>
      </c>
      <c r="AY361" s="318" t="e">
        <f t="shared" ca="1" si="327"/>
        <v>#NAME?</v>
      </c>
      <c r="AZ361" s="320" t="e">
        <f t="shared" ca="1" si="328"/>
        <v>#NAME?</v>
      </c>
      <c r="BA361" s="321" t="e">
        <f t="shared" ca="1" si="329"/>
        <v>#NAME?</v>
      </c>
      <c r="BB361" s="322" t="e">
        <f t="shared" ca="1" si="330"/>
        <v>#NAME?</v>
      </c>
      <c r="BC361" s="323">
        <v>75.196700000000007</v>
      </c>
      <c r="BD361" s="324" t="e">
        <f t="shared" ca="1" si="331"/>
        <v>#NAME?</v>
      </c>
      <c r="BE361" s="325" t="e">
        <f t="shared" ca="1" si="332"/>
        <v>#NAME?</v>
      </c>
      <c r="BF361" s="324" t="e">
        <f ca="1">BicubicInterpolation('TSFC Eff Table'!$B$4:$E$69,2,BB361)</f>
        <v>#NAME?</v>
      </c>
      <c r="BG361" s="326" t="e">
        <f t="shared" ca="1" si="333"/>
        <v>#NAME?</v>
      </c>
      <c r="BH361" s="694" t="e">
        <f ca="1">IF( S361="LRCINOP",   (1+(0.03/10)*Z361*(1+0.2*AC361^2) )*BicubicInterpolation( 'LRC INOP FF'!$C$4:$AA$21, Y361, U361 )-200, IF(S361 ="HOLDINGINOP", (1+(0.03/10)*Z361*(1+0.2*AC361^2) )*BicubicInterpolation( 'Holding INOP FF'!$C$4:$J$13,  Y361,  U361)/1.05-200,   BA361*BG361))</f>
        <v>#NAME?</v>
      </c>
      <c r="BI361" s="344" t="e">
        <f t="shared" ca="1" si="292"/>
        <v>#NAME?</v>
      </c>
      <c r="BJ361" s="322" t="e">
        <f t="shared" ca="1" si="334"/>
        <v>#NAME?</v>
      </c>
      <c r="BK361" s="338" t="e">
        <f t="shared" ca="1" si="293"/>
        <v>#NAME?</v>
      </c>
      <c r="BL361" s="327" t="e">
        <f t="shared" ca="1" si="335"/>
        <v>#NAME?</v>
      </c>
      <c r="BM361" s="328">
        <f t="shared" si="336"/>
        <v>200</v>
      </c>
      <c r="BN361" s="329" t="e">
        <f t="shared" ca="1" si="337"/>
        <v>#NAME?</v>
      </c>
      <c r="BO361" s="344" t="e">
        <f t="shared" ca="1" si="294"/>
        <v>#NAME?</v>
      </c>
      <c r="BP361" s="320" t="e">
        <f t="shared" ca="1" si="338"/>
        <v>#NAME?</v>
      </c>
      <c r="BQ361" s="344" t="e">
        <f t="shared" ca="1" si="295"/>
        <v>#NAME?</v>
      </c>
      <c r="BR361" s="347" t="e">
        <f t="shared" ca="1" si="296"/>
        <v>#NAME?</v>
      </c>
      <c r="BS361" s="326" t="e">
        <f t="shared" ca="1" si="339"/>
        <v>#NAME?</v>
      </c>
      <c r="BT361" s="437" t="e">
        <f t="shared" ca="1" si="309"/>
        <v>#NAME?</v>
      </c>
      <c r="BU361" s="437" t="e">
        <f t="shared" ca="1" si="310"/>
        <v>#NAME?</v>
      </c>
      <c r="BV361" s="441" t="e">
        <f t="shared" ca="1" si="311"/>
        <v>#NAME?</v>
      </c>
      <c r="BW361" s="442" t="e">
        <f t="shared" ca="1" si="312"/>
        <v>#NAME?</v>
      </c>
      <c r="BX361" s="470" t="e">
        <f t="shared" ca="1" si="285"/>
        <v>#NAME?</v>
      </c>
      <c r="BY361" s="484" t="e">
        <f t="shared" ca="1" si="297"/>
        <v>#NAME?</v>
      </c>
    </row>
    <row r="362" spans="9:77" ht="17.75" customHeight="1" x14ac:dyDescent="0.2">
      <c r="I362" s="366">
        <v>278</v>
      </c>
      <c r="J362" s="414">
        <f t="shared" si="298"/>
        <v>41705.905555556186</v>
      </c>
      <c r="K362" s="435" t="e">
        <f t="shared" ca="1" si="299"/>
        <v>#NAME?</v>
      </c>
      <c r="L362" s="435" t="e">
        <f t="shared" ca="1" si="286"/>
        <v>#NAME?</v>
      </c>
      <c r="M362" s="664" t="e">
        <f t="shared" ca="1" si="340"/>
        <v>#NAME?</v>
      </c>
      <c r="N362" s="664" t="e">
        <f t="shared" ca="1" si="341"/>
        <v>#NAME?</v>
      </c>
      <c r="O362" s="140" t="e">
        <f t="shared" ca="1" si="287"/>
        <v>#NAME?</v>
      </c>
      <c r="P362" s="352" t="e">
        <f t="shared" ca="1" si="300"/>
        <v>#NAME?</v>
      </c>
      <c r="Q362" s="665" t="e">
        <f t="shared" ca="1" si="280"/>
        <v>#NAME?</v>
      </c>
      <c r="R362" s="352" t="e">
        <f t="shared" ca="1" si="313"/>
        <v>#NAME?</v>
      </c>
      <c r="S362" s="662" t="e">
        <f t="shared" ca="1" si="288"/>
        <v>#NAME?</v>
      </c>
      <c r="T362" s="443" t="e">
        <f t="shared" ca="1" si="281"/>
        <v>#NAME?</v>
      </c>
      <c r="U362" s="369" t="e">
        <f t="shared" ca="1" si="282"/>
        <v>#NAME?</v>
      </c>
      <c r="V362" s="454" t="e">
        <f t="shared" ca="1" si="289"/>
        <v>#NAME?</v>
      </c>
      <c r="W362" s="457">
        <f t="shared" si="290"/>
        <v>1000</v>
      </c>
      <c r="X362" s="463" t="e">
        <f t="shared" ca="1" si="291"/>
        <v>#NAME?</v>
      </c>
      <c r="Y362" s="455" t="e">
        <f t="shared" ca="1" si="301"/>
        <v>#NAME?</v>
      </c>
      <c r="Z362" s="699">
        <f t="shared" si="283"/>
        <v>8.5</v>
      </c>
      <c r="AA362" s="355" t="str">
        <f t="shared" si="284"/>
        <v>ON</v>
      </c>
      <c r="AB362" s="357">
        <f t="shared" si="314"/>
        <v>1.4999999999999999E-2</v>
      </c>
      <c r="AC362" s="356" t="e">
        <f ca="1">IF(  Y361=0,0,IF(OR(S362="KCAS",S362="INOP",S362="MEFE"),   ( (5*( (   (((1+0.2*(T362/661.4786)^2)^3.5 -1)  )/( (1-6.8755856*10^-6 *100*Y362)^5.2558797) +1)^(2/7) -1) )^0.5),IF(S362="MACH",T362, IF(S362="LRC",BicubicInterpolation( 'LRC Mach'!$C$4:$AL$21, Y362,U362),  IF(S362="MRC",BicubicInterpolation( 'MRC Mach'!$C$3:$T$18, Y362,U362),  IF(S362="M0.84",0.84,  IF(S362="CI52",BicubicInterpolation('CI=52 Mach'!$C$3:$T$18, Y362,U362),  IF(S362="HOLDING",BicubicInterpolation(  'Holding Mach'!$C$4:$M$13, Y362,U362),                         IF(S362="LRCINOP", BicubicInterpolation('LRC INOP Mach'!$C$4:$AA$21,Y362,U362), IF(S362="HOLDINGINOP",  BicubicInterpolation('Holding INOP Mach'!$N$4:$U$13,Y362,U362),         "XXX" )))))))   )))</f>
        <v>#NAME?</v>
      </c>
      <c r="AD362" s="313" t="e">
        <f t="shared" ca="1" si="315"/>
        <v>#NAME?</v>
      </c>
      <c r="AE362" s="314" t="e">
        <f t="shared" ca="1" si="302"/>
        <v>#NAME?</v>
      </c>
      <c r="AF362" s="313" t="e">
        <f t="shared" ca="1" si="316"/>
        <v>#NAME?</v>
      </c>
      <c r="AG362" s="314" t="e">
        <f t="shared" ca="1" si="303"/>
        <v>#NAME?</v>
      </c>
      <c r="AH362" s="313" t="e">
        <f t="shared" ca="1" si="317"/>
        <v>#NAME?</v>
      </c>
      <c r="AI362" s="314" t="e">
        <f t="shared" ca="1" si="304"/>
        <v>#NAME?</v>
      </c>
      <c r="AJ362" s="315" t="e">
        <f t="shared" ca="1" si="305"/>
        <v>#NAME?</v>
      </c>
      <c r="AK362" s="568" t="e">
        <f t="shared" ca="1" si="318"/>
        <v>#NAME?</v>
      </c>
      <c r="AL362" s="313" t="e">
        <f t="shared" ca="1" si="319"/>
        <v>#NAME?</v>
      </c>
      <c r="AM362" s="313" t="e">
        <f t="shared" ca="1" si="306"/>
        <v>#NAME?</v>
      </c>
      <c r="AN362" s="313" t="e">
        <f t="shared" ca="1" si="307"/>
        <v>#NAME?</v>
      </c>
      <c r="AO362" s="316" t="e">
        <f t="shared" ca="1" si="320"/>
        <v>#NAME?</v>
      </c>
      <c r="AP362" s="313" t="e">
        <f t="shared" ca="1" si="321"/>
        <v>#NAME?</v>
      </c>
      <c r="AQ362" s="314" t="e">
        <f t="shared" ca="1" si="308"/>
        <v>#NAME?</v>
      </c>
      <c r="AR362" s="315" t="e">
        <f t="shared" ca="1" si="322"/>
        <v>#NAME?</v>
      </c>
      <c r="AS362" s="316" t="e">
        <f t="shared" ca="1" si="323"/>
        <v>#NAME?</v>
      </c>
      <c r="AT362" s="315" t="e">
        <f t="shared" ca="1" si="324"/>
        <v>#NAME?</v>
      </c>
      <c r="AU362" s="317">
        <v>427.8</v>
      </c>
      <c r="AV362" s="315" t="e">
        <f t="shared" ca="1" si="325"/>
        <v>#NAME?</v>
      </c>
      <c r="AW362" s="318" t="e">
        <f ca="1">0.0001*BicubicInterpolation('Drag Coef Table'!$B$4:$L$28,AV362,AC362)</f>
        <v>#NAME?</v>
      </c>
      <c r="AX362" s="319" t="e">
        <f t="shared" ca="1" si="326"/>
        <v>#NAME?</v>
      </c>
      <c r="AY362" s="318" t="e">
        <f t="shared" ca="1" si="327"/>
        <v>#NAME?</v>
      </c>
      <c r="AZ362" s="320" t="e">
        <f t="shared" ca="1" si="328"/>
        <v>#NAME?</v>
      </c>
      <c r="BA362" s="321" t="e">
        <f t="shared" ca="1" si="329"/>
        <v>#NAME?</v>
      </c>
      <c r="BB362" s="322" t="e">
        <f t="shared" ca="1" si="330"/>
        <v>#NAME?</v>
      </c>
      <c r="BC362" s="323">
        <v>75.196700000000007</v>
      </c>
      <c r="BD362" s="324" t="e">
        <f t="shared" ca="1" si="331"/>
        <v>#NAME?</v>
      </c>
      <c r="BE362" s="325" t="e">
        <f t="shared" ca="1" si="332"/>
        <v>#NAME?</v>
      </c>
      <c r="BF362" s="324" t="e">
        <f ca="1">BicubicInterpolation('TSFC Eff Table'!$B$4:$E$69,2,BB362)</f>
        <v>#NAME?</v>
      </c>
      <c r="BG362" s="326" t="e">
        <f t="shared" ca="1" si="333"/>
        <v>#NAME?</v>
      </c>
      <c r="BH362" s="694" t="e">
        <f ca="1">IF( S362="LRCINOP",   (1+(0.03/10)*Z362*(1+0.2*AC362^2) )*BicubicInterpolation( 'LRC INOP FF'!$C$4:$AA$21, Y362, U362 )-200, IF(S362 ="HOLDINGINOP", (1+(0.03/10)*Z362*(1+0.2*AC362^2) )*BicubicInterpolation( 'Holding INOP FF'!$C$4:$J$13,  Y362,  U362)/1.05-200,   BA362*BG362))</f>
        <v>#NAME?</v>
      </c>
      <c r="BI362" s="344" t="e">
        <f t="shared" ca="1" si="292"/>
        <v>#NAME?</v>
      </c>
      <c r="BJ362" s="322" t="e">
        <f t="shared" ca="1" si="334"/>
        <v>#NAME?</v>
      </c>
      <c r="BK362" s="338" t="e">
        <f t="shared" ca="1" si="293"/>
        <v>#NAME?</v>
      </c>
      <c r="BL362" s="327" t="e">
        <f t="shared" ca="1" si="335"/>
        <v>#NAME?</v>
      </c>
      <c r="BM362" s="328">
        <f t="shared" si="336"/>
        <v>200</v>
      </c>
      <c r="BN362" s="329" t="e">
        <f t="shared" ca="1" si="337"/>
        <v>#NAME?</v>
      </c>
      <c r="BO362" s="344" t="e">
        <f t="shared" ca="1" si="294"/>
        <v>#NAME?</v>
      </c>
      <c r="BP362" s="320" t="e">
        <f t="shared" ca="1" si="338"/>
        <v>#NAME?</v>
      </c>
      <c r="BQ362" s="344" t="e">
        <f t="shared" ca="1" si="295"/>
        <v>#NAME?</v>
      </c>
      <c r="BR362" s="347" t="e">
        <f t="shared" ca="1" si="296"/>
        <v>#NAME?</v>
      </c>
      <c r="BS362" s="326" t="e">
        <f t="shared" ca="1" si="339"/>
        <v>#NAME?</v>
      </c>
      <c r="BT362" s="437" t="e">
        <f t="shared" ca="1" si="309"/>
        <v>#NAME?</v>
      </c>
      <c r="BU362" s="437" t="e">
        <f t="shared" ca="1" si="310"/>
        <v>#NAME?</v>
      </c>
      <c r="BV362" s="441" t="e">
        <f t="shared" ca="1" si="311"/>
        <v>#NAME?</v>
      </c>
      <c r="BW362" s="442" t="e">
        <f t="shared" ca="1" si="312"/>
        <v>#NAME?</v>
      </c>
      <c r="BX362" s="470" t="e">
        <f t="shared" ca="1" si="285"/>
        <v>#NAME?</v>
      </c>
      <c r="BY362" s="484" t="e">
        <f t="shared" ca="1" si="297"/>
        <v>#NAME?</v>
      </c>
    </row>
    <row r="363" spans="9:77" ht="17.75" customHeight="1" x14ac:dyDescent="0.2">
      <c r="I363" s="366">
        <v>279</v>
      </c>
      <c r="J363" s="414">
        <f t="shared" si="298"/>
        <v>41705.906250000633</v>
      </c>
      <c r="K363" s="435" t="e">
        <f t="shared" ca="1" si="299"/>
        <v>#NAME?</v>
      </c>
      <c r="L363" s="435" t="e">
        <f t="shared" ca="1" si="286"/>
        <v>#NAME?</v>
      </c>
      <c r="M363" s="664" t="e">
        <f t="shared" ca="1" si="340"/>
        <v>#NAME?</v>
      </c>
      <c r="N363" s="664" t="e">
        <f t="shared" ca="1" si="341"/>
        <v>#NAME?</v>
      </c>
      <c r="O363" s="140" t="e">
        <f t="shared" ca="1" si="287"/>
        <v>#NAME?</v>
      </c>
      <c r="P363" s="352" t="e">
        <f t="shared" ca="1" si="300"/>
        <v>#NAME?</v>
      </c>
      <c r="Q363" s="665" t="e">
        <f t="shared" ca="1" si="280"/>
        <v>#NAME?</v>
      </c>
      <c r="R363" s="352" t="e">
        <f t="shared" ca="1" si="313"/>
        <v>#NAME?</v>
      </c>
      <c r="S363" s="662" t="e">
        <f t="shared" ca="1" si="288"/>
        <v>#NAME?</v>
      </c>
      <c r="T363" s="443" t="e">
        <f t="shared" ca="1" si="281"/>
        <v>#NAME?</v>
      </c>
      <c r="U363" s="369" t="e">
        <f t="shared" ca="1" si="282"/>
        <v>#NAME?</v>
      </c>
      <c r="V363" s="454" t="e">
        <f t="shared" ca="1" si="289"/>
        <v>#NAME?</v>
      </c>
      <c r="W363" s="457">
        <f t="shared" si="290"/>
        <v>1000</v>
      </c>
      <c r="X363" s="463" t="e">
        <f t="shared" ca="1" si="291"/>
        <v>#NAME?</v>
      </c>
      <c r="Y363" s="455" t="e">
        <f t="shared" ca="1" si="301"/>
        <v>#NAME?</v>
      </c>
      <c r="Z363" s="699">
        <f t="shared" si="283"/>
        <v>8.5</v>
      </c>
      <c r="AA363" s="355" t="str">
        <f t="shared" si="284"/>
        <v>ON</v>
      </c>
      <c r="AB363" s="357">
        <f t="shared" si="314"/>
        <v>1.4999999999999999E-2</v>
      </c>
      <c r="AC363" s="356" t="e">
        <f ca="1">IF(  Y362=0,0,IF(OR(S363="KCAS",S363="INOP",S363="MEFE"),   ( (5*( (   (((1+0.2*(T363/661.4786)^2)^3.5 -1)  )/( (1-6.8755856*10^-6 *100*Y363)^5.2558797) +1)^(2/7) -1) )^0.5),IF(S363="MACH",T363, IF(S363="LRC",BicubicInterpolation( 'LRC Mach'!$C$4:$AL$21, Y363,U363),  IF(S363="MRC",BicubicInterpolation( 'MRC Mach'!$C$3:$T$18, Y363,U363),  IF(S363="M0.84",0.84,  IF(S363="CI52",BicubicInterpolation('CI=52 Mach'!$C$3:$T$18, Y363,U363),  IF(S363="HOLDING",BicubicInterpolation(  'Holding Mach'!$C$4:$M$13, Y363,U363),                         IF(S363="LRCINOP", BicubicInterpolation('LRC INOP Mach'!$C$4:$AA$21,Y363,U363), IF(S363="HOLDINGINOP",  BicubicInterpolation('Holding INOP Mach'!$N$4:$U$13,Y363,U363),         "XXX" )))))))   )))</f>
        <v>#NAME?</v>
      </c>
      <c r="AD363" s="313" t="e">
        <f t="shared" ca="1" si="315"/>
        <v>#NAME?</v>
      </c>
      <c r="AE363" s="314" t="e">
        <f t="shared" ca="1" si="302"/>
        <v>#NAME?</v>
      </c>
      <c r="AF363" s="313" t="e">
        <f t="shared" ca="1" si="316"/>
        <v>#NAME?</v>
      </c>
      <c r="AG363" s="314" t="e">
        <f t="shared" ca="1" si="303"/>
        <v>#NAME?</v>
      </c>
      <c r="AH363" s="313" t="e">
        <f t="shared" ca="1" si="317"/>
        <v>#NAME?</v>
      </c>
      <c r="AI363" s="314" t="e">
        <f t="shared" ca="1" si="304"/>
        <v>#NAME?</v>
      </c>
      <c r="AJ363" s="315" t="e">
        <f t="shared" ca="1" si="305"/>
        <v>#NAME?</v>
      </c>
      <c r="AK363" s="568" t="e">
        <f t="shared" ca="1" si="318"/>
        <v>#NAME?</v>
      </c>
      <c r="AL363" s="313" t="e">
        <f t="shared" ca="1" si="319"/>
        <v>#NAME?</v>
      </c>
      <c r="AM363" s="313" t="e">
        <f t="shared" ca="1" si="306"/>
        <v>#NAME?</v>
      </c>
      <c r="AN363" s="313" t="e">
        <f t="shared" ca="1" si="307"/>
        <v>#NAME?</v>
      </c>
      <c r="AO363" s="316" t="e">
        <f t="shared" ca="1" si="320"/>
        <v>#NAME?</v>
      </c>
      <c r="AP363" s="313" t="e">
        <f t="shared" ca="1" si="321"/>
        <v>#NAME?</v>
      </c>
      <c r="AQ363" s="314" t="e">
        <f t="shared" ca="1" si="308"/>
        <v>#NAME?</v>
      </c>
      <c r="AR363" s="315" t="e">
        <f t="shared" ca="1" si="322"/>
        <v>#NAME?</v>
      </c>
      <c r="AS363" s="316" t="e">
        <f t="shared" ca="1" si="323"/>
        <v>#NAME?</v>
      </c>
      <c r="AT363" s="315" t="e">
        <f t="shared" ca="1" si="324"/>
        <v>#NAME?</v>
      </c>
      <c r="AU363" s="317">
        <v>427.8</v>
      </c>
      <c r="AV363" s="315" t="e">
        <f t="shared" ca="1" si="325"/>
        <v>#NAME?</v>
      </c>
      <c r="AW363" s="318" t="e">
        <f ca="1">0.0001*BicubicInterpolation('Drag Coef Table'!$B$4:$L$28,AV363,AC363)</f>
        <v>#NAME?</v>
      </c>
      <c r="AX363" s="319" t="e">
        <f t="shared" ca="1" si="326"/>
        <v>#NAME?</v>
      </c>
      <c r="AY363" s="318" t="e">
        <f t="shared" ca="1" si="327"/>
        <v>#NAME?</v>
      </c>
      <c r="AZ363" s="320" t="e">
        <f t="shared" ca="1" si="328"/>
        <v>#NAME?</v>
      </c>
      <c r="BA363" s="321" t="e">
        <f t="shared" ca="1" si="329"/>
        <v>#NAME?</v>
      </c>
      <c r="BB363" s="322" t="e">
        <f t="shared" ca="1" si="330"/>
        <v>#NAME?</v>
      </c>
      <c r="BC363" s="323">
        <v>75.196700000000007</v>
      </c>
      <c r="BD363" s="324" t="e">
        <f t="shared" ca="1" si="331"/>
        <v>#NAME?</v>
      </c>
      <c r="BE363" s="325" t="e">
        <f t="shared" ca="1" si="332"/>
        <v>#NAME?</v>
      </c>
      <c r="BF363" s="324" t="e">
        <f ca="1">BicubicInterpolation('TSFC Eff Table'!$B$4:$E$69,2,BB363)</f>
        <v>#NAME?</v>
      </c>
      <c r="BG363" s="326" t="e">
        <f t="shared" ca="1" si="333"/>
        <v>#NAME?</v>
      </c>
      <c r="BH363" s="694" t="e">
        <f ca="1">IF( S363="LRCINOP",   (1+(0.03/10)*Z363*(1+0.2*AC363^2) )*BicubicInterpolation( 'LRC INOP FF'!$C$4:$AA$21, Y363, U363 )-200, IF(S363 ="HOLDINGINOP", (1+(0.03/10)*Z363*(1+0.2*AC363^2) )*BicubicInterpolation( 'Holding INOP FF'!$C$4:$J$13,  Y363,  U363)/1.05-200,   BA363*BG363))</f>
        <v>#NAME?</v>
      </c>
      <c r="BI363" s="344" t="e">
        <f t="shared" ca="1" si="292"/>
        <v>#NAME?</v>
      </c>
      <c r="BJ363" s="322" t="e">
        <f t="shared" ca="1" si="334"/>
        <v>#NAME?</v>
      </c>
      <c r="BK363" s="338" t="e">
        <f t="shared" ca="1" si="293"/>
        <v>#NAME?</v>
      </c>
      <c r="BL363" s="327" t="e">
        <f t="shared" ca="1" si="335"/>
        <v>#NAME?</v>
      </c>
      <c r="BM363" s="328">
        <f t="shared" si="336"/>
        <v>200</v>
      </c>
      <c r="BN363" s="329" t="e">
        <f t="shared" ca="1" si="337"/>
        <v>#NAME?</v>
      </c>
      <c r="BO363" s="344" t="e">
        <f t="shared" ca="1" si="294"/>
        <v>#NAME?</v>
      </c>
      <c r="BP363" s="320" t="e">
        <f t="shared" ca="1" si="338"/>
        <v>#NAME?</v>
      </c>
      <c r="BQ363" s="344" t="e">
        <f t="shared" ca="1" si="295"/>
        <v>#NAME?</v>
      </c>
      <c r="BR363" s="347" t="e">
        <f t="shared" ca="1" si="296"/>
        <v>#NAME?</v>
      </c>
      <c r="BS363" s="326" t="e">
        <f t="shared" ca="1" si="339"/>
        <v>#NAME?</v>
      </c>
      <c r="BT363" s="437" t="e">
        <f t="shared" ca="1" si="309"/>
        <v>#NAME?</v>
      </c>
      <c r="BU363" s="437" t="e">
        <f t="shared" ca="1" si="310"/>
        <v>#NAME?</v>
      </c>
      <c r="BV363" s="441" t="e">
        <f t="shared" ca="1" si="311"/>
        <v>#NAME?</v>
      </c>
      <c r="BW363" s="442" t="e">
        <f t="shared" ca="1" si="312"/>
        <v>#NAME?</v>
      </c>
      <c r="BX363" s="470" t="e">
        <f t="shared" ca="1" si="285"/>
        <v>#NAME?</v>
      </c>
      <c r="BY363" s="484" t="e">
        <f t="shared" ca="1" si="297"/>
        <v>#NAME?</v>
      </c>
    </row>
    <row r="364" spans="9:77" ht="17.75" customHeight="1" x14ac:dyDescent="0.2">
      <c r="I364" s="366">
        <v>280</v>
      </c>
      <c r="J364" s="414">
        <f t="shared" si="298"/>
        <v>41705.90694444508</v>
      </c>
      <c r="K364" s="435" t="e">
        <f t="shared" ca="1" si="299"/>
        <v>#NAME?</v>
      </c>
      <c r="L364" s="435" t="e">
        <f t="shared" ca="1" si="286"/>
        <v>#NAME?</v>
      </c>
      <c r="M364" s="664" t="e">
        <f t="shared" ca="1" si="340"/>
        <v>#NAME?</v>
      </c>
      <c r="N364" s="664" t="e">
        <f t="shared" ca="1" si="341"/>
        <v>#NAME?</v>
      </c>
      <c r="O364" s="140" t="e">
        <f t="shared" ca="1" si="287"/>
        <v>#NAME?</v>
      </c>
      <c r="P364" s="352" t="e">
        <f t="shared" ca="1" si="300"/>
        <v>#NAME?</v>
      </c>
      <c r="Q364" s="665" t="e">
        <f t="shared" ca="1" si="280"/>
        <v>#NAME?</v>
      </c>
      <c r="R364" s="352" t="e">
        <f t="shared" ca="1" si="313"/>
        <v>#NAME?</v>
      </c>
      <c r="S364" s="662" t="e">
        <f t="shared" ca="1" si="288"/>
        <v>#NAME?</v>
      </c>
      <c r="T364" s="443" t="e">
        <f t="shared" ca="1" si="281"/>
        <v>#NAME?</v>
      </c>
      <c r="U364" s="369" t="e">
        <f t="shared" ca="1" si="282"/>
        <v>#NAME?</v>
      </c>
      <c r="V364" s="454" t="e">
        <f t="shared" ca="1" si="289"/>
        <v>#NAME?</v>
      </c>
      <c r="W364" s="457">
        <f t="shared" si="290"/>
        <v>1000</v>
      </c>
      <c r="X364" s="463" t="e">
        <f t="shared" ca="1" si="291"/>
        <v>#NAME?</v>
      </c>
      <c r="Y364" s="455" t="e">
        <f t="shared" ca="1" si="301"/>
        <v>#NAME?</v>
      </c>
      <c r="Z364" s="699">
        <f t="shared" si="283"/>
        <v>8.5</v>
      </c>
      <c r="AA364" s="355" t="str">
        <f t="shared" si="284"/>
        <v>ON</v>
      </c>
      <c r="AB364" s="357">
        <f t="shared" si="314"/>
        <v>1.4999999999999999E-2</v>
      </c>
      <c r="AC364" s="356" t="e">
        <f ca="1">IF(  Y363=0,0,IF(OR(S364="KCAS",S364="INOP",S364="MEFE"),   ( (5*( (   (((1+0.2*(T364/661.4786)^2)^3.5 -1)  )/( (1-6.8755856*10^-6 *100*Y364)^5.2558797) +1)^(2/7) -1) )^0.5),IF(S364="MACH",T364, IF(S364="LRC",BicubicInterpolation( 'LRC Mach'!$C$4:$AL$21, Y364,U364),  IF(S364="MRC",BicubicInterpolation( 'MRC Mach'!$C$3:$T$18, Y364,U364),  IF(S364="M0.84",0.84,  IF(S364="CI52",BicubicInterpolation('CI=52 Mach'!$C$3:$T$18, Y364,U364),  IF(S364="HOLDING",BicubicInterpolation(  'Holding Mach'!$C$4:$M$13, Y364,U364),                         IF(S364="LRCINOP", BicubicInterpolation('LRC INOP Mach'!$C$4:$AA$21,Y364,U364), IF(S364="HOLDINGINOP",  BicubicInterpolation('Holding INOP Mach'!$N$4:$U$13,Y364,U364),         "XXX" )))))))   )))</f>
        <v>#NAME?</v>
      </c>
      <c r="AD364" s="313" t="e">
        <f t="shared" ca="1" si="315"/>
        <v>#NAME?</v>
      </c>
      <c r="AE364" s="314" t="e">
        <f t="shared" ca="1" si="302"/>
        <v>#NAME?</v>
      </c>
      <c r="AF364" s="313" t="e">
        <f t="shared" ca="1" si="316"/>
        <v>#NAME?</v>
      </c>
      <c r="AG364" s="314" t="e">
        <f t="shared" ca="1" si="303"/>
        <v>#NAME?</v>
      </c>
      <c r="AH364" s="313" t="e">
        <f t="shared" ca="1" si="317"/>
        <v>#NAME?</v>
      </c>
      <c r="AI364" s="314" t="e">
        <f t="shared" ca="1" si="304"/>
        <v>#NAME?</v>
      </c>
      <c r="AJ364" s="315" t="e">
        <f t="shared" ca="1" si="305"/>
        <v>#NAME?</v>
      </c>
      <c r="AK364" s="568" t="e">
        <f t="shared" ca="1" si="318"/>
        <v>#NAME?</v>
      </c>
      <c r="AL364" s="313" t="e">
        <f t="shared" ca="1" si="319"/>
        <v>#NAME?</v>
      </c>
      <c r="AM364" s="313" t="e">
        <f t="shared" ca="1" si="306"/>
        <v>#NAME?</v>
      </c>
      <c r="AN364" s="313" t="e">
        <f t="shared" ca="1" si="307"/>
        <v>#NAME?</v>
      </c>
      <c r="AO364" s="316" t="e">
        <f t="shared" ca="1" si="320"/>
        <v>#NAME?</v>
      </c>
      <c r="AP364" s="313" t="e">
        <f t="shared" ca="1" si="321"/>
        <v>#NAME?</v>
      </c>
      <c r="AQ364" s="314" t="e">
        <f t="shared" ca="1" si="308"/>
        <v>#NAME?</v>
      </c>
      <c r="AR364" s="315" t="e">
        <f t="shared" ca="1" si="322"/>
        <v>#NAME?</v>
      </c>
      <c r="AS364" s="316" t="e">
        <f t="shared" ca="1" si="323"/>
        <v>#NAME?</v>
      </c>
      <c r="AT364" s="315" t="e">
        <f t="shared" ca="1" si="324"/>
        <v>#NAME?</v>
      </c>
      <c r="AU364" s="317">
        <v>427.8</v>
      </c>
      <c r="AV364" s="315" t="e">
        <f t="shared" ca="1" si="325"/>
        <v>#NAME?</v>
      </c>
      <c r="AW364" s="318" t="e">
        <f ca="1">0.0001*BicubicInterpolation('Drag Coef Table'!$B$4:$L$28,AV364,AC364)</f>
        <v>#NAME?</v>
      </c>
      <c r="AX364" s="319" t="e">
        <f t="shared" ca="1" si="326"/>
        <v>#NAME?</v>
      </c>
      <c r="AY364" s="318" t="e">
        <f t="shared" ca="1" si="327"/>
        <v>#NAME?</v>
      </c>
      <c r="AZ364" s="320" t="e">
        <f t="shared" ca="1" si="328"/>
        <v>#NAME?</v>
      </c>
      <c r="BA364" s="321" t="e">
        <f t="shared" ca="1" si="329"/>
        <v>#NAME?</v>
      </c>
      <c r="BB364" s="322" t="e">
        <f t="shared" ca="1" si="330"/>
        <v>#NAME?</v>
      </c>
      <c r="BC364" s="323">
        <v>75.196700000000007</v>
      </c>
      <c r="BD364" s="324" t="e">
        <f t="shared" ca="1" si="331"/>
        <v>#NAME?</v>
      </c>
      <c r="BE364" s="325" t="e">
        <f t="shared" ca="1" si="332"/>
        <v>#NAME?</v>
      </c>
      <c r="BF364" s="324" t="e">
        <f ca="1">BicubicInterpolation('TSFC Eff Table'!$B$4:$E$69,2,BB364)</f>
        <v>#NAME?</v>
      </c>
      <c r="BG364" s="326" t="e">
        <f t="shared" ca="1" si="333"/>
        <v>#NAME?</v>
      </c>
      <c r="BH364" s="694" t="e">
        <f ca="1">IF( S364="LRCINOP",   (1+(0.03/10)*Z364*(1+0.2*AC364^2) )*BicubicInterpolation( 'LRC INOP FF'!$C$4:$AA$21, Y364, U364 )-200, IF(S364 ="HOLDINGINOP", (1+(0.03/10)*Z364*(1+0.2*AC364^2) )*BicubicInterpolation( 'Holding INOP FF'!$C$4:$J$13,  Y364,  U364)/1.05-200,   BA364*BG364))</f>
        <v>#NAME?</v>
      </c>
      <c r="BI364" s="344" t="e">
        <f t="shared" ca="1" si="292"/>
        <v>#NAME?</v>
      </c>
      <c r="BJ364" s="322" t="e">
        <f t="shared" ca="1" si="334"/>
        <v>#NAME?</v>
      </c>
      <c r="BK364" s="338" t="e">
        <f t="shared" ca="1" si="293"/>
        <v>#NAME?</v>
      </c>
      <c r="BL364" s="327" t="e">
        <f t="shared" ca="1" si="335"/>
        <v>#NAME?</v>
      </c>
      <c r="BM364" s="328">
        <f t="shared" si="336"/>
        <v>200</v>
      </c>
      <c r="BN364" s="329" t="e">
        <f t="shared" ca="1" si="337"/>
        <v>#NAME?</v>
      </c>
      <c r="BO364" s="344" t="e">
        <f t="shared" ca="1" si="294"/>
        <v>#NAME?</v>
      </c>
      <c r="BP364" s="320" t="e">
        <f t="shared" ca="1" si="338"/>
        <v>#NAME?</v>
      </c>
      <c r="BQ364" s="344" t="e">
        <f t="shared" ca="1" si="295"/>
        <v>#NAME?</v>
      </c>
      <c r="BR364" s="347" t="e">
        <f t="shared" ca="1" si="296"/>
        <v>#NAME?</v>
      </c>
      <c r="BS364" s="326" t="e">
        <f t="shared" ca="1" si="339"/>
        <v>#NAME?</v>
      </c>
      <c r="BT364" s="437" t="e">
        <f t="shared" ca="1" si="309"/>
        <v>#NAME?</v>
      </c>
      <c r="BU364" s="437" t="e">
        <f t="shared" ca="1" si="310"/>
        <v>#NAME?</v>
      </c>
      <c r="BV364" s="441" t="e">
        <f t="shared" ca="1" si="311"/>
        <v>#NAME?</v>
      </c>
      <c r="BW364" s="442" t="e">
        <f t="shared" ca="1" si="312"/>
        <v>#NAME?</v>
      </c>
      <c r="BX364" s="470" t="e">
        <f t="shared" ca="1" si="285"/>
        <v>#NAME?</v>
      </c>
      <c r="BY364" s="484" t="e">
        <f t="shared" ca="1" si="297"/>
        <v>#NAME?</v>
      </c>
    </row>
    <row r="365" spans="9:77" ht="17.75" customHeight="1" x14ac:dyDescent="0.2">
      <c r="I365" s="366">
        <v>281</v>
      </c>
      <c r="J365" s="414">
        <f t="shared" si="298"/>
        <v>41705.907638889526</v>
      </c>
      <c r="K365" s="435" t="e">
        <f t="shared" ca="1" si="299"/>
        <v>#NAME?</v>
      </c>
      <c r="L365" s="435" t="e">
        <f t="shared" ca="1" si="286"/>
        <v>#NAME?</v>
      </c>
      <c r="M365" s="664" t="e">
        <f t="shared" ca="1" si="340"/>
        <v>#NAME?</v>
      </c>
      <c r="N365" s="664" t="e">
        <f t="shared" ca="1" si="341"/>
        <v>#NAME?</v>
      </c>
      <c r="O365" s="140" t="e">
        <f t="shared" ca="1" si="287"/>
        <v>#NAME?</v>
      </c>
      <c r="P365" s="352" t="e">
        <f t="shared" ca="1" si="300"/>
        <v>#NAME?</v>
      </c>
      <c r="Q365" s="665" t="e">
        <f t="shared" ca="1" si="280"/>
        <v>#NAME?</v>
      </c>
      <c r="R365" s="352" t="e">
        <f t="shared" ca="1" si="313"/>
        <v>#NAME?</v>
      </c>
      <c r="S365" s="662" t="e">
        <f t="shared" ca="1" si="288"/>
        <v>#NAME?</v>
      </c>
      <c r="T365" s="443" t="e">
        <f t="shared" ca="1" si="281"/>
        <v>#NAME?</v>
      </c>
      <c r="U365" s="369" t="e">
        <f t="shared" ca="1" si="282"/>
        <v>#NAME?</v>
      </c>
      <c r="V365" s="454" t="e">
        <f t="shared" ca="1" si="289"/>
        <v>#NAME?</v>
      </c>
      <c r="W365" s="457">
        <f t="shared" si="290"/>
        <v>1000</v>
      </c>
      <c r="X365" s="463" t="e">
        <f t="shared" ca="1" si="291"/>
        <v>#NAME?</v>
      </c>
      <c r="Y365" s="455" t="e">
        <f t="shared" ca="1" si="301"/>
        <v>#NAME?</v>
      </c>
      <c r="Z365" s="699">
        <f t="shared" si="283"/>
        <v>8.5</v>
      </c>
      <c r="AA365" s="355" t="str">
        <f t="shared" si="284"/>
        <v>ON</v>
      </c>
      <c r="AB365" s="357">
        <f t="shared" si="314"/>
        <v>1.4999999999999999E-2</v>
      </c>
      <c r="AC365" s="356" t="e">
        <f ca="1">IF(  Y364=0,0,IF(OR(S365="KCAS",S365="INOP",S365="MEFE"),   ( (5*( (   (((1+0.2*(T365/661.4786)^2)^3.5 -1)  )/( (1-6.8755856*10^-6 *100*Y365)^5.2558797) +1)^(2/7) -1) )^0.5),IF(S365="MACH",T365, IF(S365="LRC",BicubicInterpolation( 'LRC Mach'!$C$4:$AL$21, Y365,U365),  IF(S365="MRC",BicubicInterpolation( 'MRC Mach'!$C$3:$T$18, Y365,U365),  IF(S365="M0.84",0.84,  IF(S365="CI52",BicubicInterpolation('CI=52 Mach'!$C$3:$T$18, Y365,U365),  IF(S365="HOLDING",BicubicInterpolation(  'Holding Mach'!$C$4:$M$13, Y365,U365),                         IF(S365="LRCINOP", BicubicInterpolation('LRC INOP Mach'!$C$4:$AA$21,Y365,U365), IF(S365="HOLDINGINOP",  BicubicInterpolation('Holding INOP Mach'!$N$4:$U$13,Y365,U365),         "XXX" )))))))   )))</f>
        <v>#NAME?</v>
      </c>
      <c r="AD365" s="313" t="e">
        <f t="shared" ca="1" si="315"/>
        <v>#NAME?</v>
      </c>
      <c r="AE365" s="314" t="e">
        <f t="shared" ca="1" si="302"/>
        <v>#NAME?</v>
      </c>
      <c r="AF365" s="313" t="e">
        <f t="shared" ca="1" si="316"/>
        <v>#NAME?</v>
      </c>
      <c r="AG365" s="314" t="e">
        <f t="shared" ca="1" si="303"/>
        <v>#NAME?</v>
      </c>
      <c r="AH365" s="313" t="e">
        <f t="shared" ca="1" si="317"/>
        <v>#NAME?</v>
      </c>
      <c r="AI365" s="314" t="e">
        <f t="shared" ca="1" si="304"/>
        <v>#NAME?</v>
      </c>
      <c r="AJ365" s="315" t="e">
        <f t="shared" ca="1" si="305"/>
        <v>#NAME?</v>
      </c>
      <c r="AK365" s="568" t="e">
        <f t="shared" ca="1" si="318"/>
        <v>#NAME?</v>
      </c>
      <c r="AL365" s="313" t="e">
        <f t="shared" ca="1" si="319"/>
        <v>#NAME?</v>
      </c>
      <c r="AM365" s="313" t="e">
        <f t="shared" ca="1" si="306"/>
        <v>#NAME?</v>
      </c>
      <c r="AN365" s="313" t="e">
        <f t="shared" ca="1" si="307"/>
        <v>#NAME?</v>
      </c>
      <c r="AO365" s="316" t="e">
        <f t="shared" ca="1" si="320"/>
        <v>#NAME?</v>
      </c>
      <c r="AP365" s="313" t="e">
        <f t="shared" ca="1" si="321"/>
        <v>#NAME?</v>
      </c>
      <c r="AQ365" s="314" t="e">
        <f t="shared" ca="1" si="308"/>
        <v>#NAME?</v>
      </c>
      <c r="AR365" s="315" t="e">
        <f t="shared" ca="1" si="322"/>
        <v>#NAME?</v>
      </c>
      <c r="AS365" s="316" t="e">
        <f t="shared" ca="1" si="323"/>
        <v>#NAME?</v>
      </c>
      <c r="AT365" s="315" t="e">
        <f t="shared" ca="1" si="324"/>
        <v>#NAME?</v>
      </c>
      <c r="AU365" s="317">
        <v>427.8</v>
      </c>
      <c r="AV365" s="315" t="e">
        <f t="shared" ca="1" si="325"/>
        <v>#NAME?</v>
      </c>
      <c r="AW365" s="318" t="e">
        <f ca="1">0.0001*BicubicInterpolation('Drag Coef Table'!$B$4:$L$28,AV365,AC365)</f>
        <v>#NAME?</v>
      </c>
      <c r="AX365" s="319" t="e">
        <f t="shared" ca="1" si="326"/>
        <v>#NAME?</v>
      </c>
      <c r="AY365" s="318" t="e">
        <f t="shared" ca="1" si="327"/>
        <v>#NAME?</v>
      </c>
      <c r="AZ365" s="320" t="e">
        <f t="shared" ca="1" si="328"/>
        <v>#NAME?</v>
      </c>
      <c r="BA365" s="321" t="e">
        <f t="shared" ca="1" si="329"/>
        <v>#NAME?</v>
      </c>
      <c r="BB365" s="322" t="e">
        <f t="shared" ca="1" si="330"/>
        <v>#NAME?</v>
      </c>
      <c r="BC365" s="323">
        <v>75.196700000000007</v>
      </c>
      <c r="BD365" s="324" t="e">
        <f t="shared" ca="1" si="331"/>
        <v>#NAME?</v>
      </c>
      <c r="BE365" s="325" t="e">
        <f t="shared" ca="1" si="332"/>
        <v>#NAME?</v>
      </c>
      <c r="BF365" s="324" t="e">
        <f ca="1">BicubicInterpolation('TSFC Eff Table'!$B$4:$E$69,2,BB365)</f>
        <v>#NAME?</v>
      </c>
      <c r="BG365" s="326" t="e">
        <f t="shared" ca="1" si="333"/>
        <v>#NAME?</v>
      </c>
      <c r="BH365" s="694" t="e">
        <f ca="1">IF( S365="LRCINOP",   (1+(0.03/10)*Z365*(1+0.2*AC365^2) )*BicubicInterpolation( 'LRC INOP FF'!$C$4:$AA$21, Y365, U365 )-200, IF(S365 ="HOLDINGINOP", (1+(0.03/10)*Z365*(1+0.2*AC365^2) )*BicubicInterpolation( 'Holding INOP FF'!$C$4:$J$13,  Y365,  U365)/1.05-200,   BA365*BG365))</f>
        <v>#NAME?</v>
      </c>
      <c r="BI365" s="344" t="e">
        <f t="shared" ca="1" si="292"/>
        <v>#NAME?</v>
      </c>
      <c r="BJ365" s="322" t="e">
        <f t="shared" ca="1" si="334"/>
        <v>#NAME?</v>
      </c>
      <c r="BK365" s="338" t="e">
        <f t="shared" ca="1" si="293"/>
        <v>#NAME?</v>
      </c>
      <c r="BL365" s="327" t="e">
        <f t="shared" ca="1" si="335"/>
        <v>#NAME?</v>
      </c>
      <c r="BM365" s="328">
        <f t="shared" si="336"/>
        <v>200</v>
      </c>
      <c r="BN365" s="329" t="e">
        <f t="shared" ca="1" si="337"/>
        <v>#NAME?</v>
      </c>
      <c r="BO365" s="344" t="e">
        <f t="shared" ca="1" si="294"/>
        <v>#NAME?</v>
      </c>
      <c r="BP365" s="320" t="e">
        <f t="shared" ca="1" si="338"/>
        <v>#NAME?</v>
      </c>
      <c r="BQ365" s="344" t="e">
        <f t="shared" ca="1" si="295"/>
        <v>#NAME?</v>
      </c>
      <c r="BR365" s="347" t="e">
        <f t="shared" ca="1" si="296"/>
        <v>#NAME?</v>
      </c>
      <c r="BS365" s="326" t="e">
        <f t="shared" ca="1" si="339"/>
        <v>#NAME?</v>
      </c>
      <c r="BT365" s="437" t="e">
        <f t="shared" ca="1" si="309"/>
        <v>#NAME?</v>
      </c>
      <c r="BU365" s="437" t="e">
        <f t="shared" ca="1" si="310"/>
        <v>#NAME?</v>
      </c>
      <c r="BV365" s="441" t="e">
        <f t="shared" ca="1" si="311"/>
        <v>#NAME?</v>
      </c>
      <c r="BW365" s="442" t="e">
        <f t="shared" ca="1" si="312"/>
        <v>#NAME?</v>
      </c>
      <c r="BX365" s="470" t="e">
        <f t="shared" ca="1" si="285"/>
        <v>#NAME?</v>
      </c>
      <c r="BY365" s="484" t="e">
        <f t="shared" ca="1" si="297"/>
        <v>#NAME?</v>
      </c>
    </row>
    <row r="366" spans="9:77" ht="17.75" customHeight="1" x14ac:dyDescent="0.2">
      <c r="I366" s="366">
        <v>282</v>
      </c>
      <c r="J366" s="414">
        <f t="shared" si="298"/>
        <v>41705.908333333973</v>
      </c>
      <c r="K366" s="435" t="e">
        <f t="shared" ca="1" si="299"/>
        <v>#NAME?</v>
      </c>
      <c r="L366" s="435" t="e">
        <f t="shared" ca="1" si="286"/>
        <v>#NAME?</v>
      </c>
      <c r="M366" s="664" t="e">
        <f t="shared" ca="1" si="340"/>
        <v>#NAME?</v>
      </c>
      <c r="N366" s="664" t="e">
        <f t="shared" ca="1" si="341"/>
        <v>#NAME?</v>
      </c>
      <c r="O366" s="140" t="e">
        <f t="shared" ca="1" si="287"/>
        <v>#NAME?</v>
      </c>
      <c r="P366" s="352" t="e">
        <f t="shared" ca="1" si="300"/>
        <v>#NAME?</v>
      </c>
      <c r="Q366" s="665" t="e">
        <f t="shared" ca="1" si="280"/>
        <v>#NAME?</v>
      </c>
      <c r="R366" s="352" t="e">
        <f t="shared" ca="1" si="313"/>
        <v>#NAME?</v>
      </c>
      <c r="S366" s="662" t="e">
        <f t="shared" ca="1" si="288"/>
        <v>#NAME?</v>
      </c>
      <c r="T366" s="443" t="e">
        <f t="shared" ca="1" si="281"/>
        <v>#NAME?</v>
      </c>
      <c r="U366" s="369" t="e">
        <f t="shared" ca="1" si="282"/>
        <v>#NAME?</v>
      </c>
      <c r="V366" s="454" t="e">
        <f t="shared" ca="1" si="289"/>
        <v>#NAME?</v>
      </c>
      <c r="W366" s="457">
        <f t="shared" si="290"/>
        <v>1000</v>
      </c>
      <c r="X366" s="463" t="e">
        <f t="shared" ca="1" si="291"/>
        <v>#NAME?</v>
      </c>
      <c r="Y366" s="455" t="e">
        <f t="shared" ca="1" si="301"/>
        <v>#NAME?</v>
      </c>
      <c r="Z366" s="699">
        <f t="shared" si="283"/>
        <v>8.5</v>
      </c>
      <c r="AA366" s="355" t="str">
        <f t="shared" si="284"/>
        <v>ON</v>
      </c>
      <c r="AB366" s="357">
        <f t="shared" si="314"/>
        <v>1.4999999999999999E-2</v>
      </c>
      <c r="AC366" s="356" t="e">
        <f ca="1">IF(  Y365=0,0,IF(OR(S366="KCAS",S366="INOP",S366="MEFE"),   ( (5*( (   (((1+0.2*(T366/661.4786)^2)^3.5 -1)  )/( (1-6.8755856*10^-6 *100*Y366)^5.2558797) +1)^(2/7) -1) )^0.5),IF(S366="MACH",T366, IF(S366="LRC",BicubicInterpolation( 'LRC Mach'!$C$4:$AL$21, Y366,U366),  IF(S366="MRC",BicubicInterpolation( 'MRC Mach'!$C$3:$T$18, Y366,U366),  IF(S366="M0.84",0.84,  IF(S366="CI52",BicubicInterpolation('CI=52 Mach'!$C$3:$T$18, Y366,U366),  IF(S366="HOLDING",BicubicInterpolation(  'Holding Mach'!$C$4:$M$13, Y366,U366),                         IF(S366="LRCINOP", BicubicInterpolation('LRC INOP Mach'!$C$4:$AA$21,Y366,U366), IF(S366="HOLDINGINOP",  BicubicInterpolation('Holding INOP Mach'!$N$4:$U$13,Y366,U366),         "XXX" )))))))   )))</f>
        <v>#NAME?</v>
      </c>
      <c r="AD366" s="313" t="e">
        <f t="shared" ca="1" si="315"/>
        <v>#NAME?</v>
      </c>
      <c r="AE366" s="314" t="e">
        <f t="shared" ca="1" si="302"/>
        <v>#NAME?</v>
      </c>
      <c r="AF366" s="313" t="e">
        <f t="shared" ca="1" si="316"/>
        <v>#NAME?</v>
      </c>
      <c r="AG366" s="314" t="e">
        <f t="shared" ca="1" si="303"/>
        <v>#NAME?</v>
      </c>
      <c r="AH366" s="313" t="e">
        <f t="shared" ca="1" si="317"/>
        <v>#NAME?</v>
      </c>
      <c r="AI366" s="314" t="e">
        <f t="shared" ca="1" si="304"/>
        <v>#NAME?</v>
      </c>
      <c r="AJ366" s="315" t="e">
        <f t="shared" ca="1" si="305"/>
        <v>#NAME?</v>
      </c>
      <c r="AK366" s="568" t="e">
        <f t="shared" ca="1" si="318"/>
        <v>#NAME?</v>
      </c>
      <c r="AL366" s="313" t="e">
        <f t="shared" ca="1" si="319"/>
        <v>#NAME?</v>
      </c>
      <c r="AM366" s="313" t="e">
        <f t="shared" ca="1" si="306"/>
        <v>#NAME?</v>
      </c>
      <c r="AN366" s="313" t="e">
        <f t="shared" ca="1" si="307"/>
        <v>#NAME?</v>
      </c>
      <c r="AO366" s="316" t="e">
        <f t="shared" ca="1" si="320"/>
        <v>#NAME?</v>
      </c>
      <c r="AP366" s="313" t="e">
        <f t="shared" ca="1" si="321"/>
        <v>#NAME?</v>
      </c>
      <c r="AQ366" s="314" t="e">
        <f t="shared" ca="1" si="308"/>
        <v>#NAME?</v>
      </c>
      <c r="AR366" s="315" t="e">
        <f t="shared" ca="1" si="322"/>
        <v>#NAME?</v>
      </c>
      <c r="AS366" s="316" t="e">
        <f t="shared" ca="1" si="323"/>
        <v>#NAME?</v>
      </c>
      <c r="AT366" s="315" t="e">
        <f t="shared" ca="1" si="324"/>
        <v>#NAME?</v>
      </c>
      <c r="AU366" s="317">
        <v>427.8</v>
      </c>
      <c r="AV366" s="315" t="e">
        <f t="shared" ca="1" si="325"/>
        <v>#NAME?</v>
      </c>
      <c r="AW366" s="318" t="e">
        <f ca="1">0.0001*BicubicInterpolation('Drag Coef Table'!$B$4:$L$28,AV366,AC366)</f>
        <v>#NAME?</v>
      </c>
      <c r="AX366" s="319" t="e">
        <f t="shared" ca="1" si="326"/>
        <v>#NAME?</v>
      </c>
      <c r="AY366" s="318" t="e">
        <f t="shared" ca="1" si="327"/>
        <v>#NAME?</v>
      </c>
      <c r="AZ366" s="320" t="e">
        <f t="shared" ca="1" si="328"/>
        <v>#NAME?</v>
      </c>
      <c r="BA366" s="321" t="e">
        <f t="shared" ca="1" si="329"/>
        <v>#NAME?</v>
      </c>
      <c r="BB366" s="322" t="e">
        <f t="shared" ca="1" si="330"/>
        <v>#NAME?</v>
      </c>
      <c r="BC366" s="323">
        <v>75.196700000000007</v>
      </c>
      <c r="BD366" s="324" t="e">
        <f t="shared" ca="1" si="331"/>
        <v>#NAME?</v>
      </c>
      <c r="BE366" s="325" t="e">
        <f t="shared" ca="1" si="332"/>
        <v>#NAME?</v>
      </c>
      <c r="BF366" s="324" t="e">
        <f ca="1">BicubicInterpolation('TSFC Eff Table'!$B$4:$E$69,2,BB366)</f>
        <v>#NAME?</v>
      </c>
      <c r="BG366" s="326" t="e">
        <f t="shared" ca="1" si="333"/>
        <v>#NAME?</v>
      </c>
      <c r="BH366" s="694" t="e">
        <f ca="1">IF( S366="LRCINOP",   (1+(0.03/10)*Z366*(1+0.2*AC366^2) )*BicubicInterpolation( 'LRC INOP FF'!$C$4:$AA$21, Y366, U366 )-200, IF(S366 ="HOLDINGINOP", (1+(0.03/10)*Z366*(1+0.2*AC366^2) )*BicubicInterpolation( 'Holding INOP FF'!$C$4:$J$13,  Y366,  U366)/1.05-200,   BA366*BG366))</f>
        <v>#NAME?</v>
      </c>
      <c r="BI366" s="344" t="e">
        <f t="shared" ca="1" si="292"/>
        <v>#NAME?</v>
      </c>
      <c r="BJ366" s="322" t="e">
        <f t="shared" ca="1" si="334"/>
        <v>#NAME?</v>
      </c>
      <c r="BK366" s="338" t="e">
        <f t="shared" ca="1" si="293"/>
        <v>#NAME?</v>
      </c>
      <c r="BL366" s="327" t="e">
        <f t="shared" ca="1" si="335"/>
        <v>#NAME?</v>
      </c>
      <c r="BM366" s="328">
        <f t="shared" si="336"/>
        <v>200</v>
      </c>
      <c r="BN366" s="329" t="e">
        <f t="shared" ca="1" si="337"/>
        <v>#NAME?</v>
      </c>
      <c r="BO366" s="344" t="e">
        <f t="shared" ca="1" si="294"/>
        <v>#NAME?</v>
      </c>
      <c r="BP366" s="320" t="e">
        <f t="shared" ca="1" si="338"/>
        <v>#NAME?</v>
      </c>
      <c r="BQ366" s="344" t="e">
        <f t="shared" ca="1" si="295"/>
        <v>#NAME?</v>
      </c>
      <c r="BR366" s="347" t="e">
        <f t="shared" ca="1" si="296"/>
        <v>#NAME?</v>
      </c>
      <c r="BS366" s="326" t="e">
        <f t="shared" ca="1" si="339"/>
        <v>#NAME?</v>
      </c>
      <c r="BT366" s="437" t="e">
        <f t="shared" ca="1" si="309"/>
        <v>#NAME?</v>
      </c>
      <c r="BU366" s="437" t="e">
        <f t="shared" ca="1" si="310"/>
        <v>#NAME?</v>
      </c>
      <c r="BV366" s="441" t="e">
        <f t="shared" ca="1" si="311"/>
        <v>#NAME?</v>
      </c>
      <c r="BW366" s="442" t="e">
        <f t="shared" ca="1" si="312"/>
        <v>#NAME?</v>
      </c>
      <c r="BX366" s="470" t="e">
        <f t="shared" ca="1" si="285"/>
        <v>#NAME?</v>
      </c>
      <c r="BY366" s="484" t="e">
        <f t="shared" ca="1" si="297"/>
        <v>#NAME?</v>
      </c>
    </row>
    <row r="367" spans="9:77" ht="17.75" customHeight="1" x14ac:dyDescent="0.2">
      <c r="I367" s="366">
        <v>283</v>
      </c>
      <c r="J367" s="414">
        <f t="shared" si="298"/>
        <v>41705.90902777842</v>
      </c>
      <c r="K367" s="435" t="e">
        <f t="shared" ca="1" si="299"/>
        <v>#NAME?</v>
      </c>
      <c r="L367" s="435" t="e">
        <f t="shared" ca="1" si="286"/>
        <v>#NAME?</v>
      </c>
      <c r="M367" s="664" t="e">
        <f t="shared" ca="1" si="340"/>
        <v>#NAME?</v>
      </c>
      <c r="N367" s="664" t="e">
        <f t="shared" ca="1" si="341"/>
        <v>#NAME?</v>
      </c>
      <c r="O367" s="140" t="e">
        <f t="shared" ca="1" si="287"/>
        <v>#NAME?</v>
      </c>
      <c r="P367" s="352" t="e">
        <f t="shared" ca="1" si="300"/>
        <v>#NAME?</v>
      </c>
      <c r="Q367" s="665" t="e">
        <f t="shared" ca="1" si="280"/>
        <v>#NAME?</v>
      </c>
      <c r="R367" s="352" t="e">
        <f t="shared" ca="1" si="313"/>
        <v>#NAME?</v>
      </c>
      <c r="S367" s="662" t="e">
        <f t="shared" ca="1" si="288"/>
        <v>#NAME?</v>
      </c>
      <c r="T367" s="443" t="e">
        <f t="shared" ca="1" si="281"/>
        <v>#NAME?</v>
      </c>
      <c r="U367" s="369" t="e">
        <f t="shared" ca="1" si="282"/>
        <v>#NAME?</v>
      </c>
      <c r="V367" s="454" t="e">
        <f t="shared" ca="1" si="289"/>
        <v>#NAME?</v>
      </c>
      <c r="W367" s="457">
        <f t="shared" si="290"/>
        <v>1000</v>
      </c>
      <c r="X367" s="463" t="e">
        <f t="shared" ca="1" si="291"/>
        <v>#NAME?</v>
      </c>
      <c r="Y367" s="455" t="e">
        <f t="shared" ca="1" si="301"/>
        <v>#NAME?</v>
      </c>
      <c r="Z367" s="699">
        <f t="shared" si="283"/>
        <v>8.5</v>
      </c>
      <c r="AA367" s="355" t="str">
        <f t="shared" si="284"/>
        <v>ON</v>
      </c>
      <c r="AB367" s="357">
        <f t="shared" si="314"/>
        <v>1.4999999999999999E-2</v>
      </c>
      <c r="AC367" s="356" t="e">
        <f ca="1">IF(  Y366=0,0,IF(OR(S367="KCAS",S367="INOP",S367="MEFE"),   ( (5*( (   (((1+0.2*(T367/661.4786)^2)^3.5 -1)  )/( (1-6.8755856*10^-6 *100*Y367)^5.2558797) +1)^(2/7) -1) )^0.5),IF(S367="MACH",T367, IF(S367="LRC",BicubicInterpolation( 'LRC Mach'!$C$4:$AL$21, Y367,U367),  IF(S367="MRC",BicubicInterpolation( 'MRC Mach'!$C$3:$T$18, Y367,U367),  IF(S367="M0.84",0.84,  IF(S367="CI52",BicubicInterpolation('CI=52 Mach'!$C$3:$T$18, Y367,U367),  IF(S367="HOLDING",BicubicInterpolation(  'Holding Mach'!$C$4:$M$13, Y367,U367),                         IF(S367="LRCINOP", BicubicInterpolation('LRC INOP Mach'!$C$4:$AA$21,Y367,U367), IF(S367="HOLDINGINOP",  BicubicInterpolation('Holding INOP Mach'!$N$4:$U$13,Y367,U367),         "XXX" )))))))   )))</f>
        <v>#NAME?</v>
      </c>
      <c r="AD367" s="313" t="e">
        <f t="shared" ca="1" si="315"/>
        <v>#NAME?</v>
      </c>
      <c r="AE367" s="314" t="e">
        <f t="shared" ca="1" si="302"/>
        <v>#NAME?</v>
      </c>
      <c r="AF367" s="313" t="e">
        <f t="shared" ca="1" si="316"/>
        <v>#NAME?</v>
      </c>
      <c r="AG367" s="314" t="e">
        <f t="shared" ca="1" si="303"/>
        <v>#NAME?</v>
      </c>
      <c r="AH367" s="313" t="e">
        <f t="shared" ca="1" si="317"/>
        <v>#NAME?</v>
      </c>
      <c r="AI367" s="314" t="e">
        <f t="shared" ca="1" si="304"/>
        <v>#NAME?</v>
      </c>
      <c r="AJ367" s="315" t="e">
        <f t="shared" ca="1" si="305"/>
        <v>#NAME?</v>
      </c>
      <c r="AK367" s="568" t="e">
        <f t="shared" ca="1" si="318"/>
        <v>#NAME?</v>
      </c>
      <c r="AL367" s="313" t="e">
        <f t="shared" ca="1" si="319"/>
        <v>#NAME?</v>
      </c>
      <c r="AM367" s="313" t="e">
        <f t="shared" ca="1" si="306"/>
        <v>#NAME?</v>
      </c>
      <c r="AN367" s="313" t="e">
        <f t="shared" ca="1" si="307"/>
        <v>#NAME?</v>
      </c>
      <c r="AO367" s="316" t="e">
        <f t="shared" ca="1" si="320"/>
        <v>#NAME?</v>
      </c>
      <c r="AP367" s="313" t="e">
        <f t="shared" ca="1" si="321"/>
        <v>#NAME?</v>
      </c>
      <c r="AQ367" s="314" t="e">
        <f t="shared" ca="1" si="308"/>
        <v>#NAME?</v>
      </c>
      <c r="AR367" s="315" t="e">
        <f t="shared" ca="1" si="322"/>
        <v>#NAME?</v>
      </c>
      <c r="AS367" s="316" t="e">
        <f t="shared" ca="1" si="323"/>
        <v>#NAME?</v>
      </c>
      <c r="AT367" s="315" t="e">
        <f t="shared" ca="1" si="324"/>
        <v>#NAME?</v>
      </c>
      <c r="AU367" s="317">
        <v>427.8</v>
      </c>
      <c r="AV367" s="315" t="e">
        <f t="shared" ca="1" si="325"/>
        <v>#NAME?</v>
      </c>
      <c r="AW367" s="318" t="e">
        <f ca="1">0.0001*BicubicInterpolation('Drag Coef Table'!$B$4:$L$28,AV367,AC367)</f>
        <v>#NAME?</v>
      </c>
      <c r="AX367" s="319" t="e">
        <f t="shared" ca="1" si="326"/>
        <v>#NAME?</v>
      </c>
      <c r="AY367" s="318" t="e">
        <f t="shared" ca="1" si="327"/>
        <v>#NAME?</v>
      </c>
      <c r="AZ367" s="320" t="e">
        <f t="shared" ca="1" si="328"/>
        <v>#NAME?</v>
      </c>
      <c r="BA367" s="321" t="e">
        <f t="shared" ca="1" si="329"/>
        <v>#NAME?</v>
      </c>
      <c r="BB367" s="322" t="e">
        <f t="shared" ca="1" si="330"/>
        <v>#NAME?</v>
      </c>
      <c r="BC367" s="323">
        <v>75.196700000000007</v>
      </c>
      <c r="BD367" s="324" t="e">
        <f t="shared" ca="1" si="331"/>
        <v>#NAME?</v>
      </c>
      <c r="BE367" s="325" t="e">
        <f t="shared" ca="1" si="332"/>
        <v>#NAME?</v>
      </c>
      <c r="BF367" s="324" t="e">
        <f ca="1">BicubicInterpolation('TSFC Eff Table'!$B$4:$E$69,2,BB367)</f>
        <v>#NAME?</v>
      </c>
      <c r="BG367" s="326" t="e">
        <f t="shared" ca="1" si="333"/>
        <v>#NAME?</v>
      </c>
      <c r="BH367" s="694" t="e">
        <f ca="1">IF( S367="LRCINOP",   (1+(0.03/10)*Z367*(1+0.2*AC367^2) )*BicubicInterpolation( 'LRC INOP FF'!$C$4:$AA$21, Y367, U367 )-200, IF(S367 ="HOLDINGINOP", (1+(0.03/10)*Z367*(1+0.2*AC367^2) )*BicubicInterpolation( 'Holding INOP FF'!$C$4:$J$13,  Y367,  U367)/1.05-200,   BA367*BG367))</f>
        <v>#NAME?</v>
      </c>
      <c r="BI367" s="344" t="e">
        <f t="shared" ca="1" si="292"/>
        <v>#NAME?</v>
      </c>
      <c r="BJ367" s="322" t="e">
        <f t="shared" ca="1" si="334"/>
        <v>#NAME?</v>
      </c>
      <c r="BK367" s="338" t="e">
        <f t="shared" ca="1" si="293"/>
        <v>#NAME?</v>
      </c>
      <c r="BL367" s="327" t="e">
        <f t="shared" ca="1" si="335"/>
        <v>#NAME?</v>
      </c>
      <c r="BM367" s="328">
        <f t="shared" si="336"/>
        <v>200</v>
      </c>
      <c r="BN367" s="329" t="e">
        <f t="shared" ca="1" si="337"/>
        <v>#NAME?</v>
      </c>
      <c r="BO367" s="344" t="e">
        <f t="shared" ca="1" si="294"/>
        <v>#NAME?</v>
      </c>
      <c r="BP367" s="320" t="e">
        <f t="shared" ca="1" si="338"/>
        <v>#NAME?</v>
      </c>
      <c r="BQ367" s="344" t="e">
        <f t="shared" ca="1" si="295"/>
        <v>#NAME?</v>
      </c>
      <c r="BR367" s="347" t="e">
        <f t="shared" ca="1" si="296"/>
        <v>#NAME?</v>
      </c>
      <c r="BS367" s="326" t="e">
        <f t="shared" ca="1" si="339"/>
        <v>#NAME?</v>
      </c>
      <c r="BT367" s="437" t="e">
        <f t="shared" ca="1" si="309"/>
        <v>#NAME?</v>
      </c>
      <c r="BU367" s="437" t="e">
        <f t="shared" ca="1" si="310"/>
        <v>#NAME?</v>
      </c>
      <c r="BV367" s="441" t="e">
        <f t="shared" ca="1" si="311"/>
        <v>#NAME?</v>
      </c>
      <c r="BW367" s="442" t="e">
        <f t="shared" ca="1" si="312"/>
        <v>#NAME?</v>
      </c>
      <c r="BX367" s="470" t="e">
        <f t="shared" ca="1" si="285"/>
        <v>#NAME?</v>
      </c>
      <c r="BY367" s="484" t="e">
        <f t="shared" ca="1" si="297"/>
        <v>#NAME?</v>
      </c>
    </row>
    <row r="368" spans="9:77" ht="17.75" customHeight="1" x14ac:dyDescent="0.2">
      <c r="I368" s="366">
        <v>284</v>
      </c>
      <c r="J368" s="414">
        <f t="shared" si="298"/>
        <v>41705.909722222867</v>
      </c>
      <c r="K368" s="435" t="e">
        <f t="shared" ca="1" si="299"/>
        <v>#NAME?</v>
      </c>
      <c r="L368" s="435" t="e">
        <f t="shared" ca="1" si="286"/>
        <v>#NAME?</v>
      </c>
      <c r="M368" s="664" t="e">
        <f t="shared" ca="1" si="340"/>
        <v>#NAME?</v>
      </c>
      <c r="N368" s="664" t="e">
        <f t="shared" ca="1" si="341"/>
        <v>#NAME?</v>
      </c>
      <c r="O368" s="140" t="e">
        <f t="shared" ca="1" si="287"/>
        <v>#NAME?</v>
      </c>
      <c r="P368" s="352" t="e">
        <f t="shared" ca="1" si="300"/>
        <v>#NAME?</v>
      </c>
      <c r="Q368" s="665" t="e">
        <f t="shared" ca="1" si="280"/>
        <v>#NAME?</v>
      </c>
      <c r="R368" s="352" t="e">
        <f t="shared" ca="1" si="313"/>
        <v>#NAME?</v>
      </c>
      <c r="S368" s="662" t="e">
        <f t="shared" ca="1" si="288"/>
        <v>#NAME?</v>
      </c>
      <c r="T368" s="443" t="e">
        <f t="shared" ca="1" si="281"/>
        <v>#NAME?</v>
      </c>
      <c r="U368" s="369" t="e">
        <f t="shared" ca="1" si="282"/>
        <v>#NAME?</v>
      </c>
      <c r="V368" s="454" t="e">
        <f t="shared" ca="1" si="289"/>
        <v>#NAME?</v>
      </c>
      <c r="W368" s="457">
        <f t="shared" si="290"/>
        <v>1000</v>
      </c>
      <c r="X368" s="463" t="e">
        <f t="shared" ca="1" si="291"/>
        <v>#NAME?</v>
      </c>
      <c r="Y368" s="455" t="e">
        <f t="shared" ca="1" si="301"/>
        <v>#NAME?</v>
      </c>
      <c r="Z368" s="699">
        <f t="shared" si="283"/>
        <v>8.5</v>
      </c>
      <c r="AA368" s="355" t="str">
        <f t="shared" si="284"/>
        <v>ON</v>
      </c>
      <c r="AB368" s="357">
        <f t="shared" si="314"/>
        <v>1.4999999999999999E-2</v>
      </c>
      <c r="AC368" s="356" t="e">
        <f ca="1">IF(  Y367=0,0,IF(OR(S368="KCAS",S368="INOP",S368="MEFE"),   ( (5*( (   (((1+0.2*(T368/661.4786)^2)^3.5 -1)  )/( (1-6.8755856*10^-6 *100*Y368)^5.2558797) +1)^(2/7) -1) )^0.5),IF(S368="MACH",T368, IF(S368="LRC",BicubicInterpolation( 'LRC Mach'!$C$4:$AL$21, Y368,U368),  IF(S368="MRC",BicubicInterpolation( 'MRC Mach'!$C$3:$T$18, Y368,U368),  IF(S368="M0.84",0.84,  IF(S368="CI52",BicubicInterpolation('CI=52 Mach'!$C$3:$T$18, Y368,U368),  IF(S368="HOLDING",BicubicInterpolation(  'Holding Mach'!$C$4:$M$13, Y368,U368),                         IF(S368="LRCINOP", BicubicInterpolation('LRC INOP Mach'!$C$4:$AA$21,Y368,U368), IF(S368="HOLDINGINOP",  BicubicInterpolation('Holding INOP Mach'!$N$4:$U$13,Y368,U368),         "XXX" )))))))   )))</f>
        <v>#NAME?</v>
      </c>
      <c r="AD368" s="313" t="e">
        <f t="shared" ca="1" si="315"/>
        <v>#NAME?</v>
      </c>
      <c r="AE368" s="314" t="e">
        <f t="shared" ca="1" si="302"/>
        <v>#NAME?</v>
      </c>
      <c r="AF368" s="313" t="e">
        <f t="shared" ca="1" si="316"/>
        <v>#NAME?</v>
      </c>
      <c r="AG368" s="314" t="e">
        <f t="shared" ca="1" si="303"/>
        <v>#NAME?</v>
      </c>
      <c r="AH368" s="313" t="e">
        <f t="shared" ca="1" si="317"/>
        <v>#NAME?</v>
      </c>
      <c r="AI368" s="314" t="e">
        <f t="shared" ca="1" si="304"/>
        <v>#NAME?</v>
      </c>
      <c r="AJ368" s="315" t="e">
        <f t="shared" ca="1" si="305"/>
        <v>#NAME?</v>
      </c>
      <c r="AK368" s="568" t="e">
        <f t="shared" ca="1" si="318"/>
        <v>#NAME?</v>
      </c>
      <c r="AL368" s="313" t="e">
        <f t="shared" ca="1" si="319"/>
        <v>#NAME?</v>
      </c>
      <c r="AM368" s="313" t="e">
        <f t="shared" ca="1" si="306"/>
        <v>#NAME?</v>
      </c>
      <c r="AN368" s="313" t="e">
        <f t="shared" ca="1" si="307"/>
        <v>#NAME?</v>
      </c>
      <c r="AO368" s="316" t="e">
        <f t="shared" ca="1" si="320"/>
        <v>#NAME?</v>
      </c>
      <c r="AP368" s="313" t="e">
        <f t="shared" ca="1" si="321"/>
        <v>#NAME?</v>
      </c>
      <c r="AQ368" s="314" t="e">
        <f t="shared" ca="1" si="308"/>
        <v>#NAME?</v>
      </c>
      <c r="AR368" s="315" t="e">
        <f t="shared" ca="1" si="322"/>
        <v>#NAME?</v>
      </c>
      <c r="AS368" s="316" t="e">
        <f t="shared" ca="1" si="323"/>
        <v>#NAME?</v>
      </c>
      <c r="AT368" s="315" t="e">
        <f t="shared" ca="1" si="324"/>
        <v>#NAME?</v>
      </c>
      <c r="AU368" s="317">
        <v>427.8</v>
      </c>
      <c r="AV368" s="315" t="e">
        <f t="shared" ca="1" si="325"/>
        <v>#NAME?</v>
      </c>
      <c r="AW368" s="318" t="e">
        <f ca="1">0.0001*BicubicInterpolation('Drag Coef Table'!$B$4:$L$28,AV368,AC368)</f>
        <v>#NAME?</v>
      </c>
      <c r="AX368" s="319" t="e">
        <f t="shared" ca="1" si="326"/>
        <v>#NAME?</v>
      </c>
      <c r="AY368" s="318" t="e">
        <f t="shared" ca="1" si="327"/>
        <v>#NAME?</v>
      </c>
      <c r="AZ368" s="320" t="e">
        <f t="shared" ca="1" si="328"/>
        <v>#NAME?</v>
      </c>
      <c r="BA368" s="321" t="e">
        <f t="shared" ca="1" si="329"/>
        <v>#NAME?</v>
      </c>
      <c r="BB368" s="322" t="e">
        <f t="shared" ca="1" si="330"/>
        <v>#NAME?</v>
      </c>
      <c r="BC368" s="323">
        <v>75.196700000000007</v>
      </c>
      <c r="BD368" s="324" t="e">
        <f t="shared" ca="1" si="331"/>
        <v>#NAME?</v>
      </c>
      <c r="BE368" s="325" t="e">
        <f t="shared" ca="1" si="332"/>
        <v>#NAME?</v>
      </c>
      <c r="BF368" s="324" t="e">
        <f ca="1">BicubicInterpolation('TSFC Eff Table'!$B$4:$E$69,2,BB368)</f>
        <v>#NAME?</v>
      </c>
      <c r="BG368" s="326" t="e">
        <f t="shared" ca="1" si="333"/>
        <v>#NAME?</v>
      </c>
      <c r="BH368" s="694" t="e">
        <f ca="1">IF( S368="LRCINOP",   (1+(0.03/10)*Z368*(1+0.2*AC368^2) )*BicubicInterpolation( 'LRC INOP FF'!$C$4:$AA$21, Y368, U368 )-200, IF(S368 ="HOLDINGINOP", (1+(0.03/10)*Z368*(1+0.2*AC368^2) )*BicubicInterpolation( 'Holding INOP FF'!$C$4:$J$13,  Y368,  U368)/1.05-200,   BA368*BG368))</f>
        <v>#NAME?</v>
      </c>
      <c r="BI368" s="344" t="e">
        <f t="shared" ca="1" si="292"/>
        <v>#NAME?</v>
      </c>
      <c r="BJ368" s="322" t="e">
        <f t="shared" ca="1" si="334"/>
        <v>#NAME?</v>
      </c>
      <c r="BK368" s="338" t="e">
        <f t="shared" ca="1" si="293"/>
        <v>#NAME?</v>
      </c>
      <c r="BL368" s="327" t="e">
        <f t="shared" ca="1" si="335"/>
        <v>#NAME?</v>
      </c>
      <c r="BM368" s="328">
        <f t="shared" si="336"/>
        <v>200</v>
      </c>
      <c r="BN368" s="329" t="e">
        <f t="shared" ca="1" si="337"/>
        <v>#NAME?</v>
      </c>
      <c r="BO368" s="344" t="e">
        <f t="shared" ca="1" si="294"/>
        <v>#NAME?</v>
      </c>
      <c r="BP368" s="320" t="e">
        <f t="shared" ca="1" si="338"/>
        <v>#NAME?</v>
      </c>
      <c r="BQ368" s="344" t="e">
        <f t="shared" ca="1" si="295"/>
        <v>#NAME?</v>
      </c>
      <c r="BR368" s="347" t="e">
        <f t="shared" ca="1" si="296"/>
        <v>#NAME?</v>
      </c>
      <c r="BS368" s="326" t="e">
        <f t="shared" ca="1" si="339"/>
        <v>#NAME?</v>
      </c>
      <c r="BT368" s="437" t="e">
        <f t="shared" ca="1" si="309"/>
        <v>#NAME?</v>
      </c>
      <c r="BU368" s="437" t="e">
        <f t="shared" ca="1" si="310"/>
        <v>#NAME?</v>
      </c>
      <c r="BV368" s="441" t="e">
        <f t="shared" ca="1" si="311"/>
        <v>#NAME?</v>
      </c>
      <c r="BW368" s="442" t="e">
        <f t="shared" ca="1" si="312"/>
        <v>#NAME?</v>
      </c>
      <c r="BX368" s="470" t="e">
        <f t="shared" ca="1" si="285"/>
        <v>#NAME?</v>
      </c>
      <c r="BY368" s="484" t="e">
        <f t="shared" ca="1" si="297"/>
        <v>#NAME?</v>
      </c>
    </row>
    <row r="369" spans="9:77" ht="17.75" customHeight="1" x14ac:dyDescent="0.2">
      <c r="I369" s="366">
        <v>285</v>
      </c>
      <c r="J369" s="414">
        <f t="shared" si="298"/>
        <v>41705.910416667313</v>
      </c>
      <c r="K369" s="435" t="e">
        <f t="shared" ca="1" si="299"/>
        <v>#NAME?</v>
      </c>
      <c r="L369" s="435" t="e">
        <f t="shared" ca="1" si="286"/>
        <v>#NAME?</v>
      </c>
      <c r="M369" s="664" t="e">
        <f t="shared" ca="1" si="340"/>
        <v>#NAME?</v>
      </c>
      <c r="N369" s="664" t="e">
        <f t="shared" ca="1" si="341"/>
        <v>#NAME?</v>
      </c>
      <c r="O369" s="140" t="e">
        <f t="shared" ca="1" si="287"/>
        <v>#NAME?</v>
      </c>
      <c r="P369" s="352" t="e">
        <f t="shared" ca="1" si="300"/>
        <v>#NAME?</v>
      </c>
      <c r="Q369" s="665" t="e">
        <f t="shared" ca="1" si="280"/>
        <v>#NAME?</v>
      </c>
      <c r="R369" s="352" t="e">
        <f t="shared" ca="1" si="313"/>
        <v>#NAME?</v>
      </c>
      <c r="S369" s="662" t="e">
        <f t="shared" ca="1" si="288"/>
        <v>#NAME?</v>
      </c>
      <c r="T369" s="443" t="e">
        <f t="shared" ca="1" si="281"/>
        <v>#NAME?</v>
      </c>
      <c r="U369" s="369" t="e">
        <f t="shared" ca="1" si="282"/>
        <v>#NAME?</v>
      </c>
      <c r="V369" s="454" t="e">
        <f t="shared" ca="1" si="289"/>
        <v>#NAME?</v>
      </c>
      <c r="W369" s="457">
        <f t="shared" si="290"/>
        <v>1000</v>
      </c>
      <c r="X369" s="463" t="e">
        <f t="shared" ca="1" si="291"/>
        <v>#NAME?</v>
      </c>
      <c r="Y369" s="455" t="e">
        <f t="shared" ca="1" si="301"/>
        <v>#NAME?</v>
      </c>
      <c r="Z369" s="699">
        <f t="shared" si="283"/>
        <v>8.5</v>
      </c>
      <c r="AA369" s="355" t="str">
        <f t="shared" si="284"/>
        <v>ON</v>
      </c>
      <c r="AB369" s="357">
        <f t="shared" si="314"/>
        <v>1.4999999999999999E-2</v>
      </c>
      <c r="AC369" s="356" t="e">
        <f ca="1">IF(  Y368=0,0,IF(OR(S369="KCAS",S369="INOP",S369="MEFE"),   ( (5*( (   (((1+0.2*(T369/661.4786)^2)^3.5 -1)  )/( (1-6.8755856*10^-6 *100*Y369)^5.2558797) +1)^(2/7) -1) )^0.5),IF(S369="MACH",T369, IF(S369="LRC",BicubicInterpolation( 'LRC Mach'!$C$4:$AL$21, Y369,U369),  IF(S369="MRC",BicubicInterpolation( 'MRC Mach'!$C$3:$T$18, Y369,U369),  IF(S369="M0.84",0.84,  IF(S369="CI52",BicubicInterpolation('CI=52 Mach'!$C$3:$T$18, Y369,U369),  IF(S369="HOLDING",BicubicInterpolation(  'Holding Mach'!$C$4:$M$13, Y369,U369),                         IF(S369="LRCINOP", BicubicInterpolation('LRC INOP Mach'!$C$4:$AA$21,Y369,U369), IF(S369="HOLDINGINOP",  BicubicInterpolation('Holding INOP Mach'!$N$4:$U$13,Y369,U369),         "XXX" )))))))   )))</f>
        <v>#NAME?</v>
      </c>
      <c r="AD369" s="313" t="e">
        <f t="shared" ca="1" si="315"/>
        <v>#NAME?</v>
      </c>
      <c r="AE369" s="314" t="e">
        <f t="shared" ca="1" si="302"/>
        <v>#NAME?</v>
      </c>
      <c r="AF369" s="313" t="e">
        <f t="shared" ca="1" si="316"/>
        <v>#NAME?</v>
      </c>
      <c r="AG369" s="314" t="e">
        <f t="shared" ca="1" si="303"/>
        <v>#NAME?</v>
      </c>
      <c r="AH369" s="313" t="e">
        <f t="shared" ca="1" si="317"/>
        <v>#NAME?</v>
      </c>
      <c r="AI369" s="314" t="e">
        <f t="shared" ca="1" si="304"/>
        <v>#NAME?</v>
      </c>
      <c r="AJ369" s="315" t="e">
        <f t="shared" ca="1" si="305"/>
        <v>#NAME?</v>
      </c>
      <c r="AK369" s="568" t="e">
        <f t="shared" ca="1" si="318"/>
        <v>#NAME?</v>
      </c>
      <c r="AL369" s="313" t="e">
        <f t="shared" ca="1" si="319"/>
        <v>#NAME?</v>
      </c>
      <c r="AM369" s="313" t="e">
        <f t="shared" ca="1" si="306"/>
        <v>#NAME?</v>
      </c>
      <c r="AN369" s="313" t="e">
        <f t="shared" ca="1" si="307"/>
        <v>#NAME?</v>
      </c>
      <c r="AO369" s="316" t="e">
        <f t="shared" ca="1" si="320"/>
        <v>#NAME?</v>
      </c>
      <c r="AP369" s="313" t="e">
        <f t="shared" ca="1" si="321"/>
        <v>#NAME?</v>
      </c>
      <c r="AQ369" s="314" t="e">
        <f t="shared" ca="1" si="308"/>
        <v>#NAME?</v>
      </c>
      <c r="AR369" s="315" t="e">
        <f t="shared" ca="1" si="322"/>
        <v>#NAME?</v>
      </c>
      <c r="AS369" s="316" t="e">
        <f t="shared" ca="1" si="323"/>
        <v>#NAME?</v>
      </c>
      <c r="AT369" s="315" t="e">
        <f t="shared" ca="1" si="324"/>
        <v>#NAME?</v>
      </c>
      <c r="AU369" s="317">
        <v>427.8</v>
      </c>
      <c r="AV369" s="315" t="e">
        <f t="shared" ca="1" si="325"/>
        <v>#NAME?</v>
      </c>
      <c r="AW369" s="318" t="e">
        <f ca="1">0.0001*BicubicInterpolation('Drag Coef Table'!$B$4:$L$28,AV369,AC369)</f>
        <v>#NAME?</v>
      </c>
      <c r="AX369" s="319" t="e">
        <f t="shared" ca="1" si="326"/>
        <v>#NAME?</v>
      </c>
      <c r="AY369" s="318" t="e">
        <f t="shared" ca="1" si="327"/>
        <v>#NAME?</v>
      </c>
      <c r="AZ369" s="320" t="e">
        <f t="shared" ca="1" si="328"/>
        <v>#NAME?</v>
      </c>
      <c r="BA369" s="321" t="e">
        <f t="shared" ca="1" si="329"/>
        <v>#NAME?</v>
      </c>
      <c r="BB369" s="322" t="e">
        <f t="shared" ca="1" si="330"/>
        <v>#NAME?</v>
      </c>
      <c r="BC369" s="323">
        <v>75.196700000000007</v>
      </c>
      <c r="BD369" s="324" t="e">
        <f t="shared" ca="1" si="331"/>
        <v>#NAME?</v>
      </c>
      <c r="BE369" s="325" t="e">
        <f t="shared" ca="1" si="332"/>
        <v>#NAME?</v>
      </c>
      <c r="BF369" s="324" t="e">
        <f ca="1">BicubicInterpolation('TSFC Eff Table'!$B$4:$E$69,2,BB369)</f>
        <v>#NAME?</v>
      </c>
      <c r="BG369" s="326" t="e">
        <f t="shared" ca="1" si="333"/>
        <v>#NAME?</v>
      </c>
      <c r="BH369" s="694" t="e">
        <f ca="1">IF( S369="LRCINOP",   (1+(0.03/10)*Z369*(1+0.2*AC369^2) )*BicubicInterpolation( 'LRC INOP FF'!$C$4:$AA$21, Y369, U369 )-200, IF(S369 ="HOLDINGINOP", (1+(0.03/10)*Z369*(1+0.2*AC369^2) )*BicubicInterpolation( 'Holding INOP FF'!$C$4:$J$13,  Y369,  U369)/1.05-200,   BA369*BG369))</f>
        <v>#NAME?</v>
      </c>
      <c r="BI369" s="344" t="e">
        <f t="shared" ca="1" si="292"/>
        <v>#NAME?</v>
      </c>
      <c r="BJ369" s="322" t="e">
        <f t="shared" ca="1" si="334"/>
        <v>#NAME?</v>
      </c>
      <c r="BK369" s="338" t="e">
        <f t="shared" ca="1" si="293"/>
        <v>#NAME?</v>
      </c>
      <c r="BL369" s="327" t="e">
        <f t="shared" ca="1" si="335"/>
        <v>#NAME?</v>
      </c>
      <c r="BM369" s="328">
        <f t="shared" si="336"/>
        <v>200</v>
      </c>
      <c r="BN369" s="329" t="e">
        <f t="shared" ca="1" si="337"/>
        <v>#NAME?</v>
      </c>
      <c r="BO369" s="344" t="e">
        <f t="shared" ca="1" si="294"/>
        <v>#NAME?</v>
      </c>
      <c r="BP369" s="320" t="e">
        <f t="shared" ca="1" si="338"/>
        <v>#NAME?</v>
      </c>
      <c r="BQ369" s="344" t="e">
        <f t="shared" ca="1" si="295"/>
        <v>#NAME?</v>
      </c>
      <c r="BR369" s="347" t="e">
        <f t="shared" ca="1" si="296"/>
        <v>#NAME?</v>
      </c>
      <c r="BS369" s="326" t="e">
        <f t="shared" ca="1" si="339"/>
        <v>#NAME?</v>
      </c>
      <c r="BT369" s="437" t="e">
        <f t="shared" ca="1" si="309"/>
        <v>#NAME?</v>
      </c>
      <c r="BU369" s="437" t="e">
        <f t="shared" ca="1" si="310"/>
        <v>#NAME?</v>
      </c>
      <c r="BV369" s="441" t="e">
        <f t="shared" ca="1" si="311"/>
        <v>#NAME?</v>
      </c>
      <c r="BW369" s="442" t="e">
        <f t="shared" ca="1" si="312"/>
        <v>#NAME?</v>
      </c>
      <c r="BX369" s="470" t="e">
        <f t="shared" ca="1" si="285"/>
        <v>#NAME?</v>
      </c>
      <c r="BY369" s="484" t="e">
        <f t="shared" ca="1" si="297"/>
        <v>#NAME?</v>
      </c>
    </row>
    <row r="370" spans="9:77" ht="17.75" customHeight="1" x14ac:dyDescent="0.2">
      <c r="I370" s="366">
        <v>286</v>
      </c>
      <c r="J370" s="414">
        <f t="shared" si="298"/>
        <v>41705.91111111176</v>
      </c>
      <c r="K370" s="435" t="e">
        <f t="shared" ca="1" si="299"/>
        <v>#NAME?</v>
      </c>
      <c r="L370" s="435" t="e">
        <f t="shared" ca="1" si="286"/>
        <v>#NAME?</v>
      </c>
      <c r="M370" s="664" t="e">
        <f t="shared" ca="1" si="340"/>
        <v>#NAME?</v>
      </c>
      <c r="N370" s="664" t="e">
        <f t="shared" ca="1" si="341"/>
        <v>#NAME?</v>
      </c>
      <c r="O370" s="140" t="e">
        <f t="shared" ca="1" si="287"/>
        <v>#NAME?</v>
      </c>
      <c r="P370" s="352" t="e">
        <f t="shared" ca="1" si="300"/>
        <v>#NAME?</v>
      </c>
      <c r="Q370" s="665" t="e">
        <f t="shared" ca="1" si="280"/>
        <v>#NAME?</v>
      </c>
      <c r="R370" s="352" t="e">
        <f t="shared" ca="1" si="313"/>
        <v>#NAME?</v>
      </c>
      <c r="S370" s="662" t="e">
        <f t="shared" ca="1" si="288"/>
        <v>#NAME?</v>
      </c>
      <c r="T370" s="443" t="e">
        <f t="shared" ca="1" si="281"/>
        <v>#NAME?</v>
      </c>
      <c r="U370" s="369" t="e">
        <f t="shared" ca="1" si="282"/>
        <v>#NAME?</v>
      </c>
      <c r="V370" s="454" t="e">
        <f t="shared" ca="1" si="289"/>
        <v>#NAME?</v>
      </c>
      <c r="W370" s="457">
        <f t="shared" si="290"/>
        <v>1000</v>
      </c>
      <c r="X370" s="463" t="e">
        <f t="shared" ca="1" si="291"/>
        <v>#NAME?</v>
      </c>
      <c r="Y370" s="455" t="e">
        <f t="shared" ca="1" si="301"/>
        <v>#NAME?</v>
      </c>
      <c r="Z370" s="699">
        <f t="shared" si="283"/>
        <v>8.5</v>
      </c>
      <c r="AA370" s="355" t="str">
        <f t="shared" si="284"/>
        <v>ON</v>
      </c>
      <c r="AB370" s="357">
        <f t="shared" si="314"/>
        <v>1.4999999999999999E-2</v>
      </c>
      <c r="AC370" s="356" t="e">
        <f ca="1">IF(  Y369=0,0,IF(OR(S370="KCAS",S370="INOP",S370="MEFE"),   ( (5*( (   (((1+0.2*(T370/661.4786)^2)^3.5 -1)  )/( (1-6.8755856*10^-6 *100*Y370)^5.2558797) +1)^(2/7) -1) )^0.5),IF(S370="MACH",T370, IF(S370="LRC",BicubicInterpolation( 'LRC Mach'!$C$4:$AL$21, Y370,U370),  IF(S370="MRC",BicubicInterpolation( 'MRC Mach'!$C$3:$T$18, Y370,U370),  IF(S370="M0.84",0.84,  IF(S370="CI52",BicubicInterpolation('CI=52 Mach'!$C$3:$T$18, Y370,U370),  IF(S370="HOLDING",BicubicInterpolation(  'Holding Mach'!$C$4:$M$13, Y370,U370),                         IF(S370="LRCINOP", BicubicInterpolation('LRC INOP Mach'!$C$4:$AA$21,Y370,U370), IF(S370="HOLDINGINOP",  BicubicInterpolation('Holding INOP Mach'!$N$4:$U$13,Y370,U370),         "XXX" )))))))   )))</f>
        <v>#NAME?</v>
      </c>
      <c r="AD370" s="313" t="e">
        <f t="shared" ca="1" si="315"/>
        <v>#NAME?</v>
      </c>
      <c r="AE370" s="314" t="e">
        <f t="shared" ca="1" si="302"/>
        <v>#NAME?</v>
      </c>
      <c r="AF370" s="313" t="e">
        <f t="shared" ca="1" si="316"/>
        <v>#NAME?</v>
      </c>
      <c r="AG370" s="314" t="e">
        <f t="shared" ca="1" si="303"/>
        <v>#NAME?</v>
      </c>
      <c r="AH370" s="313" t="e">
        <f t="shared" ca="1" si="317"/>
        <v>#NAME?</v>
      </c>
      <c r="AI370" s="314" t="e">
        <f t="shared" ca="1" si="304"/>
        <v>#NAME?</v>
      </c>
      <c r="AJ370" s="315" t="e">
        <f t="shared" ca="1" si="305"/>
        <v>#NAME?</v>
      </c>
      <c r="AK370" s="568" t="e">
        <f t="shared" ca="1" si="318"/>
        <v>#NAME?</v>
      </c>
      <c r="AL370" s="313" t="e">
        <f t="shared" ca="1" si="319"/>
        <v>#NAME?</v>
      </c>
      <c r="AM370" s="313" t="e">
        <f t="shared" ca="1" si="306"/>
        <v>#NAME?</v>
      </c>
      <c r="AN370" s="313" t="e">
        <f t="shared" ca="1" si="307"/>
        <v>#NAME?</v>
      </c>
      <c r="AO370" s="316" t="e">
        <f t="shared" ca="1" si="320"/>
        <v>#NAME?</v>
      </c>
      <c r="AP370" s="313" t="e">
        <f t="shared" ca="1" si="321"/>
        <v>#NAME?</v>
      </c>
      <c r="AQ370" s="314" t="e">
        <f t="shared" ca="1" si="308"/>
        <v>#NAME?</v>
      </c>
      <c r="AR370" s="315" t="e">
        <f t="shared" ca="1" si="322"/>
        <v>#NAME?</v>
      </c>
      <c r="AS370" s="316" t="e">
        <f t="shared" ca="1" si="323"/>
        <v>#NAME?</v>
      </c>
      <c r="AT370" s="315" t="e">
        <f t="shared" ca="1" si="324"/>
        <v>#NAME?</v>
      </c>
      <c r="AU370" s="317">
        <v>427.8</v>
      </c>
      <c r="AV370" s="315" t="e">
        <f t="shared" ca="1" si="325"/>
        <v>#NAME?</v>
      </c>
      <c r="AW370" s="318" t="e">
        <f ca="1">0.0001*BicubicInterpolation('Drag Coef Table'!$B$4:$L$28,AV370,AC370)</f>
        <v>#NAME?</v>
      </c>
      <c r="AX370" s="319" t="e">
        <f t="shared" ca="1" si="326"/>
        <v>#NAME?</v>
      </c>
      <c r="AY370" s="318" t="e">
        <f t="shared" ca="1" si="327"/>
        <v>#NAME?</v>
      </c>
      <c r="AZ370" s="320" t="e">
        <f t="shared" ca="1" si="328"/>
        <v>#NAME?</v>
      </c>
      <c r="BA370" s="321" t="e">
        <f t="shared" ca="1" si="329"/>
        <v>#NAME?</v>
      </c>
      <c r="BB370" s="322" t="e">
        <f t="shared" ca="1" si="330"/>
        <v>#NAME?</v>
      </c>
      <c r="BC370" s="323">
        <v>75.196700000000007</v>
      </c>
      <c r="BD370" s="324" t="e">
        <f t="shared" ca="1" si="331"/>
        <v>#NAME?</v>
      </c>
      <c r="BE370" s="325" t="e">
        <f t="shared" ca="1" si="332"/>
        <v>#NAME?</v>
      </c>
      <c r="BF370" s="324" t="e">
        <f ca="1">BicubicInterpolation('TSFC Eff Table'!$B$4:$E$69,2,BB370)</f>
        <v>#NAME?</v>
      </c>
      <c r="BG370" s="326" t="e">
        <f t="shared" ca="1" si="333"/>
        <v>#NAME?</v>
      </c>
      <c r="BH370" s="694" t="e">
        <f ca="1">IF( S370="LRCINOP",   (1+(0.03/10)*Z370*(1+0.2*AC370^2) )*BicubicInterpolation( 'LRC INOP FF'!$C$4:$AA$21, Y370, U370 )-200, IF(S370 ="HOLDINGINOP", (1+(0.03/10)*Z370*(1+0.2*AC370^2) )*BicubicInterpolation( 'Holding INOP FF'!$C$4:$J$13,  Y370,  U370)/1.05-200,   BA370*BG370))</f>
        <v>#NAME?</v>
      </c>
      <c r="BI370" s="344" t="e">
        <f t="shared" ca="1" si="292"/>
        <v>#NAME?</v>
      </c>
      <c r="BJ370" s="322" t="e">
        <f t="shared" ca="1" si="334"/>
        <v>#NAME?</v>
      </c>
      <c r="BK370" s="338" t="e">
        <f t="shared" ca="1" si="293"/>
        <v>#NAME?</v>
      </c>
      <c r="BL370" s="327" t="e">
        <f t="shared" ca="1" si="335"/>
        <v>#NAME?</v>
      </c>
      <c r="BM370" s="328">
        <f t="shared" si="336"/>
        <v>200</v>
      </c>
      <c r="BN370" s="329" t="e">
        <f t="shared" ca="1" si="337"/>
        <v>#NAME?</v>
      </c>
      <c r="BO370" s="344" t="e">
        <f t="shared" ca="1" si="294"/>
        <v>#NAME?</v>
      </c>
      <c r="BP370" s="320" t="e">
        <f t="shared" ca="1" si="338"/>
        <v>#NAME?</v>
      </c>
      <c r="BQ370" s="344" t="e">
        <f t="shared" ca="1" si="295"/>
        <v>#NAME?</v>
      </c>
      <c r="BR370" s="347" t="e">
        <f t="shared" ca="1" si="296"/>
        <v>#NAME?</v>
      </c>
      <c r="BS370" s="326" t="e">
        <f t="shared" ca="1" si="339"/>
        <v>#NAME?</v>
      </c>
      <c r="BT370" s="437" t="e">
        <f t="shared" ca="1" si="309"/>
        <v>#NAME?</v>
      </c>
      <c r="BU370" s="437" t="e">
        <f t="shared" ca="1" si="310"/>
        <v>#NAME?</v>
      </c>
      <c r="BV370" s="441" t="e">
        <f t="shared" ca="1" si="311"/>
        <v>#NAME?</v>
      </c>
      <c r="BW370" s="442" t="e">
        <f t="shared" ca="1" si="312"/>
        <v>#NAME?</v>
      </c>
      <c r="BX370" s="470" t="e">
        <f t="shared" ca="1" si="285"/>
        <v>#NAME?</v>
      </c>
      <c r="BY370" s="484" t="e">
        <f t="shared" ca="1" si="297"/>
        <v>#NAME?</v>
      </c>
    </row>
    <row r="371" spans="9:77" ht="17.75" customHeight="1" x14ac:dyDescent="0.2">
      <c r="I371" s="366">
        <v>287</v>
      </c>
      <c r="J371" s="414">
        <f t="shared" si="298"/>
        <v>41705.911805556207</v>
      </c>
      <c r="K371" s="435" t="e">
        <f t="shared" ca="1" si="299"/>
        <v>#NAME?</v>
      </c>
      <c r="L371" s="435" t="e">
        <f t="shared" ca="1" si="286"/>
        <v>#NAME?</v>
      </c>
      <c r="M371" s="664" t="e">
        <f t="shared" ca="1" si="340"/>
        <v>#NAME?</v>
      </c>
      <c r="N371" s="664" t="e">
        <f t="shared" ca="1" si="341"/>
        <v>#NAME?</v>
      </c>
      <c r="O371" s="140" t="e">
        <f t="shared" ca="1" si="287"/>
        <v>#NAME?</v>
      </c>
      <c r="P371" s="352" t="e">
        <f t="shared" ca="1" si="300"/>
        <v>#NAME?</v>
      </c>
      <c r="Q371" s="665" t="e">
        <f t="shared" ca="1" si="280"/>
        <v>#NAME?</v>
      </c>
      <c r="R371" s="352" t="e">
        <f t="shared" ca="1" si="313"/>
        <v>#NAME?</v>
      </c>
      <c r="S371" s="662" t="e">
        <f t="shared" ca="1" si="288"/>
        <v>#NAME?</v>
      </c>
      <c r="T371" s="443" t="e">
        <f t="shared" ca="1" si="281"/>
        <v>#NAME?</v>
      </c>
      <c r="U371" s="369" t="e">
        <f t="shared" ca="1" si="282"/>
        <v>#NAME?</v>
      </c>
      <c r="V371" s="454" t="e">
        <f t="shared" ca="1" si="289"/>
        <v>#NAME?</v>
      </c>
      <c r="W371" s="457">
        <f t="shared" si="290"/>
        <v>1000</v>
      </c>
      <c r="X371" s="463" t="e">
        <f t="shared" ca="1" si="291"/>
        <v>#NAME?</v>
      </c>
      <c r="Y371" s="455" t="e">
        <f t="shared" ca="1" si="301"/>
        <v>#NAME?</v>
      </c>
      <c r="Z371" s="699">
        <f t="shared" si="283"/>
        <v>8.5</v>
      </c>
      <c r="AA371" s="355" t="str">
        <f t="shared" si="284"/>
        <v>ON</v>
      </c>
      <c r="AB371" s="357">
        <f t="shared" si="314"/>
        <v>1.4999999999999999E-2</v>
      </c>
      <c r="AC371" s="356" t="e">
        <f ca="1">IF(  Y370=0,0,IF(OR(S371="KCAS",S371="INOP",S371="MEFE"),   ( (5*( (   (((1+0.2*(T371/661.4786)^2)^3.5 -1)  )/( (1-6.8755856*10^-6 *100*Y371)^5.2558797) +1)^(2/7) -1) )^0.5),IF(S371="MACH",T371, IF(S371="LRC",BicubicInterpolation( 'LRC Mach'!$C$4:$AL$21, Y371,U371),  IF(S371="MRC",BicubicInterpolation( 'MRC Mach'!$C$3:$T$18, Y371,U371),  IF(S371="M0.84",0.84,  IF(S371="CI52",BicubicInterpolation('CI=52 Mach'!$C$3:$T$18, Y371,U371),  IF(S371="HOLDING",BicubicInterpolation(  'Holding Mach'!$C$4:$M$13, Y371,U371),                         IF(S371="LRCINOP", BicubicInterpolation('LRC INOP Mach'!$C$4:$AA$21,Y371,U371), IF(S371="HOLDINGINOP",  BicubicInterpolation('Holding INOP Mach'!$N$4:$U$13,Y371,U371),         "XXX" )))))))   )))</f>
        <v>#NAME?</v>
      </c>
      <c r="AD371" s="313" t="e">
        <f t="shared" ca="1" si="315"/>
        <v>#NAME?</v>
      </c>
      <c r="AE371" s="314" t="e">
        <f t="shared" ca="1" si="302"/>
        <v>#NAME?</v>
      </c>
      <c r="AF371" s="313" t="e">
        <f t="shared" ca="1" si="316"/>
        <v>#NAME?</v>
      </c>
      <c r="AG371" s="314" t="e">
        <f t="shared" ca="1" si="303"/>
        <v>#NAME?</v>
      </c>
      <c r="AH371" s="313" t="e">
        <f t="shared" ca="1" si="317"/>
        <v>#NAME?</v>
      </c>
      <c r="AI371" s="314" t="e">
        <f t="shared" ca="1" si="304"/>
        <v>#NAME?</v>
      </c>
      <c r="AJ371" s="315" t="e">
        <f t="shared" ca="1" si="305"/>
        <v>#NAME?</v>
      </c>
      <c r="AK371" s="568" t="e">
        <f t="shared" ca="1" si="318"/>
        <v>#NAME?</v>
      </c>
      <c r="AL371" s="313" t="e">
        <f t="shared" ca="1" si="319"/>
        <v>#NAME?</v>
      </c>
      <c r="AM371" s="313" t="e">
        <f t="shared" ca="1" si="306"/>
        <v>#NAME?</v>
      </c>
      <c r="AN371" s="313" t="e">
        <f t="shared" ca="1" si="307"/>
        <v>#NAME?</v>
      </c>
      <c r="AO371" s="316" t="e">
        <f t="shared" ca="1" si="320"/>
        <v>#NAME?</v>
      </c>
      <c r="AP371" s="313" t="e">
        <f t="shared" ca="1" si="321"/>
        <v>#NAME?</v>
      </c>
      <c r="AQ371" s="314" t="e">
        <f t="shared" ca="1" si="308"/>
        <v>#NAME?</v>
      </c>
      <c r="AR371" s="315" t="e">
        <f t="shared" ca="1" si="322"/>
        <v>#NAME?</v>
      </c>
      <c r="AS371" s="316" t="e">
        <f t="shared" ca="1" si="323"/>
        <v>#NAME?</v>
      </c>
      <c r="AT371" s="315" t="e">
        <f t="shared" ca="1" si="324"/>
        <v>#NAME?</v>
      </c>
      <c r="AU371" s="317">
        <v>427.8</v>
      </c>
      <c r="AV371" s="315" t="e">
        <f t="shared" ca="1" si="325"/>
        <v>#NAME?</v>
      </c>
      <c r="AW371" s="318" t="e">
        <f ca="1">0.0001*BicubicInterpolation('Drag Coef Table'!$B$4:$L$28,AV371,AC371)</f>
        <v>#NAME?</v>
      </c>
      <c r="AX371" s="319" t="e">
        <f t="shared" ca="1" si="326"/>
        <v>#NAME?</v>
      </c>
      <c r="AY371" s="318" t="e">
        <f t="shared" ca="1" si="327"/>
        <v>#NAME?</v>
      </c>
      <c r="AZ371" s="320" t="e">
        <f t="shared" ca="1" si="328"/>
        <v>#NAME?</v>
      </c>
      <c r="BA371" s="321" t="e">
        <f t="shared" ca="1" si="329"/>
        <v>#NAME?</v>
      </c>
      <c r="BB371" s="322" t="e">
        <f t="shared" ca="1" si="330"/>
        <v>#NAME?</v>
      </c>
      <c r="BC371" s="323">
        <v>75.196700000000007</v>
      </c>
      <c r="BD371" s="324" t="e">
        <f t="shared" ca="1" si="331"/>
        <v>#NAME?</v>
      </c>
      <c r="BE371" s="325" t="e">
        <f t="shared" ca="1" si="332"/>
        <v>#NAME?</v>
      </c>
      <c r="BF371" s="324" t="e">
        <f ca="1">BicubicInterpolation('TSFC Eff Table'!$B$4:$E$69,2,BB371)</f>
        <v>#NAME?</v>
      </c>
      <c r="BG371" s="326" t="e">
        <f t="shared" ca="1" si="333"/>
        <v>#NAME?</v>
      </c>
      <c r="BH371" s="694" t="e">
        <f ca="1">IF( S371="LRCINOP",   (1+(0.03/10)*Z371*(1+0.2*AC371^2) )*BicubicInterpolation( 'LRC INOP FF'!$C$4:$AA$21, Y371, U371 )-200, IF(S371 ="HOLDINGINOP", (1+(0.03/10)*Z371*(1+0.2*AC371^2) )*BicubicInterpolation( 'Holding INOP FF'!$C$4:$J$13,  Y371,  U371)/1.05-200,   BA371*BG371))</f>
        <v>#NAME?</v>
      </c>
      <c r="BI371" s="344" t="e">
        <f t="shared" ca="1" si="292"/>
        <v>#NAME?</v>
      </c>
      <c r="BJ371" s="322" t="e">
        <f t="shared" ca="1" si="334"/>
        <v>#NAME?</v>
      </c>
      <c r="BK371" s="338" t="e">
        <f t="shared" ca="1" si="293"/>
        <v>#NAME?</v>
      </c>
      <c r="BL371" s="327" t="e">
        <f t="shared" ca="1" si="335"/>
        <v>#NAME?</v>
      </c>
      <c r="BM371" s="328">
        <f t="shared" si="336"/>
        <v>200</v>
      </c>
      <c r="BN371" s="329" t="e">
        <f t="shared" ca="1" si="337"/>
        <v>#NAME?</v>
      </c>
      <c r="BO371" s="344" t="e">
        <f t="shared" ca="1" si="294"/>
        <v>#NAME?</v>
      </c>
      <c r="BP371" s="320" t="e">
        <f t="shared" ca="1" si="338"/>
        <v>#NAME?</v>
      </c>
      <c r="BQ371" s="344" t="e">
        <f t="shared" ca="1" si="295"/>
        <v>#NAME?</v>
      </c>
      <c r="BR371" s="347" t="e">
        <f t="shared" ca="1" si="296"/>
        <v>#NAME?</v>
      </c>
      <c r="BS371" s="326" t="e">
        <f t="shared" ca="1" si="339"/>
        <v>#NAME?</v>
      </c>
      <c r="BT371" s="437" t="e">
        <f t="shared" ca="1" si="309"/>
        <v>#NAME?</v>
      </c>
      <c r="BU371" s="437" t="e">
        <f t="shared" ca="1" si="310"/>
        <v>#NAME?</v>
      </c>
      <c r="BV371" s="441" t="e">
        <f t="shared" ca="1" si="311"/>
        <v>#NAME?</v>
      </c>
      <c r="BW371" s="442" t="e">
        <f t="shared" ca="1" si="312"/>
        <v>#NAME?</v>
      </c>
      <c r="BX371" s="470" t="e">
        <f t="shared" ca="1" si="285"/>
        <v>#NAME?</v>
      </c>
      <c r="BY371" s="484" t="e">
        <f t="shared" ca="1" si="297"/>
        <v>#NAME?</v>
      </c>
    </row>
    <row r="372" spans="9:77" ht="17.75" customHeight="1" x14ac:dyDescent="0.2">
      <c r="I372" s="366">
        <v>288</v>
      </c>
      <c r="J372" s="414">
        <f t="shared" si="298"/>
        <v>41705.912500000653</v>
      </c>
      <c r="K372" s="435" t="e">
        <f t="shared" ca="1" si="299"/>
        <v>#NAME?</v>
      </c>
      <c r="L372" s="435" t="e">
        <f t="shared" ca="1" si="286"/>
        <v>#NAME?</v>
      </c>
      <c r="M372" s="664" t="e">
        <f t="shared" ca="1" si="340"/>
        <v>#NAME?</v>
      </c>
      <c r="N372" s="664" t="e">
        <f t="shared" ca="1" si="341"/>
        <v>#NAME?</v>
      </c>
      <c r="O372" s="140" t="e">
        <f t="shared" ca="1" si="287"/>
        <v>#NAME?</v>
      </c>
      <c r="P372" s="352" t="e">
        <f t="shared" ca="1" si="300"/>
        <v>#NAME?</v>
      </c>
      <c r="Q372" s="665" t="e">
        <f t="shared" ca="1" si="280"/>
        <v>#NAME?</v>
      </c>
      <c r="R372" s="352" t="e">
        <f t="shared" ca="1" si="313"/>
        <v>#NAME?</v>
      </c>
      <c r="S372" s="662" t="e">
        <f t="shared" ca="1" si="288"/>
        <v>#NAME?</v>
      </c>
      <c r="T372" s="443" t="e">
        <f t="shared" ca="1" si="281"/>
        <v>#NAME?</v>
      </c>
      <c r="U372" s="369" t="e">
        <f t="shared" ca="1" si="282"/>
        <v>#NAME?</v>
      </c>
      <c r="V372" s="454" t="e">
        <f t="shared" ca="1" si="289"/>
        <v>#NAME?</v>
      </c>
      <c r="W372" s="457">
        <f t="shared" si="290"/>
        <v>1000</v>
      </c>
      <c r="X372" s="463" t="e">
        <f t="shared" ca="1" si="291"/>
        <v>#NAME?</v>
      </c>
      <c r="Y372" s="455" t="e">
        <f t="shared" ca="1" si="301"/>
        <v>#NAME?</v>
      </c>
      <c r="Z372" s="699">
        <f t="shared" si="283"/>
        <v>8.5</v>
      </c>
      <c r="AA372" s="355" t="str">
        <f t="shared" si="284"/>
        <v>ON</v>
      </c>
      <c r="AB372" s="357">
        <f t="shared" si="314"/>
        <v>1.4999999999999999E-2</v>
      </c>
      <c r="AC372" s="356" t="e">
        <f ca="1">IF(  Y371=0,0,IF(OR(S372="KCAS",S372="INOP",S372="MEFE"),   ( (5*( (   (((1+0.2*(T372/661.4786)^2)^3.5 -1)  )/( (1-6.8755856*10^-6 *100*Y372)^5.2558797) +1)^(2/7) -1) )^0.5),IF(S372="MACH",T372, IF(S372="LRC",BicubicInterpolation( 'LRC Mach'!$C$4:$AL$21, Y372,U372),  IF(S372="MRC",BicubicInterpolation( 'MRC Mach'!$C$3:$T$18, Y372,U372),  IF(S372="M0.84",0.84,  IF(S372="CI52",BicubicInterpolation('CI=52 Mach'!$C$3:$T$18, Y372,U372),  IF(S372="HOLDING",BicubicInterpolation(  'Holding Mach'!$C$4:$M$13, Y372,U372),                         IF(S372="LRCINOP", BicubicInterpolation('LRC INOP Mach'!$C$4:$AA$21,Y372,U372), IF(S372="HOLDINGINOP",  BicubicInterpolation('Holding INOP Mach'!$N$4:$U$13,Y372,U372),         "XXX" )))))))   )))</f>
        <v>#NAME?</v>
      </c>
      <c r="AD372" s="313" t="e">
        <f t="shared" ca="1" si="315"/>
        <v>#NAME?</v>
      </c>
      <c r="AE372" s="314" t="e">
        <f t="shared" ca="1" si="302"/>
        <v>#NAME?</v>
      </c>
      <c r="AF372" s="313" t="e">
        <f t="shared" ca="1" si="316"/>
        <v>#NAME?</v>
      </c>
      <c r="AG372" s="314" t="e">
        <f t="shared" ca="1" si="303"/>
        <v>#NAME?</v>
      </c>
      <c r="AH372" s="313" t="e">
        <f t="shared" ca="1" si="317"/>
        <v>#NAME?</v>
      </c>
      <c r="AI372" s="314" t="e">
        <f t="shared" ca="1" si="304"/>
        <v>#NAME?</v>
      </c>
      <c r="AJ372" s="315" t="e">
        <f t="shared" ca="1" si="305"/>
        <v>#NAME?</v>
      </c>
      <c r="AK372" s="568" t="e">
        <f t="shared" ca="1" si="318"/>
        <v>#NAME?</v>
      </c>
      <c r="AL372" s="313" t="e">
        <f t="shared" ca="1" si="319"/>
        <v>#NAME?</v>
      </c>
      <c r="AM372" s="313" t="e">
        <f t="shared" ca="1" si="306"/>
        <v>#NAME?</v>
      </c>
      <c r="AN372" s="313" t="e">
        <f t="shared" ca="1" si="307"/>
        <v>#NAME?</v>
      </c>
      <c r="AO372" s="316" t="e">
        <f t="shared" ca="1" si="320"/>
        <v>#NAME?</v>
      </c>
      <c r="AP372" s="313" t="e">
        <f t="shared" ca="1" si="321"/>
        <v>#NAME?</v>
      </c>
      <c r="AQ372" s="314" t="e">
        <f t="shared" ca="1" si="308"/>
        <v>#NAME?</v>
      </c>
      <c r="AR372" s="315" t="e">
        <f t="shared" ca="1" si="322"/>
        <v>#NAME?</v>
      </c>
      <c r="AS372" s="316" t="e">
        <f t="shared" ca="1" si="323"/>
        <v>#NAME?</v>
      </c>
      <c r="AT372" s="315" t="e">
        <f t="shared" ca="1" si="324"/>
        <v>#NAME?</v>
      </c>
      <c r="AU372" s="317">
        <v>427.8</v>
      </c>
      <c r="AV372" s="315" t="e">
        <f t="shared" ca="1" si="325"/>
        <v>#NAME?</v>
      </c>
      <c r="AW372" s="318" t="e">
        <f ca="1">0.0001*BicubicInterpolation('Drag Coef Table'!$B$4:$L$28,AV372,AC372)</f>
        <v>#NAME?</v>
      </c>
      <c r="AX372" s="319" t="e">
        <f t="shared" ca="1" si="326"/>
        <v>#NAME?</v>
      </c>
      <c r="AY372" s="318" t="e">
        <f t="shared" ca="1" si="327"/>
        <v>#NAME?</v>
      </c>
      <c r="AZ372" s="320" t="e">
        <f t="shared" ca="1" si="328"/>
        <v>#NAME?</v>
      </c>
      <c r="BA372" s="321" t="e">
        <f t="shared" ca="1" si="329"/>
        <v>#NAME?</v>
      </c>
      <c r="BB372" s="322" t="e">
        <f t="shared" ca="1" si="330"/>
        <v>#NAME?</v>
      </c>
      <c r="BC372" s="323">
        <v>75.196700000000007</v>
      </c>
      <c r="BD372" s="324" t="e">
        <f t="shared" ca="1" si="331"/>
        <v>#NAME?</v>
      </c>
      <c r="BE372" s="325" t="e">
        <f t="shared" ca="1" si="332"/>
        <v>#NAME?</v>
      </c>
      <c r="BF372" s="324" t="e">
        <f ca="1">BicubicInterpolation('TSFC Eff Table'!$B$4:$E$69,2,BB372)</f>
        <v>#NAME?</v>
      </c>
      <c r="BG372" s="326" t="e">
        <f t="shared" ca="1" si="333"/>
        <v>#NAME?</v>
      </c>
      <c r="BH372" s="694" t="e">
        <f ca="1">IF( S372="LRCINOP",   (1+(0.03/10)*Z372*(1+0.2*AC372^2) )*BicubicInterpolation( 'LRC INOP FF'!$C$4:$AA$21, Y372, U372 )-200, IF(S372 ="HOLDINGINOP", (1+(0.03/10)*Z372*(1+0.2*AC372^2) )*BicubicInterpolation( 'Holding INOP FF'!$C$4:$J$13,  Y372,  U372)/1.05-200,   BA372*BG372))</f>
        <v>#NAME?</v>
      </c>
      <c r="BI372" s="344" t="e">
        <f t="shared" ca="1" si="292"/>
        <v>#NAME?</v>
      </c>
      <c r="BJ372" s="322" t="e">
        <f t="shared" ca="1" si="334"/>
        <v>#NAME?</v>
      </c>
      <c r="BK372" s="338" t="e">
        <f t="shared" ca="1" si="293"/>
        <v>#NAME?</v>
      </c>
      <c r="BL372" s="327" t="e">
        <f t="shared" ca="1" si="335"/>
        <v>#NAME?</v>
      </c>
      <c r="BM372" s="328">
        <f t="shared" si="336"/>
        <v>200</v>
      </c>
      <c r="BN372" s="329" t="e">
        <f t="shared" ca="1" si="337"/>
        <v>#NAME?</v>
      </c>
      <c r="BO372" s="344" t="e">
        <f t="shared" ca="1" si="294"/>
        <v>#NAME?</v>
      </c>
      <c r="BP372" s="320" t="e">
        <f t="shared" ca="1" si="338"/>
        <v>#NAME?</v>
      </c>
      <c r="BQ372" s="344" t="e">
        <f t="shared" ca="1" si="295"/>
        <v>#NAME?</v>
      </c>
      <c r="BR372" s="347" t="e">
        <f t="shared" ca="1" si="296"/>
        <v>#NAME?</v>
      </c>
      <c r="BS372" s="326" t="e">
        <f t="shared" ca="1" si="339"/>
        <v>#NAME?</v>
      </c>
      <c r="BT372" s="437" t="e">
        <f t="shared" ca="1" si="309"/>
        <v>#NAME?</v>
      </c>
      <c r="BU372" s="437" t="e">
        <f t="shared" ca="1" si="310"/>
        <v>#NAME?</v>
      </c>
      <c r="BV372" s="441" t="e">
        <f t="shared" ca="1" si="311"/>
        <v>#NAME?</v>
      </c>
      <c r="BW372" s="442" t="e">
        <f t="shared" ca="1" si="312"/>
        <v>#NAME?</v>
      </c>
      <c r="BX372" s="470" t="e">
        <f t="shared" ca="1" si="285"/>
        <v>#NAME?</v>
      </c>
      <c r="BY372" s="484" t="e">
        <f t="shared" ca="1" si="297"/>
        <v>#NAME?</v>
      </c>
    </row>
    <row r="373" spans="9:77" ht="17.75" customHeight="1" x14ac:dyDescent="0.2">
      <c r="I373" s="366">
        <v>289</v>
      </c>
      <c r="J373" s="414">
        <f t="shared" si="298"/>
        <v>41705.9131944451</v>
      </c>
      <c r="K373" s="435" t="e">
        <f t="shared" ca="1" si="299"/>
        <v>#NAME?</v>
      </c>
      <c r="L373" s="435" t="e">
        <f t="shared" ca="1" si="286"/>
        <v>#NAME?</v>
      </c>
      <c r="M373" s="664" t="e">
        <f t="shared" ca="1" si="340"/>
        <v>#NAME?</v>
      </c>
      <c r="N373" s="664" t="e">
        <f t="shared" ca="1" si="341"/>
        <v>#NAME?</v>
      </c>
      <c r="O373" s="140" t="e">
        <f t="shared" ca="1" si="287"/>
        <v>#NAME?</v>
      </c>
      <c r="P373" s="352" t="e">
        <f t="shared" ca="1" si="300"/>
        <v>#NAME?</v>
      </c>
      <c r="Q373" s="665" t="e">
        <f t="shared" ca="1" si="280"/>
        <v>#NAME?</v>
      </c>
      <c r="R373" s="352" t="e">
        <f t="shared" ca="1" si="313"/>
        <v>#NAME?</v>
      </c>
      <c r="S373" s="662" t="e">
        <f t="shared" ca="1" si="288"/>
        <v>#NAME?</v>
      </c>
      <c r="T373" s="443" t="e">
        <f t="shared" ca="1" si="281"/>
        <v>#NAME?</v>
      </c>
      <c r="U373" s="369" t="e">
        <f t="shared" ca="1" si="282"/>
        <v>#NAME?</v>
      </c>
      <c r="V373" s="454" t="e">
        <f t="shared" ca="1" si="289"/>
        <v>#NAME?</v>
      </c>
      <c r="W373" s="457">
        <f t="shared" si="290"/>
        <v>1000</v>
      </c>
      <c r="X373" s="463" t="e">
        <f t="shared" ca="1" si="291"/>
        <v>#NAME?</v>
      </c>
      <c r="Y373" s="455" t="e">
        <f t="shared" ca="1" si="301"/>
        <v>#NAME?</v>
      </c>
      <c r="Z373" s="699">
        <f t="shared" si="283"/>
        <v>8.5</v>
      </c>
      <c r="AA373" s="355" t="str">
        <f t="shared" si="284"/>
        <v>ON</v>
      </c>
      <c r="AB373" s="357">
        <f t="shared" si="314"/>
        <v>1.4999999999999999E-2</v>
      </c>
      <c r="AC373" s="356" t="e">
        <f ca="1">IF(  Y372=0,0,IF(OR(S373="KCAS",S373="INOP",S373="MEFE"),   ( (5*( (   (((1+0.2*(T373/661.4786)^2)^3.5 -1)  )/( (1-6.8755856*10^-6 *100*Y373)^5.2558797) +1)^(2/7) -1) )^0.5),IF(S373="MACH",T373, IF(S373="LRC",BicubicInterpolation( 'LRC Mach'!$C$4:$AL$21, Y373,U373),  IF(S373="MRC",BicubicInterpolation( 'MRC Mach'!$C$3:$T$18, Y373,U373),  IF(S373="M0.84",0.84,  IF(S373="CI52",BicubicInterpolation('CI=52 Mach'!$C$3:$T$18, Y373,U373),  IF(S373="HOLDING",BicubicInterpolation(  'Holding Mach'!$C$4:$M$13, Y373,U373),                         IF(S373="LRCINOP", BicubicInterpolation('LRC INOP Mach'!$C$4:$AA$21,Y373,U373), IF(S373="HOLDINGINOP",  BicubicInterpolation('Holding INOP Mach'!$N$4:$U$13,Y373,U373),         "XXX" )))))))   )))</f>
        <v>#NAME?</v>
      </c>
      <c r="AD373" s="313" t="e">
        <f t="shared" ca="1" si="315"/>
        <v>#NAME?</v>
      </c>
      <c r="AE373" s="314" t="e">
        <f t="shared" ca="1" si="302"/>
        <v>#NAME?</v>
      </c>
      <c r="AF373" s="313" t="e">
        <f t="shared" ca="1" si="316"/>
        <v>#NAME?</v>
      </c>
      <c r="AG373" s="314" t="e">
        <f t="shared" ca="1" si="303"/>
        <v>#NAME?</v>
      </c>
      <c r="AH373" s="313" t="e">
        <f t="shared" ca="1" si="317"/>
        <v>#NAME?</v>
      </c>
      <c r="AI373" s="314" t="e">
        <f t="shared" ca="1" si="304"/>
        <v>#NAME?</v>
      </c>
      <c r="AJ373" s="315" t="e">
        <f t="shared" ca="1" si="305"/>
        <v>#NAME?</v>
      </c>
      <c r="AK373" s="568" t="e">
        <f t="shared" ca="1" si="318"/>
        <v>#NAME?</v>
      </c>
      <c r="AL373" s="313" t="e">
        <f t="shared" ca="1" si="319"/>
        <v>#NAME?</v>
      </c>
      <c r="AM373" s="313" t="e">
        <f t="shared" ca="1" si="306"/>
        <v>#NAME?</v>
      </c>
      <c r="AN373" s="313" t="e">
        <f t="shared" ca="1" si="307"/>
        <v>#NAME?</v>
      </c>
      <c r="AO373" s="316" t="e">
        <f t="shared" ca="1" si="320"/>
        <v>#NAME?</v>
      </c>
      <c r="AP373" s="313" t="e">
        <f t="shared" ca="1" si="321"/>
        <v>#NAME?</v>
      </c>
      <c r="AQ373" s="314" t="e">
        <f t="shared" ca="1" si="308"/>
        <v>#NAME?</v>
      </c>
      <c r="AR373" s="315" t="e">
        <f t="shared" ca="1" si="322"/>
        <v>#NAME?</v>
      </c>
      <c r="AS373" s="316" t="e">
        <f t="shared" ca="1" si="323"/>
        <v>#NAME?</v>
      </c>
      <c r="AT373" s="315" t="e">
        <f t="shared" ca="1" si="324"/>
        <v>#NAME?</v>
      </c>
      <c r="AU373" s="317">
        <v>427.8</v>
      </c>
      <c r="AV373" s="315" t="e">
        <f t="shared" ca="1" si="325"/>
        <v>#NAME?</v>
      </c>
      <c r="AW373" s="318" t="e">
        <f ca="1">0.0001*BicubicInterpolation('Drag Coef Table'!$B$4:$L$28,AV373,AC373)</f>
        <v>#NAME?</v>
      </c>
      <c r="AX373" s="319" t="e">
        <f t="shared" ca="1" si="326"/>
        <v>#NAME?</v>
      </c>
      <c r="AY373" s="318" t="e">
        <f t="shared" ca="1" si="327"/>
        <v>#NAME?</v>
      </c>
      <c r="AZ373" s="320" t="e">
        <f t="shared" ca="1" si="328"/>
        <v>#NAME?</v>
      </c>
      <c r="BA373" s="321" t="e">
        <f t="shared" ca="1" si="329"/>
        <v>#NAME?</v>
      </c>
      <c r="BB373" s="322" t="e">
        <f t="shared" ca="1" si="330"/>
        <v>#NAME?</v>
      </c>
      <c r="BC373" s="323">
        <v>75.196700000000007</v>
      </c>
      <c r="BD373" s="324" t="e">
        <f t="shared" ca="1" si="331"/>
        <v>#NAME?</v>
      </c>
      <c r="BE373" s="325" t="e">
        <f t="shared" ca="1" si="332"/>
        <v>#NAME?</v>
      </c>
      <c r="BF373" s="324" t="e">
        <f ca="1">BicubicInterpolation('TSFC Eff Table'!$B$4:$E$69,2,BB373)</f>
        <v>#NAME?</v>
      </c>
      <c r="BG373" s="326" t="e">
        <f t="shared" ca="1" si="333"/>
        <v>#NAME?</v>
      </c>
      <c r="BH373" s="694" t="e">
        <f ca="1">IF( S373="LRCINOP",   (1+(0.03/10)*Z373*(1+0.2*AC373^2) )*BicubicInterpolation( 'LRC INOP FF'!$C$4:$AA$21, Y373, U373 )-200, IF(S373 ="HOLDINGINOP", (1+(0.03/10)*Z373*(1+0.2*AC373^2) )*BicubicInterpolation( 'Holding INOP FF'!$C$4:$J$13,  Y373,  U373)/1.05-200,   BA373*BG373))</f>
        <v>#NAME?</v>
      </c>
      <c r="BI373" s="344" t="e">
        <f t="shared" ca="1" si="292"/>
        <v>#NAME?</v>
      </c>
      <c r="BJ373" s="322" t="e">
        <f t="shared" ca="1" si="334"/>
        <v>#NAME?</v>
      </c>
      <c r="BK373" s="338" t="e">
        <f t="shared" ca="1" si="293"/>
        <v>#NAME?</v>
      </c>
      <c r="BL373" s="327" t="e">
        <f t="shared" ca="1" si="335"/>
        <v>#NAME?</v>
      </c>
      <c r="BM373" s="328">
        <f t="shared" si="336"/>
        <v>200</v>
      </c>
      <c r="BN373" s="329" t="e">
        <f t="shared" ca="1" si="337"/>
        <v>#NAME?</v>
      </c>
      <c r="BO373" s="344" t="e">
        <f t="shared" ca="1" si="294"/>
        <v>#NAME?</v>
      </c>
      <c r="BP373" s="320" t="e">
        <f t="shared" ca="1" si="338"/>
        <v>#NAME?</v>
      </c>
      <c r="BQ373" s="344" t="e">
        <f t="shared" ca="1" si="295"/>
        <v>#NAME?</v>
      </c>
      <c r="BR373" s="347" t="e">
        <f t="shared" ca="1" si="296"/>
        <v>#NAME?</v>
      </c>
      <c r="BS373" s="326" t="e">
        <f t="shared" ca="1" si="339"/>
        <v>#NAME?</v>
      </c>
      <c r="BT373" s="437" t="e">
        <f t="shared" ca="1" si="309"/>
        <v>#NAME?</v>
      </c>
      <c r="BU373" s="437" t="e">
        <f t="shared" ca="1" si="310"/>
        <v>#NAME?</v>
      </c>
      <c r="BV373" s="441" t="e">
        <f t="shared" ca="1" si="311"/>
        <v>#NAME?</v>
      </c>
      <c r="BW373" s="442" t="e">
        <f t="shared" ca="1" si="312"/>
        <v>#NAME?</v>
      </c>
      <c r="BX373" s="470" t="e">
        <f t="shared" ca="1" si="285"/>
        <v>#NAME?</v>
      </c>
      <c r="BY373" s="484" t="e">
        <f t="shared" ca="1" si="297"/>
        <v>#NAME?</v>
      </c>
    </row>
    <row r="374" spans="9:77" ht="17.75" customHeight="1" x14ac:dyDescent="0.2">
      <c r="I374" s="366">
        <v>290</v>
      </c>
      <c r="J374" s="414">
        <f t="shared" si="298"/>
        <v>41705.913888889547</v>
      </c>
      <c r="K374" s="435" t="e">
        <f t="shared" ca="1" si="299"/>
        <v>#NAME?</v>
      </c>
      <c r="L374" s="435" t="e">
        <f t="shared" ca="1" si="286"/>
        <v>#NAME?</v>
      </c>
      <c r="M374" s="664" t="e">
        <f t="shared" ca="1" si="340"/>
        <v>#NAME?</v>
      </c>
      <c r="N374" s="664" t="e">
        <f t="shared" ca="1" si="341"/>
        <v>#NAME?</v>
      </c>
      <c r="O374" s="140" t="e">
        <f t="shared" ca="1" si="287"/>
        <v>#NAME?</v>
      </c>
      <c r="P374" s="352" t="e">
        <f t="shared" ca="1" si="300"/>
        <v>#NAME?</v>
      </c>
      <c r="Q374" s="665" t="e">
        <f t="shared" ca="1" si="280"/>
        <v>#NAME?</v>
      </c>
      <c r="R374" s="352" t="e">
        <f t="shared" ca="1" si="313"/>
        <v>#NAME?</v>
      </c>
      <c r="S374" s="662" t="e">
        <f t="shared" ca="1" si="288"/>
        <v>#NAME?</v>
      </c>
      <c r="T374" s="443" t="e">
        <f t="shared" ca="1" si="281"/>
        <v>#NAME?</v>
      </c>
      <c r="U374" s="369" t="e">
        <f t="shared" ca="1" si="282"/>
        <v>#NAME?</v>
      </c>
      <c r="V374" s="454" t="e">
        <f t="shared" ca="1" si="289"/>
        <v>#NAME?</v>
      </c>
      <c r="W374" s="457">
        <f t="shared" si="290"/>
        <v>1000</v>
      </c>
      <c r="X374" s="463" t="e">
        <f t="shared" ca="1" si="291"/>
        <v>#NAME?</v>
      </c>
      <c r="Y374" s="455" t="e">
        <f t="shared" ca="1" si="301"/>
        <v>#NAME?</v>
      </c>
      <c r="Z374" s="699">
        <f t="shared" si="283"/>
        <v>8.5</v>
      </c>
      <c r="AA374" s="355" t="str">
        <f t="shared" si="284"/>
        <v>ON</v>
      </c>
      <c r="AB374" s="357">
        <f t="shared" si="314"/>
        <v>1.4999999999999999E-2</v>
      </c>
      <c r="AC374" s="356" t="e">
        <f ca="1">IF(  Y373=0,0,IF(OR(S374="KCAS",S374="INOP",S374="MEFE"),   ( (5*( (   (((1+0.2*(T374/661.4786)^2)^3.5 -1)  )/( (1-6.8755856*10^-6 *100*Y374)^5.2558797) +1)^(2/7) -1) )^0.5),IF(S374="MACH",T374, IF(S374="LRC",BicubicInterpolation( 'LRC Mach'!$C$4:$AL$21, Y374,U374),  IF(S374="MRC",BicubicInterpolation( 'MRC Mach'!$C$3:$T$18, Y374,U374),  IF(S374="M0.84",0.84,  IF(S374="CI52",BicubicInterpolation('CI=52 Mach'!$C$3:$T$18, Y374,U374),  IF(S374="HOLDING",BicubicInterpolation(  'Holding Mach'!$C$4:$M$13, Y374,U374),                         IF(S374="LRCINOP", BicubicInterpolation('LRC INOP Mach'!$C$4:$AA$21,Y374,U374), IF(S374="HOLDINGINOP",  BicubicInterpolation('Holding INOP Mach'!$N$4:$U$13,Y374,U374),         "XXX" )))))))   )))</f>
        <v>#NAME?</v>
      </c>
      <c r="AD374" s="313" t="e">
        <f t="shared" ca="1" si="315"/>
        <v>#NAME?</v>
      </c>
      <c r="AE374" s="314" t="e">
        <f t="shared" ca="1" si="302"/>
        <v>#NAME?</v>
      </c>
      <c r="AF374" s="313" t="e">
        <f t="shared" ca="1" si="316"/>
        <v>#NAME?</v>
      </c>
      <c r="AG374" s="314" t="e">
        <f t="shared" ca="1" si="303"/>
        <v>#NAME?</v>
      </c>
      <c r="AH374" s="313" t="e">
        <f t="shared" ca="1" si="317"/>
        <v>#NAME?</v>
      </c>
      <c r="AI374" s="314" t="e">
        <f t="shared" ca="1" si="304"/>
        <v>#NAME?</v>
      </c>
      <c r="AJ374" s="315" t="e">
        <f t="shared" ca="1" si="305"/>
        <v>#NAME?</v>
      </c>
      <c r="AK374" s="568" t="e">
        <f t="shared" ca="1" si="318"/>
        <v>#NAME?</v>
      </c>
      <c r="AL374" s="313" t="e">
        <f t="shared" ca="1" si="319"/>
        <v>#NAME?</v>
      </c>
      <c r="AM374" s="313" t="e">
        <f t="shared" ca="1" si="306"/>
        <v>#NAME?</v>
      </c>
      <c r="AN374" s="313" t="e">
        <f t="shared" ca="1" si="307"/>
        <v>#NAME?</v>
      </c>
      <c r="AO374" s="316" t="e">
        <f t="shared" ca="1" si="320"/>
        <v>#NAME?</v>
      </c>
      <c r="AP374" s="313" t="e">
        <f t="shared" ca="1" si="321"/>
        <v>#NAME?</v>
      </c>
      <c r="AQ374" s="314" t="e">
        <f t="shared" ca="1" si="308"/>
        <v>#NAME?</v>
      </c>
      <c r="AR374" s="315" t="e">
        <f t="shared" ca="1" si="322"/>
        <v>#NAME?</v>
      </c>
      <c r="AS374" s="316" t="e">
        <f t="shared" ca="1" si="323"/>
        <v>#NAME?</v>
      </c>
      <c r="AT374" s="315" t="e">
        <f t="shared" ca="1" si="324"/>
        <v>#NAME?</v>
      </c>
      <c r="AU374" s="317">
        <v>427.8</v>
      </c>
      <c r="AV374" s="315" t="e">
        <f t="shared" ca="1" si="325"/>
        <v>#NAME?</v>
      </c>
      <c r="AW374" s="318" t="e">
        <f ca="1">0.0001*BicubicInterpolation('Drag Coef Table'!$B$4:$L$28,AV374,AC374)</f>
        <v>#NAME?</v>
      </c>
      <c r="AX374" s="319" t="e">
        <f t="shared" ca="1" si="326"/>
        <v>#NAME?</v>
      </c>
      <c r="AY374" s="318" t="e">
        <f t="shared" ca="1" si="327"/>
        <v>#NAME?</v>
      </c>
      <c r="AZ374" s="320" t="e">
        <f t="shared" ca="1" si="328"/>
        <v>#NAME?</v>
      </c>
      <c r="BA374" s="321" t="e">
        <f t="shared" ca="1" si="329"/>
        <v>#NAME?</v>
      </c>
      <c r="BB374" s="322" t="e">
        <f t="shared" ca="1" si="330"/>
        <v>#NAME?</v>
      </c>
      <c r="BC374" s="323">
        <v>75.196700000000007</v>
      </c>
      <c r="BD374" s="324" t="e">
        <f t="shared" ca="1" si="331"/>
        <v>#NAME?</v>
      </c>
      <c r="BE374" s="325" t="e">
        <f t="shared" ca="1" si="332"/>
        <v>#NAME?</v>
      </c>
      <c r="BF374" s="324" t="e">
        <f ca="1">BicubicInterpolation('TSFC Eff Table'!$B$4:$E$69,2,BB374)</f>
        <v>#NAME?</v>
      </c>
      <c r="BG374" s="326" t="e">
        <f t="shared" ca="1" si="333"/>
        <v>#NAME?</v>
      </c>
      <c r="BH374" s="694" t="e">
        <f ca="1">IF( S374="LRCINOP",   (1+(0.03/10)*Z374*(1+0.2*AC374^2) )*BicubicInterpolation( 'LRC INOP FF'!$C$4:$AA$21, Y374, U374 )-200, IF(S374 ="HOLDINGINOP", (1+(0.03/10)*Z374*(1+0.2*AC374^2) )*BicubicInterpolation( 'Holding INOP FF'!$C$4:$J$13,  Y374,  U374)/1.05-200,   BA374*BG374))</f>
        <v>#NAME?</v>
      </c>
      <c r="BI374" s="344" t="e">
        <f t="shared" ca="1" si="292"/>
        <v>#NAME?</v>
      </c>
      <c r="BJ374" s="322" t="e">
        <f t="shared" ca="1" si="334"/>
        <v>#NAME?</v>
      </c>
      <c r="BK374" s="338" t="e">
        <f t="shared" ca="1" si="293"/>
        <v>#NAME?</v>
      </c>
      <c r="BL374" s="327" t="e">
        <f t="shared" ca="1" si="335"/>
        <v>#NAME?</v>
      </c>
      <c r="BM374" s="328">
        <f t="shared" si="336"/>
        <v>200</v>
      </c>
      <c r="BN374" s="329" t="e">
        <f t="shared" ca="1" si="337"/>
        <v>#NAME?</v>
      </c>
      <c r="BO374" s="344" t="e">
        <f t="shared" ca="1" si="294"/>
        <v>#NAME?</v>
      </c>
      <c r="BP374" s="320" t="e">
        <f t="shared" ca="1" si="338"/>
        <v>#NAME?</v>
      </c>
      <c r="BQ374" s="344" t="e">
        <f t="shared" ca="1" si="295"/>
        <v>#NAME?</v>
      </c>
      <c r="BR374" s="347" t="e">
        <f t="shared" ca="1" si="296"/>
        <v>#NAME?</v>
      </c>
      <c r="BS374" s="326" t="e">
        <f t="shared" ca="1" si="339"/>
        <v>#NAME?</v>
      </c>
      <c r="BT374" s="437" t="e">
        <f t="shared" ca="1" si="309"/>
        <v>#NAME?</v>
      </c>
      <c r="BU374" s="437" t="e">
        <f t="shared" ca="1" si="310"/>
        <v>#NAME?</v>
      </c>
      <c r="BV374" s="441" t="e">
        <f t="shared" ca="1" si="311"/>
        <v>#NAME?</v>
      </c>
      <c r="BW374" s="442" t="e">
        <f t="shared" ca="1" si="312"/>
        <v>#NAME?</v>
      </c>
      <c r="BX374" s="470" t="e">
        <f t="shared" ca="1" si="285"/>
        <v>#NAME?</v>
      </c>
      <c r="BY374" s="484" t="e">
        <f t="shared" ca="1" si="297"/>
        <v>#NAME?</v>
      </c>
    </row>
    <row r="375" spans="9:77" ht="17.75" customHeight="1" x14ac:dyDescent="0.2">
      <c r="I375" s="366">
        <v>291</v>
      </c>
      <c r="J375" s="414">
        <f t="shared" si="298"/>
        <v>41705.914583333994</v>
      </c>
      <c r="K375" s="435" t="e">
        <f t="shared" ca="1" si="299"/>
        <v>#NAME?</v>
      </c>
      <c r="L375" s="435" t="e">
        <f t="shared" ca="1" si="286"/>
        <v>#NAME?</v>
      </c>
      <c r="M375" s="664" t="e">
        <f t="shared" ca="1" si="340"/>
        <v>#NAME?</v>
      </c>
      <c r="N375" s="664" t="e">
        <f t="shared" ca="1" si="341"/>
        <v>#NAME?</v>
      </c>
      <c r="O375" s="140" t="e">
        <f t="shared" ca="1" si="287"/>
        <v>#NAME?</v>
      </c>
      <c r="P375" s="352" t="e">
        <f t="shared" ca="1" si="300"/>
        <v>#NAME?</v>
      </c>
      <c r="Q375" s="665" t="e">
        <f t="shared" ca="1" si="280"/>
        <v>#NAME?</v>
      </c>
      <c r="R375" s="352" t="e">
        <f t="shared" ca="1" si="313"/>
        <v>#NAME?</v>
      </c>
      <c r="S375" s="662" t="e">
        <f t="shared" ca="1" si="288"/>
        <v>#NAME?</v>
      </c>
      <c r="T375" s="443" t="e">
        <f t="shared" ca="1" si="281"/>
        <v>#NAME?</v>
      </c>
      <c r="U375" s="369" t="e">
        <f t="shared" ca="1" si="282"/>
        <v>#NAME?</v>
      </c>
      <c r="V375" s="454" t="e">
        <f t="shared" ca="1" si="289"/>
        <v>#NAME?</v>
      </c>
      <c r="W375" s="457">
        <f t="shared" si="290"/>
        <v>1000</v>
      </c>
      <c r="X375" s="463" t="e">
        <f t="shared" ca="1" si="291"/>
        <v>#NAME?</v>
      </c>
      <c r="Y375" s="455" t="e">
        <f t="shared" ca="1" si="301"/>
        <v>#NAME?</v>
      </c>
      <c r="Z375" s="699">
        <f t="shared" si="283"/>
        <v>8.5</v>
      </c>
      <c r="AA375" s="355" t="str">
        <f t="shared" si="284"/>
        <v>ON</v>
      </c>
      <c r="AB375" s="357">
        <f t="shared" si="314"/>
        <v>1.4999999999999999E-2</v>
      </c>
      <c r="AC375" s="356" t="e">
        <f ca="1">IF(  Y374=0,0,IF(OR(S375="KCAS",S375="INOP",S375="MEFE"),   ( (5*( (   (((1+0.2*(T375/661.4786)^2)^3.5 -1)  )/( (1-6.8755856*10^-6 *100*Y375)^5.2558797) +1)^(2/7) -1) )^0.5),IF(S375="MACH",T375, IF(S375="LRC",BicubicInterpolation( 'LRC Mach'!$C$4:$AL$21, Y375,U375),  IF(S375="MRC",BicubicInterpolation( 'MRC Mach'!$C$3:$T$18, Y375,U375),  IF(S375="M0.84",0.84,  IF(S375="CI52",BicubicInterpolation('CI=52 Mach'!$C$3:$T$18, Y375,U375),  IF(S375="HOLDING",BicubicInterpolation(  'Holding Mach'!$C$4:$M$13, Y375,U375),                         IF(S375="LRCINOP", BicubicInterpolation('LRC INOP Mach'!$C$4:$AA$21,Y375,U375), IF(S375="HOLDINGINOP",  BicubicInterpolation('Holding INOP Mach'!$N$4:$U$13,Y375,U375),         "XXX" )))))))   )))</f>
        <v>#NAME?</v>
      </c>
      <c r="AD375" s="313" t="e">
        <f t="shared" ca="1" si="315"/>
        <v>#NAME?</v>
      </c>
      <c r="AE375" s="314" t="e">
        <f t="shared" ca="1" si="302"/>
        <v>#NAME?</v>
      </c>
      <c r="AF375" s="313" t="e">
        <f t="shared" ca="1" si="316"/>
        <v>#NAME?</v>
      </c>
      <c r="AG375" s="314" t="e">
        <f t="shared" ca="1" si="303"/>
        <v>#NAME?</v>
      </c>
      <c r="AH375" s="313" t="e">
        <f t="shared" ca="1" si="317"/>
        <v>#NAME?</v>
      </c>
      <c r="AI375" s="314" t="e">
        <f t="shared" ca="1" si="304"/>
        <v>#NAME?</v>
      </c>
      <c r="AJ375" s="315" t="e">
        <f t="shared" ca="1" si="305"/>
        <v>#NAME?</v>
      </c>
      <c r="AK375" s="568" t="e">
        <f t="shared" ca="1" si="318"/>
        <v>#NAME?</v>
      </c>
      <c r="AL375" s="313" t="e">
        <f t="shared" ca="1" si="319"/>
        <v>#NAME?</v>
      </c>
      <c r="AM375" s="313" t="e">
        <f t="shared" ca="1" si="306"/>
        <v>#NAME?</v>
      </c>
      <c r="AN375" s="313" t="e">
        <f t="shared" ca="1" si="307"/>
        <v>#NAME?</v>
      </c>
      <c r="AO375" s="316" t="e">
        <f t="shared" ca="1" si="320"/>
        <v>#NAME?</v>
      </c>
      <c r="AP375" s="313" t="e">
        <f t="shared" ca="1" si="321"/>
        <v>#NAME?</v>
      </c>
      <c r="AQ375" s="314" t="e">
        <f t="shared" ca="1" si="308"/>
        <v>#NAME?</v>
      </c>
      <c r="AR375" s="315" t="e">
        <f t="shared" ca="1" si="322"/>
        <v>#NAME?</v>
      </c>
      <c r="AS375" s="316" t="e">
        <f t="shared" ca="1" si="323"/>
        <v>#NAME?</v>
      </c>
      <c r="AT375" s="315" t="e">
        <f t="shared" ca="1" si="324"/>
        <v>#NAME?</v>
      </c>
      <c r="AU375" s="317">
        <v>427.8</v>
      </c>
      <c r="AV375" s="315" t="e">
        <f t="shared" ca="1" si="325"/>
        <v>#NAME?</v>
      </c>
      <c r="AW375" s="318" t="e">
        <f ca="1">0.0001*BicubicInterpolation('Drag Coef Table'!$B$4:$L$28,AV375,AC375)</f>
        <v>#NAME?</v>
      </c>
      <c r="AX375" s="319" t="e">
        <f t="shared" ca="1" si="326"/>
        <v>#NAME?</v>
      </c>
      <c r="AY375" s="318" t="e">
        <f t="shared" ca="1" si="327"/>
        <v>#NAME?</v>
      </c>
      <c r="AZ375" s="320" t="e">
        <f t="shared" ca="1" si="328"/>
        <v>#NAME?</v>
      </c>
      <c r="BA375" s="321" t="e">
        <f t="shared" ca="1" si="329"/>
        <v>#NAME?</v>
      </c>
      <c r="BB375" s="322" t="e">
        <f t="shared" ca="1" si="330"/>
        <v>#NAME?</v>
      </c>
      <c r="BC375" s="323">
        <v>75.196700000000007</v>
      </c>
      <c r="BD375" s="324" t="e">
        <f t="shared" ca="1" si="331"/>
        <v>#NAME?</v>
      </c>
      <c r="BE375" s="325" t="e">
        <f t="shared" ca="1" si="332"/>
        <v>#NAME?</v>
      </c>
      <c r="BF375" s="324" t="e">
        <f ca="1">BicubicInterpolation('TSFC Eff Table'!$B$4:$E$69,2,BB375)</f>
        <v>#NAME?</v>
      </c>
      <c r="BG375" s="326" t="e">
        <f t="shared" ca="1" si="333"/>
        <v>#NAME?</v>
      </c>
      <c r="BH375" s="694" t="e">
        <f ca="1">IF( S375="LRCINOP",   (1+(0.03/10)*Z375*(1+0.2*AC375^2) )*BicubicInterpolation( 'LRC INOP FF'!$C$4:$AA$21, Y375, U375 )-200, IF(S375 ="HOLDINGINOP", (1+(0.03/10)*Z375*(1+0.2*AC375^2) )*BicubicInterpolation( 'Holding INOP FF'!$C$4:$J$13,  Y375,  U375)/1.05-200,   BA375*BG375))</f>
        <v>#NAME?</v>
      </c>
      <c r="BI375" s="344" t="e">
        <f t="shared" ca="1" si="292"/>
        <v>#NAME?</v>
      </c>
      <c r="BJ375" s="322" t="e">
        <f t="shared" ca="1" si="334"/>
        <v>#NAME?</v>
      </c>
      <c r="BK375" s="338" t="e">
        <f t="shared" ca="1" si="293"/>
        <v>#NAME?</v>
      </c>
      <c r="BL375" s="327" t="e">
        <f t="shared" ca="1" si="335"/>
        <v>#NAME?</v>
      </c>
      <c r="BM375" s="328">
        <f t="shared" si="336"/>
        <v>200</v>
      </c>
      <c r="BN375" s="329" t="e">
        <f t="shared" ca="1" si="337"/>
        <v>#NAME?</v>
      </c>
      <c r="BO375" s="344" t="e">
        <f t="shared" ca="1" si="294"/>
        <v>#NAME?</v>
      </c>
      <c r="BP375" s="320" t="e">
        <f t="shared" ca="1" si="338"/>
        <v>#NAME?</v>
      </c>
      <c r="BQ375" s="344" t="e">
        <f t="shared" ca="1" si="295"/>
        <v>#NAME?</v>
      </c>
      <c r="BR375" s="347" t="e">
        <f t="shared" ca="1" si="296"/>
        <v>#NAME?</v>
      </c>
      <c r="BS375" s="326" t="e">
        <f t="shared" ca="1" si="339"/>
        <v>#NAME?</v>
      </c>
      <c r="BT375" s="437" t="e">
        <f t="shared" ca="1" si="309"/>
        <v>#NAME?</v>
      </c>
      <c r="BU375" s="437" t="e">
        <f t="shared" ca="1" si="310"/>
        <v>#NAME?</v>
      </c>
      <c r="BV375" s="441" t="e">
        <f t="shared" ca="1" si="311"/>
        <v>#NAME?</v>
      </c>
      <c r="BW375" s="442" t="e">
        <f t="shared" ca="1" si="312"/>
        <v>#NAME?</v>
      </c>
      <c r="BX375" s="470" t="e">
        <f t="shared" ca="1" si="285"/>
        <v>#NAME?</v>
      </c>
      <c r="BY375" s="484" t="e">
        <f t="shared" ca="1" si="297"/>
        <v>#NAME?</v>
      </c>
    </row>
    <row r="376" spans="9:77" ht="17.75" customHeight="1" x14ac:dyDescent="0.2">
      <c r="I376" s="366">
        <v>292</v>
      </c>
      <c r="J376" s="414">
        <f t="shared" si="298"/>
        <v>41705.91527777844</v>
      </c>
      <c r="K376" s="435" t="e">
        <f t="shared" ca="1" si="299"/>
        <v>#NAME?</v>
      </c>
      <c r="L376" s="435" t="e">
        <f t="shared" ca="1" si="286"/>
        <v>#NAME?</v>
      </c>
      <c r="M376" s="664" t="e">
        <f t="shared" ca="1" si="340"/>
        <v>#NAME?</v>
      </c>
      <c r="N376" s="664" t="e">
        <f t="shared" ca="1" si="341"/>
        <v>#NAME?</v>
      </c>
      <c r="O376" s="140" t="e">
        <f t="shared" ca="1" si="287"/>
        <v>#NAME?</v>
      </c>
      <c r="P376" s="352" t="e">
        <f t="shared" ca="1" si="300"/>
        <v>#NAME?</v>
      </c>
      <c r="Q376" s="665" t="e">
        <f t="shared" ca="1" si="280"/>
        <v>#NAME?</v>
      </c>
      <c r="R376" s="352" t="e">
        <f t="shared" ca="1" si="313"/>
        <v>#NAME?</v>
      </c>
      <c r="S376" s="662" t="e">
        <f t="shared" ca="1" si="288"/>
        <v>#NAME?</v>
      </c>
      <c r="T376" s="443" t="e">
        <f t="shared" ca="1" si="281"/>
        <v>#NAME?</v>
      </c>
      <c r="U376" s="369" t="e">
        <f t="shared" ca="1" si="282"/>
        <v>#NAME?</v>
      </c>
      <c r="V376" s="454" t="e">
        <f t="shared" ca="1" si="289"/>
        <v>#NAME?</v>
      </c>
      <c r="W376" s="457">
        <f t="shared" si="290"/>
        <v>1000</v>
      </c>
      <c r="X376" s="463" t="e">
        <f t="shared" ca="1" si="291"/>
        <v>#NAME?</v>
      </c>
      <c r="Y376" s="455" t="e">
        <f t="shared" ca="1" si="301"/>
        <v>#NAME?</v>
      </c>
      <c r="Z376" s="699">
        <f t="shared" si="283"/>
        <v>8.5</v>
      </c>
      <c r="AA376" s="355" t="str">
        <f t="shared" si="284"/>
        <v>ON</v>
      </c>
      <c r="AB376" s="357">
        <f t="shared" si="314"/>
        <v>1.4999999999999999E-2</v>
      </c>
      <c r="AC376" s="356" t="e">
        <f ca="1">IF(  Y375=0,0,IF(OR(S376="KCAS",S376="INOP",S376="MEFE"),   ( (5*( (   (((1+0.2*(T376/661.4786)^2)^3.5 -1)  )/( (1-6.8755856*10^-6 *100*Y376)^5.2558797) +1)^(2/7) -1) )^0.5),IF(S376="MACH",T376, IF(S376="LRC",BicubicInterpolation( 'LRC Mach'!$C$4:$AL$21, Y376,U376),  IF(S376="MRC",BicubicInterpolation( 'MRC Mach'!$C$3:$T$18, Y376,U376),  IF(S376="M0.84",0.84,  IF(S376="CI52",BicubicInterpolation('CI=52 Mach'!$C$3:$T$18, Y376,U376),  IF(S376="HOLDING",BicubicInterpolation(  'Holding Mach'!$C$4:$M$13, Y376,U376),                         IF(S376="LRCINOP", BicubicInterpolation('LRC INOP Mach'!$C$4:$AA$21,Y376,U376), IF(S376="HOLDINGINOP",  BicubicInterpolation('Holding INOP Mach'!$N$4:$U$13,Y376,U376),         "XXX" )))))))   )))</f>
        <v>#NAME?</v>
      </c>
      <c r="AD376" s="313" t="e">
        <f t="shared" ca="1" si="315"/>
        <v>#NAME?</v>
      </c>
      <c r="AE376" s="314" t="e">
        <f t="shared" ca="1" si="302"/>
        <v>#NAME?</v>
      </c>
      <c r="AF376" s="313" t="e">
        <f t="shared" ca="1" si="316"/>
        <v>#NAME?</v>
      </c>
      <c r="AG376" s="314" t="e">
        <f t="shared" ca="1" si="303"/>
        <v>#NAME?</v>
      </c>
      <c r="AH376" s="313" t="e">
        <f t="shared" ca="1" si="317"/>
        <v>#NAME?</v>
      </c>
      <c r="AI376" s="314" t="e">
        <f t="shared" ca="1" si="304"/>
        <v>#NAME?</v>
      </c>
      <c r="AJ376" s="315" t="e">
        <f t="shared" ca="1" si="305"/>
        <v>#NAME?</v>
      </c>
      <c r="AK376" s="568" t="e">
        <f t="shared" ca="1" si="318"/>
        <v>#NAME?</v>
      </c>
      <c r="AL376" s="313" t="e">
        <f t="shared" ca="1" si="319"/>
        <v>#NAME?</v>
      </c>
      <c r="AM376" s="313" t="e">
        <f t="shared" ca="1" si="306"/>
        <v>#NAME?</v>
      </c>
      <c r="AN376" s="313" t="e">
        <f t="shared" ca="1" si="307"/>
        <v>#NAME?</v>
      </c>
      <c r="AO376" s="316" t="e">
        <f t="shared" ca="1" si="320"/>
        <v>#NAME?</v>
      </c>
      <c r="AP376" s="313" t="e">
        <f t="shared" ca="1" si="321"/>
        <v>#NAME?</v>
      </c>
      <c r="AQ376" s="314" t="e">
        <f t="shared" ca="1" si="308"/>
        <v>#NAME?</v>
      </c>
      <c r="AR376" s="315" t="e">
        <f t="shared" ca="1" si="322"/>
        <v>#NAME?</v>
      </c>
      <c r="AS376" s="316" t="e">
        <f t="shared" ca="1" si="323"/>
        <v>#NAME?</v>
      </c>
      <c r="AT376" s="315" t="e">
        <f t="shared" ca="1" si="324"/>
        <v>#NAME?</v>
      </c>
      <c r="AU376" s="317">
        <v>427.8</v>
      </c>
      <c r="AV376" s="315" t="e">
        <f t="shared" ca="1" si="325"/>
        <v>#NAME?</v>
      </c>
      <c r="AW376" s="318" t="e">
        <f ca="1">0.0001*BicubicInterpolation('Drag Coef Table'!$B$4:$L$28,AV376,AC376)</f>
        <v>#NAME?</v>
      </c>
      <c r="AX376" s="319" t="e">
        <f t="shared" ca="1" si="326"/>
        <v>#NAME?</v>
      </c>
      <c r="AY376" s="318" t="e">
        <f t="shared" ca="1" si="327"/>
        <v>#NAME?</v>
      </c>
      <c r="AZ376" s="320" t="e">
        <f t="shared" ca="1" si="328"/>
        <v>#NAME?</v>
      </c>
      <c r="BA376" s="321" t="e">
        <f t="shared" ca="1" si="329"/>
        <v>#NAME?</v>
      </c>
      <c r="BB376" s="322" t="e">
        <f t="shared" ca="1" si="330"/>
        <v>#NAME?</v>
      </c>
      <c r="BC376" s="323">
        <v>75.196700000000007</v>
      </c>
      <c r="BD376" s="324" t="e">
        <f t="shared" ca="1" si="331"/>
        <v>#NAME?</v>
      </c>
      <c r="BE376" s="325" t="e">
        <f t="shared" ca="1" si="332"/>
        <v>#NAME?</v>
      </c>
      <c r="BF376" s="324" t="e">
        <f ca="1">BicubicInterpolation('TSFC Eff Table'!$B$4:$E$69,2,BB376)</f>
        <v>#NAME?</v>
      </c>
      <c r="BG376" s="326" t="e">
        <f t="shared" ca="1" si="333"/>
        <v>#NAME?</v>
      </c>
      <c r="BH376" s="694" t="e">
        <f ca="1">IF( S376="LRCINOP",   (1+(0.03/10)*Z376*(1+0.2*AC376^2) )*BicubicInterpolation( 'LRC INOP FF'!$C$4:$AA$21, Y376, U376 )-200, IF(S376 ="HOLDINGINOP", (1+(0.03/10)*Z376*(1+0.2*AC376^2) )*BicubicInterpolation( 'Holding INOP FF'!$C$4:$J$13,  Y376,  U376)/1.05-200,   BA376*BG376))</f>
        <v>#NAME?</v>
      </c>
      <c r="BI376" s="344" t="e">
        <f t="shared" ca="1" si="292"/>
        <v>#NAME?</v>
      </c>
      <c r="BJ376" s="322" t="e">
        <f t="shared" ca="1" si="334"/>
        <v>#NAME?</v>
      </c>
      <c r="BK376" s="338" t="e">
        <f t="shared" ca="1" si="293"/>
        <v>#NAME?</v>
      </c>
      <c r="BL376" s="327" t="e">
        <f t="shared" ca="1" si="335"/>
        <v>#NAME?</v>
      </c>
      <c r="BM376" s="328">
        <f t="shared" si="336"/>
        <v>200</v>
      </c>
      <c r="BN376" s="329" t="e">
        <f t="shared" ca="1" si="337"/>
        <v>#NAME?</v>
      </c>
      <c r="BO376" s="344" t="e">
        <f t="shared" ca="1" si="294"/>
        <v>#NAME?</v>
      </c>
      <c r="BP376" s="320" t="e">
        <f t="shared" ca="1" si="338"/>
        <v>#NAME?</v>
      </c>
      <c r="BQ376" s="344" t="e">
        <f t="shared" ca="1" si="295"/>
        <v>#NAME?</v>
      </c>
      <c r="BR376" s="347" t="e">
        <f t="shared" ca="1" si="296"/>
        <v>#NAME?</v>
      </c>
      <c r="BS376" s="326" t="e">
        <f t="shared" ca="1" si="339"/>
        <v>#NAME?</v>
      </c>
      <c r="BT376" s="437" t="e">
        <f t="shared" ca="1" si="309"/>
        <v>#NAME?</v>
      </c>
      <c r="BU376" s="437" t="e">
        <f t="shared" ca="1" si="310"/>
        <v>#NAME?</v>
      </c>
      <c r="BV376" s="441" t="e">
        <f t="shared" ca="1" si="311"/>
        <v>#NAME?</v>
      </c>
      <c r="BW376" s="442" t="e">
        <f t="shared" ca="1" si="312"/>
        <v>#NAME?</v>
      </c>
      <c r="BX376" s="470" t="e">
        <f t="shared" ca="1" si="285"/>
        <v>#NAME?</v>
      </c>
      <c r="BY376" s="484" t="e">
        <f t="shared" ca="1" si="297"/>
        <v>#NAME?</v>
      </c>
    </row>
    <row r="377" spans="9:77" ht="17.75" customHeight="1" x14ac:dyDescent="0.2">
      <c r="I377" s="366">
        <v>293</v>
      </c>
      <c r="J377" s="414">
        <f t="shared" si="298"/>
        <v>41705.915972222887</v>
      </c>
      <c r="K377" s="435" t="e">
        <f t="shared" ca="1" si="299"/>
        <v>#NAME?</v>
      </c>
      <c r="L377" s="435" t="e">
        <f t="shared" ca="1" si="286"/>
        <v>#NAME?</v>
      </c>
      <c r="M377" s="664" t="e">
        <f t="shared" ca="1" si="340"/>
        <v>#NAME?</v>
      </c>
      <c r="N377" s="664" t="e">
        <f t="shared" ca="1" si="341"/>
        <v>#NAME?</v>
      </c>
      <c r="O377" s="140" t="e">
        <f t="shared" ca="1" si="287"/>
        <v>#NAME?</v>
      </c>
      <c r="P377" s="352" t="e">
        <f t="shared" ca="1" si="300"/>
        <v>#NAME?</v>
      </c>
      <c r="Q377" s="665" t="e">
        <f t="shared" ca="1" si="280"/>
        <v>#NAME?</v>
      </c>
      <c r="R377" s="352" t="e">
        <f t="shared" ca="1" si="313"/>
        <v>#NAME?</v>
      </c>
      <c r="S377" s="662" t="e">
        <f t="shared" ca="1" si="288"/>
        <v>#NAME?</v>
      </c>
      <c r="T377" s="443" t="e">
        <f t="shared" ca="1" si="281"/>
        <v>#NAME?</v>
      </c>
      <c r="U377" s="369" t="e">
        <f t="shared" ca="1" si="282"/>
        <v>#NAME?</v>
      </c>
      <c r="V377" s="454" t="e">
        <f t="shared" ca="1" si="289"/>
        <v>#NAME?</v>
      </c>
      <c r="W377" s="457">
        <f t="shared" si="290"/>
        <v>1000</v>
      </c>
      <c r="X377" s="463" t="e">
        <f t="shared" ca="1" si="291"/>
        <v>#NAME?</v>
      </c>
      <c r="Y377" s="455" t="e">
        <f t="shared" ca="1" si="301"/>
        <v>#NAME?</v>
      </c>
      <c r="Z377" s="699">
        <f t="shared" si="283"/>
        <v>8.5</v>
      </c>
      <c r="AA377" s="355" t="str">
        <f t="shared" si="284"/>
        <v>ON</v>
      </c>
      <c r="AB377" s="357">
        <f t="shared" si="314"/>
        <v>1.4999999999999999E-2</v>
      </c>
      <c r="AC377" s="356" t="e">
        <f ca="1">IF(  Y376=0,0,IF(OR(S377="KCAS",S377="INOP",S377="MEFE"),   ( (5*( (   (((1+0.2*(T377/661.4786)^2)^3.5 -1)  )/( (1-6.8755856*10^-6 *100*Y377)^5.2558797) +1)^(2/7) -1) )^0.5),IF(S377="MACH",T377, IF(S377="LRC",BicubicInterpolation( 'LRC Mach'!$C$4:$AL$21, Y377,U377),  IF(S377="MRC",BicubicInterpolation( 'MRC Mach'!$C$3:$T$18, Y377,U377),  IF(S377="M0.84",0.84,  IF(S377="CI52",BicubicInterpolation('CI=52 Mach'!$C$3:$T$18, Y377,U377),  IF(S377="HOLDING",BicubicInterpolation(  'Holding Mach'!$C$4:$M$13, Y377,U377),                         IF(S377="LRCINOP", BicubicInterpolation('LRC INOP Mach'!$C$4:$AA$21,Y377,U377), IF(S377="HOLDINGINOP",  BicubicInterpolation('Holding INOP Mach'!$N$4:$U$13,Y377,U377),         "XXX" )))))))   )))</f>
        <v>#NAME?</v>
      </c>
      <c r="AD377" s="313" t="e">
        <f t="shared" ca="1" si="315"/>
        <v>#NAME?</v>
      </c>
      <c r="AE377" s="314" t="e">
        <f t="shared" ca="1" si="302"/>
        <v>#NAME?</v>
      </c>
      <c r="AF377" s="313" t="e">
        <f t="shared" ca="1" si="316"/>
        <v>#NAME?</v>
      </c>
      <c r="AG377" s="314" t="e">
        <f t="shared" ca="1" si="303"/>
        <v>#NAME?</v>
      </c>
      <c r="AH377" s="313" t="e">
        <f t="shared" ca="1" si="317"/>
        <v>#NAME?</v>
      </c>
      <c r="AI377" s="314" t="e">
        <f t="shared" ca="1" si="304"/>
        <v>#NAME?</v>
      </c>
      <c r="AJ377" s="315" t="e">
        <f t="shared" ca="1" si="305"/>
        <v>#NAME?</v>
      </c>
      <c r="AK377" s="568" t="e">
        <f t="shared" ca="1" si="318"/>
        <v>#NAME?</v>
      </c>
      <c r="AL377" s="313" t="e">
        <f t="shared" ca="1" si="319"/>
        <v>#NAME?</v>
      </c>
      <c r="AM377" s="313" t="e">
        <f t="shared" ca="1" si="306"/>
        <v>#NAME?</v>
      </c>
      <c r="AN377" s="313" t="e">
        <f t="shared" ca="1" si="307"/>
        <v>#NAME?</v>
      </c>
      <c r="AO377" s="316" t="e">
        <f t="shared" ca="1" si="320"/>
        <v>#NAME?</v>
      </c>
      <c r="AP377" s="313" t="e">
        <f t="shared" ca="1" si="321"/>
        <v>#NAME?</v>
      </c>
      <c r="AQ377" s="314" t="e">
        <f t="shared" ca="1" si="308"/>
        <v>#NAME?</v>
      </c>
      <c r="AR377" s="315" t="e">
        <f t="shared" ca="1" si="322"/>
        <v>#NAME?</v>
      </c>
      <c r="AS377" s="316" t="e">
        <f t="shared" ca="1" si="323"/>
        <v>#NAME?</v>
      </c>
      <c r="AT377" s="315" t="e">
        <f t="shared" ca="1" si="324"/>
        <v>#NAME?</v>
      </c>
      <c r="AU377" s="317">
        <v>427.8</v>
      </c>
      <c r="AV377" s="315" t="e">
        <f t="shared" ca="1" si="325"/>
        <v>#NAME?</v>
      </c>
      <c r="AW377" s="318" t="e">
        <f ca="1">0.0001*BicubicInterpolation('Drag Coef Table'!$B$4:$L$28,AV377,AC377)</f>
        <v>#NAME?</v>
      </c>
      <c r="AX377" s="319" t="e">
        <f t="shared" ca="1" si="326"/>
        <v>#NAME?</v>
      </c>
      <c r="AY377" s="318" t="e">
        <f t="shared" ca="1" si="327"/>
        <v>#NAME?</v>
      </c>
      <c r="AZ377" s="320" t="e">
        <f t="shared" ca="1" si="328"/>
        <v>#NAME?</v>
      </c>
      <c r="BA377" s="321" t="e">
        <f t="shared" ca="1" si="329"/>
        <v>#NAME?</v>
      </c>
      <c r="BB377" s="322" t="e">
        <f t="shared" ca="1" si="330"/>
        <v>#NAME?</v>
      </c>
      <c r="BC377" s="323">
        <v>75.196700000000007</v>
      </c>
      <c r="BD377" s="324" t="e">
        <f t="shared" ca="1" si="331"/>
        <v>#NAME?</v>
      </c>
      <c r="BE377" s="325" t="e">
        <f t="shared" ca="1" si="332"/>
        <v>#NAME?</v>
      </c>
      <c r="BF377" s="324" t="e">
        <f ca="1">BicubicInterpolation('TSFC Eff Table'!$B$4:$E$69,2,BB377)</f>
        <v>#NAME?</v>
      </c>
      <c r="BG377" s="326" t="e">
        <f t="shared" ca="1" si="333"/>
        <v>#NAME?</v>
      </c>
      <c r="BH377" s="694" t="e">
        <f ca="1">IF( S377="LRCINOP",   (1+(0.03/10)*Z377*(1+0.2*AC377^2) )*BicubicInterpolation( 'LRC INOP FF'!$C$4:$AA$21, Y377, U377 )-200, IF(S377 ="HOLDINGINOP", (1+(0.03/10)*Z377*(1+0.2*AC377^2) )*BicubicInterpolation( 'Holding INOP FF'!$C$4:$J$13,  Y377,  U377)/1.05-200,   BA377*BG377))</f>
        <v>#NAME?</v>
      </c>
      <c r="BI377" s="344" t="e">
        <f t="shared" ca="1" si="292"/>
        <v>#NAME?</v>
      </c>
      <c r="BJ377" s="322" t="e">
        <f t="shared" ca="1" si="334"/>
        <v>#NAME?</v>
      </c>
      <c r="BK377" s="338" t="e">
        <f t="shared" ca="1" si="293"/>
        <v>#NAME?</v>
      </c>
      <c r="BL377" s="327" t="e">
        <f t="shared" ca="1" si="335"/>
        <v>#NAME?</v>
      </c>
      <c r="BM377" s="328">
        <f t="shared" si="336"/>
        <v>200</v>
      </c>
      <c r="BN377" s="329" t="e">
        <f t="shared" ca="1" si="337"/>
        <v>#NAME?</v>
      </c>
      <c r="BO377" s="344" t="e">
        <f t="shared" ca="1" si="294"/>
        <v>#NAME?</v>
      </c>
      <c r="BP377" s="320" t="e">
        <f t="shared" ca="1" si="338"/>
        <v>#NAME?</v>
      </c>
      <c r="BQ377" s="344" t="e">
        <f t="shared" ca="1" si="295"/>
        <v>#NAME?</v>
      </c>
      <c r="BR377" s="347" t="e">
        <f t="shared" ca="1" si="296"/>
        <v>#NAME?</v>
      </c>
      <c r="BS377" s="326" t="e">
        <f t="shared" ca="1" si="339"/>
        <v>#NAME?</v>
      </c>
      <c r="BT377" s="437" t="e">
        <f t="shared" ca="1" si="309"/>
        <v>#NAME?</v>
      </c>
      <c r="BU377" s="437" t="e">
        <f t="shared" ca="1" si="310"/>
        <v>#NAME?</v>
      </c>
      <c r="BV377" s="441" t="e">
        <f t="shared" ca="1" si="311"/>
        <v>#NAME?</v>
      </c>
      <c r="BW377" s="442" t="e">
        <f t="shared" ca="1" si="312"/>
        <v>#NAME?</v>
      </c>
      <c r="BX377" s="470" t="e">
        <f t="shared" ca="1" si="285"/>
        <v>#NAME?</v>
      </c>
      <c r="BY377" s="484" t="e">
        <f t="shared" ca="1" si="297"/>
        <v>#NAME?</v>
      </c>
    </row>
    <row r="378" spans="9:77" ht="17.75" customHeight="1" x14ac:dyDescent="0.2">
      <c r="I378" s="366">
        <v>294</v>
      </c>
      <c r="J378" s="414">
        <f t="shared" si="298"/>
        <v>41705.916666667334</v>
      </c>
      <c r="K378" s="435" t="e">
        <f t="shared" ca="1" si="299"/>
        <v>#NAME?</v>
      </c>
      <c r="L378" s="435" t="e">
        <f t="shared" ca="1" si="286"/>
        <v>#NAME?</v>
      </c>
      <c r="M378" s="664" t="e">
        <f t="shared" ca="1" si="340"/>
        <v>#NAME?</v>
      </c>
      <c r="N378" s="664" t="e">
        <f t="shared" ca="1" si="341"/>
        <v>#NAME?</v>
      </c>
      <c r="O378" s="140" t="e">
        <f t="shared" ca="1" si="287"/>
        <v>#NAME?</v>
      </c>
      <c r="P378" s="352" t="e">
        <f t="shared" ca="1" si="300"/>
        <v>#NAME?</v>
      </c>
      <c r="Q378" s="665" t="e">
        <f t="shared" ca="1" si="280"/>
        <v>#NAME?</v>
      </c>
      <c r="R378" s="352" t="e">
        <f t="shared" ca="1" si="313"/>
        <v>#NAME?</v>
      </c>
      <c r="S378" s="662" t="e">
        <f t="shared" ca="1" si="288"/>
        <v>#NAME?</v>
      </c>
      <c r="T378" s="443" t="e">
        <f t="shared" ca="1" si="281"/>
        <v>#NAME?</v>
      </c>
      <c r="U378" s="369" t="e">
        <f t="shared" ca="1" si="282"/>
        <v>#NAME?</v>
      </c>
      <c r="V378" s="454" t="e">
        <f t="shared" ca="1" si="289"/>
        <v>#NAME?</v>
      </c>
      <c r="W378" s="457">
        <f t="shared" si="290"/>
        <v>1000</v>
      </c>
      <c r="X378" s="463" t="e">
        <f t="shared" ca="1" si="291"/>
        <v>#NAME?</v>
      </c>
      <c r="Y378" s="455" t="e">
        <f t="shared" ca="1" si="301"/>
        <v>#NAME?</v>
      </c>
      <c r="Z378" s="699">
        <f t="shared" si="283"/>
        <v>8.5</v>
      </c>
      <c r="AA378" s="355" t="str">
        <f t="shared" si="284"/>
        <v>ON</v>
      </c>
      <c r="AB378" s="357">
        <f t="shared" si="314"/>
        <v>1.4999999999999999E-2</v>
      </c>
      <c r="AC378" s="356" t="e">
        <f ca="1">IF(  Y377=0,0,IF(OR(S378="KCAS",S378="INOP",S378="MEFE"),   ( (5*( (   (((1+0.2*(T378/661.4786)^2)^3.5 -1)  )/( (1-6.8755856*10^-6 *100*Y378)^5.2558797) +1)^(2/7) -1) )^0.5),IF(S378="MACH",T378, IF(S378="LRC",BicubicInterpolation( 'LRC Mach'!$C$4:$AL$21, Y378,U378),  IF(S378="MRC",BicubicInterpolation( 'MRC Mach'!$C$3:$T$18, Y378,U378),  IF(S378="M0.84",0.84,  IF(S378="CI52",BicubicInterpolation('CI=52 Mach'!$C$3:$T$18, Y378,U378),  IF(S378="HOLDING",BicubicInterpolation(  'Holding Mach'!$C$4:$M$13, Y378,U378),                         IF(S378="LRCINOP", BicubicInterpolation('LRC INOP Mach'!$C$4:$AA$21,Y378,U378), IF(S378="HOLDINGINOP",  BicubicInterpolation('Holding INOP Mach'!$N$4:$U$13,Y378,U378),         "XXX" )))))))   )))</f>
        <v>#NAME?</v>
      </c>
      <c r="AD378" s="313" t="e">
        <f t="shared" ca="1" si="315"/>
        <v>#NAME?</v>
      </c>
      <c r="AE378" s="314" t="e">
        <f t="shared" ca="1" si="302"/>
        <v>#NAME?</v>
      </c>
      <c r="AF378" s="313" t="e">
        <f t="shared" ca="1" si="316"/>
        <v>#NAME?</v>
      </c>
      <c r="AG378" s="314" t="e">
        <f t="shared" ca="1" si="303"/>
        <v>#NAME?</v>
      </c>
      <c r="AH378" s="313" t="e">
        <f t="shared" ca="1" si="317"/>
        <v>#NAME?</v>
      </c>
      <c r="AI378" s="314" t="e">
        <f t="shared" ca="1" si="304"/>
        <v>#NAME?</v>
      </c>
      <c r="AJ378" s="315" t="e">
        <f t="shared" ca="1" si="305"/>
        <v>#NAME?</v>
      </c>
      <c r="AK378" s="568" t="e">
        <f t="shared" ca="1" si="318"/>
        <v>#NAME?</v>
      </c>
      <c r="AL378" s="313" t="e">
        <f t="shared" ca="1" si="319"/>
        <v>#NAME?</v>
      </c>
      <c r="AM378" s="313" t="e">
        <f t="shared" ca="1" si="306"/>
        <v>#NAME?</v>
      </c>
      <c r="AN378" s="313" t="e">
        <f t="shared" ca="1" si="307"/>
        <v>#NAME?</v>
      </c>
      <c r="AO378" s="316" t="e">
        <f t="shared" ca="1" si="320"/>
        <v>#NAME?</v>
      </c>
      <c r="AP378" s="313" t="e">
        <f t="shared" ca="1" si="321"/>
        <v>#NAME?</v>
      </c>
      <c r="AQ378" s="314" t="e">
        <f t="shared" ca="1" si="308"/>
        <v>#NAME?</v>
      </c>
      <c r="AR378" s="315" t="e">
        <f t="shared" ca="1" si="322"/>
        <v>#NAME?</v>
      </c>
      <c r="AS378" s="316" t="e">
        <f t="shared" ca="1" si="323"/>
        <v>#NAME?</v>
      </c>
      <c r="AT378" s="315" t="e">
        <f t="shared" ca="1" si="324"/>
        <v>#NAME?</v>
      </c>
      <c r="AU378" s="317">
        <v>427.8</v>
      </c>
      <c r="AV378" s="315" t="e">
        <f t="shared" ca="1" si="325"/>
        <v>#NAME?</v>
      </c>
      <c r="AW378" s="318" t="e">
        <f ca="1">0.0001*BicubicInterpolation('Drag Coef Table'!$B$4:$L$28,AV378,AC378)</f>
        <v>#NAME?</v>
      </c>
      <c r="AX378" s="319" t="e">
        <f t="shared" ca="1" si="326"/>
        <v>#NAME?</v>
      </c>
      <c r="AY378" s="318" t="e">
        <f t="shared" ca="1" si="327"/>
        <v>#NAME?</v>
      </c>
      <c r="AZ378" s="320" t="e">
        <f t="shared" ca="1" si="328"/>
        <v>#NAME?</v>
      </c>
      <c r="BA378" s="321" t="e">
        <f t="shared" ca="1" si="329"/>
        <v>#NAME?</v>
      </c>
      <c r="BB378" s="322" t="e">
        <f t="shared" ca="1" si="330"/>
        <v>#NAME?</v>
      </c>
      <c r="BC378" s="323">
        <v>75.196700000000007</v>
      </c>
      <c r="BD378" s="324" t="e">
        <f t="shared" ca="1" si="331"/>
        <v>#NAME?</v>
      </c>
      <c r="BE378" s="325" t="e">
        <f t="shared" ca="1" si="332"/>
        <v>#NAME?</v>
      </c>
      <c r="BF378" s="324" t="e">
        <f ca="1">BicubicInterpolation('TSFC Eff Table'!$B$4:$E$69,2,BB378)</f>
        <v>#NAME?</v>
      </c>
      <c r="BG378" s="326" t="e">
        <f t="shared" ca="1" si="333"/>
        <v>#NAME?</v>
      </c>
      <c r="BH378" s="694" t="e">
        <f ca="1">IF( S378="LRCINOP",   (1+(0.03/10)*Z378*(1+0.2*AC378^2) )*BicubicInterpolation( 'LRC INOP FF'!$C$4:$AA$21, Y378, U378 )-200, IF(S378 ="HOLDINGINOP", (1+(0.03/10)*Z378*(1+0.2*AC378^2) )*BicubicInterpolation( 'Holding INOP FF'!$C$4:$J$13,  Y378,  U378)/1.05-200,   BA378*BG378))</f>
        <v>#NAME?</v>
      </c>
      <c r="BI378" s="344" t="e">
        <f t="shared" ca="1" si="292"/>
        <v>#NAME?</v>
      </c>
      <c r="BJ378" s="322" t="e">
        <f t="shared" ca="1" si="334"/>
        <v>#NAME?</v>
      </c>
      <c r="BK378" s="338" t="e">
        <f t="shared" ca="1" si="293"/>
        <v>#NAME?</v>
      </c>
      <c r="BL378" s="327" t="e">
        <f t="shared" ca="1" si="335"/>
        <v>#NAME?</v>
      </c>
      <c r="BM378" s="328">
        <f t="shared" si="336"/>
        <v>200</v>
      </c>
      <c r="BN378" s="329" t="e">
        <f t="shared" ca="1" si="337"/>
        <v>#NAME?</v>
      </c>
      <c r="BO378" s="344" t="e">
        <f t="shared" ca="1" si="294"/>
        <v>#NAME?</v>
      </c>
      <c r="BP378" s="320" t="e">
        <f t="shared" ca="1" si="338"/>
        <v>#NAME?</v>
      </c>
      <c r="BQ378" s="344" t="e">
        <f t="shared" ca="1" si="295"/>
        <v>#NAME?</v>
      </c>
      <c r="BR378" s="347" t="e">
        <f t="shared" ca="1" si="296"/>
        <v>#NAME?</v>
      </c>
      <c r="BS378" s="326" t="e">
        <f t="shared" ca="1" si="339"/>
        <v>#NAME?</v>
      </c>
      <c r="BT378" s="437" t="e">
        <f t="shared" ca="1" si="309"/>
        <v>#NAME?</v>
      </c>
      <c r="BU378" s="437" t="e">
        <f t="shared" ca="1" si="310"/>
        <v>#NAME?</v>
      </c>
      <c r="BV378" s="441" t="e">
        <f t="shared" ca="1" si="311"/>
        <v>#NAME?</v>
      </c>
      <c r="BW378" s="442" t="e">
        <f t="shared" ca="1" si="312"/>
        <v>#NAME?</v>
      </c>
      <c r="BX378" s="470" t="e">
        <f t="shared" ca="1" si="285"/>
        <v>#NAME?</v>
      </c>
      <c r="BY378" s="484" t="e">
        <f t="shared" ca="1" si="297"/>
        <v>#NAME?</v>
      </c>
    </row>
    <row r="379" spans="9:77" ht="17.75" customHeight="1" x14ac:dyDescent="0.2">
      <c r="I379" s="366">
        <v>295</v>
      </c>
      <c r="J379" s="414">
        <f t="shared" si="298"/>
        <v>41705.91736111178</v>
      </c>
      <c r="K379" s="435" t="e">
        <f t="shared" ca="1" si="299"/>
        <v>#NAME?</v>
      </c>
      <c r="L379" s="435" t="e">
        <f t="shared" ca="1" si="286"/>
        <v>#NAME?</v>
      </c>
      <c r="M379" s="664" t="e">
        <f t="shared" ca="1" si="340"/>
        <v>#NAME?</v>
      </c>
      <c r="N379" s="664" t="e">
        <f t="shared" ca="1" si="341"/>
        <v>#NAME?</v>
      </c>
      <c r="O379" s="140" t="e">
        <f t="shared" ca="1" si="287"/>
        <v>#NAME?</v>
      </c>
      <c r="P379" s="352" t="e">
        <f t="shared" ca="1" si="300"/>
        <v>#NAME?</v>
      </c>
      <c r="Q379" s="665" t="e">
        <f t="shared" ca="1" si="280"/>
        <v>#NAME?</v>
      </c>
      <c r="R379" s="352" t="e">
        <f t="shared" ca="1" si="313"/>
        <v>#NAME?</v>
      </c>
      <c r="S379" s="662" t="e">
        <f t="shared" ca="1" si="288"/>
        <v>#NAME?</v>
      </c>
      <c r="T379" s="443" t="e">
        <f t="shared" ca="1" si="281"/>
        <v>#NAME?</v>
      </c>
      <c r="U379" s="369" t="e">
        <f t="shared" ca="1" si="282"/>
        <v>#NAME?</v>
      </c>
      <c r="V379" s="454" t="e">
        <f t="shared" ca="1" si="289"/>
        <v>#NAME?</v>
      </c>
      <c r="W379" s="457">
        <f t="shared" si="290"/>
        <v>1000</v>
      </c>
      <c r="X379" s="463" t="e">
        <f t="shared" ca="1" si="291"/>
        <v>#NAME?</v>
      </c>
      <c r="Y379" s="455" t="e">
        <f t="shared" ca="1" si="301"/>
        <v>#NAME?</v>
      </c>
      <c r="Z379" s="699">
        <f t="shared" si="283"/>
        <v>8.5</v>
      </c>
      <c r="AA379" s="355" t="str">
        <f t="shared" si="284"/>
        <v>ON</v>
      </c>
      <c r="AB379" s="357">
        <f t="shared" si="314"/>
        <v>1.4999999999999999E-2</v>
      </c>
      <c r="AC379" s="356" t="e">
        <f ca="1">IF(  Y378=0,0,IF(OR(S379="KCAS",S379="INOP",S379="MEFE"),   ( (5*( (   (((1+0.2*(T379/661.4786)^2)^3.5 -1)  )/( (1-6.8755856*10^-6 *100*Y379)^5.2558797) +1)^(2/7) -1) )^0.5),IF(S379="MACH",T379, IF(S379="LRC",BicubicInterpolation( 'LRC Mach'!$C$4:$AL$21, Y379,U379),  IF(S379="MRC",BicubicInterpolation( 'MRC Mach'!$C$3:$T$18, Y379,U379),  IF(S379="M0.84",0.84,  IF(S379="CI52",BicubicInterpolation('CI=52 Mach'!$C$3:$T$18, Y379,U379),  IF(S379="HOLDING",BicubicInterpolation(  'Holding Mach'!$C$4:$M$13, Y379,U379),                         IF(S379="LRCINOP", BicubicInterpolation('LRC INOP Mach'!$C$4:$AA$21,Y379,U379), IF(S379="HOLDINGINOP",  BicubicInterpolation('Holding INOP Mach'!$N$4:$U$13,Y379,U379),         "XXX" )))))))   )))</f>
        <v>#NAME?</v>
      </c>
      <c r="AD379" s="313" t="e">
        <f t="shared" ca="1" si="315"/>
        <v>#NAME?</v>
      </c>
      <c r="AE379" s="314" t="e">
        <f t="shared" ca="1" si="302"/>
        <v>#NAME?</v>
      </c>
      <c r="AF379" s="313" t="e">
        <f t="shared" ca="1" si="316"/>
        <v>#NAME?</v>
      </c>
      <c r="AG379" s="314" t="e">
        <f t="shared" ca="1" si="303"/>
        <v>#NAME?</v>
      </c>
      <c r="AH379" s="313" t="e">
        <f t="shared" ca="1" si="317"/>
        <v>#NAME?</v>
      </c>
      <c r="AI379" s="314" t="e">
        <f t="shared" ca="1" si="304"/>
        <v>#NAME?</v>
      </c>
      <c r="AJ379" s="315" t="e">
        <f t="shared" ca="1" si="305"/>
        <v>#NAME?</v>
      </c>
      <c r="AK379" s="568" t="e">
        <f t="shared" ca="1" si="318"/>
        <v>#NAME?</v>
      </c>
      <c r="AL379" s="313" t="e">
        <f t="shared" ca="1" si="319"/>
        <v>#NAME?</v>
      </c>
      <c r="AM379" s="313" t="e">
        <f t="shared" ca="1" si="306"/>
        <v>#NAME?</v>
      </c>
      <c r="AN379" s="313" t="e">
        <f t="shared" ca="1" si="307"/>
        <v>#NAME?</v>
      </c>
      <c r="AO379" s="316" t="e">
        <f t="shared" ca="1" si="320"/>
        <v>#NAME?</v>
      </c>
      <c r="AP379" s="313" t="e">
        <f t="shared" ca="1" si="321"/>
        <v>#NAME?</v>
      </c>
      <c r="AQ379" s="314" t="e">
        <f t="shared" ca="1" si="308"/>
        <v>#NAME?</v>
      </c>
      <c r="AR379" s="315" t="e">
        <f t="shared" ca="1" si="322"/>
        <v>#NAME?</v>
      </c>
      <c r="AS379" s="316" t="e">
        <f t="shared" ca="1" si="323"/>
        <v>#NAME?</v>
      </c>
      <c r="AT379" s="315" t="e">
        <f t="shared" ca="1" si="324"/>
        <v>#NAME?</v>
      </c>
      <c r="AU379" s="317">
        <v>427.8</v>
      </c>
      <c r="AV379" s="315" t="e">
        <f t="shared" ca="1" si="325"/>
        <v>#NAME?</v>
      </c>
      <c r="AW379" s="318" t="e">
        <f ca="1">0.0001*BicubicInterpolation('Drag Coef Table'!$B$4:$L$28,AV379,AC379)</f>
        <v>#NAME?</v>
      </c>
      <c r="AX379" s="319" t="e">
        <f t="shared" ca="1" si="326"/>
        <v>#NAME?</v>
      </c>
      <c r="AY379" s="318" t="e">
        <f t="shared" ca="1" si="327"/>
        <v>#NAME?</v>
      </c>
      <c r="AZ379" s="320" t="e">
        <f t="shared" ca="1" si="328"/>
        <v>#NAME?</v>
      </c>
      <c r="BA379" s="321" t="e">
        <f t="shared" ca="1" si="329"/>
        <v>#NAME?</v>
      </c>
      <c r="BB379" s="322" t="e">
        <f t="shared" ca="1" si="330"/>
        <v>#NAME?</v>
      </c>
      <c r="BC379" s="323">
        <v>75.196700000000007</v>
      </c>
      <c r="BD379" s="324" t="e">
        <f t="shared" ca="1" si="331"/>
        <v>#NAME?</v>
      </c>
      <c r="BE379" s="325" t="e">
        <f t="shared" ca="1" si="332"/>
        <v>#NAME?</v>
      </c>
      <c r="BF379" s="324" t="e">
        <f ca="1">BicubicInterpolation('TSFC Eff Table'!$B$4:$E$69,2,BB379)</f>
        <v>#NAME?</v>
      </c>
      <c r="BG379" s="326" t="e">
        <f t="shared" ca="1" si="333"/>
        <v>#NAME?</v>
      </c>
      <c r="BH379" s="694" t="e">
        <f ca="1">IF( S379="LRCINOP",   (1+(0.03/10)*Z379*(1+0.2*AC379^2) )*BicubicInterpolation( 'LRC INOP FF'!$C$4:$AA$21, Y379, U379 )-200, IF(S379 ="HOLDINGINOP", (1+(0.03/10)*Z379*(1+0.2*AC379^2) )*BicubicInterpolation( 'Holding INOP FF'!$C$4:$J$13,  Y379,  U379)/1.05-200,   BA379*BG379))</f>
        <v>#NAME?</v>
      </c>
      <c r="BI379" s="344" t="e">
        <f t="shared" ca="1" si="292"/>
        <v>#NAME?</v>
      </c>
      <c r="BJ379" s="322" t="e">
        <f t="shared" ca="1" si="334"/>
        <v>#NAME?</v>
      </c>
      <c r="BK379" s="338" t="e">
        <f t="shared" ca="1" si="293"/>
        <v>#NAME?</v>
      </c>
      <c r="BL379" s="327" t="e">
        <f t="shared" ca="1" si="335"/>
        <v>#NAME?</v>
      </c>
      <c r="BM379" s="328">
        <f t="shared" si="336"/>
        <v>200</v>
      </c>
      <c r="BN379" s="329" t="e">
        <f t="shared" ca="1" si="337"/>
        <v>#NAME?</v>
      </c>
      <c r="BO379" s="344" t="e">
        <f t="shared" ca="1" si="294"/>
        <v>#NAME?</v>
      </c>
      <c r="BP379" s="320" t="e">
        <f t="shared" ca="1" si="338"/>
        <v>#NAME?</v>
      </c>
      <c r="BQ379" s="344" t="e">
        <f t="shared" ca="1" si="295"/>
        <v>#NAME?</v>
      </c>
      <c r="BR379" s="347" t="e">
        <f t="shared" ca="1" si="296"/>
        <v>#NAME?</v>
      </c>
      <c r="BS379" s="326" t="e">
        <f t="shared" ca="1" si="339"/>
        <v>#NAME?</v>
      </c>
      <c r="BT379" s="437" t="e">
        <f t="shared" ca="1" si="309"/>
        <v>#NAME?</v>
      </c>
      <c r="BU379" s="437" t="e">
        <f t="shared" ca="1" si="310"/>
        <v>#NAME?</v>
      </c>
      <c r="BV379" s="441" t="e">
        <f t="shared" ca="1" si="311"/>
        <v>#NAME?</v>
      </c>
      <c r="BW379" s="442" t="e">
        <f t="shared" ca="1" si="312"/>
        <v>#NAME?</v>
      </c>
      <c r="BX379" s="470" t="e">
        <f t="shared" ca="1" si="285"/>
        <v>#NAME?</v>
      </c>
      <c r="BY379" s="484" t="e">
        <f t="shared" ca="1" si="297"/>
        <v>#NAME?</v>
      </c>
    </row>
    <row r="380" spans="9:77" ht="17.75" customHeight="1" x14ac:dyDescent="0.2">
      <c r="I380" s="366">
        <v>296</v>
      </c>
      <c r="J380" s="414">
        <f t="shared" si="298"/>
        <v>41705.918055556227</v>
      </c>
      <c r="K380" s="435" t="e">
        <f t="shared" ca="1" si="299"/>
        <v>#NAME?</v>
      </c>
      <c r="L380" s="435" t="e">
        <f t="shared" ca="1" si="286"/>
        <v>#NAME?</v>
      </c>
      <c r="M380" s="664" t="e">
        <f t="shared" ca="1" si="340"/>
        <v>#NAME?</v>
      </c>
      <c r="N380" s="664" t="e">
        <f t="shared" ca="1" si="341"/>
        <v>#NAME?</v>
      </c>
      <c r="O380" s="140" t="e">
        <f t="shared" ca="1" si="287"/>
        <v>#NAME?</v>
      </c>
      <c r="P380" s="352" t="e">
        <f t="shared" ca="1" si="300"/>
        <v>#NAME?</v>
      </c>
      <c r="Q380" s="665" t="e">
        <f t="shared" ca="1" si="280"/>
        <v>#NAME?</v>
      </c>
      <c r="R380" s="352" t="e">
        <f t="shared" ca="1" si="313"/>
        <v>#NAME?</v>
      </c>
      <c r="S380" s="662" t="e">
        <f t="shared" ca="1" si="288"/>
        <v>#NAME?</v>
      </c>
      <c r="T380" s="443" t="e">
        <f t="shared" ca="1" si="281"/>
        <v>#NAME?</v>
      </c>
      <c r="U380" s="369" t="e">
        <f t="shared" ca="1" si="282"/>
        <v>#NAME?</v>
      </c>
      <c r="V380" s="454" t="e">
        <f t="shared" ca="1" si="289"/>
        <v>#NAME?</v>
      </c>
      <c r="W380" s="457">
        <f t="shared" si="290"/>
        <v>1000</v>
      </c>
      <c r="X380" s="463" t="e">
        <f t="shared" ca="1" si="291"/>
        <v>#NAME?</v>
      </c>
      <c r="Y380" s="455" t="e">
        <f t="shared" ca="1" si="301"/>
        <v>#NAME?</v>
      </c>
      <c r="Z380" s="699">
        <f t="shared" si="283"/>
        <v>8.5</v>
      </c>
      <c r="AA380" s="355" t="str">
        <f t="shared" si="284"/>
        <v>ON</v>
      </c>
      <c r="AB380" s="357">
        <f t="shared" si="314"/>
        <v>1.4999999999999999E-2</v>
      </c>
      <c r="AC380" s="356" t="e">
        <f ca="1">IF(  Y379=0,0,IF(OR(S380="KCAS",S380="INOP",S380="MEFE"),   ( (5*( (   (((1+0.2*(T380/661.4786)^2)^3.5 -1)  )/( (1-6.8755856*10^-6 *100*Y380)^5.2558797) +1)^(2/7) -1) )^0.5),IF(S380="MACH",T380, IF(S380="LRC",BicubicInterpolation( 'LRC Mach'!$C$4:$AL$21, Y380,U380),  IF(S380="MRC",BicubicInterpolation( 'MRC Mach'!$C$3:$T$18, Y380,U380),  IF(S380="M0.84",0.84,  IF(S380="CI52",BicubicInterpolation('CI=52 Mach'!$C$3:$T$18, Y380,U380),  IF(S380="HOLDING",BicubicInterpolation(  'Holding Mach'!$C$4:$M$13, Y380,U380),                         IF(S380="LRCINOP", BicubicInterpolation('LRC INOP Mach'!$C$4:$AA$21,Y380,U380), IF(S380="HOLDINGINOP",  BicubicInterpolation('Holding INOP Mach'!$N$4:$U$13,Y380,U380),         "XXX" )))))))   )))</f>
        <v>#NAME?</v>
      </c>
      <c r="AD380" s="313" t="e">
        <f t="shared" ca="1" si="315"/>
        <v>#NAME?</v>
      </c>
      <c r="AE380" s="314" t="e">
        <f t="shared" ca="1" si="302"/>
        <v>#NAME?</v>
      </c>
      <c r="AF380" s="313" t="e">
        <f t="shared" ca="1" si="316"/>
        <v>#NAME?</v>
      </c>
      <c r="AG380" s="314" t="e">
        <f t="shared" ca="1" si="303"/>
        <v>#NAME?</v>
      </c>
      <c r="AH380" s="313" t="e">
        <f t="shared" ca="1" si="317"/>
        <v>#NAME?</v>
      </c>
      <c r="AI380" s="314" t="e">
        <f t="shared" ca="1" si="304"/>
        <v>#NAME?</v>
      </c>
      <c r="AJ380" s="315" t="e">
        <f t="shared" ca="1" si="305"/>
        <v>#NAME?</v>
      </c>
      <c r="AK380" s="568" t="e">
        <f t="shared" ca="1" si="318"/>
        <v>#NAME?</v>
      </c>
      <c r="AL380" s="313" t="e">
        <f t="shared" ca="1" si="319"/>
        <v>#NAME?</v>
      </c>
      <c r="AM380" s="313" t="e">
        <f t="shared" ca="1" si="306"/>
        <v>#NAME?</v>
      </c>
      <c r="AN380" s="313" t="e">
        <f t="shared" ca="1" si="307"/>
        <v>#NAME?</v>
      </c>
      <c r="AO380" s="316" t="e">
        <f t="shared" ca="1" si="320"/>
        <v>#NAME?</v>
      </c>
      <c r="AP380" s="313" t="e">
        <f t="shared" ca="1" si="321"/>
        <v>#NAME?</v>
      </c>
      <c r="AQ380" s="314" t="e">
        <f t="shared" ca="1" si="308"/>
        <v>#NAME?</v>
      </c>
      <c r="AR380" s="315" t="e">
        <f t="shared" ca="1" si="322"/>
        <v>#NAME?</v>
      </c>
      <c r="AS380" s="316" t="e">
        <f t="shared" ca="1" si="323"/>
        <v>#NAME?</v>
      </c>
      <c r="AT380" s="315" t="e">
        <f t="shared" ca="1" si="324"/>
        <v>#NAME?</v>
      </c>
      <c r="AU380" s="317">
        <v>427.8</v>
      </c>
      <c r="AV380" s="315" t="e">
        <f t="shared" ca="1" si="325"/>
        <v>#NAME?</v>
      </c>
      <c r="AW380" s="318" t="e">
        <f ca="1">0.0001*BicubicInterpolation('Drag Coef Table'!$B$4:$L$28,AV380,AC380)</f>
        <v>#NAME?</v>
      </c>
      <c r="AX380" s="319" t="e">
        <f t="shared" ca="1" si="326"/>
        <v>#NAME?</v>
      </c>
      <c r="AY380" s="318" t="e">
        <f t="shared" ca="1" si="327"/>
        <v>#NAME?</v>
      </c>
      <c r="AZ380" s="320" t="e">
        <f t="shared" ca="1" si="328"/>
        <v>#NAME?</v>
      </c>
      <c r="BA380" s="321" t="e">
        <f t="shared" ca="1" si="329"/>
        <v>#NAME?</v>
      </c>
      <c r="BB380" s="322" t="e">
        <f t="shared" ca="1" si="330"/>
        <v>#NAME?</v>
      </c>
      <c r="BC380" s="323">
        <v>75.196700000000007</v>
      </c>
      <c r="BD380" s="324" t="e">
        <f t="shared" ca="1" si="331"/>
        <v>#NAME?</v>
      </c>
      <c r="BE380" s="325" t="e">
        <f t="shared" ca="1" si="332"/>
        <v>#NAME?</v>
      </c>
      <c r="BF380" s="324" t="e">
        <f ca="1">BicubicInterpolation('TSFC Eff Table'!$B$4:$E$69,2,BB380)</f>
        <v>#NAME?</v>
      </c>
      <c r="BG380" s="326" t="e">
        <f t="shared" ca="1" si="333"/>
        <v>#NAME?</v>
      </c>
      <c r="BH380" s="694" t="e">
        <f ca="1">IF( S380="LRCINOP",   (1+(0.03/10)*Z380*(1+0.2*AC380^2) )*BicubicInterpolation( 'LRC INOP FF'!$C$4:$AA$21, Y380, U380 )-200, IF(S380 ="HOLDINGINOP", (1+(0.03/10)*Z380*(1+0.2*AC380^2) )*BicubicInterpolation( 'Holding INOP FF'!$C$4:$J$13,  Y380,  U380)/1.05-200,   BA380*BG380))</f>
        <v>#NAME?</v>
      </c>
      <c r="BI380" s="344" t="e">
        <f t="shared" ca="1" si="292"/>
        <v>#NAME?</v>
      </c>
      <c r="BJ380" s="322" t="e">
        <f t="shared" ca="1" si="334"/>
        <v>#NAME?</v>
      </c>
      <c r="BK380" s="338" t="e">
        <f t="shared" ca="1" si="293"/>
        <v>#NAME?</v>
      </c>
      <c r="BL380" s="327" t="e">
        <f t="shared" ca="1" si="335"/>
        <v>#NAME?</v>
      </c>
      <c r="BM380" s="328">
        <f t="shared" si="336"/>
        <v>200</v>
      </c>
      <c r="BN380" s="329" t="e">
        <f t="shared" ca="1" si="337"/>
        <v>#NAME?</v>
      </c>
      <c r="BO380" s="344" t="e">
        <f t="shared" ca="1" si="294"/>
        <v>#NAME?</v>
      </c>
      <c r="BP380" s="320" t="e">
        <f t="shared" ca="1" si="338"/>
        <v>#NAME?</v>
      </c>
      <c r="BQ380" s="344" t="e">
        <f t="shared" ca="1" si="295"/>
        <v>#NAME?</v>
      </c>
      <c r="BR380" s="347" t="e">
        <f t="shared" ca="1" si="296"/>
        <v>#NAME?</v>
      </c>
      <c r="BS380" s="326" t="e">
        <f t="shared" ca="1" si="339"/>
        <v>#NAME?</v>
      </c>
      <c r="BT380" s="437" t="e">
        <f t="shared" ca="1" si="309"/>
        <v>#NAME?</v>
      </c>
      <c r="BU380" s="437" t="e">
        <f t="shared" ca="1" si="310"/>
        <v>#NAME?</v>
      </c>
      <c r="BV380" s="441" t="e">
        <f t="shared" ca="1" si="311"/>
        <v>#NAME?</v>
      </c>
      <c r="BW380" s="442" t="e">
        <f t="shared" ca="1" si="312"/>
        <v>#NAME?</v>
      </c>
      <c r="BX380" s="470" t="e">
        <f t="shared" ca="1" si="285"/>
        <v>#NAME?</v>
      </c>
      <c r="BY380" s="484" t="e">
        <f t="shared" ca="1" si="297"/>
        <v>#NAME?</v>
      </c>
    </row>
    <row r="381" spans="9:77" ht="17.75" customHeight="1" x14ac:dyDescent="0.2">
      <c r="I381" s="366">
        <v>297</v>
      </c>
      <c r="J381" s="414">
        <f t="shared" si="298"/>
        <v>41705.918750000674</v>
      </c>
      <c r="K381" s="435" t="e">
        <f t="shared" ca="1" si="299"/>
        <v>#NAME?</v>
      </c>
      <c r="L381" s="435" t="e">
        <f t="shared" ca="1" si="286"/>
        <v>#NAME?</v>
      </c>
      <c r="M381" s="664" t="e">
        <f t="shared" ca="1" si="340"/>
        <v>#NAME?</v>
      </c>
      <c r="N381" s="664" t="e">
        <f t="shared" ca="1" si="341"/>
        <v>#NAME?</v>
      </c>
      <c r="O381" s="140" t="e">
        <f t="shared" ca="1" si="287"/>
        <v>#NAME?</v>
      </c>
      <c r="P381" s="352" t="e">
        <f t="shared" ca="1" si="300"/>
        <v>#NAME?</v>
      </c>
      <c r="Q381" s="665" t="e">
        <f t="shared" ca="1" si="280"/>
        <v>#NAME?</v>
      </c>
      <c r="R381" s="352" t="e">
        <f t="shared" ca="1" si="313"/>
        <v>#NAME?</v>
      </c>
      <c r="S381" s="662" t="e">
        <f t="shared" ca="1" si="288"/>
        <v>#NAME?</v>
      </c>
      <c r="T381" s="443" t="e">
        <f t="shared" ca="1" si="281"/>
        <v>#NAME?</v>
      </c>
      <c r="U381" s="369" t="e">
        <f t="shared" ca="1" si="282"/>
        <v>#NAME?</v>
      </c>
      <c r="V381" s="454" t="e">
        <f t="shared" ca="1" si="289"/>
        <v>#NAME?</v>
      </c>
      <c r="W381" s="457">
        <f t="shared" si="290"/>
        <v>1000</v>
      </c>
      <c r="X381" s="463" t="e">
        <f t="shared" ca="1" si="291"/>
        <v>#NAME?</v>
      </c>
      <c r="Y381" s="455" t="e">
        <f t="shared" ca="1" si="301"/>
        <v>#NAME?</v>
      </c>
      <c r="Z381" s="699">
        <f t="shared" si="283"/>
        <v>8.5</v>
      </c>
      <c r="AA381" s="355" t="str">
        <f t="shared" si="284"/>
        <v>ON</v>
      </c>
      <c r="AB381" s="357">
        <f t="shared" si="314"/>
        <v>1.4999999999999999E-2</v>
      </c>
      <c r="AC381" s="356" t="e">
        <f ca="1">IF(  Y380=0,0,IF(OR(S381="KCAS",S381="INOP",S381="MEFE"),   ( (5*( (   (((1+0.2*(T381/661.4786)^2)^3.5 -1)  )/( (1-6.8755856*10^-6 *100*Y381)^5.2558797) +1)^(2/7) -1) )^0.5),IF(S381="MACH",T381, IF(S381="LRC",BicubicInterpolation( 'LRC Mach'!$C$4:$AL$21, Y381,U381),  IF(S381="MRC",BicubicInterpolation( 'MRC Mach'!$C$3:$T$18, Y381,U381),  IF(S381="M0.84",0.84,  IF(S381="CI52",BicubicInterpolation('CI=52 Mach'!$C$3:$T$18, Y381,U381),  IF(S381="HOLDING",BicubicInterpolation(  'Holding Mach'!$C$4:$M$13, Y381,U381),                         IF(S381="LRCINOP", BicubicInterpolation('LRC INOP Mach'!$C$4:$AA$21,Y381,U381), IF(S381="HOLDINGINOP",  BicubicInterpolation('Holding INOP Mach'!$N$4:$U$13,Y381,U381),         "XXX" )))))))   )))</f>
        <v>#NAME?</v>
      </c>
      <c r="AD381" s="313" t="e">
        <f t="shared" ca="1" si="315"/>
        <v>#NAME?</v>
      </c>
      <c r="AE381" s="314" t="e">
        <f t="shared" ca="1" si="302"/>
        <v>#NAME?</v>
      </c>
      <c r="AF381" s="313" t="e">
        <f t="shared" ca="1" si="316"/>
        <v>#NAME?</v>
      </c>
      <c r="AG381" s="314" t="e">
        <f t="shared" ca="1" si="303"/>
        <v>#NAME?</v>
      </c>
      <c r="AH381" s="313" t="e">
        <f t="shared" ca="1" si="317"/>
        <v>#NAME?</v>
      </c>
      <c r="AI381" s="314" t="e">
        <f t="shared" ca="1" si="304"/>
        <v>#NAME?</v>
      </c>
      <c r="AJ381" s="315" t="e">
        <f t="shared" ca="1" si="305"/>
        <v>#NAME?</v>
      </c>
      <c r="AK381" s="568" t="e">
        <f t="shared" ca="1" si="318"/>
        <v>#NAME?</v>
      </c>
      <c r="AL381" s="313" t="e">
        <f t="shared" ca="1" si="319"/>
        <v>#NAME?</v>
      </c>
      <c r="AM381" s="313" t="e">
        <f t="shared" ca="1" si="306"/>
        <v>#NAME?</v>
      </c>
      <c r="AN381" s="313" t="e">
        <f t="shared" ca="1" si="307"/>
        <v>#NAME?</v>
      </c>
      <c r="AO381" s="316" t="e">
        <f t="shared" ca="1" si="320"/>
        <v>#NAME?</v>
      </c>
      <c r="AP381" s="313" t="e">
        <f t="shared" ca="1" si="321"/>
        <v>#NAME?</v>
      </c>
      <c r="AQ381" s="314" t="e">
        <f t="shared" ca="1" si="308"/>
        <v>#NAME?</v>
      </c>
      <c r="AR381" s="315" t="e">
        <f t="shared" ca="1" si="322"/>
        <v>#NAME?</v>
      </c>
      <c r="AS381" s="316" t="e">
        <f t="shared" ca="1" si="323"/>
        <v>#NAME?</v>
      </c>
      <c r="AT381" s="315" t="e">
        <f t="shared" ca="1" si="324"/>
        <v>#NAME?</v>
      </c>
      <c r="AU381" s="317">
        <v>427.8</v>
      </c>
      <c r="AV381" s="315" t="e">
        <f t="shared" ca="1" si="325"/>
        <v>#NAME?</v>
      </c>
      <c r="AW381" s="318" t="e">
        <f ca="1">0.0001*BicubicInterpolation('Drag Coef Table'!$B$4:$L$28,AV381,AC381)</f>
        <v>#NAME?</v>
      </c>
      <c r="AX381" s="319" t="e">
        <f t="shared" ca="1" si="326"/>
        <v>#NAME?</v>
      </c>
      <c r="AY381" s="318" t="e">
        <f t="shared" ca="1" si="327"/>
        <v>#NAME?</v>
      </c>
      <c r="AZ381" s="320" t="e">
        <f t="shared" ca="1" si="328"/>
        <v>#NAME?</v>
      </c>
      <c r="BA381" s="321" t="e">
        <f t="shared" ca="1" si="329"/>
        <v>#NAME?</v>
      </c>
      <c r="BB381" s="322" t="e">
        <f t="shared" ca="1" si="330"/>
        <v>#NAME?</v>
      </c>
      <c r="BC381" s="323">
        <v>75.196700000000007</v>
      </c>
      <c r="BD381" s="324" t="e">
        <f t="shared" ca="1" si="331"/>
        <v>#NAME?</v>
      </c>
      <c r="BE381" s="325" t="e">
        <f t="shared" ca="1" si="332"/>
        <v>#NAME?</v>
      </c>
      <c r="BF381" s="324" t="e">
        <f ca="1">BicubicInterpolation('TSFC Eff Table'!$B$4:$E$69,2,BB381)</f>
        <v>#NAME?</v>
      </c>
      <c r="BG381" s="326" t="e">
        <f t="shared" ca="1" si="333"/>
        <v>#NAME?</v>
      </c>
      <c r="BH381" s="694" t="e">
        <f ca="1">IF( S381="LRCINOP",   (1+(0.03/10)*Z381*(1+0.2*AC381^2) )*BicubicInterpolation( 'LRC INOP FF'!$C$4:$AA$21, Y381, U381 )-200, IF(S381 ="HOLDINGINOP", (1+(0.03/10)*Z381*(1+0.2*AC381^2) )*BicubicInterpolation( 'Holding INOP FF'!$C$4:$J$13,  Y381,  U381)/1.05-200,   BA381*BG381))</f>
        <v>#NAME?</v>
      </c>
      <c r="BI381" s="344" t="e">
        <f t="shared" ca="1" si="292"/>
        <v>#NAME?</v>
      </c>
      <c r="BJ381" s="322" t="e">
        <f t="shared" ca="1" si="334"/>
        <v>#NAME?</v>
      </c>
      <c r="BK381" s="338" t="e">
        <f t="shared" ca="1" si="293"/>
        <v>#NAME?</v>
      </c>
      <c r="BL381" s="327" t="e">
        <f t="shared" ca="1" si="335"/>
        <v>#NAME?</v>
      </c>
      <c r="BM381" s="328">
        <f t="shared" si="336"/>
        <v>200</v>
      </c>
      <c r="BN381" s="329" t="e">
        <f t="shared" ca="1" si="337"/>
        <v>#NAME?</v>
      </c>
      <c r="BO381" s="344" t="e">
        <f t="shared" ca="1" si="294"/>
        <v>#NAME?</v>
      </c>
      <c r="BP381" s="320" t="e">
        <f t="shared" ca="1" si="338"/>
        <v>#NAME?</v>
      </c>
      <c r="BQ381" s="344" t="e">
        <f t="shared" ca="1" si="295"/>
        <v>#NAME?</v>
      </c>
      <c r="BR381" s="347" t="e">
        <f t="shared" ca="1" si="296"/>
        <v>#NAME?</v>
      </c>
      <c r="BS381" s="326" t="e">
        <f t="shared" ca="1" si="339"/>
        <v>#NAME?</v>
      </c>
      <c r="BT381" s="437" t="e">
        <f t="shared" ca="1" si="309"/>
        <v>#NAME?</v>
      </c>
      <c r="BU381" s="437" t="e">
        <f t="shared" ca="1" si="310"/>
        <v>#NAME?</v>
      </c>
      <c r="BV381" s="441" t="e">
        <f t="shared" ca="1" si="311"/>
        <v>#NAME?</v>
      </c>
      <c r="BW381" s="442" t="e">
        <f t="shared" ca="1" si="312"/>
        <v>#NAME?</v>
      </c>
      <c r="BX381" s="470" t="e">
        <f t="shared" ca="1" si="285"/>
        <v>#NAME?</v>
      </c>
      <c r="BY381" s="484" t="e">
        <f t="shared" ca="1" si="297"/>
        <v>#NAME?</v>
      </c>
    </row>
    <row r="382" spans="9:77" ht="17.75" customHeight="1" x14ac:dyDescent="0.2">
      <c r="I382" s="366">
        <v>298</v>
      </c>
      <c r="J382" s="414">
        <f t="shared" si="298"/>
        <v>41705.91944444512</v>
      </c>
      <c r="K382" s="435" t="e">
        <f t="shared" ca="1" si="299"/>
        <v>#NAME?</v>
      </c>
      <c r="L382" s="435" t="e">
        <f t="shared" ca="1" si="286"/>
        <v>#NAME?</v>
      </c>
      <c r="M382" s="664" t="e">
        <f t="shared" ca="1" si="340"/>
        <v>#NAME?</v>
      </c>
      <c r="N382" s="664" t="e">
        <f t="shared" ca="1" si="341"/>
        <v>#NAME?</v>
      </c>
      <c r="O382" s="140" t="e">
        <f t="shared" ca="1" si="287"/>
        <v>#NAME?</v>
      </c>
      <c r="P382" s="352" t="e">
        <f t="shared" ca="1" si="300"/>
        <v>#NAME?</v>
      </c>
      <c r="Q382" s="665" t="e">
        <f t="shared" ca="1" si="280"/>
        <v>#NAME?</v>
      </c>
      <c r="R382" s="352" t="e">
        <f t="shared" ca="1" si="313"/>
        <v>#NAME?</v>
      </c>
      <c r="S382" s="662" t="e">
        <f t="shared" ca="1" si="288"/>
        <v>#NAME?</v>
      </c>
      <c r="T382" s="443" t="e">
        <f t="shared" ca="1" si="281"/>
        <v>#NAME?</v>
      </c>
      <c r="U382" s="369" t="e">
        <f t="shared" ca="1" si="282"/>
        <v>#NAME?</v>
      </c>
      <c r="V382" s="454" t="e">
        <f t="shared" ca="1" si="289"/>
        <v>#NAME?</v>
      </c>
      <c r="W382" s="457">
        <f t="shared" si="290"/>
        <v>1000</v>
      </c>
      <c r="X382" s="463" t="e">
        <f t="shared" ca="1" si="291"/>
        <v>#NAME?</v>
      </c>
      <c r="Y382" s="455" t="e">
        <f t="shared" ca="1" si="301"/>
        <v>#NAME?</v>
      </c>
      <c r="Z382" s="699">
        <f t="shared" si="283"/>
        <v>8.5</v>
      </c>
      <c r="AA382" s="355" t="str">
        <f t="shared" si="284"/>
        <v>ON</v>
      </c>
      <c r="AB382" s="357">
        <f t="shared" si="314"/>
        <v>1.4999999999999999E-2</v>
      </c>
      <c r="AC382" s="356" t="e">
        <f ca="1">IF(  Y381=0,0,IF(OR(S382="KCAS",S382="INOP",S382="MEFE"),   ( (5*( (   (((1+0.2*(T382/661.4786)^2)^3.5 -1)  )/( (1-6.8755856*10^-6 *100*Y382)^5.2558797) +1)^(2/7) -1) )^0.5),IF(S382="MACH",T382, IF(S382="LRC",BicubicInterpolation( 'LRC Mach'!$C$4:$AL$21, Y382,U382),  IF(S382="MRC",BicubicInterpolation( 'MRC Mach'!$C$3:$T$18, Y382,U382),  IF(S382="M0.84",0.84,  IF(S382="CI52",BicubicInterpolation('CI=52 Mach'!$C$3:$T$18, Y382,U382),  IF(S382="HOLDING",BicubicInterpolation(  'Holding Mach'!$C$4:$M$13, Y382,U382),                         IF(S382="LRCINOP", BicubicInterpolation('LRC INOP Mach'!$C$4:$AA$21,Y382,U382), IF(S382="HOLDINGINOP",  BicubicInterpolation('Holding INOP Mach'!$N$4:$U$13,Y382,U382),         "XXX" )))))))   )))</f>
        <v>#NAME?</v>
      </c>
      <c r="AD382" s="313" t="e">
        <f t="shared" ca="1" si="315"/>
        <v>#NAME?</v>
      </c>
      <c r="AE382" s="314" t="e">
        <f t="shared" ca="1" si="302"/>
        <v>#NAME?</v>
      </c>
      <c r="AF382" s="313" t="e">
        <f t="shared" ca="1" si="316"/>
        <v>#NAME?</v>
      </c>
      <c r="AG382" s="314" t="e">
        <f t="shared" ca="1" si="303"/>
        <v>#NAME?</v>
      </c>
      <c r="AH382" s="313" t="e">
        <f t="shared" ca="1" si="317"/>
        <v>#NAME?</v>
      </c>
      <c r="AI382" s="314" t="e">
        <f t="shared" ca="1" si="304"/>
        <v>#NAME?</v>
      </c>
      <c r="AJ382" s="315" t="e">
        <f t="shared" ca="1" si="305"/>
        <v>#NAME?</v>
      </c>
      <c r="AK382" s="568" t="e">
        <f t="shared" ca="1" si="318"/>
        <v>#NAME?</v>
      </c>
      <c r="AL382" s="313" t="e">
        <f t="shared" ca="1" si="319"/>
        <v>#NAME?</v>
      </c>
      <c r="AM382" s="313" t="e">
        <f t="shared" ca="1" si="306"/>
        <v>#NAME?</v>
      </c>
      <c r="AN382" s="313" t="e">
        <f t="shared" ca="1" si="307"/>
        <v>#NAME?</v>
      </c>
      <c r="AO382" s="316" t="e">
        <f t="shared" ca="1" si="320"/>
        <v>#NAME?</v>
      </c>
      <c r="AP382" s="313" t="e">
        <f t="shared" ca="1" si="321"/>
        <v>#NAME?</v>
      </c>
      <c r="AQ382" s="314" t="e">
        <f t="shared" ca="1" si="308"/>
        <v>#NAME?</v>
      </c>
      <c r="AR382" s="315" t="e">
        <f t="shared" ca="1" si="322"/>
        <v>#NAME?</v>
      </c>
      <c r="AS382" s="316" t="e">
        <f t="shared" ca="1" si="323"/>
        <v>#NAME?</v>
      </c>
      <c r="AT382" s="315" t="e">
        <f t="shared" ca="1" si="324"/>
        <v>#NAME?</v>
      </c>
      <c r="AU382" s="317">
        <v>427.8</v>
      </c>
      <c r="AV382" s="315" t="e">
        <f t="shared" ca="1" si="325"/>
        <v>#NAME?</v>
      </c>
      <c r="AW382" s="318" t="e">
        <f ca="1">0.0001*BicubicInterpolation('Drag Coef Table'!$B$4:$L$28,AV382,AC382)</f>
        <v>#NAME?</v>
      </c>
      <c r="AX382" s="319" t="e">
        <f t="shared" ca="1" si="326"/>
        <v>#NAME?</v>
      </c>
      <c r="AY382" s="318" t="e">
        <f t="shared" ca="1" si="327"/>
        <v>#NAME?</v>
      </c>
      <c r="AZ382" s="320" t="e">
        <f t="shared" ca="1" si="328"/>
        <v>#NAME?</v>
      </c>
      <c r="BA382" s="321" t="e">
        <f t="shared" ca="1" si="329"/>
        <v>#NAME?</v>
      </c>
      <c r="BB382" s="322" t="e">
        <f t="shared" ca="1" si="330"/>
        <v>#NAME?</v>
      </c>
      <c r="BC382" s="323">
        <v>75.196700000000007</v>
      </c>
      <c r="BD382" s="324" t="e">
        <f t="shared" ca="1" si="331"/>
        <v>#NAME?</v>
      </c>
      <c r="BE382" s="325" t="e">
        <f t="shared" ca="1" si="332"/>
        <v>#NAME?</v>
      </c>
      <c r="BF382" s="324" t="e">
        <f ca="1">BicubicInterpolation('TSFC Eff Table'!$B$4:$E$69,2,BB382)</f>
        <v>#NAME?</v>
      </c>
      <c r="BG382" s="326" t="e">
        <f t="shared" ca="1" si="333"/>
        <v>#NAME?</v>
      </c>
      <c r="BH382" s="694" t="e">
        <f ca="1">IF( S382="LRCINOP",   (1+(0.03/10)*Z382*(1+0.2*AC382^2) )*BicubicInterpolation( 'LRC INOP FF'!$C$4:$AA$21, Y382, U382 )-200, IF(S382 ="HOLDINGINOP", (1+(0.03/10)*Z382*(1+0.2*AC382^2) )*BicubicInterpolation( 'Holding INOP FF'!$C$4:$J$13,  Y382,  U382)/1.05-200,   BA382*BG382))</f>
        <v>#NAME?</v>
      </c>
      <c r="BI382" s="344" t="e">
        <f t="shared" ca="1" si="292"/>
        <v>#NAME?</v>
      </c>
      <c r="BJ382" s="322" t="e">
        <f t="shared" ca="1" si="334"/>
        <v>#NAME?</v>
      </c>
      <c r="BK382" s="338" t="e">
        <f t="shared" ca="1" si="293"/>
        <v>#NAME?</v>
      </c>
      <c r="BL382" s="327" t="e">
        <f t="shared" ca="1" si="335"/>
        <v>#NAME?</v>
      </c>
      <c r="BM382" s="328">
        <f t="shared" si="336"/>
        <v>200</v>
      </c>
      <c r="BN382" s="329" t="e">
        <f t="shared" ca="1" si="337"/>
        <v>#NAME?</v>
      </c>
      <c r="BO382" s="344" t="e">
        <f t="shared" ca="1" si="294"/>
        <v>#NAME?</v>
      </c>
      <c r="BP382" s="320" t="e">
        <f t="shared" ca="1" si="338"/>
        <v>#NAME?</v>
      </c>
      <c r="BQ382" s="344" t="e">
        <f t="shared" ca="1" si="295"/>
        <v>#NAME?</v>
      </c>
      <c r="BR382" s="347" t="e">
        <f t="shared" ca="1" si="296"/>
        <v>#NAME?</v>
      </c>
      <c r="BS382" s="326" t="e">
        <f t="shared" ca="1" si="339"/>
        <v>#NAME?</v>
      </c>
      <c r="BT382" s="437" t="e">
        <f t="shared" ca="1" si="309"/>
        <v>#NAME?</v>
      </c>
      <c r="BU382" s="437" t="e">
        <f t="shared" ca="1" si="310"/>
        <v>#NAME?</v>
      </c>
      <c r="BV382" s="441" t="e">
        <f t="shared" ca="1" si="311"/>
        <v>#NAME?</v>
      </c>
      <c r="BW382" s="442" t="e">
        <f t="shared" ca="1" si="312"/>
        <v>#NAME?</v>
      </c>
      <c r="BX382" s="470" t="e">
        <f t="shared" ca="1" si="285"/>
        <v>#NAME?</v>
      </c>
      <c r="BY382" s="484" t="e">
        <f t="shared" ca="1" si="297"/>
        <v>#NAME?</v>
      </c>
    </row>
    <row r="383" spans="9:77" ht="17.75" customHeight="1" x14ac:dyDescent="0.2">
      <c r="I383" s="366">
        <v>299</v>
      </c>
      <c r="J383" s="414">
        <f t="shared" si="298"/>
        <v>41705.920138889567</v>
      </c>
      <c r="K383" s="435" t="e">
        <f t="shared" ca="1" si="299"/>
        <v>#NAME?</v>
      </c>
      <c r="L383" s="435" t="e">
        <f t="shared" ca="1" si="286"/>
        <v>#NAME?</v>
      </c>
      <c r="M383" s="664" t="e">
        <f t="shared" ca="1" si="340"/>
        <v>#NAME?</v>
      </c>
      <c r="N383" s="664" t="e">
        <f t="shared" ca="1" si="341"/>
        <v>#NAME?</v>
      </c>
      <c r="O383" s="140" t="e">
        <f t="shared" ca="1" si="287"/>
        <v>#NAME?</v>
      </c>
      <c r="P383" s="352" t="e">
        <f t="shared" ca="1" si="300"/>
        <v>#NAME?</v>
      </c>
      <c r="Q383" s="665" t="e">
        <f t="shared" ca="1" si="280"/>
        <v>#NAME?</v>
      </c>
      <c r="R383" s="352" t="e">
        <f t="shared" ca="1" si="313"/>
        <v>#NAME?</v>
      </c>
      <c r="S383" s="662" t="e">
        <f t="shared" ca="1" si="288"/>
        <v>#NAME?</v>
      </c>
      <c r="T383" s="443" t="e">
        <f t="shared" ca="1" si="281"/>
        <v>#NAME?</v>
      </c>
      <c r="U383" s="369" t="e">
        <f t="shared" ca="1" si="282"/>
        <v>#NAME?</v>
      </c>
      <c r="V383" s="454" t="e">
        <f t="shared" ca="1" si="289"/>
        <v>#NAME?</v>
      </c>
      <c r="W383" s="457">
        <f t="shared" si="290"/>
        <v>1000</v>
      </c>
      <c r="X383" s="463" t="e">
        <f t="shared" ca="1" si="291"/>
        <v>#NAME?</v>
      </c>
      <c r="Y383" s="455" t="e">
        <f t="shared" ca="1" si="301"/>
        <v>#NAME?</v>
      </c>
      <c r="Z383" s="699">
        <f t="shared" si="283"/>
        <v>8.5</v>
      </c>
      <c r="AA383" s="355" t="str">
        <f t="shared" si="284"/>
        <v>ON</v>
      </c>
      <c r="AB383" s="357">
        <f t="shared" si="314"/>
        <v>1.4999999999999999E-2</v>
      </c>
      <c r="AC383" s="356" t="e">
        <f ca="1">IF(  Y382=0,0,IF(OR(S383="KCAS",S383="INOP",S383="MEFE"),   ( (5*( (   (((1+0.2*(T383/661.4786)^2)^3.5 -1)  )/( (1-6.8755856*10^-6 *100*Y383)^5.2558797) +1)^(2/7) -1) )^0.5),IF(S383="MACH",T383, IF(S383="LRC",BicubicInterpolation( 'LRC Mach'!$C$4:$AL$21, Y383,U383),  IF(S383="MRC",BicubicInterpolation( 'MRC Mach'!$C$3:$T$18, Y383,U383),  IF(S383="M0.84",0.84,  IF(S383="CI52",BicubicInterpolation('CI=52 Mach'!$C$3:$T$18, Y383,U383),  IF(S383="HOLDING",BicubicInterpolation(  'Holding Mach'!$C$4:$M$13, Y383,U383),                         IF(S383="LRCINOP", BicubicInterpolation('LRC INOP Mach'!$C$4:$AA$21,Y383,U383), IF(S383="HOLDINGINOP",  BicubicInterpolation('Holding INOP Mach'!$N$4:$U$13,Y383,U383),         "XXX" )))))))   )))</f>
        <v>#NAME?</v>
      </c>
      <c r="AD383" s="313" t="e">
        <f t="shared" ca="1" si="315"/>
        <v>#NAME?</v>
      </c>
      <c r="AE383" s="314" t="e">
        <f t="shared" ca="1" si="302"/>
        <v>#NAME?</v>
      </c>
      <c r="AF383" s="313" t="e">
        <f t="shared" ca="1" si="316"/>
        <v>#NAME?</v>
      </c>
      <c r="AG383" s="314" t="e">
        <f t="shared" ca="1" si="303"/>
        <v>#NAME?</v>
      </c>
      <c r="AH383" s="313" t="e">
        <f t="shared" ca="1" si="317"/>
        <v>#NAME?</v>
      </c>
      <c r="AI383" s="314" t="e">
        <f t="shared" ca="1" si="304"/>
        <v>#NAME?</v>
      </c>
      <c r="AJ383" s="315" t="e">
        <f t="shared" ca="1" si="305"/>
        <v>#NAME?</v>
      </c>
      <c r="AK383" s="568" t="e">
        <f t="shared" ca="1" si="318"/>
        <v>#NAME?</v>
      </c>
      <c r="AL383" s="313" t="e">
        <f t="shared" ca="1" si="319"/>
        <v>#NAME?</v>
      </c>
      <c r="AM383" s="313" t="e">
        <f t="shared" ca="1" si="306"/>
        <v>#NAME?</v>
      </c>
      <c r="AN383" s="313" t="e">
        <f t="shared" ca="1" si="307"/>
        <v>#NAME?</v>
      </c>
      <c r="AO383" s="316" t="e">
        <f t="shared" ca="1" si="320"/>
        <v>#NAME?</v>
      </c>
      <c r="AP383" s="313" t="e">
        <f t="shared" ca="1" si="321"/>
        <v>#NAME?</v>
      </c>
      <c r="AQ383" s="314" t="e">
        <f t="shared" ca="1" si="308"/>
        <v>#NAME?</v>
      </c>
      <c r="AR383" s="315" t="e">
        <f t="shared" ca="1" si="322"/>
        <v>#NAME?</v>
      </c>
      <c r="AS383" s="316" t="e">
        <f t="shared" ca="1" si="323"/>
        <v>#NAME?</v>
      </c>
      <c r="AT383" s="315" t="e">
        <f t="shared" ca="1" si="324"/>
        <v>#NAME?</v>
      </c>
      <c r="AU383" s="317">
        <v>427.8</v>
      </c>
      <c r="AV383" s="315" t="e">
        <f t="shared" ca="1" si="325"/>
        <v>#NAME?</v>
      </c>
      <c r="AW383" s="318" t="e">
        <f ca="1">0.0001*BicubicInterpolation('Drag Coef Table'!$B$4:$L$28,AV383,AC383)</f>
        <v>#NAME?</v>
      </c>
      <c r="AX383" s="319" t="e">
        <f t="shared" ca="1" si="326"/>
        <v>#NAME?</v>
      </c>
      <c r="AY383" s="318" t="e">
        <f t="shared" ca="1" si="327"/>
        <v>#NAME?</v>
      </c>
      <c r="AZ383" s="320" t="e">
        <f t="shared" ca="1" si="328"/>
        <v>#NAME?</v>
      </c>
      <c r="BA383" s="321" t="e">
        <f t="shared" ca="1" si="329"/>
        <v>#NAME?</v>
      </c>
      <c r="BB383" s="322" t="e">
        <f t="shared" ca="1" si="330"/>
        <v>#NAME?</v>
      </c>
      <c r="BC383" s="323">
        <v>75.196700000000007</v>
      </c>
      <c r="BD383" s="324" t="e">
        <f t="shared" ca="1" si="331"/>
        <v>#NAME?</v>
      </c>
      <c r="BE383" s="325" t="e">
        <f t="shared" ca="1" si="332"/>
        <v>#NAME?</v>
      </c>
      <c r="BF383" s="324" t="e">
        <f ca="1">BicubicInterpolation('TSFC Eff Table'!$B$4:$E$69,2,BB383)</f>
        <v>#NAME?</v>
      </c>
      <c r="BG383" s="326" t="e">
        <f t="shared" ca="1" si="333"/>
        <v>#NAME?</v>
      </c>
      <c r="BH383" s="694" t="e">
        <f ca="1">IF( S383="LRCINOP",   (1+(0.03/10)*Z383*(1+0.2*AC383^2) )*BicubicInterpolation( 'LRC INOP FF'!$C$4:$AA$21, Y383, U383 )-200, IF(S383 ="HOLDINGINOP", (1+(0.03/10)*Z383*(1+0.2*AC383^2) )*BicubicInterpolation( 'Holding INOP FF'!$C$4:$J$13,  Y383,  U383)/1.05-200,   BA383*BG383))</f>
        <v>#NAME?</v>
      </c>
      <c r="BI383" s="344" t="e">
        <f t="shared" ca="1" si="292"/>
        <v>#NAME?</v>
      </c>
      <c r="BJ383" s="322" t="e">
        <f t="shared" ca="1" si="334"/>
        <v>#NAME?</v>
      </c>
      <c r="BK383" s="338" t="e">
        <f t="shared" ca="1" si="293"/>
        <v>#NAME?</v>
      </c>
      <c r="BL383" s="327" t="e">
        <f t="shared" ca="1" si="335"/>
        <v>#NAME?</v>
      </c>
      <c r="BM383" s="328">
        <f t="shared" si="336"/>
        <v>200</v>
      </c>
      <c r="BN383" s="329" t="e">
        <f t="shared" ca="1" si="337"/>
        <v>#NAME?</v>
      </c>
      <c r="BO383" s="344" t="e">
        <f t="shared" ca="1" si="294"/>
        <v>#NAME?</v>
      </c>
      <c r="BP383" s="320" t="e">
        <f t="shared" ca="1" si="338"/>
        <v>#NAME?</v>
      </c>
      <c r="BQ383" s="344" t="e">
        <f t="shared" ca="1" si="295"/>
        <v>#NAME?</v>
      </c>
      <c r="BR383" s="347" t="e">
        <f t="shared" ca="1" si="296"/>
        <v>#NAME?</v>
      </c>
      <c r="BS383" s="326" t="e">
        <f t="shared" ca="1" si="339"/>
        <v>#NAME?</v>
      </c>
      <c r="BT383" s="437" t="e">
        <f t="shared" ca="1" si="309"/>
        <v>#NAME?</v>
      </c>
      <c r="BU383" s="437" t="e">
        <f t="shared" ca="1" si="310"/>
        <v>#NAME?</v>
      </c>
      <c r="BV383" s="441" t="e">
        <f t="shared" ca="1" si="311"/>
        <v>#NAME?</v>
      </c>
      <c r="BW383" s="442" t="e">
        <f t="shared" ca="1" si="312"/>
        <v>#NAME?</v>
      </c>
      <c r="BX383" s="470" t="e">
        <f t="shared" ca="1" si="285"/>
        <v>#NAME?</v>
      </c>
      <c r="BY383" s="484" t="e">
        <f t="shared" ca="1" si="297"/>
        <v>#NAME?</v>
      </c>
    </row>
    <row r="384" spans="9:77" ht="17.75" customHeight="1" x14ac:dyDescent="0.2">
      <c r="I384" s="366">
        <v>300</v>
      </c>
      <c r="J384" s="414">
        <f t="shared" si="298"/>
        <v>41705.920833334014</v>
      </c>
      <c r="K384" s="435" t="e">
        <f t="shared" ca="1" si="299"/>
        <v>#NAME?</v>
      </c>
      <c r="L384" s="435" t="e">
        <f t="shared" ca="1" si="286"/>
        <v>#NAME?</v>
      </c>
      <c r="M384" s="664" t="e">
        <f t="shared" ca="1" si="340"/>
        <v>#NAME?</v>
      </c>
      <c r="N384" s="664" t="e">
        <f t="shared" ca="1" si="341"/>
        <v>#NAME?</v>
      </c>
      <c r="O384" s="140" t="e">
        <f t="shared" ca="1" si="287"/>
        <v>#NAME?</v>
      </c>
      <c r="P384" s="352" t="e">
        <f t="shared" ca="1" si="300"/>
        <v>#NAME?</v>
      </c>
      <c r="Q384" s="665" t="e">
        <f t="shared" ca="1" si="280"/>
        <v>#NAME?</v>
      </c>
      <c r="R384" s="352" t="e">
        <f t="shared" ca="1" si="313"/>
        <v>#NAME?</v>
      </c>
      <c r="S384" s="662" t="e">
        <f t="shared" ca="1" si="288"/>
        <v>#NAME?</v>
      </c>
      <c r="T384" s="443" t="e">
        <f t="shared" ca="1" si="281"/>
        <v>#NAME?</v>
      </c>
      <c r="U384" s="369" t="e">
        <f t="shared" ca="1" si="282"/>
        <v>#NAME?</v>
      </c>
      <c r="V384" s="454" t="e">
        <f t="shared" ca="1" si="289"/>
        <v>#NAME?</v>
      </c>
      <c r="W384" s="457">
        <f t="shared" si="290"/>
        <v>1000</v>
      </c>
      <c r="X384" s="463" t="e">
        <f t="shared" ca="1" si="291"/>
        <v>#NAME?</v>
      </c>
      <c r="Y384" s="455" t="e">
        <f t="shared" ca="1" si="301"/>
        <v>#NAME?</v>
      </c>
      <c r="Z384" s="699">
        <f t="shared" si="283"/>
        <v>8.5</v>
      </c>
      <c r="AA384" s="355" t="str">
        <f t="shared" si="284"/>
        <v>ON</v>
      </c>
      <c r="AB384" s="357">
        <f t="shared" si="314"/>
        <v>1.4999999999999999E-2</v>
      </c>
      <c r="AC384" s="356" t="e">
        <f ca="1">IF(  Y383=0,0,IF(OR(S384="KCAS",S384="INOP",S384="MEFE"),   ( (5*( (   (((1+0.2*(T384/661.4786)^2)^3.5 -1)  )/( (1-6.8755856*10^-6 *100*Y384)^5.2558797) +1)^(2/7) -1) )^0.5),IF(S384="MACH",T384, IF(S384="LRC",BicubicInterpolation( 'LRC Mach'!$C$4:$AL$21, Y384,U384),  IF(S384="MRC",BicubicInterpolation( 'MRC Mach'!$C$3:$T$18, Y384,U384),  IF(S384="M0.84",0.84,  IF(S384="CI52",BicubicInterpolation('CI=52 Mach'!$C$3:$T$18, Y384,U384),  IF(S384="HOLDING",BicubicInterpolation(  'Holding Mach'!$C$4:$M$13, Y384,U384),                         IF(S384="LRCINOP", BicubicInterpolation('LRC INOP Mach'!$C$4:$AA$21,Y384,U384), IF(S384="HOLDINGINOP",  BicubicInterpolation('Holding INOP Mach'!$N$4:$U$13,Y384,U384),         "XXX" )))))))   )))</f>
        <v>#NAME?</v>
      </c>
      <c r="AD384" s="313" t="e">
        <f t="shared" ca="1" si="315"/>
        <v>#NAME?</v>
      </c>
      <c r="AE384" s="314" t="e">
        <f t="shared" ca="1" si="302"/>
        <v>#NAME?</v>
      </c>
      <c r="AF384" s="313" t="e">
        <f t="shared" ca="1" si="316"/>
        <v>#NAME?</v>
      </c>
      <c r="AG384" s="314" t="e">
        <f t="shared" ca="1" si="303"/>
        <v>#NAME?</v>
      </c>
      <c r="AH384" s="313" t="e">
        <f t="shared" ca="1" si="317"/>
        <v>#NAME?</v>
      </c>
      <c r="AI384" s="314" t="e">
        <f t="shared" ca="1" si="304"/>
        <v>#NAME?</v>
      </c>
      <c r="AJ384" s="315" t="e">
        <f t="shared" ca="1" si="305"/>
        <v>#NAME?</v>
      </c>
      <c r="AK384" s="568" t="e">
        <f t="shared" ca="1" si="318"/>
        <v>#NAME?</v>
      </c>
      <c r="AL384" s="313" t="e">
        <f t="shared" ca="1" si="319"/>
        <v>#NAME?</v>
      </c>
      <c r="AM384" s="313" t="e">
        <f t="shared" ca="1" si="306"/>
        <v>#NAME?</v>
      </c>
      <c r="AN384" s="313" t="e">
        <f t="shared" ca="1" si="307"/>
        <v>#NAME?</v>
      </c>
      <c r="AO384" s="316" t="e">
        <f t="shared" ca="1" si="320"/>
        <v>#NAME?</v>
      </c>
      <c r="AP384" s="313" t="e">
        <f t="shared" ca="1" si="321"/>
        <v>#NAME?</v>
      </c>
      <c r="AQ384" s="314" t="e">
        <f t="shared" ca="1" si="308"/>
        <v>#NAME?</v>
      </c>
      <c r="AR384" s="315" t="e">
        <f t="shared" ca="1" si="322"/>
        <v>#NAME?</v>
      </c>
      <c r="AS384" s="316" t="e">
        <f t="shared" ca="1" si="323"/>
        <v>#NAME?</v>
      </c>
      <c r="AT384" s="315" t="e">
        <f t="shared" ca="1" si="324"/>
        <v>#NAME?</v>
      </c>
      <c r="AU384" s="317">
        <v>427.8</v>
      </c>
      <c r="AV384" s="315" t="e">
        <f t="shared" ca="1" si="325"/>
        <v>#NAME?</v>
      </c>
      <c r="AW384" s="318" t="e">
        <f ca="1">0.0001*BicubicInterpolation('Drag Coef Table'!$B$4:$L$28,AV384,AC384)</f>
        <v>#NAME?</v>
      </c>
      <c r="AX384" s="319" t="e">
        <f t="shared" ca="1" si="326"/>
        <v>#NAME?</v>
      </c>
      <c r="AY384" s="318" t="e">
        <f t="shared" ca="1" si="327"/>
        <v>#NAME?</v>
      </c>
      <c r="AZ384" s="320" t="e">
        <f t="shared" ca="1" si="328"/>
        <v>#NAME?</v>
      </c>
      <c r="BA384" s="321" t="e">
        <f t="shared" ca="1" si="329"/>
        <v>#NAME?</v>
      </c>
      <c r="BB384" s="322" t="e">
        <f t="shared" ca="1" si="330"/>
        <v>#NAME?</v>
      </c>
      <c r="BC384" s="323">
        <v>75.196700000000007</v>
      </c>
      <c r="BD384" s="324" t="e">
        <f t="shared" ca="1" si="331"/>
        <v>#NAME?</v>
      </c>
      <c r="BE384" s="325" t="e">
        <f t="shared" ca="1" si="332"/>
        <v>#NAME?</v>
      </c>
      <c r="BF384" s="324" t="e">
        <f ca="1">BicubicInterpolation('TSFC Eff Table'!$B$4:$E$69,2,BB384)</f>
        <v>#NAME?</v>
      </c>
      <c r="BG384" s="326" t="e">
        <f t="shared" ca="1" si="333"/>
        <v>#NAME?</v>
      </c>
      <c r="BH384" s="694" t="e">
        <f ca="1">IF( S384="LRCINOP",   (1+(0.03/10)*Z384*(1+0.2*AC384^2) )*BicubicInterpolation( 'LRC INOP FF'!$C$4:$AA$21, Y384, U384 )-200, IF(S384 ="HOLDINGINOP", (1+(0.03/10)*Z384*(1+0.2*AC384^2) )*BicubicInterpolation( 'Holding INOP FF'!$C$4:$J$13,  Y384,  U384)/1.05-200,   BA384*BG384))</f>
        <v>#NAME?</v>
      </c>
      <c r="BI384" s="344" t="e">
        <f t="shared" ca="1" si="292"/>
        <v>#NAME?</v>
      </c>
      <c r="BJ384" s="322" t="e">
        <f t="shared" ca="1" si="334"/>
        <v>#NAME?</v>
      </c>
      <c r="BK384" s="338" t="e">
        <f t="shared" ca="1" si="293"/>
        <v>#NAME?</v>
      </c>
      <c r="BL384" s="327" t="e">
        <f t="shared" ca="1" si="335"/>
        <v>#NAME?</v>
      </c>
      <c r="BM384" s="328">
        <f t="shared" si="336"/>
        <v>200</v>
      </c>
      <c r="BN384" s="329" t="e">
        <f t="shared" ca="1" si="337"/>
        <v>#NAME?</v>
      </c>
      <c r="BO384" s="344" t="e">
        <f t="shared" ca="1" si="294"/>
        <v>#NAME?</v>
      </c>
      <c r="BP384" s="320" t="e">
        <f t="shared" ca="1" si="338"/>
        <v>#NAME?</v>
      </c>
      <c r="BQ384" s="344" t="e">
        <f t="shared" ca="1" si="295"/>
        <v>#NAME?</v>
      </c>
      <c r="BR384" s="347" t="e">
        <f t="shared" ca="1" si="296"/>
        <v>#NAME?</v>
      </c>
      <c r="BS384" s="326" t="e">
        <f t="shared" ca="1" si="339"/>
        <v>#NAME?</v>
      </c>
      <c r="BT384" s="437" t="e">
        <f t="shared" ca="1" si="309"/>
        <v>#NAME?</v>
      </c>
      <c r="BU384" s="437" t="e">
        <f t="shared" ca="1" si="310"/>
        <v>#NAME?</v>
      </c>
      <c r="BV384" s="441" t="e">
        <f t="shared" ca="1" si="311"/>
        <v>#NAME?</v>
      </c>
      <c r="BW384" s="442" t="e">
        <f t="shared" ca="1" si="312"/>
        <v>#NAME?</v>
      </c>
      <c r="BX384" s="470" t="e">
        <f t="shared" ca="1" si="285"/>
        <v>#NAME?</v>
      </c>
      <c r="BY384" s="484" t="e">
        <f t="shared" ca="1" si="297"/>
        <v>#NAME?</v>
      </c>
    </row>
    <row r="385" spans="9:77" ht="17.75" customHeight="1" x14ac:dyDescent="0.2">
      <c r="I385" s="366">
        <v>301</v>
      </c>
      <c r="J385" s="414">
        <f t="shared" si="298"/>
        <v>41705.921527778461</v>
      </c>
      <c r="K385" s="435" t="e">
        <f t="shared" ca="1" si="299"/>
        <v>#NAME?</v>
      </c>
      <c r="L385" s="435" t="e">
        <f t="shared" ca="1" si="286"/>
        <v>#NAME?</v>
      </c>
      <c r="M385" s="664" t="e">
        <f t="shared" ca="1" si="340"/>
        <v>#NAME?</v>
      </c>
      <c r="N385" s="664" t="e">
        <f t="shared" ca="1" si="341"/>
        <v>#NAME?</v>
      </c>
      <c r="O385" s="140" t="e">
        <f t="shared" ca="1" si="287"/>
        <v>#NAME?</v>
      </c>
      <c r="P385" s="352" t="e">
        <f t="shared" ca="1" si="300"/>
        <v>#NAME?</v>
      </c>
      <c r="Q385" s="665" t="e">
        <f t="shared" ca="1" si="280"/>
        <v>#NAME?</v>
      </c>
      <c r="R385" s="352" t="e">
        <f t="shared" ca="1" si="313"/>
        <v>#NAME?</v>
      </c>
      <c r="S385" s="662" t="e">
        <f t="shared" ca="1" si="288"/>
        <v>#NAME?</v>
      </c>
      <c r="T385" s="443" t="e">
        <f t="shared" ca="1" si="281"/>
        <v>#NAME?</v>
      </c>
      <c r="U385" s="369" t="e">
        <f t="shared" ca="1" si="282"/>
        <v>#NAME?</v>
      </c>
      <c r="V385" s="454" t="e">
        <f t="shared" ca="1" si="289"/>
        <v>#NAME?</v>
      </c>
      <c r="W385" s="457">
        <f t="shared" si="290"/>
        <v>1000</v>
      </c>
      <c r="X385" s="463" t="e">
        <f t="shared" ca="1" si="291"/>
        <v>#NAME?</v>
      </c>
      <c r="Y385" s="455" t="e">
        <f t="shared" ca="1" si="301"/>
        <v>#NAME?</v>
      </c>
      <c r="Z385" s="699">
        <f t="shared" si="283"/>
        <v>8.5</v>
      </c>
      <c r="AA385" s="355" t="str">
        <f t="shared" si="284"/>
        <v>ON</v>
      </c>
      <c r="AB385" s="357">
        <f t="shared" si="314"/>
        <v>1.4999999999999999E-2</v>
      </c>
      <c r="AC385" s="356" t="e">
        <f ca="1">IF(  Y384=0,0,IF(OR(S385="KCAS",S385="INOP",S385="MEFE"),   ( (5*( (   (((1+0.2*(T385/661.4786)^2)^3.5 -1)  )/( (1-6.8755856*10^-6 *100*Y385)^5.2558797) +1)^(2/7) -1) )^0.5),IF(S385="MACH",T385, IF(S385="LRC",BicubicInterpolation( 'LRC Mach'!$C$4:$AL$21, Y385,U385),  IF(S385="MRC",BicubicInterpolation( 'MRC Mach'!$C$3:$T$18, Y385,U385),  IF(S385="M0.84",0.84,  IF(S385="CI52",BicubicInterpolation('CI=52 Mach'!$C$3:$T$18, Y385,U385),  IF(S385="HOLDING",BicubicInterpolation(  'Holding Mach'!$C$4:$M$13, Y385,U385),                         IF(S385="LRCINOP", BicubicInterpolation('LRC INOP Mach'!$C$4:$AA$21,Y385,U385), IF(S385="HOLDINGINOP",  BicubicInterpolation('Holding INOP Mach'!$N$4:$U$13,Y385,U385),         "XXX" )))))))   )))</f>
        <v>#NAME?</v>
      </c>
      <c r="AD385" s="313" t="e">
        <f t="shared" ca="1" si="315"/>
        <v>#NAME?</v>
      </c>
      <c r="AE385" s="314" t="e">
        <f t="shared" ca="1" si="302"/>
        <v>#NAME?</v>
      </c>
      <c r="AF385" s="313" t="e">
        <f t="shared" ca="1" si="316"/>
        <v>#NAME?</v>
      </c>
      <c r="AG385" s="314" t="e">
        <f t="shared" ca="1" si="303"/>
        <v>#NAME?</v>
      </c>
      <c r="AH385" s="313" t="e">
        <f t="shared" ca="1" si="317"/>
        <v>#NAME?</v>
      </c>
      <c r="AI385" s="314" t="e">
        <f t="shared" ca="1" si="304"/>
        <v>#NAME?</v>
      </c>
      <c r="AJ385" s="315" t="e">
        <f t="shared" ca="1" si="305"/>
        <v>#NAME?</v>
      </c>
      <c r="AK385" s="568" t="e">
        <f t="shared" ca="1" si="318"/>
        <v>#NAME?</v>
      </c>
      <c r="AL385" s="313" t="e">
        <f t="shared" ca="1" si="319"/>
        <v>#NAME?</v>
      </c>
      <c r="AM385" s="313" t="e">
        <f t="shared" ca="1" si="306"/>
        <v>#NAME?</v>
      </c>
      <c r="AN385" s="313" t="e">
        <f t="shared" ca="1" si="307"/>
        <v>#NAME?</v>
      </c>
      <c r="AO385" s="316" t="e">
        <f t="shared" ca="1" si="320"/>
        <v>#NAME?</v>
      </c>
      <c r="AP385" s="313" t="e">
        <f t="shared" ca="1" si="321"/>
        <v>#NAME?</v>
      </c>
      <c r="AQ385" s="314" t="e">
        <f t="shared" ca="1" si="308"/>
        <v>#NAME?</v>
      </c>
      <c r="AR385" s="315" t="e">
        <f t="shared" ca="1" si="322"/>
        <v>#NAME?</v>
      </c>
      <c r="AS385" s="316" t="e">
        <f t="shared" ca="1" si="323"/>
        <v>#NAME?</v>
      </c>
      <c r="AT385" s="315" t="e">
        <f t="shared" ca="1" si="324"/>
        <v>#NAME?</v>
      </c>
      <c r="AU385" s="317">
        <v>427.8</v>
      </c>
      <c r="AV385" s="315" t="e">
        <f t="shared" ca="1" si="325"/>
        <v>#NAME?</v>
      </c>
      <c r="AW385" s="318" t="e">
        <f ca="1">0.0001*BicubicInterpolation('Drag Coef Table'!$B$4:$L$28,AV385,AC385)</f>
        <v>#NAME?</v>
      </c>
      <c r="AX385" s="319" t="e">
        <f t="shared" ca="1" si="326"/>
        <v>#NAME?</v>
      </c>
      <c r="AY385" s="318" t="e">
        <f t="shared" ca="1" si="327"/>
        <v>#NAME?</v>
      </c>
      <c r="AZ385" s="320" t="e">
        <f t="shared" ca="1" si="328"/>
        <v>#NAME?</v>
      </c>
      <c r="BA385" s="321" t="e">
        <f t="shared" ca="1" si="329"/>
        <v>#NAME?</v>
      </c>
      <c r="BB385" s="322" t="e">
        <f t="shared" ca="1" si="330"/>
        <v>#NAME?</v>
      </c>
      <c r="BC385" s="323">
        <v>75.196700000000007</v>
      </c>
      <c r="BD385" s="324" t="e">
        <f t="shared" ca="1" si="331"/>
        <v>#NAME?</v>
      </c>
      <c r="BE385" s="325" t="e">
        <f t="shared" ca="1" si="332"/>
        <v>#NAME?</v>
      </c>
      <c r="BF385" s="324" t="e">
        <f ca="1">BicubicInterpolation('TSFC Eff Table'!$B$4:$E$69,2,BB385)</f>
        <v>#NAME?</v>
      </c>
      <c r="BG385" s="326" t="e">
        <f t="shared" ca="1" si="333"/>
        <v>#NAME?</v>
      </c>
      <c r="BH385" s="694" t="e">
        <f ca="1">IF( S385="LRCINOP",   (1+(0.03/10)*Z385*(1+0.2*AC385^2) )*BicubicInterpolation( 'LRC INOP FF'!$C$4:$AA$21, Y385, U385 )-200, IF(S385 ="HOLDINGINOP", (1+(0.03/10)*Z385*(1+0.2*AC385^2) )*BicubicInterpolation( 'Holding INOP FF'!$C$4:$J$13,  Y385,  U385)/1.05-200,   BA385*BG385))</f>
        <v>#NAME?</v>
      </c>
      <c r="BI385" s="344" t="e">
        <f t="shared" ca="1" si="292"/>
        <v>#NAME?</v>
      </c>
      <c r="BJ385" s="322" t="e">
        <f t="shared" ca="1" si="334"/>
        <v>#NAME?</v>
      </c>
      <c r="BK385" s="338" t="e">
        <f t="shared" ca="1" si="293"/>
        <v>#NAME?</v>
      </c>
      <c r="BL385" s="327" t="e">
        <f t="shared" ca="1" si="335"/>
        <v>#NAME?</v>
      </c>
      <c r="BM385" s="328">
        <f t="shared" si="336"/>
        <v>200</v>
      </c>
      <c r="BN385" s="329" t="e">
        <f t="shared" ca="1" si="337"/>
        <v>#NAME?</v>
      </c>
      <c r="BO385" s="344" t="e">
        <f t="shared" ca="1" si="294"/>
        <v>#NAME?</v>
      </c>
      <c r="BP385" s="320" t="e">
        <f t="shared" ca="1" si="338"/>
        <v>#NAME?</v>
      </c>
      <c r="BQ385" s="344" t="e">
        <f t="shared" ca="1" si="295"/>
        <v>#NAME?</v>
      </c>
      <c r="BR385" s="347" t="e">
        <f t="shared" ca="1" si="296"/>
        <v>#NAME?</v>
      </c>
      <c r="BS385" s="326" t="e">
        <f t="shared" ca="1" si="339"/>
        <v>#NAME?</v>
      </c>
      <c r="BT385" s="437" t="e">
        <f t="shared" ca="1" si="309"/>
        <v>#NAME?</v>
      </c>
      <c r="BU385" s="437" t="e">
        <f t="shared" ca="1" si="310"/>
        <v>#NAME?</v>
      </c>
      <c r="BV385" s="441" t="e">
        <f t="shared" ca="1" si="311"/>
        <v>#NAME?</v>
      </c>
      <c r="BW385" s="442" t="e">
        <f t="shared" ca="1" si="312"/>
        <v>#NAME?</v>
      </c>
      <c r="BX385" s="470" t="e">
        <f t="shared" ca="1" si="285"/>
        <v>#NAME?</v>
      </c>
      <c r="BY385" s="484" t="e">
        <f t="shared" ca="1" si="297"/>
        <v>#NAME?</v>
      </c>
    </row>
    <row r="386" spans="9:77" ht="17.75" customHeight="1" x14ac:dyDescent="0.2">
      <c r="I386" s="366">
        <v>302</v>
      </c>
      <c r="J386" s="414">
        <f t="shared" si="298"/>
        <v>41705.922222222907</v>
      </c>
      <c r="K386" s="435" t="e">
        <f t="shared" ca="1" si="299"/>
        <v>#NAME?</v>
      </c>
      <c r="L386" s="435" t="e">
        <f t="shared" ca="1" si="286"/>
        <v>#NAME?</v>
      </c>
      <c r="M386" s="664" t="e">
        <f t="shared" ca="1" si="340"/>
        <v>#NAME?</v>
      </c>
      <c r="N386" s="664" t="e">
        <f t="shared" ca="1" si="341"/>
        <v>#NAME?</v>
      </c>
      <c r="O386" s="140" t="e">
        <f t="shared" ca="1" si="287"/>
        <v>#NAME?</v>
      </c>
      <c r="P386" s="352" t="e">
        <f t="shared" ca="1" si="300"/>
        <v>#NAME?</v>
      </c>
      <c r="Q386" s="665" t="e">
        <f t="shared" ca="1" si="280"/>
        <v>#NAME?</v>
      </c>
      <c r="R386" s="352" t="e">
        <f t="shared" ca="1" si="313"/>
        <v>#NAME?</v>
      </c>
      <c r="S386" s="662" t="e">
        <f t="shared" ca="1" si="288"/>
        <v>#NAME?</v>
      </c>
      <c r="T386" s="443" t="e">
        <f t="shared" ca="1" si="281"/>
        <v>#NAME?</v>
      </c>
      <c r="U386" s="369" t="e">
        <f t="shared" ca="1" si="282"/>
        <v>#NAME?</v>
      </c>
      <c r="V386" s="454" t="e">
        <f t="shared" ca="1" si="289"/>
        <v>#NAME?</v>
      </c>
      <c r="W386" s="457">
        <f t="shared" si="290"/>
        <v>1000</v>
      </c>
      <c r="X386" s="463" t="e">
        <f t="shared" ca="1" si="291"/>
        <v>#NAME?</v>
      </c>
      <c r="Y386" s="455" t="e">
        <f t="shared" ca="1" si="301"/>
        <v>#NAME?</v>
      </c>
      <c r="Z386" s="699">
        <f t="shared" si="283"/>
        <v>8.5</v>
      </c>
      <c r="AA386" s="355" t="str">
        <f t="shared" si="284"/>
        <v>ON</v>
      </c>
      <c r="AB386" s="357">
        <f t="shared" si="314"/>
        <v>1.4999999999999999E-2</v>
      </c>
      <c r="AC386" s="356" t="e">
        <f ca="1">IF(  Y385=0,0,IF(OR(S386="KCAS",S386="INOP",S386="MEFE"),   ( (5*( (   (((1+0.2*(T386/661.4786)^2)^3.5 -1)  )/( (1-6.8755856*10^-6 *100*Y386)^5.2558797) +1)^(2/7) -1) )^0.5),IF(S386="MACH",T386, IF(S386="LRC",BicubicInterpolation( 'LRC Mach'!$C$4:$AL$21, Y386,U386),  IF(S386="MRC",BicubicInterpolation( 'MRC Mach'!$C$3:$T$18, Y386,U386),  IF(S386="M0.84",0.84,  IF(S386="CI52",BicubicInterpolation('CI=52 Mach'!$C$3:$T$18, Y386,U386),  IF(S386="HOLDING",BicubicInterpolation(  'Holding Mach'!$C$4:$M$13, Y386,U386),                         IF(S386="LRCINOP", BicubicInterpolation('LRC INOP Mach'!$C$4:$AA$21,Y386,U386), IF(S386="HOLDINGINOP",  BicubicInterpolation('Holding INOP Mach'!$N$4:$U$13,Y386,U386),         "XXX" )))))))   )))</f>
        <v>#NAME?</v>
      </c>
      <c r="AD386" s="313" t="e">
        <f t="shared" ca="1" si="315"/>
        <v>#NAME?</v>
      </c>
      <c r="AE386" s="314" t="e">
        <f t="shared" ca="1" si="302"/>
        <v>#NAME?</v>
      </c>
      <c r="AF386" s="313" t="e">
        <f t="shared" ca="1" si="316"/>
        <v>#NAME?</v>
      </c>
      <c r="AG386" s="314" t="e">
        <f t="shared" ca="1" si="303"/>
        <v>#NAME?</v>
      </c>
      <c r="AH386" s="313" t="e">
        <f t="shared" ca="1" si="317"/>
        <v>#NAME?</v>
      </c>
      <c r="AI386" s="314" t="e">
        <f t="shared" ca="1" si="304"/>
        <v>#NAME?</v>
      </c>
      <c r="AJ386" s="315" t="e">
        <f t="shared" ca="1" si="305"/>
        <v>#NAME?</v>
      </c>
      <c r="AK386" s="568" t="e">
        <f t="shared" ca="1" si="318"/>
        <v>#NAME?</v>
      </c>
      <c r="AL386" s="313" t="e">
        <f t="shared" ca="1" si="319"/>
        <v>#NAME?</v>
      </c>
      <c r="AM386" s="313" t="e">
        <f t="shared" ca="1" si="306"/>
        <v>#NAME?</v>
      </c>
      <c r="AN386" s="313" t="e">
        <f t="shared" ca="1" si="307"/>
        <v>#NAME?</v>
      </c>
      <c r="AO386" s="316" t="e">
        <f t="shared" ca="1" si="320"/>
        <v>#NAME?</v>
      </c>
      <c r="AP386" s="313" t="e">
        <f t="shared" ca="1" si="321"/>
        <v>#NAME?</v>
      </c>
      <c r="AQ386" s="314" t="e">
        <f t="shared" ca="1" si="308"/>
        <v>#NAME?</v>
      </c>
      <c r="AR386" s="315" t="e">
        <f t="shared" ca="1" si="322"/>
        <v>#NAME?</v>
      </c>
      <c r="AS386" s="316" t="e">
        <f t="shared" ca="1" si="323"/>
        <v>#NAME?</v>
      </c>
      <c r="AT386" s="315" t="e">
        <f t="shared" ca="1" si="324"/>
        <v>#NAME?</v>
      </c>
      <c r="AU386" s="317">
        <v>427.8</v>
      </c>
      <c r="AV386" s="315" t="e">
        <f t="shared" ca="1" si="325"/>
        <v>#NAME?</v>
      </c>
      <c r="AW386" s="318" t="e">
        <f ca="1">0.0001*BicubicInterpolation('Drag Coef Table'!$B$4:$L$28,AV386,AC386)</f>
        <v>#NAME?</v>
      </c>
      <c r="AX386" s="319" t="e">
        <f t="shared" ca="1" si="326"/>
        <v>#NAME?</v>
      </c>
      <c r="AY386" s="318" t="e">
        <f t="shared" ca="1" si="327"/>
        <v>#NAME?</v>
      </c>
      <c r="AZ386" s="320" t="e">
        <f t="shared" ca="1" si="328"/>
        <v>#NAME?</v>
      </c>
      <c r="BA386" s="321" t="e">
        <f t="shared" ca="1" si="329"/>
        <v>#NAME?</v>
      </c>
      <c r="BB386" s="322" t="e">
        <f t="shared" ca="1" si="330"/>
        <v>#NAME?</v>
      </c>
      <c r="BC386" s="323">
        <v>75.196700000000007</v>
      </c>
      <c r="BD386" s="324" t="e">
        <f t="shared" ca="1" si="331"/>
        <v>#NAME?</v>
      </c>
      <c r="BE386" s="325" t="e">
        <f t="shared" ca="1" si="332"/>
        <v>#NAME?</v>
      </c>
      <c r="BF386" s="324" t="e">
        <f ca="1">BicubicInterpolation('TSFC Eff Table'!$B$4:$E$69,2,BB386)</f>
        <v>#NAME?</v>
      </c>
      <c r="BG386" s="326" t="e">
        <f t="shared" ca="1" si="333"/>
        <v>#NAME?</v>
      </c>
      <c r="BH386" s="694" t="e">
        <f ca="1">IF( S386="LRCINOP",   (1+(0.03/10)*Z386*(1+0.2*AC386^2) )*BicubicInterpolation( 'LRC INOP FF'!$C$4:$AA$21, Y386, U386 )-200, IF(S386 ="HOLDINGINOP", (1+(0.03/10)*Z386*(1+0.2*AC386^2) )*BicubicInterpolation( 'Holding INOP FF'!$C$4:$J$13,  Y386,  U386)/1.05-200,   BA386*BG386))</f>
        <v>#NAME?</v>
      </c>
      <c r="BI386" s="344" t="e">
        <f t="shared" ca="1" si="292"/>
        <v>#NAME?</v>
      </c>
      <c r="BJ386" s="322" t="e">
        <f t="shared" ca="1" si="334"/>
        <v>#NAME?</v>
      </c>
      <c r="BK386" s="338" t="e">
        <f t="shared" ca="1" si="293"/>
        <v>#NAME?</v>
      </c>
      <c r="BL386" s="327" t="e">
        <f t="shared" ca="1" si="335"/>
        <v>#NAME?</v>
      </c>
      <c r="BM386" s="328">
        <f t="shared" si="336"/>
        <v>200</v>
      </c>
      <c r="BN386" s="329" t="e">
        <f t="shared" ca="1" si="337"/>
        <v>#NAME?</v>
      </c>
      <c r="BO386" s="344" t="e">
        <f t="shared" ca="1" si="294"/>
        <v>#NAME?</v>
      </c>
      <c r="BP386" s="320" t="e">
        <f t="shared" ca="1" si="338"/>
        <v>#NAME?</v>
      </c>
      <c r="BQ386" s="344" t="e">
        <f t="shared" ca="1" si="295"/>
        <v>#NAME?</v>
      </c>
      <c r="BR386" s="347" t="e">
        <f t="shared" ca="1" si="296"/>
        <v>#NAME?</v>
      </c>
      <c r="BS386" s="326" t="e">
        <f t="shared" ca="1" si="339"/>
        <v>#NAME?</v>
      </c>
      <c r="BT386" s="437" t="e">
        <f t="shared" ca="1" si="309"/>
        <v>#NAME?</v>
      </c>
      <c r="BU386" s="437" t="e">
        <f t="shared" ca="1" si="310"/>
        <v>#NAME?</v>
      </c>
      <c r="BV386" s="441" t="e">
        <f t="shared" ca="1" si="311"/>
        <v>#NAME?</v>
      </c>
      <c r="BW386" s="442" t="e">
        <f t="shared" ca="1" si="312"/>
        <v>#NAME?</v>
      </c>
      <c r="BX386" s="470" t="e">
        <f t="shared" ca="1" si="285"/>
        <v>#NAME?</v>
      </c>
      <c r="BY386" s="484" t="e">
        <f t="shared" ca="1" si="297"/>
        <v>#NAME?</v>
      </c>
    </row>
    <row r="387" spans="9:77" ht="17.75" customHeight="1" x14ac:dyDescent="0.2">
      <c r="I387" s="366">
        <v>303</v>
      </c>
      <c r="J387" s="414">
        <f t="shared" si="298"/>
        <v>41705.922916667354</v>
      </c>
      <c r="K387" s="435" t="e">
        <f t="shared" ca="1" si="299"/>
        <v>#NAME?</v>
      </c>
      <c r="L387" s="435" t="e">
        <f t="shared" ca="1" si="286"/>
        <v>#NAME?</v>
      </c>
      <c r="M387" s="664" t="e">
        <f t="shared" ca="1" si="340"/>
        <v>#NAME?</v>
      </c>
      <c r="N387" s="664" t="e">
        <f t="shared" ca="1" si="341"/>
        <v>#NAME?</v>
      </c>
      <c r="O387" s="140" t="e">
        <f t="shared" ca="1" si="287"/>
        <v>#NAME?</v>
      </c>
      <c r="P387" s="352" t="e">
        <f t="shared" ca="1" si="300"/>
        <v>#NAME?</v>
      </c>
      <c r="Q387" s="665" t="e">
        <f t="shared" ca="1" si="280"/>
        <v>#NAME?</v>
      </c>
      <c r="R387" s="352" t="e">
        <f t="shared" ca="1" si="313"/>
        <v>#NAME?</v>
      </c>
      <c r="S387" s="662" t="e">
        <f t="shared" ca="1" si="288"/>
        <v>#NAME?</v>
      </c>
      <c r="T387" s="443" t="e">
        <f t="shared" ca="1" si="281"/>
        <v>#NAME?</v>
      </c>
      <c r="U387" s="369" t="e">
        <f t="shared" ca="1" si="282"/>
        <v>#NAME?</v>
      </c>
      <c r="V387" s="454" t="e">
        <f t="shared" ca="1" si="289"/>
        <v>#NAME?</v>
      </c>
      <c r="W387" s="457">
        <f t="shared" si="290"/>
        <v>1000</v>
      </c>
      <c r="X387" s="463" t="e">
        <f t="shared" ca="1" si="291"/>
        <v>#NAME?</v>
      </c>
      <c r="Y387" s="455" t="e">
        <f t="shared" ca="1" si="301"/>
        <v>#NAME?</v>
      </c>
      <c r="Z387" s="699">
        <f t="shared" si="283"/>
        <v>8.5</v>
      </c>
      <c r="AA387" s="355" t="str">
        <f t="shared" si="284"/>
        <v>ON</v>
      </c>
      <c r="AB387" s="357">
        <f t="shared" si="314"/>
        <v>1.4999999999999999E-2</v>
      </c>
      <c r="AC387" s="356" t="e">
        <f ca="1">IF(  Y386=0,0,IF(OR(S387="KCAS",S387="INOP",S387="MEFE"),   ( (5*( (   (((1+0.2*(T387/661.4786)^2)^3.5 -1)  )/( (1-6.8755856*10^-6 *100*Y387)^5.2558797) +1)^(2/7) -1) )^0.5),IF(S387="MACH",T387, IF(S387="LRC",BicubicInterpolation( 'LRC Mach'!$C$4:$AL$21, Y387,U387),  IF(S387="MRC",BicubicInterpolation( 'MRC Mach'!$C$3:$T$18, Y387,U387),  IF(S387="M0.84",0.84,  IF(S387="CI52",BicubicInterpolation('CI=52 Mach'!$C$3:$T$18, Y387,U387),  IF(S387="HOLDING",BicubicInterpolation(  'Holding Mach'!$C$4:$M$13, Y387,U387),                         IF(S387="LRCINOP", BicubicInterpolation('LRC INOP Mach'!$C$4:$AA$21,Y387,U387), IF(S387="HOLDINGINOP",  BicubicInterpolation('Holding INOP Mach'!$N$4:$U$13,Y387,U387),         "XXX" )))))))   )))</f>
        <v>#NAME?</v>
      </c>
      <c r="AD387" s="313" t="e">
        <f t="shared" ca="1" si="315"/>
        <v>#NAME?</v>
      </c>
      <c r="AE387" s="314" t="e">
        <f t="shared" ca="1" si="302"/>
        <v>#NAME?</v>
      </c>
      <c r="AF387" s="313" t="e">
        <f t="shared" ca="1" si="316"/>
        <v>#NAME?</v>
      </c>
      <c r="AG387" s="314" t="e">
        <f t="shared" ca="1" si="303"/>
        <v>#NAME?</v>
      </c>
      <c r="AH387" s="313" t="e">
        <f t="shared" ca="1" si="317"/>
        <v>#NAME?</v>
      </c>
      <c r="AI387" s="314" t="e">
        <f t="shared" ca="1" si="304"/>
        <v>#NAME?</v>
      </c>
      <c r="AJ387" s="315" t="e">
        <f t="shared" ca="1" si="305"/>
        <v>#NAME?</v>
      </c>
      <c r="AK387" s="568" t="e">
        <f t="shared" ca="1" si="318"/>
        <v>#NAME?</v>
      </c>
      <c r="AL387" s="313" t="e">
        <f t="shared" ca="1" si="319"/>
        <v>#NAME?</v>
      </c>
      <c r="AM387" s="313" t="e">
        <f t="shared" ca="1" si="306"/>
        <v>#NAME?</v>
      </c>
      <c r="AN387" s="313" t="e">
        <f t="shared" ca="1" si="307"/>
        <v>#NAME?</v>
      </c>
      <c r="AO387" s="316" t="e">
        <f t="shared" ca="1" si="320"/>
        <v>#NAME?</v>
      </c>
      <c r="AP387" s="313" t="e">
        <f t="shared" ca="1" si="321"/>
        <v>#NAME?</v>
      </c>
      <c r="AQ387" s="314" t="e">
        <f t="shared" ca="1" si="308"/>
        <v>#NAME?</v>
      </c>
      <c r="AR387" s="315" t="e">
        <f t="shared" ca="1" si="322"/>
        <v>#NAME?</v>
      </c>
      <c r="AS387" s="316" t="e">
        <f t="shared" ca="1" si="323"/>
        <v>#NAME?</v>
      </c>
      <c r="AT387" s="315" t="e">
        <f t="shared" ca="1" si="324"/>
        <v>#NAME?</v>
      </c>
      <c r="AU387" s="317">
        <v>427.8</v>
      </c>
      <c r="AV387" s="315" t="e">
        <f t="shared" ca="1" si="325"/>
        <v>#NAME?</v>
      </c>
      <c r="AW387" s="318" t="e">
        <f ca="1">0.0001*BicubicInterpolation('Drag Coef Table'!$B$4:$L$28,AV387,AC387)</f>
        <v>#NAME?</v>
      </c>
      <c r="AX387" s="319" t="e">
        <f t="shared" ca="1" si="326"/>
        <v>#NAME?</v>
      </c>
      <c r="AY387" s="318" t="e">
        <f t="shared" ca="1" si="327"/>
        <v>#NAME?</v>
      </c>
      <c r="AZ387" s="320" t="e">
        <f t="shared" ca="1" si="328"/>
        <v>#NAME?</v>
      </c>
      <c r="BA387" s="321" t="e">
        <f t="shared" ca="1" si="329"/>
        <v>#NAME?</v>
      </c>
      <c r="BB387" s="322" t="e">
        <f t="shared" ca="1" si="330"/>
        <v>#NAME?</v>
      </c>
      <c r="BC387" s="323">
        <v>75.196700000000007</v>
      </c>
      <c r="BD387" s="324" t="e">
        <f t="shared" ca="1" si="331"/>
        <v>#NAME?</v>
      </c>
      <c r="BE387" s="325" t="e">
        <f t="shared" ca="1" si="332"/>
        <v>#NAME?</v>
      </c>
      <c r="BF387" s="324" t="e">
        <f ca="1">BicubicInterpolation('TSFC Eff Table'!$B$4:$E$69,2,BB387)</f>
        <v>#NAME?</v>
      </c>
      <c r="BG387" s="326" t="e">
        <f t="shared" ca="1" si="333"/>
        <v>#NAME?</v>
      </c>
      <c r="BH387" s="694" t="e">
        <f ca="1">IF( S387="LRCINOP",   (1+(0.03/10)*Z387*(1+0.2*AC387^2) )*BicubicInterpolation( 'LRC INOP FF'!$C$4:$AA$21, Y387, U387 )-200, IF(S387 ="HOLDINGINOP", (1+(0.03/10)*Z387*(1+0.2*AC387^2) )*BicubicInterpolation( 'Holding INOP FF'!$C$4:$J$13,  Y387,  U387)/1.05-200,   BA387*BG387))</f>
        <v>#NAME?</v>
      </c>
      <c r="BI387" s="344" t="e">
        <f t="shared" ca="1" si="292"/>
        <v>#NAME?</v>
      </c>
      <c r="BJ387" s="322" t="e">
        <f t="shared" ca="1" si="334"/>
        <v>#NAME?</v>
      </c>
      <c r="BK387" s="338" t="e">
        <f t="shared" ca="1" si="293"/>
        <v>#NAME?</v>
      </c>
      <c r="BL387" s="327" t="e">
        <f t="shared" ca="1" si="335"/>
        <v>#NAME?</v>
      </c>
      <c r="BM387" s="328">
        <f t="shared" si="336"/>
        <v>200</v>
      </c>
      <c r="BN387" s="329" t="e">
        <f t="shared" ca="1" si="337"/>
        <v>#NAME?</v>
      </c>
      <c r="BO387" s="344" t="e">
        <f t="shared" ca="1" si="294"/>
        <v>#NAME?</v>
      </c>
      <c r="BP387" s="320" t="e">
        <f t="shared" ca="1" si="338"/>
        <v>#NAME?</v>
      </c>
      <c r="BQ387" s="344" t="e">
        <f t="shared" ca="1" si="295"/>
        <v>#NAME?</v>
      </c>
      <c r="BR387" s="347" t="e">
        <f t="shared" ca="1" si="296"/>
        <v>#NAME?</v>
      </c>
      <c r="BS387" s="326" t="e">
        <f t="shared" ca="1" si="339"/>
        <v>#NAME?</v>
      </c>
      <c r="BT387" s="437" t="e">
        <f t="shared" ca="1" si="309"/>
        <v>#NAME?</v>
      </c>
      <c r="BU387" s="437" t="e">
        <f t="shared" ca="1" si="310"/>
        <v>#NAME?</v>
      </c>
      <c r="BV387" s="441" t="e">
        <f t="shared" ca="1" si="311"/>
        <v>#NAME?</v>
      </c>
      <c r="BW387" s="442" t="e">
        <f t="shared" ca="1" si="312"/>
        <v>#NAME?</v>
      </c>
      <c r="BX387" s="470" t="e">
        <f t="shared" ca="1" si="285"/>
        <v>#NAME?</v>
      </c>
      <c r="BY387" s="484" t="e">
        <f t="shared" ca="1" si="297"/>
        <v>#NAME?</v>
      </c>
    </row>
    <row r="388" spans="9:77" ht="17.75" customHeight="1" x14ac:dyDescent="0.2">
      <c r="I388" s="366">
        <v>304</v>
      </c>
      <c r="J388" s="414">
        <f t="shared" si="298"/>
        <v>41705.923611111801</v>
      </c>
      <c r="K388" s="435" t="e">
        <f t="shared" ca="1" si="299"/>
        <v>#NAME?</v>
      </c>
      <c r="L388" s="435" t="e">
        <f t="shared" ca="1" si="286"/>
        <v>#NAME?</v>
      </c>
      <c r="M388" s="664" t="e">
        <f t="shared" ca="1" si="340"/>
        <v>#NAME?</v>
      </c>
      <c r="N388" s="664" t="e">
        <f t="shared" ca="1" si="341"/>
        <v>#NAME?</v>
      </c>
      <c r="O388" s="140" t="e">
        <f t="shared" ca="1" si="287"/>
        <v>#NAME?</v>
      </c>
      <c r="P388" s="352" t="e">
        <f t="shared" ca="1" si="300"/>
        <v>#NAME?</v>
      </c>
      <c r="Q388" s="665" t="e">
        <f t="shared" ca="1" si="280"/>
        <v>#NAME?</v>
      </c>
      <c r="R388" s="352" t="e">
        <f t="shared" ca="1" si="313"/>
        <v>#NAME?</v>
      </c>
      <c r="S388" s="662" t="e">
        <f t="shared" ca="1" si="288"/>
        <v>#NAME?</v>
      </c>
      <c r="T388" s="443" t="e">
        <f t="shared" ca="1" si="281"/>
        <v>#NAME?</v>
      </c>
      <c r="U388" s="369" t="e">
        <f t="shared" ca="1" si="282"/>
        <v>#NAME?</v>
      </c>
      <c r="V388" s="454" t="e">
        <f t="shared" ca="1" si="289"/>
        <v>#NAME?</v>
      </c>
      <c r="W388" s="457">
        <f t="shared" si="290"/>
        <v>1000</v>
      </c>
      <c r="X388" s="463" t="e">
        <f t="shared" ca="1" si="291"/>
        <v>#NAME?</v>
      </c>
      <c r="Y388" s="455" t="e">
        <f t="shared" ca="1" si="301"/>
        <v>#NAME?</v>
      </c>
      <c r="Z388" s="699">
        <f t="shared" si="283"/>
        <v>8.5</v>
      </c>
      <c r="AA388" s="355" t="str">
        <f t="shared" si="284"/>
        <v>ON</v>
      </c>
      <c r="AB388" s="357">
        <f t="shared" si="314"/>
        <v>1.4999999999999999E-2</v>
      </c>
      <c r="AC388" s="356" t="e">
        <f ca="1">IF(  Y387=0,0,IF(OR(S388="KCAS",S388="INOP",S388="MEFE"),   ( (5*( (   (((1+0.2*(T388/661.4786)^2)^3.5 -1)  )/( (1-6.8755856*10^-6 *100*Y388)^5.2558797) +1)^(2/7) -1) )^0.5),IF(S388="MACH",T388, IF(S388="LRC",BicubicInterpolation( 'LRC Mach'!$C$4:$AL$21, Y388,U388),  IF(S388="MRC",BicubicInterpolation( 'MRC Mach'!$C$3:$T$18, Y388,U388),  IF(S388="M0.84",0.84,  IF(S388="CI52",BicubicInterpolation('CI=52 Mach'!$C$3:$T$18, Y388,U388),  IF(S388="HOLDING",BicubicInterpolation(  'Holding Mach'!$C$4:$M$13, Y388,U388),                         IF(S388="LRCINOP", BicubicInterpolation('LRC INOP Mach'!$C$4:$AA$21,Y388,U388), IF(S388="HOLDINGINOP",  BicubicInterpolation('Holding INOP Mach'!$N$4:$U$13,Y388,U388),         "XXX" )))))))   )))</f>
        <v>#NAME?</v>
      </c>
      <c r="AD388" s="313" t="e">
        <f t="shared" ca="1" si="315"/>
        <v>#NAME?</v>
      </c>
      <c r="AE388" s="314" t="e">
        <f t="shared" ca="1" si="302"/>
        <v>#NAME?</v>
      </c>
      <c r="AF388" s="313" t="e">
        <f t="shared" ca="1" si="316"/>
        <v>#NAME?</v>
      </c>
      <c r="AG388" s="314" t="e">
        <f t="shared" ca="1" si="303"/>
        <v>#NAME?</v>
      </c>
      <c r="AH388" s="313" t="e">
        <f t="shared" ca="1" si="317"/>
        <v>#NAME?</v>
      </c>
      <c r="AI388" s="314" t="e">
        <f t="shared" ca="1" si="304"/>
        <v>#NAME?</v>
      </c>
      <c r="AJ388" s="315" t="e">
        <f t="shared" ca="1" si="305"/>
        <v>#NAME?</v>
      </c>
      <c r="AK388" s="568" t="e">
        <f t="shared" ca="1" si="318"/>
        <v>#NAME?</v>
      </c>
      <c r="AL388" s="313" t="e">
        <f t="shared" ca="1" si="319"/>
        <v>#NAME?</v>
      </c>
      <c r="AM388" s="313" t="e">
        <f t="shared" ca="1" si="306"/>
        <v>#NAME?</v>
      </c>
      <c r="AN388" s="313" t="e">
        <f t="shared" ca="1" si="307"/>
        <v>#NAME?</v>
      </c>
      <c r="AO388" s="316" t="e">
        <f t="shared" ca="1" si="320"/>
        <v>#NAME?</v>
      </c>
      <c r="AP388" s="313" t="e">
        <f t="shared" ca="1" si="321"/>
        <v>#NAME?</v>
      </c>
      <c r="AQ388" s="314" t="e">
        <f t="shared" ca="1" si="308"/>
        <v>#NAME?</v>
      </c>
      <c r="AR388" s="315" t="e">
        <f t="shared" ca="1" si="322"/>
        <v>#NAME?</v>
      </c>
      <c r="AS388" s="316" t="e">
        <f t="shared" ca="1" si="323"/>
        <v>#NAME?</v>
      </c>
      <c r="AT388" s="315" t="e">
        <f t="shared" ca="1" si="324"/>
        <v>#NAME?</v>
      </c>
      <c r="AU388" s="317">
        <v>427.8</v>
      </c>
      <c r="AV388" s="315" t="e">
        <f t="shared" ca="1" si="325"/>
        <v>#NAME?</v>
      </c>
      <c r="AW388" s="318" t="e">
        <f ca="1">0.0001*BicubicInterpolation('Drag Coef Table'!$B$4:$L$28,AV388,AC388)</f>
        <v>#NAME?</v>
      </c>
      <c r="AX388" s="319" t="e">
        <f t="shared" ca="1" si="326"/>
        <v>#NAME?</v>
      </c>
      <c r="AY388" s="318" t="e">
        <f t="shared" ca="1" si="327"/>
        <v>#NAME?</v>
      </c>
      <c r="AZ388" s="320" t="e">
        <f t="shared" ca="1" si="328"/>
        <v>#NAME?</v>
      </c>
      <c r="BA388" s="321" t="e">
        <f t="shared" ca="1" si="329"/>
        <v>#NAME?</v>
      </c>
      <c r="BB388" s="322" t="e">
        <f t="shared" ca="1" si="330"/>
        <v>#NAME?</v>
      </c>
      <c r="BC388" s="323">
        <v>75.196700000000007</v>
      </c>
      <c r="BD388" s="324" t="e">
        <f t="shared" ca="1" si="331"/>
        <v>#NAME?</v>
      </c>
      <c r="BE388" s="325" t="e">
        <f t="shared" ca="1" si="332"/>
        <v>#NAME?</v>
      </c>
      <c r="BF388" s="324" t="e">
        <f ca="1">BicubicInterpolation('TSFC Eff Table'!$B$4:$E$69,2,BB388)</f>
        <v>#NAME?</v>
      </c>
      <c r="BG388" s="326" t="e">
        <f t="shared" ca="1" si="333"/>
        <v>#NAME?</v>
      </c>
      <c r="BH388" s="694" t="e">
        <f ca="1">IF( S388="LRCINOP",   (1+(0.03/10)*Z388*(1+0.2*AC388^2) )*BicubicInterpolation( 'LRC INOP FF'!$C$4:$AA$21, Y388, U388 )-200, IF(S388 ="HOLDINGINOP", (1+(0.03/10)*Z388*(1+0.2*AC388^2) )*BicubicInterpolation( 'Holding INOP FF'!$C$4:$J$13,  Y388,  U388)/1.05-200,   BA388*BG388))</f>
        <v>#NAME?</v>
      </c>
      <c r="BI388" s="344" t="e">
        <f t="shared" ca="1" si="292"/>
        <v>#NAME?</v>
      </c>
      <c r="BJ388" s="322" t="e">
        <f t="shared" ca="1" si="334"/>
        <v>#NAME?</v>
      </c>
      <c r="BK388" s="338" t="e">
        <f t="shared" ca="1" si="293"/>
        <v>#NAME?</v>
      </c>
      <c r="BL388" s="327" t="e">
        <f t="shared" ca="1" si="335"/>
        <v>#NAME?</v>
      </c>
      <c r="BM388" s="328">
        <f t="shared" si="336"/>
        <v>200</v>
      </c>
      <c r="BN388" s="329" t="e">
        <f t="shared" ca="1" si="337"/>
        <v>#NAME?</v>
      </c>
      <c r="BO388" s="344" t="e">
        <f t="shared" ca="1" si="294"/>
        <v>#NAME?</v>
      </c>
      <c r="BP388" s="320" t="e">
        <f t="shared" ca="1" si="338"/>
        <v>#NAME?</v>
      </c>
      <c r="BQ388" s="344" t="e">
        <f t="shared" ca="1" si="295"/>
        <v>#NAME?</v>
      </c>
      <c r="BR388" s="347" t="e">
        <f t="shared" ca="1" si="296"/>
        <v>#NAME?</v>
      </c>
      <c r="BS388" s="326" t="e">
        <f t="shared" ca="1" si="339"/>
        <v>#NAME?</v>
      </c>
      <c r="BT388" s="437" t="e">
        <f t="shared" ca="1" si="309"/>
        <v>#NAME?</v>
      </c>
      <c r="BU388" s="437" t="e">
        <f t="shared" ca="1" si="310"/>
        <v>#NAME?</v>
      </c>
      <c r="BV388" s="441" t="e">
        <f t="shared" ca="1" si="311"/>
        <v>#NAME?</v>
      </c>
      <c r="BW388" s="442" t="e">
        <f t="shared" ca="1" si="312"/>
        <v>#NAME?</v>
      </c>
      <c r="BX388" s="470" t="e">
        <f t="shared" ca="1" si="285"/>
        <v>#NAME?</v>
      </c>
      <c r="BY388" s="484" t="e">
        <f t="shared" ca="1" si="297"/>
        <v>#NAME?</v>
      </c>
    </row>
    <row r="389" spans="9:77" ht="17.75" customHeight="1" x14ac:dyDescent="0.2">
      <c r="I389" s="366">
        <v>305</v>
      </c>
      <c r="J389" s="414">
        <f t="shared" si="298"/>
        <v>41705.924305556247</v>
      </c>
      <c r="K389" s="435" t="e">
        <f t="shared" ca="1" si="299"/>
        <v>#NAME?</v>
      </c>
      <c r="L389" s="435" t="e">
        <f t="shared" ca="1" si="286"/>
        <v>#NAME?</v>
      </c>
      <c r="M389" s="664" t="e">
        <f t="shared" ca="1" si="340"/>
        <v>#NAME?</v>
      </c>
      <c r="N389" s="664" t="e">
        <f t="shared" ca="1" si="341"/>
        <v>#NAME?</v>
      </c>
      <c r="O389" s="140" t="e">
        <f t="shared" ca="1" si="287"/>
        <v>#NAME?</v>
      </c>
      <c r="P389" s="352" t="e">
        <f t="shared" ca="1" si="300"/>
        <v>#NAME?</v>
      </c>
      <c r="Q389" s="665" t="e">
        <f t="shared" ref="Q389:Q452" ca="1" si="342">IF(S389="MEFE",  0,    IF(S389="INOP",    $C$36*AQ389/0.2243,     IF(V389&lt;Y388,             IF(OR(S389="KCAS",S389="HOLDING",S389="HOLDINGINOP",S389="LRCINOP"),   $C$32,    (1+$C$30*ABS(X389)/1000)*BN389  ),      IF(V389&gt;Y388,   BN389*(1+$C$29*W389/1000),   IF(AND($C$34=1, OR(S389="HOLDING", S389="HOLDINGINOP")  ),1.05,1)*BN389    ))))</f>
        <v>#NAME?</v>
      </c>
      <c r="R389" s="352" t="e">
        <f t="shared" ca="1" si="313"/>
        <v>#NAME?</v>
      </c>
      <c r="S389" s="662" t="e">
        <f t="shared" ca="1" si="288"/>
        <v>#NAME?</v>
      </c>
      <c r="T389" s="443" t="e">
        <f t="shared" ca="1" si="281"/>
        <v>#NAME?</v>
      </c>
      <c r="U389" s="369" t="e">
        <f t="shared" ca="1" si="282"/>
        <v>#NAME?</v>
      </c>
      <c r="V389" s="454" t="e">
        <f t="shared" ca="1" si="289"/>
        <v>#NAME?</v>
      </c>
      <c r="W389" s="457">
        <f t="shared" si="290"/>
        <v>1000</v>
      </c>
      <c r="X389" s="463" t="e">
        <f t="shared" ca="1" si="291"/>
        <v>#NAME?</v>
      </c>
      <c r="Y389" s="455" t="e">
        <f t="shared" ca="1" si="301"/>
        <v>#NAME?</v>
      </c>
      <c r="Z389" s="699">
        <f t="shared" si="283"/>
        <v>8.5</v>
      </c>
      <c r="AA389" s="355" t="str">
        <f t="shared" si="284"/>
        <v>ON</v>
      </c>
      <c r="AB389" s="357">
        <f t="shared" si="314"/>
        <v>1.4999999999999999E-2</v>
      </c>
      <c r="AC389" s="356" t="e">
        <f ca="1">IF(  Y388=0,0,IF(OR(S389="KCAS",S389="INOP",S389="MEFE"),   ( (5*( (   (((1+0.2*(T389/661.4786)^2)^3.5 -1)  )/( (1-6.8755856*10^-6 *100*Y389)^5.2558797) +1)^(2/7) -1) )^0.5),IF(S389="MACH",T389, IF(S389="LRC",BicubicInterpolation( 'LRC Mach'!$C$4:$AL$21, Y389,U389),  IF(S389="MRC",BicubicInterpolation( 'MRC Mach'!$C$3:$T$18, Y389,U389),  IF(S389="M0.84",0.84,  IF(S389="CI52",BicubicInterpolation('CI=52 Mach'!$C$3:$T$18, Y389,U389),  IF(S389="HOLDING",BicubicInterpolation(  'Holding Mach'!$C$4:$M$13, Y389,U389),                         IF(S389="LRCINOP", BicubicInterpolation('LRC INOP Mach'!$C$4:$AA$21,Y389,U389), IF(S389="HOLDINGINOP",  BicubicInterpolation('Holding INOP Mach'!$N$4:$U$13,Y389,U389),         "XXX" )))))))   )))</f>
        <v>#NAME?</v>
      </c>
      <c r="AD389" s="313" t="e">
        <f t="shared" ca="1" si="315"/>
        <v>#NAME?</v>
      </c>
      <c r="AE389" s="314" t="e">
        <f t="shared" ca="1" si="302"/>
        <v>#NAME?</v>
      </c>
      <c r="AF389" s="313" t="e">
        <f t="shared" ca="1" si="316"/>
        <v>#NAME?</v>
      </c>
      <c r="AG389" s="314" t="e">
        <f t="shared" ca="1" si="303"/>
        <v>#NAME?</v>
      </c>
      <c r="AH389" s="313" t="e">
        <f t="shared" ca="1" si="317"/>
        <v>#NAME?</v>
      </c>
      <c r="AI389" s="314" t="e">
        <f t="shared" ca="1" si="304"/>
        <v>#NAME?</v>
      </c>
      <c r="AJ389" s="315" t="e">
        <f t="shared" ca="1" si="305"/>
        <v>#NAME?</v>
      </c>
      <c r="AK389" s="568" t="e">
        <f t="shared" ca="1" si="318"/>
        <v>#NAME?</v>
      </c>
      <c r="AL389" s="313" t="e">
        <f t="shared" ca="1" si="319"/>
        <v>#NAME?</v>
      </c>
      <c r="AM389" s="313" t="e">
        <f t="shared" ca="1" si="306"/>
        <v>#NAME?</v>
      </c>
      <c r="AN389" s="313" t="e">
        <f t="shared" ca="1" si="307"/>
        <v>#NAME?</v>
      </c>
      <c r="AO389" s="316" t="e">
        <f t="shared" ca="1" si="320"/>
        <v>#NAME?</v>
      </c>
      <c r="AP389" s="313" t="e">
        <f t="shared" ca="1" si="321"/>
        <v>#NAME?</v>
      </c>
      <c r="AQ389" s="314" t="e">
        <f t="shared" ca="1" si="308"/>
        <v>#NAME?</v>
      </c>
      <c r="AR389" s="315" t="e">
        <f t="shared" ca="1" si="322"/>
        <v>#NAME?</v>
      </c>
      <c r="AS389" s="316" t="e">
        <f t="shared" ca="1" si="323"/>
        <v>#NAME?</v>
      </c>
      <c r="AT389" s="315" t="e">
        <f t="shared" ca="1" si="324"/>
        <v>#NAME?</v>
      </c>
      <c r="AU389" s="317">
        <v>427.8</v>
      </c>
      <c r="AV389" s="315" t="e">
        <f t="shared" ca="1" si="325"/>
        <v>#NAME?</v>
      </c>
      <c r="AW389" s="318" t="e">
        <f ca="1">0.0001*BicubicInterpolation('Drag Coef Table'!$B$4:$L$28,AV389,AC389)</f>
        <v>#NAME?</v>
      </c>
      <c r="AX389" s="319" t="e">
        <f t="shared" ca="1" si="326"/>
        <v>#NAME?</v>
      </c>
      <c r="AY389" s="318" t="e">
        <f t="shared" ca="1" si="327"/>
        <v>#NAME?</v>
      </c>
      <c r="AZ389" s="320" t="e">
        <f t="shared" ca="1" si="328"/>
        <v>#NAME?</v>
      </c>
      <c r="BA389" s="321" t="e">
        <f t="shared" ca="1" si="329"/>
        <v>#NAME?</v>
      </c>
      <c r="BB389" s="322" t="e">
        <f t="shared" ca="1" si="330"/>
        <v>#NAME?</v>
      </c>
      <c r="BC389" s="323">
        <v>75.196700000000007</v>
      </c>
      <c r="BD389" s="324" t="e">
        <f t="shared" ca="1" si="331"/>
        <v>#NAME?</v>
      </c>
      <c r="BE389" s="325" t="e">
        <f t="shared" ca="1" si="332"/>
        <v>#NAME?</v>
      </c>
      <c r="BF389" s="324" t="e">
        <f ca="1">BicubicInterpolation('TSFC Eff Table'!$B$4:$E$69,2,BB389)</f>
        <v>#NAME?</v>
      </c>
      <c r="BG389" s="326" t="e">
        <f t="shared" ca="1" si="333"/>
        <v>#NAME?</v>
      </c>
      <c r="BH389" s="694" t="e">
        <f ca="1">IF( S389="LRCINOP",   (1+(0.03/10)*Z389*(1+0.2*AC389^2) )*BicubicInterpolation( 'LRC INOP FF'!$C$4:$AA$21, Y389, U389 )-200, IF(S389 ="HOLDINGINOP", (1+(0.03/10)*Z389*(1+0.2*AC389^2) )*BicubicInterpolation( 'Holding INOP FF'!$C$4:$J$13,  Y389,  U389)/1.05-200,   BA389*BG389))</f>
        <v>#NAME?</v>
      </c>
      <c r="BI389" s="344" t="e">
        <f t="shared" ca="1" si="292"/>
        <v>#NAME?</v>
      </c>
      <c r="BJ389" s="322" t="e">
        <f t="shared" ca="1" si="334"/>
        <v>#NAME?</v>
      </c>
      <c r="BK389" s="338" t="e">
        <f t="shared" ca="1" si="293"/>
        <v>#NAME?</v>
      </c>
      <c r="BL389" s="327" t="e">
        <f t="shared" ca="1" si="335"/>
        <v>#NAME?</v>
      </c>
      <c r="BM389" s="328">
        <f t="shared" si="336"/>
        <v>200</v>
      </c>
      <c r="BN389" s="329" t="e">
        <f t="shared" ca="1" si="337"/>
        <v>#NAME?</v>
      </c>
      <c r="BO389" s="344" t="e">
        <f t="shared" ca="1" si="294"/>
        <v>#NAME?</v>
      </c>
      <c r="BP389" s="320" t="e">
        <f t="shared" ca="1" si="338"/>
        <v>#NAME?</v>
      </c>
      <c r="BQ389" s="344" t="e">
        <f t="shared" ca="1" si="295"/>
        <v>#NAME?</v>
      </c>
      <c r="BR389" s="347" t="e">
        <f t="shared" ca="1" si="296"/>
        <v>#NAME?</v>
      </c>
      <c r="BS389" s="326" t="e">
        <f t="shared" ca="1" si="339"/>
        <v>#NAME?</v>
      </c>
      <c r="BT389" s="437" t="e">
        <f t="shared" ca="1" si="309"/>
        <v>#NAME?</v>
      </c>
      <c r="BU389" s="437" t="e">
        <f t="shared" ca="1" si="310"/>
        <v>#NAME?</v>
      </c>
      <c r="BV389" s="441" t="e">
        <f t="shared" ca="1" si="311"/>
        <v>#NAME?</v>
      </c>
      <c r="BW389" s="442" t="e">
        <f t="shared" ca="1" si="312"/>
        <v>#NAME?</v>
      </c>
      <c r="BX389" s="470" t="e">
        <f t="shared" ca="1" si="285"/>
        <v>#NAME?</v>
      </c>
      <c r="BY389" s="484" t="e">
        <f t="shared" ca="1" si="297"/>
        <v>#NAME?</v>
      </c>
    </row>
    <row r="390" spans="9:77" ht="17.75" customHeight="1" x14ac:dyDescent="0.2">
      <c r="I390" s="366">
        <v>306</v>
      </c>
      <c r="J390" s="414">
        <f t="shared" si="298"/>
        <v>41705.925000000694</v>
      </c>
      <c r="K390" s="435" t="e">
        <f t="shared" ca="1" si="299"/>
        <v>#NAME?</v>
      </c>
      <c r="L390" s="435" t="e">
        <f t="shared" ca="1" si="286"/>
        <v>#NAME?</v>
      </c>
      <c r="M390" s="664" t="e">
        <f t="shared" ca="1" si="340"/>
        <v>#NAME?</v>
      </c>
      <c r="N390" s="664" t="e">
        <f t="shared" ca="1" si="341"/>
        <v>#NAME?</v>
      </c>
      <c r="O390" s="140" t="e">
        <f t="shared" ca="1" si="287"/>
        <v>#NAME?</v>
      </c>
      <c r="P390" s="352" t="e">
        <f t="shared" ca="1" si="300"/>
        <v>#NAME?</v>
      </c>
      <c r="Q390" s="665" t="e">
        <f t="shared" ca="1" si="342"/>
        <v>#NAME?</v>
      </c>
      <c r="R390" s="352" t="e">
        <f t="shared" ca="1" si="313"/>
        <v>#NAME?</v>
      </c>
      <c r="S390" s="662" t="e">
        <f t="shared" ca="1" si="288"/>
        <v>#NAME?</v>
      </c>
      <c r="T390" s="443" t="e">
        <f t="shared" ca="1" si="281"/>
        <v>#NAME?</v>
      </c>
      <c r="U390" s="369" t="e">
        <f t="shared" ca="1" si="282"/>
        <v>#NAME?</v>
      </c>
      <c r="V390" s="454" t="e">
        <f t="shared" ca="1" si="289"/>
        <v>#NAME?</v>
      </c>
      <c r="W390" s="457">
        <f t="shared" si="290"/>
        <v>1000</v>
      </c>
      <c r="X390" s="463" t="e">
        <f t="shared" ca="1" si="291"/>
        <v>#NAME?</v>
      </c>
      <c r="Y390" s="455" t="e">
        <f t="shared" ca="1" si="301"/>
        <v>#NAME?</v>
      </c>
      <c r="Z390" s="699">
        <f t="shared" si="283"/>
        <v>8.5</v>
      </c>
      <c r="AA390" s="355" t="str">
        <f t="shared" si="284"/>
        <v>ON</v>
      </c>
      <c r="AB390" s="357">
        <f t="shared" si="314"/>
        <v>1.4999999999999999E-2</v>
      </c>
      <c r="AC390" s="356" t="e">
        <f ca="1">IF(  Y389=0,0,IF(OR(S390="KCAS",S390="INOP",S390="MEFE"),   ( (5*( (   (((1+0.2*(T390/661.4786)^2)^3.5 -1)  )/( (1-6.8755856*10^-6 *100*Y390)^5.2558797) +1)^(2/7) -1) )^0.5),IF(S390="MACH",T390, IF(S390="LRC",BicubicInterpolation( 'LRC Mach'!$C$4:$AL$21, Y390,U390),  IF(S390="MRC",BicubicInterpolation( 'MRC Mach'!$C$3:$T$18, Y390,U390),  IF(S390="M0.84",0.84,  IF(S390="CI52",BicubicInterpolation('CI=52 Mach'!$C$3:$T$18, Y390,U390),  IF(S390="HOLDING",BicubicInterpolation(  'Holding Mach'!$C$4:$M$13, Y390,U390),                         IF(S390="LRCINOP", BicubicInterpolation('LRC INOP Mach'!$C$4:$AA$21,Y390,U390), IF(S390="HOLDINGINOP",  BicubicInterpolation('Holding INOP Mach'!$N$4:$U$13,Y390,U390),         "XXX" )))))))   )))</f>
        <v>#NAME?</v>
      </c>
      <c r="AD390" s="313" t="e">
        <f t="shared" ca="1" si="315"/>
        <v>#NAME?</v>
      </c>
      <c r="AE390" s="314" t="e">
        <f t="shared" ca="1" si="302"/>
        <v>#NAME?</v>
      </c>
      <c r="AF390" s="313" t="e">
        <f t="shared" ca="1" si="316"/>
        <v>#NAME?</v>
      </c>
      <c r="AG390" s="314" t="e">
        <f t="shared" ca="1" si="303"/>
        <v>#NAME?</v>
      </c>
      <c r="AH390" s="313" t="e">
        <f t="shared" ca="1" si="317"/>
        <v>#NAME?</v>
      </c>
      <c r="AI390" s="314" t="e">
        <f t="shared" ca="1" si="304"/>
        <v>#NAME?</v>
      </c>
      <c r="AJ390" s="315" t="e">
        <f t="shared" ca="1" si="305"/>
        <v>#NAME?</v>
      </c>
      <c r="AK390" s="568" t="e">
        <f t="shared" ca="1" si="318"/>
        <v>#NAME?</v>
      </c>
      <c r="AL390" s="313" t="e">
        <f t="shared" ca="1" si="319"/>
        <v>#NAME?</v>
      </c>
      <c r="AM390" s="313" t="e">
        <f t="shared" ca="1" si="306"/>
        <v>#NAME?</v>
      </c>
      <c r="AN390" s="313" t="e">
        <f t="shared" ca="1" si="307"/>
        <v>#NAME?</v>
      </c>
      <c r="AO390" s="316" t="e">
        <f t="shared" ca="1" si="320"/>
        <v>#NAME?</v>
      </c>
      <c r="AP390" s="313" t="e">
        <f t="shared" ca="1" si="321"/>
        <v>#NAME?</v>
      </c>
      <c r="AQ390" s="314" t="e">
        <f t="shared" ca="1" si="308"/>
        <v>#NAME?</v>
      </c>
      <c r="AR390" s="315" t="e">
        <f t="shared" ca="1" si="322"/>
        <v>#NAME?</v>
      </c>
      <c r="AS390" s="316" t="e">
        <f t="shared" ca="1" si="323"/>
        <v>#NAME?</v>
      </c>
      <c r="AT390" s="315" t="e">
        <f t="shared" ca="1" si="324"/>
        <v>#NAME?</v>
      </c>
      <c r="AU390" s="317">
        <v>427.8</v>
      </c>
      <c r="AV390" s="315" t="e">
        <f t="shared" ca="1" si="325"/>
        <v>#NAME?</v>
      </c>
      <c r="AW390" s="318" t="e">
        <f ca="1">0.0001*BicubicInterpolation('Drag Coef Table'!$B$4:$L$28,AV390,AC390)</f>
        <v>#NAME?</v>
      </c>
      <c r="AX390" s="319" t="e">
        <f t="shared" ca="1" si="326"/>
        <v>#NAME?</v>
      </c>
      <c r="AY390" s="318" t="e">
        <f t="shared" ca="1" si="327"/>
        <v>#NAME?</v>
      </c>
      <c r="AZ390" s="320" t="e">
        <f t="shared" ca="1" si="328"/>
        <v>#NAME?</v>
      </c>
      <c r="BA390" s="321" t="e">
        <f t="shared" ca="1" si="329"/>
        <v>#NAME?</v>
      </c>
      <c r="BB390" s="322" t="e">
        <f t="shared" ca="1" si="330"/>
        <v>#NAME?</v>
      </c>
      <c r="BC390" s="323">
        <v>75.196700000000007</v>
      </c>
      <c r="BD390" s="324" t="e">
        <f t="shared" ca="1" si="331"/>
        <v>#NAME?</v>
      </c>
      <c r="BE390" s="325" t="e">
        <f t="shared" ca="1" si="332"/>
        <v>#NAME?</v>
      </c>
      <c r="BF390" s="324" t="e">
        <f ca="1">BicubicInterpolation('TSFC Eff Table'!$B$4:$E$69,2,BB390)</f>
        <v>#NAME?</v>
      </c>
      <c r="BG390" s="326" t="e">
        <f t="shared" ca="1" si="333"/>
        <v>#NAME?</v>
      </c>
      <c r="BH390" s="694" t="e">
        <f ca="1">IF( S390="LRCINOP",   (1+(0.03/10)*Z390*(1+0.2*AC390^2) )*BicubicInterpolation( 'LRC INOP FF'!$C$4:$AA$21, Y390, U390 )-200, IF(S390 ="HOLDINGINOP", (1+(0.03/10)*Z390*(1+0.2*AC390^2) )*BicubicInterpolation( 'Holding INOP FF'!$C$4:$J$13,  Y390,  U390)/1.05-200,   BA390*BG390))</f>
        <v>#NAME?</v>
      </c>
      <c r="BI390" s="344" t="e">
        <f t="shared" ca="1" si="292"/>
        <v>#NAME?</v>
      </c>
      <c r="BJ390" s="322" t="e">
        <f t="shared" ca="1" si="334"/>
        <v>#NAME?</v>
      </c>
      <c r="BK390" s="338" t="e">
        <f t="shared" ca="1" si="293"/>
        <v>#NAME?</v>
      </c>
      <c r="BL390" s="327" t="e">
        <f t="shared" ca="1" si="335"/>
        <v>#NAME?</v>
      </c>
      <c r="BM390" s="328">
        <f t="shared" si="336"/>
        <v>200</v>
      </c>
      <c r="BN390" s="329" t="e">
        <f t="shared" ca="1" si="337"/>
        <v>#NAME?</v>
      </c>
      <c r="BO390" s="344" t="e">
        <f t="shared" ca="1" si="294"/>
        <v>#NAME?</v>
      </c>
      <c r="BP390" s="320" t="e">
        <f t="shared" ca="1" si="338"/>
        <v>#NAME?</v>
      </c>
      <c r="BQ390" s="344" t="e">
        <f t="shared" ca="1" si="295"/>
        <v>#NAME?</v>
      </c>
      <c r="BR390" s="347" t="e">
        <f t="shared" ca="1" si="296"/>
        <v>#NAME?</v>
      </c>
      <c r="BS390" s="326" t="e">
        <f t="shared" ca="1" si="339"/>
        <v>#NAME?</v>
      </c>
      <c r="BT390" s="437" t="e">
        <f t="shared" ca="1" si="309"/>
        <v>#NAME?</v>
      </c>
      <c r="BU390" s="437" t="e">
        <f t="shared" ca="1" si="310"/>
        <v>#NAME?</v>
      </c>
      <c r="BV390" s="441" t="e">
        <f t="shared" ca="1" si="311"/>
        <v>#NAME?</v>
      </c>
      <c r="BW390" s="442" t="e">
        <f t="shared" ca="1" si="312"/>
        <v>#NAME?</v>
      </c>
      <c r="BX390" s="470" t="e">
        <f t="shared" ca="1" si="285"/>
        <v>#NAME?</v>
      </c>
      <c r="BY390" s="484" t="e">
        <f t="shared" ca="1" si="297"/>
        <v>#NAME?</v>
      </c>
    </row>
    <row r="391" spans="9:77" ht="17.75" customHeight="1" x14ac:dyDescent="0.2">
      <c r="I391" s="366">
        <v>307</v>
      </c>
      <c r="J391" s="414">
        <f t="shared" si="298"/>
        <v>41705.925694445141</v>
      </c>
      <c r="K391" s="435" t="e">
        <f t="shared" ca="1" si="299"/>
        <v>#NAME?</v>
      </c>
      <c r="L391" s="435" t="e">
        <f t="shared" ca="1" si="286"/>
        <v>#NAME?</v>
      </c>
      <c r="M391" s="664" t="e">
        <f t="shared" ca="1" si="340"/>
        <v>#NAME?</v>
      </c>
      <c r="N391" s="664" t="e">
        <f t="shared" ca="1" si="341"/>
        <v>#NAME?</v>
      </c>
      <c r="O391" s="140" t="e">
        <f t="shared" ca="1" si="287"/>
        <v>#NAME?</v>
      </c>
      <c r="P391" s="352" t="e">
        <f t="shared" ca="1" si="300"/>
        <v>#NAME?</v>
      </c>
      <c r="Q391" s="665" t="e">
        <f t="shared" ca="1" si="342"/>
        <v>#NAME?</v>
      </c>
      <c r="R391" s="352" t="e">
        <f t="shared" ca="1" si="313"/>
        <v>#NAME?</v>
      </c>
      <c r="S391" s="662" t="e">
        <f t="shared" ca="1" si="288"/>
        <v>#NAME?</v>
      </c>
      <c r="T391" s="443" t="e">
        <f t="shared" ca="1" si="281"/>
        <v>#NAME?</v>
      </c>
      <c r="U391" s="369" t="e">
        <f t="shared" ca="1" si="282"/>
        <v>#NAME?</v>
      </c>
      <c r="V391" s="454" t="e">
        <f t="shared" ca="1" si="289"/>
        <v>#NAME?</v>
      </c>
      <c r="W391" s="457">
        <f t="shared" si="290"/>
        <v>1000</v>
      </c>
      <c r="X391" s="463" t="e">
        <f t="shared" ca="1" si="291"/>
        <v>#NAME?</v>
      </c>
      <c r="Y391" s="455" t="e">
        <f t="shared" ca="1" si="301"/>
        <v>#NAME?</v>
      </c>
      <c r="Z391" s="699">
        <f t="shared" si="283"/>
        <v>8.5</v>
      </c>
      <c r="AA391" s="355" t="str">
        <f t="shared" si="284"/>
        <v>ON</v>
      </c>
      <c r="AB391" s="357">
        <f t="shared" si="314"/>
        <v>1.4999999999999999E-2</v>
      </c>
      <c r="AC391" s="356" t="e">
        <f ca="1">IF(  Y390=0,0,IF(OR(S391="KCAS",S391="INOP",S391="MEFE"),   ( (5*( (   (((1+0.2*(T391/661.4786)^2)^3.5 -1)  )/( (1-6.8755856*10^-6 *100*Y391)^5.2558797) +1)^(2/7) -1) )^0.5),IF(S391="MACH",T391, IF(S391="LRC",BicubicInterpolation( 'LRC Mach'!$C$4:$AL$21, Y391,U391),  IF(S391="MRC",BicubicInterpolation( 'MRC Mach'!$C$3:$T$18, Y391,U391),  IF(S391="M0.84",0.84,  IF(S391="CI52",BicubicInterpolation('CI=52 Mach'!$C$3:$T$18, Y391,U391),  IF(S391="HOLDING",BicubicInterpolation(  'Holding Mach'!$C$4:$M$13, Y391,U391),                         IF(S391="LRCINOP", BicubicInterpolation('LRC INOP Mach'!$C$4:$AA$21,Y391,U391), IF(S391="HOLDINGINOP",  BicubicInterpolation('Holding INOP Mach'!$N$4:$U$13,Y391,U391),         "XXX" )))))))   )))</f>
        <v>#NAME?</v>
      </c>
      <c r="AD391" s="313" t="e">
        <f t="shared" ca="1" si="315"/>
        <v>#NAME?</v>
      </c>
      <c r="AE391" s="314" t="e">
        <f t="shared" ca="1" si="302"/>
        <v>#NAME?</v>
      </c>
      <c r="AF391" s="313" t="e">
        <f t="shared" ca="1" si="316"/>
        <v>#NAME?</v>
      </c>
      <c r="AG391" s="314" t="e">
        <f t="shared" ca="1" si="303"/>
        <v>#NAME?</v>
      </c>
      <c r="AH391" s="313" t="e">
        <f t="shared" ca="1" si="317"/>
        <v>#NAME?</v>
      </c>
      <c r="AI391" s="314" t="e">
        <f t="shared" ca="1" si="304"/>
        <v>#NAME?</v>
      </c>
      <c r="AJ391" s="315" t="e">
        <f t="shared" ca="1" si="305"/>
        <v>#NAME?</v>
      </c>
      <c r="AK391" s="568" t="e">
        <f t="shared" ca="1" si="318"/>
        <v>#NAME?</v>
      </c>
      <c r="AL391" s="313" t="e">
        <f t="shared" ca="1" si="319"/>
        <v>#NAME?</v>
      </c>
      <c r="AM391" s="313" t="e">
        <f t="shared" ca="1" si="306"/>
        <v>#NAME?</v>
      </c>
      <c r="AN391" s="313" t="e">
        <f t="shared" ca="1" si="307"/>
        <v>#NAME?</v>
      </c>
      <c r="AO391" s="316" t="e">
        <f t="shared" ca="1" si="320"/>
        <v>#NAME?</v>
      </c>
      <c r="AP391" s="313" t="e">
        <f t="shared" ca="1" si="321"/>
        <v>#NAME?</v>
      </c>
      <c r="AQ391" s="314" t="e">
        <f t="shared" ca="1" si="308"/>
        <v>#NAME?</v>
      </c>
      <c r="AR391" s="315" t="e">
        <f t="shared" ca="1" si="322"/>
        <v>#NAME?</v>
      </c>
      <c r="AS391" s="316" t="e">
        <f t="shared" ca="1" si="323"/>
        <v>#NAME?</v>
      </c>
      <c r="AT391" s="315" t="e">
        <f t="shared" ca="1" si="324"/>
        <v>#NAME?</v>
      </c>
      <c r="AU391" s="317">
        <v>427.8</v>
      </c>
      <c r="AV391" s="315" t="e">
        <f t="shared" ca="1" si="325"/>
        <v>#NAME?</v>
      </c>
      <c r="AW391" s="318" t="e">
        <f ca="1">0.0001*BicubicInterpolation('Drag Coef Table'!$B$4:$L$28,AV391,AC391)</f>
        <v>#NAME?</v>
      </c>
      <c r="AX391" s="319" t="e">
        <f t="shared" ca="1" si="326"/>
        <v>#NAME?</v>
      </c>
      <c r="AY391" s="318" t="e">
        <f t="shared" ca="1" si="327"/>
        <v>#NAME?</v>
      </c>
      <c r="AZ391" s="320" t="e">
        <f t="shared" ca="1" si="328"/>
        <v>#NAME?</v>
      </c>
      <c r="BA391" s="321" t="e">
        <f t="shared" ca="1" si="329"/>
        <v>#NAME?</v>
      </c>
      <c r="BB391" s="322" t="e">
        <f t="shared" ca="1" si="330"/>
        <v>#NAME?</v>
      </c>
      <c r="BC391" s="323">
        <v>75.196700000000007</v>
      </c>
      <c r="BD391" s="324" t="e">
        <f t="shared" ca="1" si="331"/>
        <v>#NAME?</v>
      </c>
      <c r="BE391" s="325" t="e">
        <f t="shared" ca="1" si="332"/>
        <v>#NAME?</v>
      </c>
      <c r="BF391" s="324" t="e">
        <f ca="1">BicubicInterpolation('TSFC Eff Table'!$B$4:$E$69,2,BB391)</f>
        <v>#NAME?</v>
      </c>
      <c r="BG391" s="326" t="e">
        <f t="shared" ca="1" si="333"/>
        <v>#NAME?</v>
      </c>
      <c r="BH391" s="694" t="e">
        <f ca="1">IF( S391="LRCINOP",   (1+(0.03/10)*Z391*(1+0.2*AC391^2) )*BicubicInterpolation( 'LRC INOP FF'!$C$4:$AA$21, Y391, U391 )-200, IF(S391 ="HOLDINGINOP", (1+(0.03/10)*Z391*(1+0.2*AC391^2) )*BicubicInterpolation( 'Holding INOP FF'!$C$4:$J$13,  Y391,  U391)/1.05-200,   BA391*BG391))</f>
        <v>#NAME?</v>
      </c>
      <c r="BI391" s="344" t="e">
        <f t="shared" ca="1" si="292"/>
        <v>#NAME?</v>
      </c>
      <c r="BJ391" s="322" t="e">
        <f t="shared" ca="1" si="334"/>
        <v>#NAME?</v>
      </c>
      <c r="BK391" s="338" t="e">
        <f t="shared" ca="1" si="293"/>
        <v>#NAME?</v>
      </c>
      <c r="BL391" s="327" t="e">
        <f t="shared" ca="1" si="335"/>
        <v>#NAME?</v>
      </c>
      <c r="BM391" s="328">
        <f t="shared" si="336"/>
        <v>200</v>
      </c>
      <c r="BN391" s="329" t="e">
        <f t="shared" ca="1" si="337"/>
        <v>#NAME?</v>
      </c>
      <c r="BO391" s="344" t="e">
        <f t="shared" ca="1" si="294"/>
        <v>#NAME?</v>
      </c>
      <c r="BP391" s="320" t="e">
        <f t="shared" ca="1" si="338"/>
        <v>#NAME?</v>
      </c>
      <c r="BQ391" s="344" t="e">
        <f t="shared" ca="1" si="295"/>
        <v>#NAME?</v>
      </c>
      <c r="BR391" s="347" t="e">
        <f t="shared" ca="1" si="296"/>
        <v>#NAME?</v>
      </c>
      <c r="BS391" s="326" t="e">
        <f t="shared" ca="1" si="339"/>
        <v>#NAME?</v>
      </c>
      <c r="BT391" s="437" t="e">
        <f t="shared" ca="1" si="309"/>
        <v>#NAME?</v>
      </c>
      <c r="BU391" s="437" t="e">
        <f t="shared" ca="1" si="310"/>
        <v>#NAME?</v>
      </c>
      <c r="BV391" s="441" t="e">
        <f t="shared" ca="1" si="311"/>
        <v>#NAME?</v>
      </c>
      <c r="BW391" s="442" t="e">
        <f t="shared" ca="1" si="312"/>
        <v>#NAME?</v>
      </c>
      <c r="BX391" s="470" t="e">
        <f t="shared" ca="1" si="285"/>
        <v>#NAME?</v>
      </c>
      <c r="BY391" s="484" t="e">
        <f t="shared" ca="1" si="297"/>
        <v>#NAME?</v>
      </c>
    </row>
    <row r="392" spans="9:77" ht="17.75" customHeight="1" x14ac:dyDescent="0.2">
      <c r="I392" s="366">
        <v>308</v>
      </c>
      <c r="J392" s="414">
        <f t="shared" si="298"/>
        <v>41705.926388889588</v>
      </c>
      <c r="K392" s="435" t="e">
        <f t="shared" ca="1" si="299"/>
        <v>#NAME?</v>
      </c>
      <c r="L392" s="435" t="e">
        <f t="shared" ca="1" si="286"/>
        <v>#NAME?</v>
      </c>
      <c r="M392" s="664" t="e">
        <f t="shared" ca="1" si="340"/>
        <v>#NAME?</v>
      </c>
      <c r="N392" s="664" t="e">
        <f t="shared" ca="1" si="341"/>
        <v>#NAME?</v>
      </c>
      <c r="O392" s="140" t="e">
        <f t="shared" ca="1" si="287"/>
        <v>#NAME?</v>
      </c>
      <c r="P392" s="352" t="e">
        <f t="shared" ca="1" si="300"/>
        <v>#NAME?</v>
      </c>
      <c r="Q392" s="665" t="e">
        <f t="shared" ca="1" si="342"/>
        <v>#NAME?</v>
      </c>
      <c r="R392" s="352" t="e">
        <f t="shared" ca="1" si="313"/>
        <v>#NAME?</v>
      </c>
      <c r="S392" s="662" t="e">
        <f t="shared" ca="1" si="288"/>
        <v>#NAME?</v>
      </c>
      <c r="T392" s="443" t="e">
        <f t="shared" ca="1" si="281"/>
        <v>#NAME?</v>
      </c>
      <c r="U392" s="369" t="e">
        <f t="shared" ca="1" si="282"/>
        <v>#NAME?</v>
      </c>
      <c r="V392" s="454" t="e">
        <f t="shared" ca="1" si="289"/>
        <v>#NAME?</v>
      </c>
      <c r="W392" s="457">
        <f t="shared" si="290"/>
        <v>1000</v>
      </c>
      <c r="X392" s="463" t="e">
        <f t="shared" ca="1" si="291"/>
        <v>#NAME?</v>
      </c>
      <c r="Y392" s="455" t="e">
        <f t="shared" ca="1" si="301"/>
        <v>#NAME?</v>
      </c>
      <c r="Z392" s="699">
        <f t="shared" si="283"/>
        <v>8.5</v>
      </c>
      <c r="AA392" s="355" t="str">
        <f t="shared" si="284"/>
        <v>ON</v>
      </c>
      <c r="AB392" s="357">
        <f t="shared" si="314"/>
        <v>1.4999999999999999E-2</v>
      </c>
      <c r="AC392" s="356" t="e">
        <f ca="1">IF(  Y391=0,0,IF(OR(S392="KCAS",S392="INOP",S392="MEFE"),   ( (5*( (   (((1+0.2*(T392/661.4786)^2)^3.5 -1)  )/( (1-6.8755856*10^-6 *100*Y392)^5.2558797) +1)^(2/7) -1) )^0.5),IF(S392="MACH",T392, IF(S392="LRC",BicubicInterpolation( 'LRC Mach'!$C$4:$AL$21, Y392,U392),  IF(S392="MRC",BicubicInterpolation( 'MRC Mach'!$C$3:$T$18, Y392,U392),  IF(S392="M0.84",0.84,  IF(S392="CI52",BicubicInterpolation('CI=52 Mach'!$C$3:$T$18, Y392,U392),  IF(S392="HOLDING",BicubicInterpolation(  'Holding Mach'!$C$4:$M$13, Y392,U392),                         IF(S392="LRCINOP", BicubicInterpolation('LRC INOP Mach'!$C$4:$AA$21,Y392,U392), IF(S392="HOLDINGINOP",  BicubicInterpolation('Holding INOP Mach'!$N$4:$U$13,Y392,U392),         "XXX" )))))))   )))</f>
        <v>#NAME?</v>
      </c>
      <c r="AD392" s="313" t="e">
        <f t="shared" ca="1" si="315"/>
        <v>#NAME?</v>
      </c>
      <c r="AE392" s="314" t="e">
        <f t="shared" ca="1" si="302"/>
        <v>#NAME?</v>
      </c>
      <c r="AF392" s="313" t="e">
        <f t="shared" ca="1" si="316"/>
        <v>#NAME?</v>
      </c>
      <c r="AG392" s="314" t="e">
        <f t="shared" ca="1" si="303"/>
        <v>#NAME?</v>
      </c>
      <c r="AH392" s="313" t="e">
        <f t="shared" ca="1" si="317"/>
        <v>#NAME?</v>
      </c>
      <c r="AI392" s="314" t="e">
        <f t="shared" ca="1" si="304"/>
        <v>#NAME?</v>
      </c>
      <c r="AJ392" s="315" t="e">
        <f t="shared" ca="1" si="305"/>
        <v>#NAME?</v>
      </c>
      <c r="AK392" s="568" t="e">
        <f t="shared" ca="1" si="318"/>
        <v>#NAME?</v>
      </c>
      <c r="AL392" s="313" t="e">
        <f t="shared" ca="1" si="319"/>
        <v>#NAME?</v>
      </c>
      <c r="AM392" s="313" t="e">
        <f t="shared" ca="1" si="306"/>
        <v>#NAME?</v>
      </c>
      <c r="AN392" s="313" t="e">
        <f t="shared" ca="1" si="307"/>
        <v>#NAME?</v>
      </c>
      <c r="AO392" s="316" t="e">
        <f t="shared" ca="1" si="320"/>
        <v>#NAME?</v>
      </c>
      <c r="AP392" s="313" t="e">
        <f t="shared" ca="1" si="321"/>
        <v>#NAME?</v>
      </c>
      <c r="AQ392" s="314" t="e">
        <f t="shared" ca="1" si="308"/>
        <v>#NAME?</v>
      </c>
      <c r="AR392" s="315" t="e">
        <f t="shared" ca="1" si="322"/>
        <v>#NAME?</v>
      </c>
      <c r="AS392" s="316" t="e">
        <f t="shared" ca="1" si="323"/>
        <v>#NAME?</v>
      </c>
      <c r="AT392" s="315" t="e">
        <f t="shared" ca="1" si="324"/>
        <v>#NAME?</v>
      </c>
      <c r="AU392" s="317">
        <v>427.8</v>
      </c>
      <c r="AV392" s="315" t="e">
        <f t="shared" ca="1" si="325"/>
        <v>#NAME?</v>
      </c>
      <c r="AW392" s="318" t="e">
        <f ca="1">0.0001*BicubicInterpolation('Drag Coef Table'!$B$4:$L$28,AV392,AC392)</f>
        <v>#NAME?</v>
      </c>
      <c r="AX392" s="319" t="e">
        <f t="shared" ca="1" si="326"/>
        <v>#NAME?</v>
      </c>
      <c r="AY392" s="318" t="e">
        <f t="shared" ca="1" si="327"/>
        <v>#NAME?</v>
      </c>
      <c r="AZ392" s="320" t="e">
        <f t="shared" ca="1" si="328"/>
        <v>#NAME?</v>
      </c>
      <c r="BA392" s="321" t="e">
        <f t="shared" ca="1" si="329"/>
        <v>#NAME?</v>
      </c>
      <c r="BB392" s="322" t="e">
        <f t="shared" ca="1" si="330"/>
        <v>#NAME?</v>
      </c>
      <c r="BC392" s="323">
        <v>75.196700000000007</v>
      </c>
      <c r="BD392" s="324" t="e">
        <f t="shared" ca="1" si="331"/>
        <v>#NAME?</v>
      </c>
      <c r="BE392" s="325" t="e">
        <f t="shared" ca="1" si="332"/>
        <v>#NAME?</v>
      </c>
      <c r="BF392" s="324" t="e">
        <f ca="1">BicubicInterpolation('TSFC Eff Table'!$B$4:$E$69,2,BB392)</f>
        <v>#NAME?</v>
      </c>
      <c r="BG392" s="326" t="e">
        <f t="shared" ca="1" si="333"/>
        <v>#NAME?</v>
      </c>
      <c r="BH392" s="694" t="e">
        <f ca="1">IF( S392="LRCINOP",   (1+(0.03/10)*Z392*(1+0.2*AC392^2) )*BicubicInterpolation( 'LRC INOP FF'!$C$4:$AA$21, Y392, U392 )-200, IF(S392 ="HOLDINGINOP", (1+(0.03/10)*Z392*(1+0.2*AC392^2) )*BicubicInterpolation( 'Holding INOP FF'!$C$4:$J$13,  Y392,  U392)/1.05-200,   BA392*BG392))</f>
        <v>#NAME?</v>
      </c>
      <c r="BI392" s="344" t="e">
        <f t="shared" ca="1" si="292"/>
        <v>#NAME?</v>
      </c>
      <c r="BJ392" s="322" t="e">
        <f t="shared" ca="1" si="334"/>
        <v>#NAME?</v>
      </c>
      <c r="BK392" s="338" t="e">
        <f t="shared" ca="1" si="293"/>
        <v>#NAME?</v>
      </c>
      <c r="BL392" s="327" t="e">
        <f t="shared" ca="1" si="335"/>
        <v>#NAME?</v>
      </c>
      <c r="BM392" s="328">
        <f t="shared" si="336"/>
        <v>200</v>
      </c>
      <c r="BN392" s="329" t="e">
        <f t="shared" ca="1" si="337"/>
        <v>#NAME?</v>
      </c>
      <c r="BO392" s="344" t="e">
        <f t="shared" ca="1" si="294"/>
        <v>#NAME?</v>
      </c>
      <c r="BP392" s="320" t="e">
        <f t="shared" ca="1" si="338"/>
        <v>#NAME?</v>
      </c>
      <c r="BQ392" s="344" t="e">
        <f t="shared" ca="1" si="295"/>
        <v>#NAME?</v>
      </c>
      <c r="BR392" s="347" t="e">
        <f t="shared" ca="1" si="296"/>
        <v>#NAME?</v>
      </c>
      <c r="BS392" s="326" t="e">
        <f t="shared" ca="1" si="339"/>
        <v>#NAME?</v>
      </c>
      <c r="BT392" s="437" t="e">
        <f t="shared" ca="1" si="309"/>
        <v>#NAME?</v>
      </c>
      <c r="BU392" s="437" t="e">
        <f t="shared" ca="1" si="310"/>
        <v>#NAME?</v>
      </c>
      <c r="BV392" s="441" t="e">
        <f t="shared" ca="1" si="311"/>
        <v>#NAME?</v>
      </c>
      <c r="BW392" s="442" t="e">
        <f t="shared" ca="1" si="312"/>
        <v>#NAME?</v>
      </c>
      <c r="BX392" s="470" t="e">
        <f t="shared" ca="1" si="285"/>
        <v>#NAME?</v>
      </c>
      <c r="BY392" s="484" t="e">
        <f t="shared" ca="1" si="297"/>
        <v>#NAME?</v>
      </c>
    </row>
    <row r="393" spans="9:77" ht="17.75" customHeight="1" x14ac:dyDescent="0.2">
      <c r="I393" s="366">
        <v>309</v>
      </c>
      <c r="J393" s="414">
        <f t="shared" si="298"/>
        <v>41705.927083334034</v>
      </c>
      <c r="K393" s="435" t="e">
        <f t="shared" ca="1" si="299"/>
        <v>#NAME?</v>
      </c>
      <c r="L393" s="435" t="e">
        <f t="shared" ca="1" si="286"/>
        <v>#NAME?</v>
      </c>
      <c r="M393" s="664" t="e">
        <f t="shared" ca="1" si="340"/>
        <v>#NAME?</v>
      </c>
      <c r="N393" s="664" t="e">
        <f t="shared" ca="1" si="341"/>
        <v>#NAME?</v>
      </c>
      <c r="O393" s="140" t="e">
        <f t="shared" ca="1" si="287"/>
        <v>#NAME?</v>
      </c>
      <c r="P393" s="352" t="e">
        <f t="shared" ca="1" si="300"/>
        <v>#NAME?</v>
      </c>
      <c r="Q393" s="665" t="e">
        <f t="shared" ca="1" si="342"/>
        <v>#NAME?</v>
      </c>
      <c r="R393" s="352" t="e">
        <f t="shared" ca="1" si="313"/>
        <v>#NAME?</v>
      </c>
      <c r="S393" s="662" t="e">
        <f t="shared" ca="1" si="288"/>
        <v>#NAME?</v>
      </c>
      <c r="T393" s="443" t="e">
        <f t="shared" ca="1" si="281"/>
        <v>#NAME?</v>
      </c>
      <c r="U393" s="369" t="e">
        <f t="shared" ca="1" si="282"/>
        <v>#NAME?</v>
      </c>
      <c r="V393" s="454" t="e">
        <f t="shared" ca="1" si="289"/>
        <v>#NAME?</v>
      </c>
      <c r="W393" s="457">
        <f t="shared" si="290"/>
        <v>1000</v>
      </c>
      <c r="X393" s="463" t="e">
        <f t="shared" ca="1" si="291"/>
        <v>#NAME?</v>
      </c>
      <c r="Y393" s="455" t="e">
        <f t="shared" ca="1" si="301"/>
        <v>#NAME?</v>
      </c>
      <c r="Z393" s="699">
        <f t="shared" si="283"/>
        <v>8.5</v>
      </c>
      <c r="AA393" s="355" t="str">
        <f t="shared" si="284"/>
        <v>ON</v>
      </c>
      <c r="AB393" s="357">
        <f t="shared" si="314"/>
        <v>1.4999999999999999E-2</v>
      </c>
      <c r="AC393" s="356" t="e">
        <f ca="1">IF(  Y392=0,0,IF(OR(S393="KCAS",S393="INOP",S393="MEFE"),   ( (5*( (   (((1+0.2*(T393/661.4786)^2)^3.5 -1)  )/( (1-6.8755856*10^-6 *100*Y393)^5.2558797) +1)^(2/7) -1) )^0.5),IF(S393="MACH",T393, IF(S393="LRC",BicubicInterpolation( 'LRC Mach'!$C$4:$AL$21, Y393,U393),  IF(S393="MRC",BicubicInterpolation( 'MRC Mach'!$C$3:$T$18, Y393,U393),  IF(S393="M0.84",0.84,  IF(S393="CI52",BicubicInterpolation('CI=52 Mach'!$C$3:$T$18, Y393,U393),  IF(S393="HOLDING",BicubicInterpolation(  'Holding Mach'!$C$4:$M$13, Y393,U393),                         IF(S393="LRCINOP", BicubicInterpolation('LRC INOP Mach'!$C$4:$AA$21,Y393,U393), IF(S393="HOLDINGINOP",  BicubicInterpolation('Holding INOP Mach'!$N$4:$U$13,Y393,U393),         "XXX" )))))))   )))</f>
        <v>#NAME?</v>
      </c>
      <c r="AD393" s="313" t="e">
        <f t="shared" ca="1" si="315"/>
        <v>#NAME?</v>
      </c>
      <c r="AE393" s="314" t="e">
        <f t="shared" ca="1" si="302"/>
        <v>#NAME?</v>
      </c>
      <c r="AF393" s="313" t="e">
        <f t="shared" ca="1" si="316"/>
        <v>#NAME?</v>
      </c>
      <c r="AG393" s="314" t="e">
        <f t="shared" ca="1" si="303"/>
        <v>#NAME?</v>
      </c>
      <c r="AH393" s="313" t="e">
        <f t="shared" ca="1" si="317"/>
        <v>#NAME?</v>
      </c>
      <c r="AI393" s="314" t="e">
        <f t="shared" ca="1" si="304"/>
        <v>#NAME?</v>
      </c>
      <c r="AJ393" s="315" t="e">
        <f t="shared" ca="1" si="305"/>
        <v>#NAME?</v>
      </c>
      <c r="AK393" s="568" t="e">
        <f t="shared" ca="1" si="318"/>
        <v>#NAME?</v>
      </c>
      <c r="AL393" s="313" t="e">
        <f t="shared" ca="1" si="319"/>
        <v>#NAME?</v>
      </c>
      <c r="AM393" s="313" t="e">
        <f t="shared" ca="1" si="306"/>
        <v>#NAME?</v>
      </c>
      <c r="AN393" s="313" t="e">
        <f t="shared" ca="1" si="307"/>
        <v>#NAME?</v>
      </c>
      <c r="AO393" s="316" t="e">
        <f t="shared" ca="1" si="320"/>
        <v>#NAME?</v>
      </c>
      <c r="AP393" s="313" t="e">
        <f t="shared" ca="1" si="321"/>
        <v>#NAME?</v>
      </c>
      <c r="AQ393" s="314" t="e">
        <f t="shared" ca="1" si="308"/>
        <v>#NAME?</v>
      </c>
      <c r="AR393" s="315" t="e">
        <f t="shared" ca="1" si="322"/>
        <v>#NAME?</v>
      </c>
      <c r="AS393" s="316" t="e">
        <f t="shared" ca="1" si="323"/>
        <v>#NAME?</v>
      </c>
      <c r="AT393" s="315" t="e">
        <f t="shared" ca="1" si="324"/>
        <v>#NAME?</v>
      </c>
      <c r="AU393" s="317">
        <v>427.8</v>
      </c>
      <c r="AV393" s="315" t="e">
        <f t="shared" ca="1" si="325"/>
        <v>#NAME?</v>
      </c>
      <c r="AW393" s="318" t="e">
        <f ca="1">0.0001*BicubicInterpolation('Drag Coef Table'!$B$4:$L$28,AV393,AC393)</f>
        <v>#NAME?</v>
      </c>
      <c r="AX393" s="319" t="e">
        <f t="shared" ca="1" si="326"/>
        <v>#NAME?</v>
      </c>
      <c r="AY393" s="318" t="e">
        <f t="shared" ca="1" si="327"/>
        <v>#NAME?</v>
      </c>
      <c r="AZ393" s="320" t="e">
        <f t="shared" ca="1" si="328"/>
        <v>#NAME?</v>
      </c>
      <c r="BA393" s="321" t="e">
        <f t="shared" ca="1" si="329"/>
        <v>#NAME?</v>
      </c>
      <c r="BB393" s="322" t="e">
        <f t="shared" ca="1" si="330"/>
        <v>#NAME?</v>
      </c>
      <c r="BC393" s="323">
        <v>75.196700000000007</v>
      </c>
      <c r="BD393" s="324" t="e">
        <f t="shared" ca="1" si="331"/>
        <v>#NAME?</v>
      </c>
      <c r="BE393" s="325" t="e">
        <f t="shared" ca="1" si="332"/>
        <v>#NAME?</v>
      </c>
      <c r="BF393" s="324" t="e">
        <f ca="1">BicubicInterpolation('TSFC Eff Table'!$B$4:$E$69,2,BB393)</f>
        <v>#NAME?</v>
      </c>
      <c r="BG393" s="326" t="e">
        <f t="shared" ca="1" si="333"/>
        <v>#NAME?</v>
      </c>
      <c r="BH393" s="694" t="e">
        <f ca="1">IF( S393="LRCINOP",   (1+(0.03/10)*Z393*(1+0.2*AC393^2) )*BicubicInterpolation( 'LRC INOP FF'!$C$4:$AA$21, Y393, U393 )-200, IF(S393 ="HOLDINGINOP", (1+(0.03/10)*Z393*(1+0.2*AC393^2) )*BicubicInterpolation( 'Holding INOP FF'!$C$4:$J$13,  Y393,  U393)/1.05-200,   BA393*BG393))</f>
        <v>#NAME?</v>
      </c>
      <c r="BI393" s="344" t="e">
        <f t="shared" ca="1" si="292"/>
        <v>#NAME?</v>
      </c>
      <c r="BJ393" s="322" t="e">
        <f t="shared" ca="1" si="334"/>
        <v>#NAME?</v>
      </c>
      <c r="BK393" s="338" t="e">
        <f t="shared" ca="1" si="293"/>
        <v>#NAME?</v>
      </c>
      <c r="BL393" s="327" t="e">
        <f t="shared" ca="1" si="335"/>
        <v>#NAME?</v>
      </c>
      <c r="BM393" s="328">
        <f t="shared" si="336"/>
        <v>200</v>
      </c>
      <c r="BN393" s="329" t="e">
        <f t="shared" ca="1" si="337"/>
        <v>#NAME?</v>
      </c>
      <c r="BO393" s="344" t="e">
        <f t="shared" ca="1" si="294"/>
        <v>#NAME?</v>
      </c>
      <c r="BP393" s="320" t="e">
        <f t="shared" ca="1" si="338"/>
        <v>#NAME?</v>
      </c>
      <c r="BQ393" s="344" t="e">
        <f t="shared" ca="1" si="295"/>
        <v>#NAME?</v>
      </c>
      <c r="BR393" s="347" t="e">
        <f t="shared" ca="1" si="296"/>
        <v>#NAME?</v>
      </c>
      <c r="BS393" s="326" t="e">
        <f t="shared" ca="1" si="339"/>
        <v>#NAME?</v>
      </c>
      <c r="BT393" s="437" t="e">
        <f t="shared" ca="1" si="309"/>
        <v>#NAME?</v>
      </c>
      <c r="BU393" s="437" t="e">
        <f t="shared" ca="1" si="310"/>
        <v>#NAME?</v>
      </c>
      <c r="BV393" s="441" t="e">
        <f t="shared" ca="1" si="311"/>
        <v>#NAME?</v>
      </c>
      <c r="BW393" s="442" t="e">
        <f t="shared" ca="1" si="312"/>
        <v>#NAME?</v>
      </c>
      <c r="BX393" s="470" t="e">
        <f t="shared" ca="1" si="285"/>
        <v>#NAME?</v>
      </c>
      <c r="BY393" s="484" t="e">
        <f t="shared" ca="1" si="297"/>
        <v>#NAME?</v>
      </c>
    </row>
    <row r="394" spans="9:77" ht="17.75" customHeight="1" x14ac:dyDescent="0.2">
      <c r="I394" s="366">
        <v>310</v>
      </c>
      <c r="J394" s="414">
        <f t="shared" si="298"/>
        <v>41705.927777778481</v>
      </c>
      <c r="K394" s="435" t="e">
        <f t="shared" ca="1" si="299"/>
        <v>#NAME?</v>
      </c>
      <c r="L394" s="435" t="e">
        <f t="shared" ca="1" si="286"/>
        <v>#NAME?</v>
      </c>
      <c r="M394" s="664" t="e">
        <f t="shared" ca="1" si="340"/>
        <v>#NAME?</v>
      </c>
      <c r="N394" s="664" t="e">
        <f t="shared" ca="1" si="341"/>
        <v>#NAME?</v>
      </c>
      <c r="O394" s="140" t="e">
        <f t="shared" ca="1" si="287"/>
        <v>#NAME?</v>
      </c>
      <c r="P394" s="352" t="e">
        <f t="shared" ca="1" si="300"/>
        <v>#NAME?</v>
      </c>
      <c r="Q394" s="665" t="e">
        <f t="shared" ca="1" si="342"/>
        <v>#NAME?</v>
      </c>
      <c r="R394" s="352" t="e">
        <f t="shared" ca="1" si="313"/>
        <v>#NAME?</v>
      </c>
      <c r="S394" s="662" t="e">
        <f t="shared" ca="1" si="288"/>
        <v>#NAME?</v>
      </c>
      <c r="T394" s="443" t="e">
        <f t="shared" ca="1" si="281"/>
        <v>#NAME?</v>
      </c>
      <c r="U394" s="369" t="e">
        <f t="shared" ca="1" si="282"/>
        <v>#NAME?</v>
      </c>
      <c r="V394" s="454" t="e">
        <f t="shared" ca="1" si="289"/>
        <v>#NAME?</v>
      </c>
      <c r="W394" s="457">
        <f t="shared" si="290"/>
        <v>1000</v>
      </c>
      <c r="X394" s="463" t="e">
        <f t="shared" ca="1" si="291"/>
        <v>#NAME?</v>
      </c>
      <c r="Y394" s="455" t="e">
        <f t="shared" ca="1" si="301"/>
        <v>#NAME?</v>
      </c>
      <c r="Z394" s="699">
        <f t="shared" si="283"/>
        <v>8.5</v>
      </c>
      <c r="AA394" s="355" t="str">
        <f t="shared" si="284"/>
        <v>ON</v>
      </c>
      <c r="AB394" s="357">
        <f t="shared" si="314"/>
        <v>1.4999999999999999E-2</v>
      </c>
      <c r="AC394" s="356" t="e">
        <f ca="1">IF(  Y393=0,0,IF(OR(S394="KCAS",S394="INOP",S394="MEFE"),   ( (5*( (   (((1+0.2*(T394/661.4786)^2)^3.5 -1)  )/( (1-6.8755856*10^-6 *100*Y394)^5.2558797) +1)^(2/7) -1) )^0.5),IF(S394="MACH",T394, IF(S394="LRC",BicubicInterpolation( 'LRC Mach'!$C$4:$AL$21, Y394,U394),  IF(S394="MRC",BicubicInterpolation( 'MRC Mach'!$C$3:$T$18, Y394,U394),  IF(S394="M0.84",0.84,  IF(S394="CI52",BicubicInterpolation('CI=52 Mach'!$C$3:$T$18, Y394,U394),  IF(S394="HOLDING",BicubicInterpolation(  'Holding Mach'!$C$4:$M$13, Y394,U394),                         IF(S394="LRCINOP", BicubicInterpolation('LRC INOP Mach'!$C$4:$AA$21,Y394,U394), IF(S394="HOLDINGINOP",  BicubicInterpolation('Holding INOP Mach'!$N$4:$U$13,Y394,U394),         "XXX" )))))))   )))</f>
        <v>#NAME?</v>
      </c>
      <c r="AD394" s="313" t="e">
        <f t="shared" ca="1" si="315"/>
        <v>#NAME?</v>
      </c>
      <c r="AE394" s="314" t="e">
        <f t="shared" ca="1" si="302"/>
        <v>#NAME?</v>
      </c>
      <c r="AF394" s="313" t="e">
        <f t="shared" ca="1" si="316"/>
        <v>#NAME?</v>
      </c>
      <c r="AG394" s="314" t="e">
        <f t="shared" ca="1" si="303"/>
        <v>#NAME?</v>
      </c>
      <c r="AH394" s="313" t="e">
        <f t="shared" ca="1" si="317"/>
        <v>#NAME?</v>
      </c>
      <c r="AI394" s="314" t="e">
        <f t="shared" ca="1" si="304"/>
        <v>#NAME?</v>
      </c>
      <c r="AJ394" s="315" t="e">
        <f t="shared" ca="1" si="305"/>
        <v>#NAME?</v>
      </c>
      <c r="AK394" s="568" t="e">
        <f t="shared" ca="1" si="318"/>
        <v>#NAME?</v>
      </c>
      <c r="AL394" s="313" t="e">
        <f t="shared" ca="1" si="319"/>
        <v>#NAME?</v>
      </c>
      <c r="AM394" s="313" t="e">
        <f t="shared" ca="1" si="306"/>
        <v>#NAME?</v>
      </c>
      <c r="AN394" s="313" t="e">
        <f t="shared" ca="1" si="307"/>
        <v>#NAME?</v>
      </c>
      <c r="AO394" s="316" t="e">
        <f t="shared" ca="1" si="320"/>
        <v>#NAME?</v>
      </c>
      <c r="AP394" s="313" t="e">
        <f t="shared" ca="1" si="321"/>
        <v>#NAME?</v>
      </c>
      <c r="AQ394" s="314" t="e">
        <f t="shared" ca="1" si="308"/>
        <v>#NAME?</v>
      </c>
      <c r="AR394" s="315" t="e">
        <f t="shared" ca="1" si="322"/>
        <v>#NAME?</v>
      </c>
      <c r="AS394" s="316" t="e">
        <f t="shared" ca="1" si="323"/>
        <v>#NAME?</v>
      </c>
      <c r="AT394" s="315" t="e">
        <f t="shared" ca="1" si="324"/>
        <v>#NAME?</v>
      </c>
      <c r="AU394" s="317">
        <v>427.8</v>
      </c>
      <c r="AV394" s="315" t="e">
        <f t="shared" ca="1" si="325"/>
        <v>#NAME?</v>
      </c>
      <c r="AW394" s="318" t="e">
        <f ca="1">0.0001*BicubicInterpolation('Drag Coef Table'!$B$4:$L$28,AV394,AC394)</f>
        <v>#NAME?</v>
      </c>
      <c r="AX394" s="319" t="e">
        <f t="shared" ca="1" si="326"/>
        <v>#NAME?</v>
      </c>
      <c r="AY394" s="318" t="e">
        <f t="shared" ca="1" si="327"/>
        <v>#NAME?</v>
      </c>
      <c r="AZ394" s="320" t="e">
        <f t="shared" ca="1" si="328"/>
        <v>#NAME?</v>
      </c>
      <c r="BA394" s="321" t="e">
        <f t="shared" ca="1" si="329"/>
        <v>#NAME?</v>
      </c>
      <c r="BB394" s="322" t="e">
        <f t="shared" ca="1" si="330"/>
        <v>#NAME?</v>
      </c>
      <c r="BC394" s="323">
        <v>75.196700000000007</v>
      </c>
      <c r="BD394" s="324" t="e">
        <f t="shared" ca="1" si="331"/>
        <v>#NAME?</v>
      </c>
      <c r="BE394" s="325" t="e">
        <f t="shared" ca="1" si="332"/>
        <v>#NAME?</v>
      </c>
      <c r="BF394" s="324" t="e">
        <f ca="1">BicubicInterpolation('TSFC Eff Table'!$B$4:$E$69,2,BB394)</f>
        <v>#NAME?</v>
      </c>
      <c r="BG394" s="326" t="e">
        <f t="shared" ca="1" si="333"/>
        <v>#NAME?</v>
      </c>
      <c r="BH394" s="694" t="e">
        <f ca="1">IF( S394="LRCINOP",   (1+(0.03/10)*Z394*(1+0.2*AC394^2) )*BicubicInterpolation( 'LRC INOP FF'!$C$4:$AA$21, Y394, U394 )-200, IF(S394 ="HOLDINGINOP", (1+(0.03/10)*Z394*(1+0.2*AC394^2) )*BicubicInterpolation( 'Holding INOP FF'!$C$4:$J$13,  Y394,  U394)/1.05-200,   BA394*BG394))</f>
        <v>#NAME?</v>
      </c>
      <c r="BI394" s="344" t="e">
        <f t="shared" ca="1" si="292"/>
        <v>#NAME?</v>
      </c>
      <c r="BJ394" s="322" t="e">
        <f t="shared" ca="1" si="334"/>
        <v>#NAME?</v>
      </c>
      <c r="BK394" s="338" t="e">
        <f t="shared" ca="1" si="293"/>
        <v>#NAME?</v>
      </c>
      <c r="BL394" s="327" t="e">
        <f t="shared" ca="1" si="335"/>
        <v>#NAME?</v>
      </c>
      <c r="BM394" s="328">
        <f t="shared" si="336"/>
        <v>200</v>
      </c>
      <c r="BN394" s="329" t="e">
        <f t="shared" ca="1" si="337"/>
        <v>#NAME?</v>
      </c>
      <c r="BO394" s="344" t="e">
        <f t="shared" ca="1" si="294"/>
        <v>#NAME?</v>
      </c>
      <c r="BP394" s="320" t="e">
        <f t="shared" ca="1" si="338"/>
        <v>#NAME?</v>
      </c>
      <c r="BQ394" s="344" t="e">
        <f t="shared" ca="1" si="295"/>
        <v>#NAME?</v>
      </c>
      <c r="BR394" s="347" t="e">
        <f t="shared" ca="1" si="296"/>
        <v>#NAME?</v>
      </c>
      <c r="BS394" s="326" t="e">
        <f t="shared" ca="1" si="339"/>
        <v>#NAME?</v>
      </c>
      <c r="BT394" s="437" t="e">
        <f t="shared" ca="1" si="309"/>
        <v>#NAME?</v>
      </c>
      <c r="BU394" s="437" t="e">
        <f t="shared" ca="1" si="310"/>
        <v>#NAME?</v>
      </c>
      <c r="BV394" s="441" t="e">
        <f t="shared" ca="1" si="311"/>
        <v>#NAME?</v>
      </c>
      <c r="BW394" s="442" t="e">
        <f t="shared" ca="1" si="312"/>
        <v>#NAME?</v>
      </c>
      <c r="BX394" s="470" t="e">
        <f t="shared" ca="1" si="285"/>
        <v>#NAME?</v>
      </c>
      <c r="BY394" s="484" t="e">
        <f t="shared" ca="1" si="297"/>
        <v>#NAME?</v>
      </c>
    </row>
    <row r="395" spans="9:77" ht="17.75" customHeight="1" x14ac:dyDescent="0.2">
      <c r="I395" s="366">
        <v>311</v>
      </c>
      <c r="J395" s="414">
        <f t="shared" si="298"/>
        <v>41705.928472222928</v>
      </c>
      <c r="K395" s="435" t="e">
        <f t="shared" ca="1" si="299"/>
        <v>#NAME?</v>
      </c>
      <c r="L395" s="435" t="e">
        <f t="shared" ca="1" si="286"/>
        <v>#NAME?</v>
      </c>
      <c r="M395" s="664" t="e">
        <f t="shared" ca="1" si="340"/>
        <v>#NAME?</v>
      </c>
      <c r="N395" s="664" t="e">
        <f t="shared" ca="1" si="341"/>
        <v>#NAME?</v>
      </c>
      <c r="O395" s="140" t="e">
        <f t="shared" ca="1" si="287"/>
        <v>#NAME?</v>
      </c>
      <c r="P395" s="352" t="e">
        <f t="shared" ca="1" si="300"/>
        <v>#NAME?</v>
      </c>
      <c r="Q395" s="665" t="e">
        <f t="shared" ca="1" si="342"/>
        <v>#NAME?</v>
      </c>
      <c r="R395" s="352" t="e">
        <f t="shared" ca="1" si="313"/>
        <v>#NAME?</v>
      </c>
      <c r="S395" s="662" t="e">
        <f t="shared" ca="1" si="288"/>
        <v>#NAME?</v>
      </c>
      <c r="T395" s="443" t="e">
        <f t="shared" ca="1" si="281"/>
        <v>#NAME?</v>
      </c>
      <c r="U395" s="369" t="e">
        <f t="shared" ca="1" si="282"/>
        <v>#NAME?</v>
      </c>
      <c r="V395" s="454" t="e">
        <f t="shared" ca="1" si="289"/>
        <v>#NAME?</v>
      </c>
      <c r="W395" s="457">
        <f t="shared" si="290"/>
        <v>1000</v>
      </c>
      <c r="X395" s="463" t="e">
        <f t="shared" ca="1" si="291"/>
        <v>#NAME?</v>
      </c>
      <c r="Y395" s="455" t="e">
        <f t="shared" ca="1" si="301"/>
        <v>#NAME?</v>
      </c>
      <c r="Z395" s="699">
        <f t="shared" si="283"/>
        <v>8.5</v>
      </c>
      <c r="AA395" s="355" t="str">
        <f t="shared" si="284"/>
        <v>ON</v>
      </c>
      <c r="AB395" s="357">
        <f t="shared" si="314"/>
        <v>1.4999999999999999E-2</v>
      </c>
      <c r="AC395" s="356" t="e">
        <f ca="1">IF(  Y394=0,0,IF(OR(S395="KCAS",S395="INOP",S395="MEFE"),   ( (5*( (   (((1+0.2*(T395/661.4786)^2)^3.5 -1)  )/( (1-6.8755856*10^-6 *100*Y395)^5.2558797) +1)^(2/7) -1) )^0.5),IF(S395="MACH",T395, IF(S395="LRC",BicubicInterpolation( 'LRC Mach'!$C$4:$AL$21, Y395,U395),  IF(S395="MRC",BicubicInterpolation( 'MRC Mach'!$C$3:$T$18, Y395,U395),  IF(S395="M0.84",0.84,  IF(S395="CI52",BicubicInterpolation('CI=52 Mach'!$C$3:$T$18, Y395,U395),  IF(S395="HOLDING",BicubicInterpolation(  'Holding Mach'!$C$4:$M$13, Y395,U395),                         IF(S395="LRCINOP", BicubicInterpolation('LRC INOP Mach'!$C$4:$AA$21,Y395,U395), IF(S395="HOLDINGINOP",  BicubicInterpolation('Holding INOP Mach'!$N$4:$U$13,Y395,U395),         "XXX" )))))))   )))</f>
        <v>#NAME?</v>
      </c>
      <c r="AD395" s="313" t="e">
        <f t="shared" ca="1" si="315"/>
        <v>#NAME?</v>
      </c>
      <c r="AE395" s="314" t="e">
        <f t="shared" ca="1" si="302"/>
        <v>#NAME?</v>
      </c>
      <c r="AF395" s="313" t="e">
        <f t="shared" ca="1" si="316"/>
        <v>#NAME?</v>
      </c>
      <c r="AG395" s="314" t="e">
        <f t="shared" ca="1" si="303"/>
        <v>#NAME?</v>
      </c>
      <c r="AH395" s="313" t="e">
        <f t="shared" ca="1" si="317"/>
        <v>#NAME?</v>
      </c>
      <c r="AI395" s="314" t="e">
        <f t="shared" ca="1" si="304"/>
        <v>#NAME?</v>
      </c>
      <c r="AJ395" s="315" t="e">
        <f t="shared" ca="1" si="305"/>
        <v>#NAME?</v>
      </c>
      <c r="AK395" s="568" t="e">
        <f t="shared" ca="1" si="318"/>
        <v>#NAME?</v>
      </c>
      <c r="AL395" s="313" t="e">
        <f t="shared" ca="1" si="319"/>
        <v>#NAME?</v>
      </c>
      <c r="AM395" s="313" t="e">
        <f t="shared" ca="1" si="306"/>
        <v>#NAME?</v>
      </c>
      <c r="AN395" s="313" t="e">
        <f t="shared" ca="1" si="307"/>
        <v>#NAME?</v>
      </c>
      <c r="AO395" s="316" t="e">
        <f t="shared" ca="1" si="320"/>
        <v>#NAME?</v>
      </c>
      <c r="AP395" s="313" t="e">
        <f t="shared" ca="1" si="321"/>
        <v>#NAME?</v>
      </c>
      <c r="AQ395" s="314" t="e">
        <f t="shared" ca="1" si="308"/>
        <v>#NAME?</v>
      </c>
      <c r="AR395" s="315" t="e">
        <f t="shared" ca="1" si="322"/>
        <v>#NAME?</v>
      </c>
      <c r="AS395" s="316" t="e">
        <f t="shared" ca="1" si="323"/>
        <v>#NAME?</v>
      </c>
      <c r="AT395" s="315" t="e">
        <f t="shared" ca="1" si="324"/>
        <v>#NAME?</v>
      </c>
      <c r="AU395" s="317">
        <v>427.8</v>
      </c>
      <c r="AV395" s="315" t="e">
        <f t="shared" ca="1" si="325"/>
        <v>#NAME?</v>
      </c>
      <c r="AW395" s="318" t="e">
        <f ca="1">0.0001*BicubicInterpolation('Drag Coef Table'!$B$4:$L$28,AV395,AC395)</f>
        <v>#NAME?</v>
      </c>
      <c r="AX395" s="319" t="e">
        <f t="shared" ca="1" si="326"/>
        <v>#NAME?</v>
      </c>
      <c r="AY395" s="318" t="e">
        <f t="shared" ca="1" si="327"/>
        <v>#NAME?</v>
      </c>
      <c r="AZ395" s="320" t="e">
        <f t="shared" ca="1" si="328"/>
        <v>#NAME?</v>
      </c>
      <c r="BA395" s="321" t="e">
        <f t="shared" ca="1" si="329"/>
        <v>#NAME?</v>
      </c>
      <c r="BB395" s="322" t="e">
        <f t="shared" ca="1" si="330"/>
        <v>#NAME?</v>
      </c>
      <c r="BC395" s="323">
        <v>75.196700000000007</v>
      </c>
      <c r="BD395" s="324" t="e">
        <f t="shared" ca="1" si="331"/>
        <v>#NAME?</v>
      </c>
      <c r="BE395" s="325" t="e">
        <f t="shared" ca="1" si="332"/>
        <v>#NAME?</v>
      </c>
      <c r="BF395" s="324" t="e">
        <f ca="1">BicubicInterpolation('TSFC Eff Table'!$B$4:$E$69,2,BB395)</f>
        <v>#NAME?</v>
      </c>
      <c r="BG395" s="326" t="e">
        <f t="shared" ca="1" si="333"/>
        <v>#NAME?</v>
      </c>
      <c r="BH395" s="694" t="e">
        <f ca="1">IF( S395="LRCINOP",   (1+(0.03/10)*Z395*(1+0.2*AC395^2) )*BicubicInterpolation( 'LRC INOP FF'!$C$4:$AA$21, Y395, U395 )-200, IF(S395 ="HOLDINGINOP", (1+(0.03/10)*Z395*(1+0.2*AC395^2) )*BicubicInterpolation( 'Holding INOP FF'!$C$4:$J$13,  Y395,  U395)/1.05-200,   BA395*BG395))</f>
        <v>#NAME?</v>
      </c>
      <c r="BI395" s="344" t="e">
        <f t="shared" ca="1" si="292"/>
        <v>#NAME?</v>
      </c>
      <c r="BJ395" s="322" t="e">
        <f t="shared" ca="1" si="334"/>
        <v>#NAME?</v>
      </c>
      <c r="BK395" s="338" t="e">
        <f t="shared" ca="1" si="293"/>
        <v>#NAME?</v>
      </c>
      <c r="BL395" s="327" t="e">
        <f t="shared" ca="1" si="335"/>
        <v>#NAME?</v>
      </c>
      <c r="BM395" s="328">
        <f t="shared" si="336"/>
        <v>200</v>
      </c>
      <c r="BN395" s="329" t="e">
        <f t="shared" ca="1" si="337"/>
        <v>#NAME?</v>
      </c>
      <c r="BO395" s="344" t="e">
        <f t="shared" ca="1" si="294"/>
        <v>#NAME?</v>
      </c>
      <c r="BP395" s="320" t="e">
        <f t="shared" ca="1" si="338"/>
        <v>#NAME?</v>
      </c>
      <c r="BQ395" s="344" t="e">
        <f t="shared" ca="1" si="295"/>
        <v>#NAME?</v>
      </c>
      <c r="BR395" s="347" t="e">
        <f t="shared" ca="1" si="296"/>
        <v>#NAME?</v>
      </c>
      <c r="BS395" s="326" t="e">
        <f t="shared" ca="1" si="339"/>
        <v>#NAME?</v>
      </c>
      <c r="BT395" s="437" t="e">
        <f t="shared" ca="1" si="309"/>
        <v>#NAME?</v>
      </c>
      <c r="BU395" s="437" t="e">
        <f t="shared" ca="1" si="310"/>
        <v>#NAME?</v>
      </c>
      <c r="BV395" s="441" t="e">
        <f t="shared" ca="1" si="311"/>
        <v>#NAME?</v>
      </c>
      <c r="BW395" s="442" t="e">
        <f t="shared" ca="1" si="312"/>
        <v>#NAME?</v>
      </c>
      <c r="BX395" s="470" t="e">
        <f t="shared" ca="1" si="285"/>
        <v>#NAME?</v>
      </c>
      <c r="BY395" s="484" t="e">
        <f t="shared" ca="1" si="297"/>
        <v>#NAME?</v>
      </c>
    </row>
    <row r="396" spans="9:77" ht="17.75" customHeight="1" x14ac:dyDescent="0.2">
      <c r="I396" s="366">
        <v>312</v>
      </c>
      <c r="J396" s="414">
        <f t="shared" si="298"/>
        <v>41705.929166667374</v>
      </c>
      <c r="K396" s="435" t="e">
        <f t="shared" ca="1" si="299"/>
        <v>#NAME?</v>
      </c>
      <c r="L396" s="435" t="e">
        <f t="shared" ca="1" si="286"/>
        <v>#NAME?</v>
      </c>
      <c r="M396" s="664" t="e">
        <f t="shared" ca="1" si="340"/>
        <v>#NAME?</v>
      </c>
      <c r="N396" s="664" t="e">
        <f t="shared" ca="1" si="341"/>
        <v>#NAME?</v>
      </c>
      <c r="O396" s="140" t="e">
        <f t="shared" ca="1" si="287"/>
        <v>#NAME?</v>
      </c>
      <c r="P396" s="352" t="e">
        <f t="shared" ca="1" si="300"/>
        <v>#NAME?</v>
      </c>
      <c r="Q396" s="665" t="e">
        <f t="shared" ca="1" si="342"/>
        <v>#NAME?</v>
      </c>
      <c r="R396" s="352" t="e">
        <f t="shared" ca="1" si="313"/>
        <v>#NAME?</v>
      </c>
      <c r="S396" s="662" t="e">
        <f t="shared" ca="1" si="288"/>
        <v>#NAME?</v>
      </c>
      <c r="T396" s="443" t="e">
        <f t="shared" ca="1" si="281"/>
        <v>#NAME?</v>
      </c>
      <c r="U396" s="369" t="e">
        <f t="shared" ca="1" si="282"/>
        <v>#NAME?</v>
      </c>
      <c r="V396" s="454" t="e">
        <f t="shared" ca="1" si="289"/>
        <v>#NAME?</v>
      </c>
      <c r="W396" s="457">
        <f t="shared" si="290"/>
        <v>1000</v>
      </c>
      <c r="X396" s="463" t="e">
        <f t="shared" ca="1" si="291"/>
        <v>#NAME?</v>
      </c>
      <c r="Y396" s="455" t="e">
        <f t="shared" ca="1" si="301"/>
        <v>#NAME?</v>
      </c>
      <c r="Z396" s="699">
        <f t="shared" si="283"/>
        <v>8.5</v>
      </c>
      <c r="AA396" s="355" t="str">
        <f t="shared" si="284"/>
        <v>ON</v>
      </c>
      <c r="AB396" s="357">
        <f t="shared" si="314"/>
        <v>1.4999999999999999E-2</v>
      </c>
      <c r="AC396" s="356" t="e">
        <f ca="1">IF(  Y395=0,0,IF(OR(S396="KCAS",S396="INOP",S396="MEFE"),   ( (5*( (   (((1+0.2*(T396/661.4786)^2)^3.5 -1)  )/( (1-6.8755856*10^-6 *100*Y396)^5.2558797) +1)^(2/7) -1) )^0.5),IF(S396="MACH",T396, IF(S396="LRC",BicubicInterpolation( 'LRC Mach'!$C$4:$AL$21, Y396,U396),  IF(S396="MRC",BicubicInterpolation( 'MRC Mach'!$C$3:$T$18, Y396,U396),  IF(S396="M0.84",0.84,  IF(S396="CI52",BicubicInterpolation('CI=52 Mach'!$C$3:$T$18, Y396,U396),  IF(S396="HOLDING",BicubicInterpolation(  'Holding Mach'!$C$4:$M$13, Y396,U396),                         IF(S396="LRCINOP", BicubicInterpolation('LRC INOP Mach'!$C$4:$AA$21,Y396,U396), IF(S396="HOLDINGINOP",  BicubicInterpolation('Holding INOP Mach'!$N$4:$U$13,Y396,U396),         "XXX" )))))))   )))</f>
        <v>#NAME?</v>
      </c>
      <c r="AD396" s="313" t="e">
        <f t="shared" ca="1" si="315"/>
        <v>#NAME?</v>
      </c>
      <c r="AE396" s="314" t="e">
        <f t="shared" ca="1" si="302"/>
        <v>#NAME?</v>
      </c>
      <c r="AF396" s="313" t="e">
        <f t="shared" ca="1" si="316"/>
        <v>#NAME?</v>
      </c>
      <c r="AG396" s="314" t="e">
        <f t="shared" ca="1" si="303"/>
        <v>#NAME?</v>
      </c>
      <c r="AH396" s="313" t="e">
        <f t="shared" ca="1" si="317"/>
        <v>#NAME?</v>
      </c>
      <c r="AI396" s="314" t="e">
        <f t="shared" ca="1" si="304"/>
        <v>#NAME?</v>
      </c>
      <c r="AJ396" s="315" t="e">
        <f t="shared" ca="1" si="305"/>
        <v>#NAME?</v>
      </c>
      <c r="AK396" s="568" t="e">
        <f t="shared" ca="1" si="318"/>
        <v>#NAME?</v>
      </c>
      <c r="AL396" s="313" t="e">
        <f t="shared" ca="1" si="319"/>
        <v>#NAME?</v>
      </c>
      <c r="AM396" s="313" t="e">
        <f t="shared" ca="1" si="306"/>
        <v>#NAME?</v>
      </c>
      <c r="AN396" s="313" t="e">
        <f t="shared" ca="1" si="307"/>
        <v>#NAME?</v>
      </c>
      <c r="AO396" s="316" t="e">
        <f t="shared" ca="1" si="320"/>
        <v>#NAME?</v>
      </c>
      <c r="AP396" s="313" t="e">
        <f t="shared" ca="1" si="321"/>
        <v>#NAME?</v>
      </c>
      <c r="AQ396" s="314" t="e">
        <f t="shared" ca="1" si="308"/>
        <v>#NAME?</v>
      </c>
      <c r="AR396" s="315" t="e">
        <f t="shared" ca="1" si="322"/>
        <v>#NAME?</v>
      </c>
      <c r="AS396" s="316" t="e">
        <f t="shared" ca="1" si="323"/>
        <v>#NAME?</v>
      </c>
      <c r="AT396" s="315" t="e">
        <f t="shared" ca="1" si="324"/>
        <v>#NAME?</v>
      </c>
      <c r="AU396" s="317">
        <v>427.8</v>
      </c>
      <c r="AV396" s="315" t="e">
        <f t="shared" ca="1" si="325"/>
        <v>#NAME?</v>
      </c>
      <c r="AW396" s="318" t="e">
        <f ca="1">0.0001*BicubicInterpolation('Drag Coef Table'!$B$4:$L$28,AV396,AC396)</f>
        <v>#NAME?</v>
      </c>
      <c r="AX396" s="319" t="e">
        <f t="shared" ca="1" si="326"/>
        <v>#NAME?</v>
      </c>
      <c r="AY396" s="318" t="e">
        <f t="shared" ca="1" si="327"/>
        <v>#NAME?</v>
      </c>
      <c r="AZ396" s="320" t="e">
        <f t="shared" ca="1" si="328"/>
        <v>#NAME?</v>
      </c>
      <c r="BA396" s="321" t="e">
        <f t="shared" ca="1" si="329"/>
        <v>#NAME?</v>
      </c>
      <c r="BB396" s="322" t="e">
        <f t="shared" ca="1" si="330"/>
        <v>#NAME?</v>
      </c>
      <c r="BC396" s="323">
        <v>75.196700000000007</v>
      </c>
      <c r="BD396" s="324" t="e">
        <f t="shared" ca="1" si="331"/>
        <v>#NAME?</v>
      </c>
      <c r="BE396" s="325" t="e">
        <f t="shared" ca="1" si="332"/>
        <v>#NAME?</v>
      </c>
      <c r="BF396" s="324" t="e">
        <f ca="1">BicubicInterpolation('TSFC Eff Table'!$B$4:$E$69,2,BB396)</f>
        <v>#NAME?</v>
      </c>
      <c r="BG396" s="326" t="e">
        <f t="shared" ca="1" si="333"/>
        <v>#NAME?</v>
      </c>
      <c r="BH396" s="694" t="e">
        <f ca="1">IF( S396="LRCINOP",   (1+(0.03/10)*Z396*(1+0.2*AC396^2) )*BicubicInterpolation( 'LRC INOP FF'!$C$4:$AA$21, Y396, U396 )-200, IF(S396 ="HOLDINGINOP", (1+(0.03/10)*Z396*(1+0.2*AC396^2) )*BicubicInterpolation( 'Holding INOP FF'!$C$4:$J$13,  Y396,  U396)/1.05-200,   BA396*BG396))</f>
        <v>#NAME?</v>
      </c>
      <c r="BI396" s="344" t="e">
        <f t="shared" ca="1" si="292"/>
        <v>#NAME?</v>
      </c>
      <c r="BJ396" s="322" t="e">
        <f t="shared" ca="1" si="334"/>
        <v>#NAME?</v>
      </c>
      <c r="BK396" s="338" t="e">
        <f t="shared" ca="1" si="293"/>
        <v>#NAME?</v>
      </c>
      <c r="BL396" s="327" t="e">
        <f t="shared" ca="1" si="335"/>
        <v>#NAME?</v>
      </c>
      <c r="BM396" s="328">
        <f t="shared" si="336"/>
        <v>200</v>
      </c>
      <c r="BN396" s="329" t="e">
        <f t="shared" ca="1" si="337"/>
        <v>#NAME?</v>
      </c>
      <c r="BO396" s="344" t="e">
        <f t="shared" ca="1" si="294"/>
        <v>#NAME?</v>
      </c>
      <c r="BP396" s="320" t="e">
        <f t="shared" ca="1" si="338"/>
        <v>#NAME?</v>
      </c>
      <c r="BQ396" s="344" t="e">
        <f t="shared" ca="1" si="295"/>
        <v>#NAME?</v>
      </c>
      <c r="BR396" s="347" t="e">
        <f t="shared" ca="1" si="296"/>
        <v>#NAME?</v>
      </c>
      <c r="BS396" s="326" t="e">
        <f t="shared" ca="1" si="339"/>
        <v>#NAME?</v>
      </c>
      <c r="BT396" s="437" t="e">
        <f t="shared" ca="1" si="309"/>
        <v>#NAME?</v>
      </c>
      <c r="BU396" s="437" t="e">
        <f t="shared" ca="1" si="310"/>
        <v>#NAME?</v>
      </c>
      <c r="BV396" s="441" t="e">
        <f t="shared" ca="1" si="311"/>
        <v>#NAME?</v>
      </c>
      <c r="BW396" s="442" t="e">
        <f t="shared" ca="1" si="312"/>
        <v>#NAME?</v>
      </c>
      <c r="BX396" s="470" t="e">
        <f t="shared" ca="1" si="285"/>
        <v>#NAME?</v>
      </c>
      <c r="BY396" s="484" t="e">
        <f t="shared" ca="1" si="297"/>
        <v>#NAME?</v>
      </c>
    </row>
    <row r="397" spans="9:77" ht="17.75" customHeight="1" x14ac:dyDescent="0.2">
      <c r="I397" s="366">
        <v>313</v>
      </c>
      <c r="J397" s="414">
        <f t="shared" si="298"/>
        <v>41705.929861111821</v>
      </c>
      <c r="K397" s="435" t="e">
        <f t="shared" ca="1" si="299"/>
        <v>#NAME?</v>
      </c>
      <c r="L397" s="435" t="e">
        <f t="shared" ca="1" si="286"/>
        <v>#NAME?</v>
      </c>
      <c r="M397" s="664" t="e">
        <f t="shared" ca="1" si="340"/>
        <v>#NAME?</v>
      </c>
      <c r="N397" s="664" t="e">
        <f t="shared" ca="1" si="341"/>
        <v>#NAME?</v>
      </c>
      <c r="O397" s="140" t="e">
        <f t="shared" ca="1" si="287"/>
        <v>#NAME?</v>
      </c>
      <c r="P397" s="352" t="e">
        <f t="shared" ca="1" si="300"/>
        <v>#NAME?</v>
      </c>
      <c r="Q397" s="665" t="e">
        <f t="shared" ca="1" si="342"/>
        <v>#NAME?</v>
      </c>
      <c r="R397" s="352" t="e">
        <f t="shared" ca="1" si="313"/>
        <v>#NAME?</v>
      </c>
      <c r="S397" s="662" t="e">
        <f t="shared" ca="1" si="288"/>
        <v>#NAME?</v>
      </c>
      <c r="T397" s="443" t="e">
        <f t="shared" ca="1" si="281"/>
        <v>#NAME?</v>
      </c>
      <c r="U397" s="369" t="e">
        <f t="shared" ca="1" si="282"/>
        <v>#NAME?</v>
      </c>
      <c r="V397" s="454" t="e">
        <f t="shared" ca="1" si="289"/>
        <v>#NAME?</v>
      </c>
      <c r="W397" s="457">
        <f t="shared" si="290"/>
        <v>1000</v>
      </c>
      <c r="X397" s="463" t="e">
        <f t="shared" ca="1" si="291"/>
        <v>#NAME?</v>
      </c>
      <c r="Y397" s="455" t="e">
        <f t="shared" ca="1" si="301"/>
        <v>#NAME?</v>
      </c>
      <c r="Z397" s="699">
        <f t="shared" si="283"/>
        <v>8.5</v>
      </c>
      <c r="AA397" s="355" t="str">
        <f t="shared" si="284"/>
        <v>ON</v>
      </c>
      <c r="AB397" s="357">
        <f t="shared" si="314"/>
        <v>1.4999999999999999E-2</v>
      </c>
      <c r="AC397" s="356" t="e">
        <f ca="1">IF(  Y396=0,0,IF(OR(S397="KCAS",S397="INOP",S397="MEFE"),   ( (5*( (   (((1+0.2*(T397/661.4786)^2)^3.5 -1)  )/( (1-6.8755856*10^-6 *100*Y397)^5.2558797) +1)^(2/7) -1) )^0.5),IF(S397="MACH",T397, IF(S397="LRC",BicubicInterpolation( 'LRC Mach'!$C$4:$AL$21, Y397,U397),  IF(S397="MRC",BicubicInterpolation( 'MRC Mach'!$C$3:$T$18, Y397,U397),  IF(S397="M0.84",0.84,  IF(S397="CI52",BicubicInterpolation('CI=52 Mach'!$C$3:$T$18, Y397,U397),  IF(S397="HOLDING",BicubicInterpolation(  'Holding Mach'!$C$4:$M$13, Y397,U397),                         IF(S397="LRCINOP", BicubicInterpolation('LRC INOP Mach'!$C$4:$AA$21,Y397,U397), IF(S397="HOLDINGINOP",  BicubicInterpolation('Holding INOP Mach'!$N$4:$U$13,Y397,U397),         "XXX" )))))))   )))</f>
        <v>#NAME?</v>
      </c>
      <c r="AD397" s="313" t="e">
        <f t="shared" ca="1" si="315"/>
        <v>#NAME?</v>
      </c>
      <c r="AE397" s="314" t="e">
        <f t="shared" ca="1" si="302"/>
        <v>#NAME?</v>
      </c>
      <c r="AF397" s="313" t="e">
        <f t="shared" ca="1" si="316"/>
        <v>#NAME?</v>
      </c>
      <c r="AG397" s="314" t="e">
        <f t="shared" ca="1" si="303"/>
        <v>#NAME?</v>
      </c>
      <c r="AH397" s="313" t="e">
        <f t="shared" ca="1" si="317"/>
        <v>#NAME?</v>
      </c>
      <c r="AI397" s="314" t="e">
        <f t="shared" ca="1" si="304"/>
        <v>#NAME?</v>
      </c>
      <c r="AJ397" s="315" t="e">
        <f t="shared" ca="1" si="305"/>
        <v>#NAME?</v>
      </c>
      <c r="AK397" s="568" t="e">
        <f t="shared" ca="1" si="318"/>
        <v>#NAME?</v>
      </c>
      <c r="AL397" s="313" t="e">
        <f t="shared" ca="1" si="319"/>
        <v>#NAME?</v>
      </c>
      <c r="AM397" s="313" t="e">
        <f t="shared" ca="1" si="306"/>
        <v>#NAME?</v>
      </c>
      <c r="AN397" s="313" t="e">
        <f t="shared" ca="1" si="307"/>
        <v>#NAME?</v>
      </c>
      <c r="AO397" s="316" t="e">
        <f t="shared" ca="1" si="320"/>
        <v>#NAME?</v>
      </c>
      <c r="AP397" s="313" t="e">
        <f t="shared" ca="1" si="321"/>
        <v>#NAME?</v>
      </c>
      <c r="AQ397" s="314" t="e">
        <f t="shared" ca="1" si="308"/>
        <v>#NAME?</v>
      </c>
      <c r="AR397" s="315" t="e">
        <f t="shared" ca="1" si="322"/>
        <v>#NAME?</v>
      </c>
      <c r="AS397" s="316" t="e">
        <f t="shared" ca="1" si="323"/>
        <v>#NAME?</v>
      </c>
      <c r="AT397" s="315" t="e">
        <f t="shared" ca="1" si="324"/>
        <v>#NAME?</v>
      </c>
      <c r="AU397" s="317">
        <v>427.8</v>
      </c>
      <c r="AV397" s="315" t="e">
        <f t="shared" ca="1" si="325"/>
        <v>#NAME?</v>
      </c>
      <c r="AW397" s="318" t="e">
        <f ca="1">0.0001*BicubicInterpolation('Drag Coef Table'!$B$4:$L$28,AV397,AC397)</f>
        <v>#NAME?</v>
      </c>
      <c r="AX397" s="319" t="e">
        <f t="shared" ca="1" si="326"/>
        <v>#NAME?</v>
      </c>
      <c r="AY397" s="318" t="e">
        <f t="shared" ca="1" si="327"/>
        <v>#NAME?</v>
      </c>
      <c r="AZ397" s="320" t="e">
        <f t="shared" ca="1" si="328"/>
        <v>#NAME?</v>
      </c>
      <c r="BA397" s="321" t="e">
        <f t="shared" ca="1" si="329"/>
        <v>#NAME?</v>
      </c>
      <c r="BB397" s="322" t="e">
        <f t="shared" ca="1" si="330"/>
        <v>#NAME?</v>
      </c>
      <c r="BC397" s="323">
        <v>75.196700000000007</v>
      </c>
      <c r="BD397" s="324" t="e">
        <f t="shared" ca="1" si="331"/>
        <v>#NAME?</v>
      </c>
      <c r="BE397" s="325" t="e">
        <f t="shared" ca="1" si="332"/>
        <v>#NAME?</v>
      </c>
      <c r="BF397" s="324" t="e">
        <f ca="1">BicubicInterpolation('TSFC Eff Table'!$B$4:$E$69,2,BB397)</f>
        <v>#NAME?</v>
      </c>
      <c r="BG397" s="326" t="e">
        <f t="shared" ca="1" si="333"/>
        <v>#NAME?</v>
      </c>
      <c r="BH397" s="694" t="e">
        <f ca="1">IF( S397="LRCINOP",   (1+(0.03/10)*Z397*(1+0.2*AC397^2) )*BicubicInterpolation( 'LRC INOP FF'!$C$4:$AA$21, Y397, U397 )-200, IF(S397 ="HOLDINGINOP", (1+(0.03/10)*Z397*(1+0.2*AC397^2) )*BicubicInterpolation( 'Holding INOP FF'!$C$4:$J$13,  Y397,  U397)/1.05-200,   BA397*BG397))</f>
        <v>#NAME?</v>
      </c>
      <c r="BI397" s="344" t="e">
        <f t="shared" ca="1" si="292"/>
        <v>#NAME?</v>
      </c>
      <c r="BJ397" s="322" t="e">
        <f t="shared" ca="1" si="334"/>
        <v>#NAME?</v>
      </c>
      <c r="BK397" s="338" t="e">
        <f t="shared" ca="1" si="293"/>
        <v>#NAME?</v>
      </c>
      <c r="BL397" s="327" t="e">
        <f t="shared" ca="1" si="335"/>
        <v>#NAME?</v>
      </c>
      <c r="BM397" s="328">
        <f t="shared" si="336"/>
        <v>200</v>
      </c>
      <c r="BN397" s="329" t="e">
        <f t="shared" ca="1" si="337"/>
        <v>#NAME?</v>
      </c>
      <c r="BO397" s="344" t="e">
        <f t="shared" ca="1" si="294"/>
        <v>#NAME?</v>
      </c>
      <c r="BP397" s="320" t="e">
        <f t="shared" ca="1" si="338"/>
        <v>#NAME?</v>
      </c>
      <c r="BQ397" s="344" t="e">
        <f t="shared" ca="1" si="295"/>
        <v>#NAME?</v>
      </c>
      <c r="BR397" s="347" t="e">
        <f t="shared" ca="1" si="296"/>
        <v>#NAME?</v>
      </c>
      <c r="BS397" s="326" t="e">
        <f t="shared" ca="1" si="339"/>
        <v>#NAME?</v>
      </c>
      <c r="BT397" s="437" t="e">
        <f t="shared" ca="1" si="309"/>
        <v>#NAME?</v>
      </c>
      <c r="BU397" s="437" t="e">
        <f t="shared" ca="1" si="310"/>
        <v>#NAME?</v>
      </c>
      <c r="BV397" s="441" t="e">
        <f t="shared" ca="1" si="311"/>
        <v>#NAME?</v>
      </c>
      <c r="BW397" s="442" t="e">
        <f t="shared" ca="1" si="312"/>
        <v>#NAME?</v>
      </c>
      <c r="BX397" s="470" t="e">
        <f t="shared" ca="1" si="285"/>
        <v>#NAME?</v>
      </c>
      <c r="BY397" s="484" t="e">
        <f t="shared" ca="1" si="297"/>
        <v>#NAME?</v>
      </c>
    </row>
    <row r="398" spans="9:77" ht="17.75" customHeight="1" x14ac:dyDescent="0.2">
      <c r="I398" s="366">
        <v>314</v>
      </c>
      <c r="J398" s="414">
        <f t="shared" si="298"/>
        <v>41705.930555556268</v>
      </c>
      <c r="K398" s="435" t="e">
        <f t="shared" ca="1" si="299"/>
        <v>#NAME?</v>
      </c>
      <c r="L398" s="435" t="e">
        <f t="shared" ca="1" si="286"/>
        <v>#NAME?</v>
      </c>
      <c r="M398" s="664" t="e">
        <f t="shared" ca="1" si="340"/>
        <v>#NAME?</v>
      </c>
      <c r="N398" s="664" t="e">
        <f t="shared" ca="1" si="341"/>
        <v>#NAME?</v>
      </c>
      <c r="O398" s="140" t="e">
        <f t="shared" ca="1" si="287"/>
        <v>#NAME?</v>
      </c>
      <c r="P398" s="352" t="e">
        <f t="shared" ca="1" si="300"/>
        <v>#NAME?</v>
      </c>
      <c r="Q398" s="665" t="e">
        <f t="shared" ca="1" si="342"/>
        <v>#NAME?</v>
      </c>
      <c r="R398" s="352" t="e">
        <f t="shared" ca="1" si="313"/>
        <v>#NAME?</v>
      </c>
      <c r="S398" s="662" t="e">
        <f t="shared" ca="1" si="288"/>
        <v>#NAME?</v>
      </c>
      <c r="T398" s="443" t="e">
        <f t="shared" ca="1" si="281"/>
        <v>#NAME?</v>
      </c>
      <c r="U398" s="369" t="e">
        <f t="shared" ca="1" si="282"/>
        <v>#NAME?</v>
      </c>
      <c r="V398" s="454" t="e">
        <f t="shared" ca="1" si="289"/>
        <v>#NAME?</v>
      </c>
      <c r="W398" s="457">
        <f t="shared" si="290"/>
        <v>1000</v>
      </c>
      <c r="X398" s="463" t="e">
        <f t="shared" ca="1" si="291"/>
        <v>#NAME?</v>
      </c>
      <c r="Y398" s="455" t="e">
        <f t="shared" ca="1" si="301"/>
        <v>#NAME?</v>
      </c>
      <c r="Z398" s="699">
        <f t="shared" si="283"/>
        <v>8.5</v>
      </c>
      <c r="AA398" s="355" t="str">
        <f t="shared" si="284"/>
        <v>ON</v>
      </c>
      <c r="AB398" s="357">
        <f t="shared" si="314"/>
        <v>1.4999999999999999E-2</v>
      </c>
      <c r="AC398" s="356" t="e">
        <f ca="1">IF(  Y397=0,0,IF(OR(S398="KCAS",S398="INOP",S398="MEFE"),   ( (5*( (   (((1+0.2*(T398/661.4786)^2)^3.5 -1)  )/( (1-6.8755856*10^-6 *100*Y398)^5.2558797) +1)^(2/7) -1) )^0.5),IF(S398="MACH",T398, IF(S398="LRC",BicubicInterpolation( 'LRC Mach'!$C$4:$AL$21, Y398,U398),  IF(S398="MRC",BicubicInterpolation( 'MRC Mach'!$C$3:$T$18, Y398,U398),  IF(S398="M0.84",0.84,  IF(S398="CI52",BicubicInterpolation('CI=52 Mach'!$C$3:$T$18, Y398,U398),  IF(S398="HOLDING",BicubicInterpolation(  'Holding Mach'!$C$4:$M$13, Y398,U398),                         IF(S398="LRCINOP", BicubicInterpolation('LRC INOP Mach'!$C$4:$AA$21,Y398,U398), IF(S398="HOLDINGINOP",  BicubicInterpolation('Holding INOP Mach'!$N$4:$U$13,Y398,U398),         "XXX" )))))))   )))</f>
        <v>#NAME?</v>
      </c>
      <c r="AD398" s="313" t="e">
        <f t="shared" ca="1" si="315"/>
        <v>#NAME?</v>
      </c>
      <c r="AE398" s="314" t="e">
        <f t="shared" ca="1" si="302"/>
        <v>#NAME?</v>
      </c>
      <c r="AF398" s="313" t="e">
        <f t="shared" ca="1" si="316"/>
        <v>#NAME?</v>
      </c>
      <c r="AG398" s="314" t="e">
        <f t="shared" ca="1" si="303"/>
        <v>#NAME?</v>
      </c>
      <c r="AH398" s="313" t="e">
        <f t="shared" ca="1" si="317"/>
        <v>#NAME?</v>
      </c>
      <c r="AI398" s="314" t="e">
        <f t="shared" ca="1" si="304"/>
        <v>#NAME?</v>
      </c>
      <c r="AJ398" s="315" t="e">
        <f t="shared" ca="1" si="305"/>
        <v>#NAME?</v>
      </c>
      <c r="AK398" s="568" t="e">
        <f t="shared" ca="1" si="318"/>
        <v>#NAME?</v>
      </c>
      <c r="AL398" s="313" t="e">
        <f t="shared" ca="1" si="319"/>
        <v>#NAME?</v>
      </c>
      <c r="AM398" s="313" t="e">
        <f t="shared" ca="1" si="306"/>
        <v>#NAME?</v>
      </c>
      <c r="AN398" s="313" t="e">
        <f t="shared" ca="1" si="307"/>
        <v>#NAME?</v>
      </c>
      <c r="AO398" s="316" t="e">
        <f t="shared" ca="1" si="320"/>
        <v>#NAME?</v>
      </c>
      <c r="AP398" s="313" t="e">
        <f t="shared" ca="1" si="321"/>
        <v>#NAME?</v>
      </c>
      <c r="AQ398" s="314" t="e">
        <f t="shared" ca="1" si="308"/>
        <v>#NAME?</v>
      </c>
      <c r="AR398" s="315" t="e">
        <f t="shared" ca="1" si="322"/>
        <v>#NAME?</v>
      </c>
      <c r="AS398" s="316" t="e">
        <f t="shared" ca="1" si="323"/>
        <v>#NAME?</v>
      </c>
      <c r="AT398" s="315" t="e">
        <f t="shared" ca="1" si="324"/>
        <v>#NAME?</v>
      </c>
      <c r="AU398" s="317">
        <v>427.8</v>
      </c>
      <c r="AV398" s="315" t="e">
        <f t="shared" ca="1" si="325"/>
        <v>#NAME?</v>
      </c>
      <c r="AW398" s="318" t="e">
        <f ca="1">0.0001*BicubicInterpolation('Drag Coef Table'!$B$4:$L$28,AV398,AC398)</f>
        <v>#NAME?</v>
      </c>
      <c r="AX398" s="319" t="e">
        <f t="shared" ca="1" si="326"/>
        <v>#NAME?</v>
      </c>
      <c r="AY398" s="318" t="e">
        <f t="shared" ca="1" si="327"/>
        <v>#NAME?</v>
      </c>
      <c r="AZ398" s="320" t="e">
        <f t="shared" ca="1" si="328"/>
        <v>#NAME?</v>
      </c>
      <c r="BA398" s="321" t="e">
        <f t="shared" ca="1" si="329"/>
        <v>#NAME?</v>
      </c>
      <c r="BB398" s="322" t="e">
        <f t="shared" ca="1" si="330"/>
        <v>#NAME?</v>
      </c>
      <c r="BC398" s="323">
        <v>75.196700000000007</v>
      </c>
      <c r="BD398" s="324" t="e">
        <f t="shared" ca="1" si="331"/>
        <v>#NAME?</v>
      </c>
      <c r="BE398" s="325" t="e">
        <f t="shared" ca="1" si="332"/>
        <v>#NAME?</v>
      </c>
      <c r="BF398" s="324" t="e">
        <f ca="1">BicubicInterpolation('TSFC Eff Table'!$B$4:$E$69,2,BB398)</f>
        <v>#NAME?</v>
      </c>
      <c r="BG398" s="326" t="e">
        <f t="shared" ca="1" si="333"/>
        <v>#NAME?</v>
      </c>
      <c r="BH398" s="694" t="e">
        <f ca="1">IF( S398="LRCINOP",   (1+(0.03/10)*Z398*(1+0.2*AC398^2) )*BicubicInterpolation( 'LRC INOP FF'!$C$4:$AA$21, Y398, U398 )-200, IF(S398 ="HOLDINGINOP", (1+(0.03/10)*Z398*(1+0.2*AC398^2) )*BicubicInterpolation( 'Holding INOP FF'!$C$4:$J$13,  Y398,  U398)/1.05-200,   BA398*BG398))</f>
        <v>#NAME?</v>
      </c>
      <c r="BI398" s="344" t="e">
        <f t="shared" ca="1" si="292"/>
        <v>#NAME?</v>
      </c>
      <c r="BJ398" s="322" t="e">
        <f t="shared" ca="1" si="334"/>
        <v>#NAME?</v>
      </c>
      <c r="BK398" s="338" t="e">
        <f t="shared" ca="1" si="293"/>
        <v>#NAME?</v>
      </c>
      <c r="BL398" s="327" t="e">
        <f t="shared" ca="1" si="335"/>
        <v>#NAME?</v>
      </c>
      <c r="BM398" s="328">
        <f t="shared" si="336"/>
        <v>200</v>
      </c>
      <c r="BN398" s="329" t="e">
        <f t="shared" ca="1" si="337"/>
        <v>#NAME?</v>
      </c>
      <c r="BO398" s="344" t="e">
        <f t="shared" ca="1" si="294"/>
        <v>#NAME?</v>
      </c>
      <c r="BP398" s="320" t="e">
        <f t="shared" ca="1" si="338"/>
        <v>#NAME?</v>
      </c>
      <c r="BQ398" s="344" t="e">
        <f t="shared" ca="1" si="295"/>
        <v>#NAME?</v>
      </c>
      <c r="BR398" s="347" t="e">
        <f t="shared" ca="1" si="296"/>
        <v>#NAME?</v>
      </c>
      <c r="BS398" s="326" t="e">
        <f t="shared" ca="1" si="339"/>
        <v>#NAME?</v>
      </c>
      <c r="BT398" s="437" t="e">
        <f t="shared" ca="1" si="309"/>
        <v>#NAME?</v>
      </c>
      <c r="BU398" s="437" t="e">
        <f t="shared" ca="1" si="310"/>
        <v>#NAME?</v>
      </c>
      <c r="BV398" s="441" t="e">
        <f t="shared" ca="1" si="311"/>
        <v>#NAME?</v>
      </c>
      <c r="BW398" s="442" t="e">
        <f t="shared" ca="1" si="312"/>
        <v>#NAME?</v>
      </c>
      <c r="BX398" s="470" t="e">
        <f t="shared" ca="1" si="285"/>
        <v>#NAME?</v>
      </c>
      <c r="BY398" s="484" t="e">
        <f t="shared" ca="1" si="297"/>
        <v>#NAME?</v>
      </c>
    </row>
    <row r="399" spans="9:77" ht="17.75" customHeight="1" x14ac:dyDescent="0.2">
      <c r="I399" s="366">
        <v>315</v>
      </c>
      <c r="J399" s="414">
        <f t="shared" si="298"/>
        <v>41705.931250000714</v>
      </c>
      <c r="K399" s="435" t="e">
        <f t="shared" ca="1" si="299"/>
        <v>#NAME?</v>
      </c>
      <c r="L399" s="435" t="e">
        <f t="shared" ca="1" si="286"/>
        <v>#NAME?</v>
      </c>
      <c r="M399" s="664" t="e">
        <f t="shared" ca="1" si="340"/>
        <v>#NAME?</v>
      </c>
      <c r="N399" s="664" t="e">
        <f t="shared" ca="1" si="341"/>
        <v>#NAME?</v>
      </c>
      <c r="O399" s="140" t="e">
        <f t="shared" ca="1" si="287"/>
        <v>#NAME?</v>
      </c>
      <c r="P399" s="352" t="e">
        <f t="shared" ca="1" si="300"/>
        <v>#NAME?</v>
      </c>
      <c r="Q399" s="665" t="e">
        <f t="shared" ca="1" si="342"/>
        <v>#NAME?</v>
      </c>
      <c r="R399" s="352" t="e">
        <f t="shared" ca="1" si="313"/>
        <v>#NAME?</v>
      </c>
      <c r="S399" s="662" t="e">
        <f t="shared" ca="1" si="288"/>
        <v>#NAME?</v>
      </c>
      <c r="T399" s="443" t="e">
        <f t="shared" ca="1" si="281"/>
        <v>#NAME?</v>
      </c>
      <c r="U399" s="369" t="e">
        <f t="shared" ca="1" si="282"/>
        <v>#NAME?</v>
      </c>
      <c r="V399" s="454" t="e">
        <f t="shared" ca="1" si="289"/>
        <v>#NAME?</v>
      </c>
      <c r="W399" s="457">
        <f t="shared" si="290"/>
        <v>1000</v>
      </c>
      <c r="X399" s="463" t="e">
        <f t="shared" ca="1" si="291"/>
        <v>#NAME?</v>
      </c>
      <c r="Y399" s="455" t="e">
        <f t="shared" ca="1" si="301"/>
        <v>#NAME?</v>
      </c>
      <c r="Z399" s="699">
        <f t="shared" si="283"/>
        <v>8.5</v>
      </c>
      <c r="AA399" s="355" t="str">
        <f t="shared" si="284"/>
        <v>ON</v>
      </c>
      <c r="AB399" s="357">
        <f t="shared" si="314"/>
        <v>1.4999999999999999E-2</v>
      </c>
      <c r="AC399" s="356" t="e">
        <f ca="1">IF(  Y398=0,0,IF(OR(S399="KCAS",S399="INOP",S399="MEFE"),   ( (5*( (   (((1+0.2*(T399/661.4786)^2)^3.5 -1)  )/( (1-6.8755856*10^-6 *100*Y399)^5.2558797) +1)^(2/7) -1) )^0.5),IF(S399="MACH",T399, IF(S399="LRC",BicubicInterpolation( 'LRC Mach'!$C$4:$AL$21, Y399,U399),  IF(S399="MRC",BicubicInterpolation( 'MRC Mach'!$C$3:$T$18, Y399,U399),  IF(S399="M0.84",0.84,  IF(S399="CI52",BicubicInterpolation('CI=52 Mach'!$C$3:$T$18, Y399,U399),  IF(S399="HOLDING",BicubicInterpolation(  'Holding Mach'!$C$4:$M$13, Y399,U399),                         IF(S399="LRCINOP", BicubicInterpolation('LRC INOP Mach'!$C$4:$AA$21,Y399,U399), IF(S399="HOLDINGINOP",  BicubicInterpolation('Holding INOP Mach'!$N$4:$U$13,Y399,U399),         "XXX" )))))))   )))</f>
        <v>#NAME?</v>
      </c>
      <c r="AD399" s="313" t="e">
        <f t="shared" ca="1" si="315"/>
        <v>#NAME?</v>
      </c>
      <c r="AE399" s="314" t="e">
        <f t="shared" ca="1" si="302"/>
        <v>#NAME?</v>
      </c>
      <c r="AF399" s="313" t="e">
        <f t="shared" ca="1" si="316"/>
        <v>#NAME?</v>
      </c>
      <c r="AG399" s="314" t="e">
        <f t="shared" ca="1" si="303"/>
        <v>#NAME?</v>
      </c>
      <c r="AH399" s="313" t="e">
        <f t="shared" ca="1" si="317"/>
        <v>#NAME?</v>
      </c>
      <c r="AI399" s="314" t="e">
        <f t="shared" ca="1" si="304"/>
        <v>#NAME?</v>
      </c>
      <c r="AJ399" s="315" t="e">
        <f t="shared" ca="1" si="305"/>
        <v>#NAME?</v>
      </c>
      <c r="AK399" s="568" t="e">
        <f t="shared" ca="1" si="318"/>
        <v>#NAME?</v>
      </c>
      <c r="AL399" s="313" t="e">
        <f t="shared" ca="1" si="319"/>
        <v>#NAME?</v>
      </c>
      <c r="AM399" s="313" t="e">
        <f t="shared" ca="1" si="306"/>
        <v>#NAME?</v>
      </c>
      <c r="AN399" s="313" t="e">
        <f t="shared" ca="1" si="307"/>
        <v>#NAME?</v>
      </c>
      <c r="AO399" s="316" t="e">
        <f t="shared" ca="1" si="320"/>
        <v>#NAME?</v>
      </c>
      <c r="AP399" s="313" t="e">
        <f t="shared" ca="1" si="321"/>
        <v>#NAME?</v>
      </c>
      <c r="AQ399" s="314" t="e">
        <f t="shared" ca="1" si="308"/>
        <v>#NAME?</v>
      </c>
      <c r="AR399" s="315" t="e">
        <f t="shared" ca="1" si="322"/>
        <v>#NAME?</v>
      </c>
      <c r="AS399" s="316" t="e">
        <f t="shared" ca="1" si="323"/>
        <v>#NAME?</v>
      </c>
      <c r="AT399" s="315" t="e">
        <f t="shared" ca="1" si="324"/>
        <v>#NAME?</v>
      </c>
      <c r="AU399" s="317">
        <v>427.8</v>
      </c>
      <c r="AV399" s="315" t="e">
        <f t="shared" ca="1" si="325"/>
        <v>#NAME?</v>
      </c>
      <c r="AW399" s="318" t="e">
        <f ca="1">0.0001*BicubicInterpolation('Drag Coef Table'!$B$4:$L$28,AV399,AC399)</f>
        <v>#NAME?</v>
      </c>
      <c r="AX399" s="319" t="e">
        <f t="shared" ca="1" si="326"/>
        <v>#NAME?</v>
      </c>
      <c r="AY399" s="318" t="e">
        <f t="shared" ca="1" si="327"/>
        <v>#NAME?</v>
      </c>
      <c r="AZ399" s="320" t="e">
        <f t="shared" ca="1" si="328"/>
        <v>#NAME?</v>
      </c>
      <c r="BA399" s="321" t="e">
        <f t="shared" ca="1" si="329"/>
        <v>#NAME?</v>
      </c>
      <c r="BB399" s="322" t="e">
        <f t="shared" ca="1" si="330"/>
        <v>#NAME?</v>
      </c>
      <c r="BC399" s="323">
        <v>75.196700000000007</v>
      </c>
      <c r="BD399" s="324" t="e">
        <f t="shared" ca="1" si="331"/>
        <v>#NAME?</v>
      </c>
      <c r="BE399" s="325" t="e">
        <f t="shared" ca="1" si="332"/>
        <v>#NAME?</v>
      </c>
      <c r="BF399" s="324" t="e">
        <f ca="1">BicubicInterpolation('TSFC Eff Table'!$B$4:$E$69,2,BB399)</f>
        <v>#NAME?</v>
      </c>
      <c r="BG399" s="326" t="e">
        <f t="shared" ca="1" si="333"/>
        <v>#NAME?</v>
      </c>
      <c r="BH399" s="694" t="e">
        <f ca="1">IF( S399="LRCINOP",   (1+(0.03/10)*Z399*(1+0.2*AC399^2) )*BicubicInterpolation( 'LRC INOP FF'!$C$4:$AA$21, Y399, U399 )-200, IF(S399 ="HOLDINGINOP", (1+(0.03/10)*Z399*(1+0.2*AC399^2) )*BicubicInterpolation( 'Holding INOP FF'!$C$4:$J$13,  Y399,  U399)/1.05-200,   BA399*BG399))</f>
        <v>#NAME?</v>
      </c>
      <c r="BI399" s="344" t="e">
        <f t="shared" ca="1" si="292"/>
        <v>#NAME?</v>
      </c>
      <c r="BJ399" s="322" t="e">
        <f t="shared" ca="1" si="334"/>
        <v>#NAME?</v>
      </c>
      <c r="BK399" s="338" t="e">
        <f t="shared" ca="1" si="293"/>
        <v>#NAME?</v>
      </c>
      <c r="BL399" s="327" t="e">
        <f t="shared" ca="1" si="335"/>
        <v>#NAME?</v>
      </c>
      <c r="BM399" s="328">
        <f t="shared" si="336"/>
        <v>200</v>
      </c>
      <c r="BN399" s="329" t="e">
        <f t="shared" ca="1" si="337"/>
        <v>#NAME?</v>
      </c>
      <c r="BO399" s="344" t="e">
        <f t="shared" ca="1" si="294"/>
        <v>#NAME?</v>
      </c>
      <c r="BP399" s="320" t="e">
        <f t="shared" ca="1" si="338"/>
        <v>#NAME?</v>
      </c>
      <c r="BQ399" s="344" t="e">
        <f t="shared" ca="1" si="295"/>
        <v>#NAME?</v>
      </c>
      <c r="BR399" s="347" t="e">
        <f t="shared" ca="1" si="296"/>
        <v>#NAME?</v>
      </c>
      <c r="BS399" s="326" t="e">
        <f t="shared" ca="1" si="339"/>
        <v>#NAME?</v>
      </c>
      <c r="BT399" s="437" t="e">
        <f t="shared" ca="1" si="309"/>
        <v>#NAME?</v>
      </c>
      <c r="BU399" s="437" t="e">
        <f t="shared" ca="1" si="310"/>
        <v>#NAME?</v>
      </c>
      <c r="BV399" s="441" t="e">
        <f t="shared" ca="1" si="311"/>
        <v>#NAME?</v>
      </c>
      <c r="BW399" s="442" t="e">
        <f t="shared" ca="1" si="312"/>
        <v>#NAME?</v>
      </c>
      <c r="BX399" s="470" t="e">
        <f t="shared" ca="1" si="285"/>
        <v>#NAME?</v>
      </c>
      <c r="BY399" s="484" t="e">
        <f t="shared" ca="1" si="297"/>
        <v>#NAME?</v>
      </c>
    </row>
    <row r="400" spans="9:77" ht="17.75" customHeight="1" x14ac:dyDescent="0.2">
      <c r="I400" s="366">
        <v>316</v>
      </c>
      <c r="J400" s="414">
        <f t="shared" si="298"/>
        <v>41705.931944445161</v>
      </c>
      <c r="K400" s="435" t="e">
        <f t="shared" ca="1" si="299"/>
        <v>#NAME?</v>
      </c>
      <c r="L400" s="435" t="e">
        <f t="shared" ca="1" si="286"/>
        <v>#NAME?</v>
      </c>
      <c r="M400" s="664" t="e">
        <f t="shared" ca="1" si="340"/>
        <v>#NAME?</v>
      </c>
      <c r="N400" s="664" t="e">
        <f t="shared" ca="1" si="341"/>
        <v>#NAME?</v>
      </c>
      <c r="O400" s="140" t="e">
        <f t="shared" ca="1" si="287"/>
        <v>#NAME?</v>
      </c>
      <c r="P400" s="352" t="e">
        <f t="shared" ca="1" si="300"/>
        <v>#NAME?</v>
      </c>
      <c r="Q400" s="665" t="e">
        <f t="shared" ca="1" si="342"/>
        <v>#NAME?</v>
      </c>
      <c r="R400" s="352" t="e">
        <f t="shared" ca="1" si="313"/>
        <v>#NAME?</v>
      </c>
      <c r="S400" s="662" t="e">
        <f t="shared" ca="1" si="288"/>
        <v>#NAME?</v>
      </c>
      <c r="T400" s="443" t="e">
        <f t="shared" ca="1" si="281"/>
        <v>#NAME?</v>
      </c>
      <c r="U400" s="369" t="e">
        <f t="shared" ca="1" si="282"/>
        <v>#NAME?</v>
      </c>
      <c r="V400" s="454" t="e">
        <f t="shared" ca="1" si="289"/>
        <v>#NAME?</v>
      </c>
      <c r="W400" s="457">
        <f t="shared" si="290"/>
        <v>1000</v>
      </c>
      <c r="X400" s="463" t="e">
        <f t="shared" ca="1" si="291"/>
        <v>#NAME?</v>
      </c>
      <c r="Y400" s="455" t="e">
        <f t="shared" ca="1" si="301"/>
        <v>#NAME?</v>
      </c>
      <c r="Z400" s="699">
        <f t="shared" si="283"/>
        <v>8.5</v>
      </c>
      <c r="AA400" s="355" t="str">
        <f t="shared" si="284"/>
        <v>ON</v>
      </c>
      <c r="AB400" s="357">
        <f t="shared" si="314"/>
        <v>1.4999999999999999E-2</v>
      </c>
      <c r="AC400" s="356" t="e">
        <f ca="1">IF(  Y399=0,0,IF(OR(S400="KCAS",S400="INOP",S400="MEFE"),   ( (5*( (   (((1+0.2*(T400/661.4786)^2)^3.5 -1)  )/( (1-6.8755856*10^-6 *100*Y400)^5.2558797) +1)^(2/7) -1) )^0.5),IF(S400="MACH",T400, IF(S400="LRC",BicubicInterpolation( 'LRC Mach'!$C$4:$AL$21, Y400,U400),  IF(S400="MRC",BicubicInterpolation( 'MRC Mach'!$C$3:$T$18, Y400,U400),  IF(S400="M0.84",0.84,  IF(S400="CI52",BicubicInterpolation('CI=52 Mach'!$C$3:$T$18, Y400,U400),  IF(S400="HOLDING",BicubicInterpolation(  'Holding Mach'!$C$4:$M$13, Y400,U400),                         IF(S400="LRCINOP", BicubicInterpolation('LRC INOP Mach'!$C$4:$AA$21,Y400,U400), IF(S400="HOLDINGINOP",  BicubicInterpolation('Holding INOP Mach'!$N$4:$U$13,Y400,U400),         "XXX" )))))))   )))</f>
        <v>#NAME?</v>
      </c>
      <c r="AD400" s="313" t="e">
        <f t="shared" ca="1" si="315"/>
        <v>#NAME?</v>
      </c>
      <c r="AE400" s="314" t="e">
        <f t="shared" ca="1" si="302"/>
        <v>#NAME?</v>
      </c>
      <c r="AF400" s="313" t="e">
        <f t="shared" ca="1" si="316"/>
        <v>#NAME?</v>
      </c>
      <c r="AG400" s="314" t="e">
        <f t="shared" ca="1" si="303"/>
        <v>#NAME?</v>
      </c>
      <c r="AH400" s="313" t="e">
        <f t="shared" ca="1" si="317"/>
        <v>#NAME?</v>
      </c>
      <c r="AI400" s="314" t="e">
        <f t="shared" ca="1" si="304"/>
        <v>#NAME?</v>
      </c>
      <c r="AJ400" s="315" t="e">
        <f t="shared" ca="1" si="305"/>
        <v>#NAME?</v>
      </c>
      <c r="AK400" s="568" t="e">
        <f t="shared" ca="1" si="318"/>
        <v>#NAME?</v>
      </c>
      <c r="AL400" s="313" t="e">
        <f t="shared" ca="1" si="319"/>
        <v>#NAME?</v>
      </c>
      <c r="AM400" s="313" t="e">
        <f t="shared" ca="1" si="306"/>
        <v>#NAME?</v>
      </c>
      <c r="AN400" s="313" t="e">
        <f t="shared" ca="1" si="307"/>
        <v>#NAME?</v>
      </c>
      <c r="AO400" s="316" t="e">
        <f t="shared" ca="1" si="320"/>
        <v>#NAME?</v>
      </c>
      <c r="AP400" s="313" t="e">
        <f t="shared" ca="1" si="321"/>
        <v>#NAME?</v>
      </c>
      <c r="AQ400" s="314" t="e">
        <f t="shared" ca="1" si="308"/>
        <v>#NAME?</v>
      </c>
      <c r="AR400" s="315" t="e">
        <f t="shared" ca="1" si="322"/>
        <v>#NAME?</v>
      </c>
      <c r="AS400" s="316" t="e">
        <f t="shared" ca="1" si="323"/>
        <v>#NAME?</v>
      </c>
      <c r="AT400" s="315" t="e">
        <f t="shared" ca="1" si="324"/>
        <v>#NAME?</v>
      </c>
      <c r="AU400" s="317">
        <v>427.8</v>
      </c>
      <c r="AV400" s="315" t="e">
        <f t="shared" ca="1" si="325"/>
        <v>#NAME?</v>
      </c>
      <c r="AW400" s="318" t="e">
        <f ca="1">0.0001*BicubicInterpolation('Drag Coef Table'!$B$4:$L$28,AV400,AC400)</f>
        <v>#NAME?</v>
      </c>
      <c r="AX400" s="319" t="e">
        <f t="shared" ca="1" si="326"/>
        <v>#NAME?</v>
      </c>
      <c r="AY400" s="318" t="e">
        <f t="shared" ca="1" si="327"/>
        <v>#NAME?</v>
      </c>
      <c r="AZ400" s="320" t="e">
        <f t="shared" ca="1" si="328"/>
        <v>#NAME?</v>
      </c>
      <c r="BA400" s="321" t="e">
        <f t="shared" ca="1" si="329"/>
        <v>#NAME?</v>
      </c>
      <c r="BB400" s="322" t="e">
        <f t="shared" ca="1" si="330"/>
        <v>#NAME?</v>
      </c>
      <c r="BC400" s="323">
        <v>75.196700000000007</v>
      </c>
      <c r="BD400" s="324" t="e">
        <f t="shared" ca="1" si="331"/>
        <v>#NAME?</v>
      </c>
      <c r="BE400" s="325" t="e">
        <f t="shared" ca="1" si="332"/>
        <v>#NAME?</v>
      </c>
      <c r="BF400" s="324" t="e">
        <f ca="1">BicubicInterpolation('TSFC Eff Table'!$B$4:$E$69,2,BB400)</f>
        <v>#NAME?</v>
      </c>
      <c r="BG400" s="326" t="e">
        <f t="shared" ca="1" si="333"/>
        <v>#NAME?</v>
      </c>
      <c r="BH400" s="694" t="e">
        <f ca="1">IF( S400="LRCINOP",   (1+(0.03/10)*Z400*(1+0.2*AC400^2) )*BicubicInterpolation( 'LRC INOP FF'!$C$4:$AA$21, Y400, U400 )-200, IF(S400 ="HOLDINGINOP", (1+(0.03/10)*Z400*(1+0.2*AC400^2) )*BicubicInterpolation( 'Holding INOP FF'!$C$4:$J$13,  Y400,  U400)/1.05-200,   BA400*BG400))</f>
        <v>#NAME?</v>
      </c>
      <c r="BI400" s="344" t="e">
        <f t="shared" ca="1" si="292"/>
        <v>#NAME?</v>
      </c>
      <c r="BJ400" s="322" t="e">
        <f t="shared" ca="1" si="334"/>
        <v>#NAME?</v>
      </c>
      <c r="BK400" s="338" t="e">
        <f t="shared" ca="1" si="293"/>
        <v>#NAME?</v>
      </c>
      <c r="BL400" s="327" t="e">
        <f t="shared" ca="1" si="335"/>
        <v>#NAME?</v>
      </c>
      <c r="BM400" s="328">
        <f t="shared" si="336"/>
        <v>200</v>
      </c>
      <c r="BN400" s="329" t="e">
        <f t="shared" ca="1" si="337"/>
        <v>#NAME?</v>
      </c>
      <c r="BO400" s="344" t="e">
        <f t="shared" ca="1" si="294"/>
        <v>#NAME?</v>
      </c>
      <c r="BP400" s="320" t="e">
        <f t="shared" ca="1" si="338"/>
        <v>#NAME?</v>
      </c>
      <c r="BQ400" s="344" t="e">
        <f t="shared" ca="1" si="295"/>
        <v>#NAME?</v>
      </c>
      <c r="BR400" s="347" t="e">
        <f t="shared" ca="1" si="296"/>
        <v>#NAME?</v>
      </c>
      <c r="BS400" s="326" t="e">
        <f t="shared" ca="1" si="339"/>
        <v>#NAME?</v>
      </c>
      <c r="BT400" s="437" t="e">
        <f t="shared" ca="1" si="309"/>
        <v>#NAME?</v>
      </c>
      <c r="BU400" s="437" t="e">
        <f t="shared" ca="1" si="310"/>
        <v>#NAME?</v>
      </c>
      <c r="BV400" s="441" t="e">
        <f t="shared" ca="1" si="311"/>
        <v>#NAME?</v>
      </c>
      <c r="BW400" s="442" t="e">
        <f t="shared" ca="1" si="312"/>
        <v>#NAME?</v>
      </c>
      <c r="BX400" s="470" t="e">
        <f t="shared" ca="1" si="285"/>
        <v>#NAME?</v>
      </c>
      <c r="BY400" s="484" t="e">
        <f t="shared" ca="1" si="297"/>
        <v>#NAME?</v>
      </c>
    </row>
    <row r="401" spans="9:77" ht="17.75" customHeight="1" x14ac:dyDescent="0.2">
      <c r="I401" s="366">
        <v>317</v>
      </c>
      <c r="J401" s="414">
        <f t="shared" si="298"/>
        <v>41705.932638889608</v>
      </c>
      <c r="K401" s="435" t="e">
        <f t="shared" ca="1" si="299"/>
        <v>#NAME?</v>
      </c>
      <c r="L401" s="435" t="e">
        <f t="shared" ca="1" si="286"/>
        <v>#NAME?</v>
      </c>
      <c r="M401" s="664" t="e">
        <f t="shared" ca="1" si="340"/>
        <v>#NAME?</v>
      </c>
      <c r="N401" s="664" t="e">
        <f t="shared" ca="1" si="341"/>
        <v>#NAME?</v>
      </c>
      <c r="O401" s="140" t="e">
        <f t="shared" ca="1" si="287"/>
        <v>#NAME?</v>
      </c>
      <c r="P401" s="352" t="e">
        <f t="shared" ca="1" si="300"/>
        <v>#NAME?</v>
      </c>
      <c r="Q401" s="665" t="e">
        <f t="shared" ca="1" si="342"/>
        <v>#NAME?</v>
      </c>
      <c r="R401" s="352" t="e">
        <f t="shared" ca="1" si="313"/>
        <v>#NAME?</v>
      </c>
      <c r="S401" s="662" t="e">
        <f t="shared" ca="1" si="288"/>
        <v>#NAME?</v>
      </c>
      <c r="T401" s="443" t="e">
        <f t="shared" ca="1" si="281"/>
        <v>#NAME?</v>
      </c>
      <c r="U401" s="369" t="e">
        <f t="shared" ca="1" si="282"/>
        <v>#NAME?</v>
      </c>
      <c r="V401" s="454" t="e">
        <f t="shared" ca="1" si="289"/>
        <v>#NAME?</v>
      </c>
      <c r="W401" s="457">
        <f t="shared" si="290"/>
        <v>1000</v>
      </c>
      <c r="X401" s="463" t="e">
        <f t="shared" ca="1" si="291"/>
        <v>#NAME?</v>
      </c>
      <c r="Y401" s="455" t="e">
        <f t="shared" ca="1" si="301"/>
        <v>#NAME?</v>
      </c>
      <c r="Z401" s="699">
        <f t="shared" si="283"/>
        <v>8.5</v>
      </c>
      <c r="AA401" s="355" t="str">
        <f t="shared" si="284"/>
        <v>ON</v>
      </c>
      <c r="AB401" s="357">
        <f t="shared" si="314"/>
        <v>1.4999999999999999E-2</v>
      </c>
      <c r="AC401" s="356" t="e">
        <f ca="1">IF(  Y400=0,0,IF(OR(S401="KCAS",S401="INOP",S401="MEFE"),   ( (5*( (   (((1+0.2*(T401/661.4786)^2)^3.5 -1)  )/( (1-6.8755856*10^-6 *100*Y401)^5.2558797) +1)^(2/7) -1) )^0.5),IF(S401="MACH",T401, IF(S401="LRC",BicubicInterpolation( 'LRC Mach'!$C$4:$AL$21, Y401,U401),  IF(S401="MRC",BicubicInterpolation( 'MRC Mach'!$C$3:$T$18, Y401,U401),  IF(S401="M0.84",0.84,  IF(S401="CI52",BicubicInterpolation('CI=52 Mach'!$C$3:$T$18, Y401,U401),  IF(S401="HOLDING",BicubicInterpolation(  'Holding Mach'!$C$4:$M$13, Y401,U401),                         IF(S401="LRCINOP", BicubicInterpolation('LRC INOP Mach'!$C$4:$AA$21,Y401,U401), IF(S401="HOLDINGINOP",  BicubicInterpolation('Holding INOP Mach'!$N$4:$U$13,Y401,U401),         "XXX" )))))))   )))</f>
        <v>#NAME?</v>
      </c>
      <c r="AD401" s="313" t="e">
        <f t="shared" ca="1" si="315"/>
        <v>#NAME?</v>
      </c>
      <c r="AE401" s="314" t="e">
        <f t="shared" ca="1" si="302"/>
        <v>#NAME?</v>
      </c>
      <c r="AF401" s="313" t="e">
        <f t="shared" ca="1" si="316"/>
        <v>#NAME?</v>
      </c>
      <c r="AG401" s="314" t="e">
        <f t="shared" ca="1" si="303"/>
        <v>#NAME?</v>
      </c>
      <c r="AH401" s="313" t="e">
        <f t="shared" ca="1" si="317"/>
        <v>#NAME?</v>
      </c>
      <c r="AI401" s="314" t="e">
        <f t="shared" ca="1" si="304"/>
        <v>#NAME?</v>
      </c>
      <c r="AJ401" s="315" t="e">
        <f t="shared" ca="1" si="305"/>
        <v>#NAME?</v>
      </c>
      <c r="AK401" s="568" t="e">
        <f t="shared" ca="1" si="318"/>
        <v>#NAME?</v>
      </c>
      <c r="AL401" s="313" t="e">
        <f t="shared" ca="1" si="319"/>
        <v>#NAME?</v>
      </c>
      <c r="AM401" s="313" t="e">
        <f t="shared" ca="1" si="306"/>
        <v>#NAME?</v>
      </c>
      <c r="AN401" s="313" t="e">
        <f t="shared" ca="1" si="307"/>
        <v>#NAME?</v>
      </c>
      <c r="AO401" s="316" t="e">
        <f t="shared" ca="1" si="320"/>
        <v>#NAME?</v>
      </c>
      <c r="AP401" s="313" t="e">
        <f t="shared" ca="1" si="321"/>
        <v>#NAME?</v>
      </c>
      <c r="AQ401" s="314" t="e">
        <f t="shared" ca="1" si="308"/>
        <v>#NAME?</v>
      </c>
      <c r="AR401" s="315" t="e">
        <f t="shared" ca="1" si="322"/>
        <v>#NAME?</v>
      </c>
      <c r="AS401" s="316" t="e">
        <f t="shared" ca="1" si="323"/>
        <v>#NAME?</v>
      </c>
      <c r="AT401" s="315" t="e">
        <f t="shared" ca="1" si="324"/>
        <v>#NAME?</v>
      </c>
      <c r="AU401" s="317">
        <v>427.8</v>
      </c>
      <c r="AV401" s="315" t="e">
        <f t="shared" ca="1" si="325"/>
        <v>#NAME?</v>
      </c>
      <c r="AW401" s="318" t="e">
        <f ca="1">0.0001*BicubicInterpolation('Drag Coef Table'!$B$4:$L$28,AV401,AC401)</f>
        <v>#NAME?</v>
      </c>
      <c r="AX401" s="319" t="e">
        <f t="shared" ca="1" si="326"/>
        <v>#NAME?</v>
      </c>
      <c r="AY401" s="318" t="e">
        <f t="shared" ca="1" si="327"/>
        <v>#NAME?</v>
      </c>
      <c r="AZ401" s="320" t="e">
        <f t="shared" ca="1" si="328"/>
        <v>#NAME?</v>
      </c>
      <c r="BA401" s="321" t="e">
        <f t="shared" ca="1" si="329"/>
        <v>#NAME?</v>
      </c>
      <c r="BB401" s="322" t="e">
        <f t="shared" ca="1" si="330"/>
        <v>#NAME?</v>
      </c>
      <c r="BC401" s="323">
        <v>75.196700000000007</v>
      </c>
      <c r="BD401" s="324" t="e">
        <f t="shared" ca="1" si="331"/>
        <v>#NAME?</v>
      </c>
      <c r="BE401" s="325" t="e">
        <f t="shared" ca="1" si="332"/>
        <v>#NAME?</v>
      </c>
      <c r="BF401" s="324" t="e">
        <f ca="1">BicubicInterpolation('TSFC Eff Table'!$B$4:$E$69,2,BB401)</f>
        <v>#NAME?</v>
      </c>
      <c r="BG401" s="326" t="e">
        <f t="shared" ca="1" si="333"/>
        <v>#NAME?</v>
      </c>
      <c r="BH401" s="694" t="e">
        <f ca="1">IF( S401="LRCINOP",   (1+(0.03/10)*Z401*(1+0.2*AC401^2) )*BicubicInterpolation( 'LRC INOP FF'!$C$4:$AA$21, Y401, U401 )-200, IF(S401 ="HOLDINGINOP", (1+(0.03/10)*Z401*(1+0.2*AC401^2) )*BicubicInterpolation( 'Holding INOP FF'!$C$4:$J$13,  Y401,  U401)/1.05-200,   BA401*BG401))</f>
        <v>#NAME?</v>
      </c>
      <c r="BI401" s="344" t="e">
        <f t="shared" ca="1" si="292"/>
        <v>#NAME?</v>
      </c>
      <c r="BJ401" s="322" t="e">
        <f t="shared" ca="1" si="334"/>
        <v>#NAME?</v>
      </c>
      <c r="BK401" s="338" t="e">
        <f t="shared" ca="1" si="293"/>
        <v>#NAME?</v>
      </c>
      <c r="BL401" s="327" t="e">
        <f t="shared" ca="1" si="335"/>
        <v>#NAME?</v>
      </c>
      <c r="BM401" s="328">
        <f t="shared" si="336"/>
        <v>200</v>
      </c>
      <c r="BN401" s="329" t="e">
        <f t="shared" ca="1" si="337"/>
        <v>#NAME?</v>
      </c>
      <c r="BO401" s="344" t="e">
        <f t="shared" ca="1" si="294"/>
        <v>#NAME?</v>
      </c>
      <c r="BP401" s="320" t="e">
        <f t="shared" ca="1" si="338"/>
        <v>#NAME?</v>
      </c>
      <c r="BQ401" s="344" t="e">
        <f t="shared" ca="1" si="295"/>
        <v>#NAME?</v>
      </c>
      <c r="BR401" s="347" t="e">
        <f t="shared" ca="1" si="296"/>
        <v>#NAME?</v>
      </c>
      <c r="BS401" s="326" t="e">
        <f t="shared" ca="1" si="339"/>
        <v>#NAME?</v>
      </c>
      <c r="BT401" s="437" t="e">
        <f t="shared" ca="1" si="309"/>
        <v>#NAME?</v>
      </c>
      <c r="BU401" s="437" t="e">
        <f t="shared" ca="1" si="310"/>
        <v>#NAME?</v>
      </c>
      <c r="BV401" s="441" t="e">
        <f t="shared" ca="1" si="311"/>
        <v>#NAME?</v>
      </c>
      <c r="BW401" s="442" t="e">
        <f t="shared" ca="1" si="312"/>
        <v>#NAME?</v>
      </c>
      <c r="BX401" s="470" t="e">
        <f t="shared" ca="1" si="285"/>
        <v>#NAME?</v>
      </c>
      <c r="BY401" s="484" t="e">
        <f t="shared" ca="1" si="297"/>
        <v>#NAME?</v>
      </c>
    </row>
    <row r="402" spans="9:77" ht="17.75" customHeight="1" x14ac:dyDescent="0.2">
      <c r="I402" s="366">
        <v>318</v>
      </c>
      <c r="J402" s="414">
        <f t="shared" si="298"/>
        <v>41705.933333334055</v>
      </c>
      <c r="K402" s="435" t="e">
        <f t="shared" ca="1" si="299"/>
        <v>#NAME?</v>
      </c>
      <c r="L402" s="435" t="e">
        <f t="shared" ca="1" si="286"/>
        <v>#NAME?</v>
      </c>
      <c r="M402" s="664" t="e">
        <f t="shared" ca="1" si="340"/>
        <v>#NAME?</v>
      </c>
      <c r="N402" s="664" t="e">
        <f t="shared" ca="1" si="341"/>
        <v>#NAME?</v>
      </c>
      <c r="O402" s="140" t="e">
        <f t="shared" ca="1" si="287"/>
        <v>#NAME?</v>
      </c>
      <c r="P402" s="352" t="e">
        <f t="shared" ca="1" si="300"/>
        <v>#NAME?</v>
      </c>
      <c r="Q402" s="665" t="e">
        <f t="shared" ca="1" si="342"/>
        <v>#NAME?</v>
      </c>
      <c r="R402" s="352" t="e">
        <f t="shared" ca="1" si="313"/>
        <v>#NAME?</v>
      </c>
      <c r="S402" s="662" t="e">
        <f t="shared" ca="1" si="288"/>
        <v>#NAME?</v>
      </c>
      <c r="T402" s="443" t="e">
        <f t="shared" ca="1" si="281"/>
        <v>#NAME?</v>
      </c>
      <c r="U402" s="369" t="e">
        <f t="shared" ca="1" si="282"/>
        <v>#NAME?</v>
      </c>
      <c r="V402" s="454" t="e">
        <f t="shared" ca="1" si="289"/>
        <v>#NAME?</v>
      </c>
      <c r="W402" s="457">
        <f t="shared" si="290"/>
        <v>1000</v>
      </c>
      <c r="X402" s="463" t="e">
        <f t="shared" ca="1" si="291"/>
        <v>#NAME?</v>
      </c>
      <c r="Y402" s="455" t="e">
        <f t="shared" ca="1" si="301"/>
        <v>#NAME?</v>
      </c>
      <c r="Z402" s="699">
        <f t="shared" si="283"/>
        <v>8.5</v>
      </c>
      <c r="AA402" s="355" t="str">
        <f t="shared" si="284"/>
        <v>ON</v>
      </c>
      <c r="AB402" s="357">
        <f t="shared" si="314"/>
        <v>1.4999999999999999E-2</v>
      </c>
      <c r="AC402" s="356" t="e">
        <f ca="1">IF(  Y401=0,0,IF(OR(S402="KCAS",S402="INOP",S402="MEFE"),   ( (5*( (   (((1+0.2*(T402/661.4786)^2)^3.5 -1)  )/( (1-6.8755856*10^-6 *100*Y402)^5.2558797) +1)^(2/7) -1) )^0.5),IF(S402="MACH",T402, IF(S402="LRC",BicubicInterpolation( 'LRC Mach'!$C$4:$AL$21, Y402,U402),  IF(S402="MRC",BicubicInterpolation( 'MRC Mach'!$C$3:$T$18, Y402,U402),  IF(S402="M0.84",0.84,  IF(S402="CI52",BicubicInterpolation('CI=52 Mach'!$C$3:$T$18, Y402,U402),  IF(S402="HOLDING",BicubicInterpolation(  'Holding Mach'!$C$4:$M$13, Y402,U402),                         IF(S402="LRCINOP", BicubicInterpolation('LRC INOP Mach'!$C$4:$AA$21,Y402,U402), IF(S402="HOLDINGINOP",  BicubicInterpolation('Holding INOP Mach'!$N$4:$U$13,Y402,U402),         "XXX" )))))))   )))</f>
        <v>#NAME?</v>
      </c>
      <c r="AD402" s="313" t="e">
        <f t="shared" ca="1" si="315"/>
        <v>#NAME?</v>
      </c>
      <c r="AE402" s="314" t="e">
        <f t="shared" ca="1" si="302"/>
        <v>#NAME?</v>
      </c>
      <c r="AF402" s="313" t="e">
        <f t="shared" ca="1" si="316"/>
        <v>#NAME?</v>
      </c>
      <c r="AG402" s="314" t="e">
        <f t="shared" ca="1" si="303"/>
        <v>#NAME?</v>
      </c>
      <c r="AH402" s="313" t="e">
        <f t="shared" ca="1" si="317"/>
        <v>#NAME?</v>
      </c>
      <c r="AI402" s="314" t="e">
        <f t="shared" ca="1" si="304"/>
        <v>#NAME?</v>
      </c>
      <c r="AJ402" s="315" t="e">
        <f t="shared" ca="1" si="305"/>
        <v>#NAME?</v>
      </c>
      <c r="AK402" s="568" t="e">
        <f t="shared" ca="1" si="318"/>
        <v>#NAME?</v>
      </c>
      <c r="AL402" s="313" t="e">
        <f t="shared" ca="1" si="319"/>
        <v>#NAME?</v>
      </c>
      <c r="AM402" s="313" t="e">
        <f t="shared" ca="1" si="306"/>
        <v>#NAME?</v>
      </c>
      <c r="AN402" s="313" t="e">
        <f t="shared" ca="1" si="307"/>
        <v>#NAME?</v>
      </c>
      <c r="AO402" s="316" t="e">
        <f t="shared" ca="1" si="320"/>
        <v>#NAME?</v>
      </c>
      <c r="AP402" s="313" t="e">
        <f t="shared" ca="1" si="321"/>
        <v>#NAME?</v>
      </c>
      <c r="AQ402" s="314" t="e">
        <f t="shared" ca="1" si="308"/>
        <v>#NAME?</v>
      </c>
      <c r="AR402" s="315" t="e">
        <f t="shared" ca="1" si="322"/>
        <v>#NAME?</v>
      </c>
      <c r="AS402" s="316" t="e">
        <f t="shared" ca="1" si="323"/>
        <v>#NAME?</v>
      </c>
      <c r="AT402" s="315" t="e">
        <f t="shared" ca="1" si="324"/>
        <v>#NAME?</v>
      </c>
      <c r="AU402" s="317">
        <v>427.8</v>
      </c>
      <c r="AV402" s="315" t="e">
        <f t="shared" ca="1" si="325"/>
        <v>#NAME?</v>
      </c>
      <c r="AW402" s="318" t="e">
        <f ca="1">0.0001*BicubicInterpolation('Drag Coef Table'!$B$4:$L$28,AV402,AC402)</f>
        <v>#NAME?</v>
      </c>
      <c r="AX402" s="319" t="e">
        <f t="shared" ca="1" si="326"/>
        <v>#NAME?</v>
      </c>
      <c r="AY402" s="318" t="e">
        <f t="shared" ca="1" si="327"/>
        <v>#NAME?</v>
      </c>
      <c r="AZ402" s="320" t="e">
        <f t="shared" ca="1" si="328"/>
        <v>#NAME?</v>
      </c>
      <c r="BA402" s="321" t="e">
        <f t="shared" ca="1" si="329"/>
        <v>#NAME?</v>
      </c>
      <c r="BB402" s="322" t="e">
        <f t="shared" ca="1" si="330"/>
        <v>#NAME?</v>
      </c>
      <c r="BC402" s="323">
        <v>75.196700000000007</v>
      </c>
      <c r="BD402" s="324" t="e">
        <f t="shared" ca="1" si="331"/>
        <v>#NAME?</v>
      </c>
      <c r="BE402" s="325" t="e">
        <f t="shared" ca="1" si="332"/>
        <v>#NAME?</v>
      </c>
      <c r="BF402" s="324" t="e">
        <f ca="1">BicubicInterpolation('TSFC Eff Table'!$B$4:$E$69,2,BB402)</f>
        <v>#NAME?</v>
      </c>
      <c r="BG402" s="326" t="e">
        <f t="shared" ca="1" si="333"/>
        <v>#NAME?</v>
      </c>
      <c r="BH402" s="694" t="e">
        <f ca="1">IF( S402="LRCINOP",   (1+(0.03/10)*Z402*(1+0.2*AC402^2) )*BicubicInterpolation( 'LRC INOP FF'!$C$4:$AA$21, Y402, U402 )-200, IF(S402 ="HOLDINGINOP", (1+(0.03/10)*Z402*(1+0.2*AC402^2) )*BicubicInterpolation( 'Holding INOP FF'!$C$4:$J$13,  Y402,  U402)/1.05-200,   BA402*BG402))</f>
        <v>#NAME?</v>
      </c>
      <c r="BI402" s="344" t="e">
        <f t="shared" ca="1" si="292"/>
        <v>#NAME?</v>
      </c>
      <c r="BJ402" s="322" t="e">
        <f t="shared" ca="1" si="334"/>
        <v>#NAME?</v>
      </c>
      <c r="BK402" s="338" t="e">
        <f t="shared" ca="1" si="293"/>
        <v>#NAME?</v>
      </c>
      <c r="BL402" s="327" t="e">
        <f t="shared" ca="1" si="335"/>
        <v>#NAME?</v>
      </c>
      <c r="BM402" s="328">
        <f t="shared" si="336"/>
        <v>200</v>
      </c>
      <c r="BN402" s="329" t="e">
        <f t="shared" ca="1" si="337"/>
        <v>#NAME?</v>
      </c>
      <c r="BO402" s="344" t="e">
        <f t="shared" ca="1" si="294"/>
        <v>#NAME?</v>
      </c>
      <c r="BP402" s="320" t="e">
        <f t="shared" ca="1" si="338"/>
        <v>#NAME?</v>
      </c>
      <c r="BQ402" s="344" t="e">
        <f t="shared" ca="1" si="295"/>
        <v>#NAME?</v>
      </c>
      <c r="BR402" s="347" t="e">
        <f t="shared" ca="1" si="296"/>
        <v>#NAME?</v>
      </c>
      <c r="BS402" s="326" t="e">
        <f t="shared" ca="1" si="339"/>
        <v>#NAME?</v>
      </c>
      <c r="BT402" s="437" t="e">
        <f t="shared" ca="1" si="309"/>
        <v>#NAME?</v>
      </c>
      <c r="BU402" s="437" t="e">
        <f t="shared" ca="1" si="310"/>
        <v>#NAME?</v>
      </c>
      <c r="BV402" s="441" t="e">
        <f t="shared" ca="1" si="311"/>
        <v>#NAME?</v>
      </c>
      <c r="BW402" s="442" t="e">
        <f t="shared" ca="1" si="312"/>
        <v>#NAME?</v>
      </c>
      <c r="BX402" s="470" t="e">
        <f t="shared" ca="1" si="285"/>
        <v>#NAME?</v>
      </c>
      <c r="BY402" s="484" t="e">
        <f t="shared" ca="1" si="297"/>
        <v>#NAME?</v>
      </c>
    </row>
    <row r="403" spans="9:77" ht="17.75" customHeight="1" x14ac:dyDescent="0.2">
      <c r="I403" s="366">
        <v>319</v>
      </c>
      <c r="J403" s="414">
        <f t="shared" si="298"/>
        <v>41705.934027778501</v>
      </c>
      <c r="K403" s="435" t="e">
        <f t="shared" ca="1" si="299"/>
        <v>#NAME?</v>
      </c>
      <c r="L403" s="435" t="e">
        <f t="shared" ca="1" si="286"/>
        <v>#NAME?</v>
      </c>
      <c r="M403" s="664" t="e">
        <f t="shared" ca="1" si="340"/>
        <v>#NAME?</v>
      </c>
      <c r="N403" s="664" t="e">
        <f t="shared" ca="1" si="341"/>
        <v>#NAME?</v>
      </c>
      <c r="O403" s="140" t="e">
        <f t="shared" ca="1" si="287"/>
        <v>#NAME?</v>
      </c>
      <c r="P403" s="352" t="e">
        <f t="shared" ca="1" si="300"/>
        <v>#NAME?</v>
      </c>
      <c r="Q403" s="665" t="e">
        <f t="shared" ca="1" si="342"/>
        <v>#NAME?</v>
      </c>
      <c r="R403" s="352" t="e">
        <f t="shared" ca="1" si="313"/>
        <v>#NAME?</v>
      </c>
      <c r="S403" s="662" t="e">
        <f t="shared" ca="1" si="288"/>
        <v>#NAME?</v>
      </c>
      <c r="T403" s="443" t="e">
        <f t="shared" ca="1" si="281"/>
        <v>#NAME?</v>
      </c>
      <c r="U403" s="369" t="e">
        <f t="shared" ca="1" si="282"/>
        <v>#NAME?</v>
      </c>
      <c r="V403" s="454" t="e">
        <f t="shared" ca="1" si="289"/>
        <v>#NAME?</v>
      </c>
      <c r="W403" s="457">
        <f t="shared" si="290"/>
        <v>1000</v>
      </c>
      <c r="X403" s="463" t="e">
        <f t="shared" ca="1" si="291"/>
        <v>#NAME?</v>
      </c>
      <c r="Y403" s="455" t="e">
        <f t="shared" ca="1" si="301"/>
        <v>#NAME?</v>
      </c>
      <c r="Z403" s="699">
        <f t="shared" si="283"/>
        <v>8.5</v>
      </c>
      <c r="AA403" s="355" t="str">
        <f t="shared" si="284"/>
        <v>ON</v>
      </c>
      <c r="AB403" s="357">
        <f t="shared" si="314"/>
        <v>1.4999999999999999E-2</v>
      </c>
      <c r="AC403" s="356" t="e">
        <f ca="1">IF(  Y402=0,0,IF(OR(S403="KCAS",S403="INOP",S403="MEFE"),   ( (5*( (   (((1+0.2*(T403/661.4786)^2)^3.5 -1)  )/( (1-6.8755856*10^-6 *100*Y403)^5.2558797) +1)^(2/7) -1) )^0.5),IF(S403="MACH",T403, IF(S403="LRC",BicubicInterpolation( 'LRC Mach'!$C$4:$AL$21, Y403,U403),  IF(S403="MRC",BicubicInterpolation( 'MRC Mach'!$C$3:$T$18, Y403,U403),  IF(S403="M0.84",0.84,  IF(S403="CI52",BicubicInterpolation('CI=52 Mach'!$C$3:$T$18, Y403,U403),  IF(S403="HOLDING",BicubicInterpolation(  'Holding Mach'!$C$4:$M$13, Y403,U403),                         IF(S403="LRCINOP", BicubicInterpolation('LRC INOP Mach'!$C$4:$AA$21,Y403,U403), IF(S403="HOLDINGINOP",  BicubicInterpolation('Holding INOP Mach'!$N$4:$U$13,Y403,U403),         "XXX" )))))))   )))</f>
        <v>#NAME?</v>
      </c>
      <c r="AD403" s="313" t="e">
        <f t="shared" ca="1" si="315"/>
        <v>#NAME?</v>
      </c>
      <c r="AE403" s="314" t="e">
        <f t="shared" ca="1" si="302"/>
        <v>#NAME?</v>
      </c>
      <c r="AF403" s="313" t="e">
        <f t="shared" ca="1" si="316"/>
        <v>#NAME?</v>
      </c>
      <c r="AG403" s="314" t="e">
        <f t="shared" ca="1" si="303"/>
        <v>#NAME?</v>
      </c>
      <c r="AH403" s="313" t="e">
        <f t="shared" ca="1" si="317"/>
        <v>#NAME?</v>
      </c>
      <c r="AI403" s="314" t="e">
        <f t="shared" ca="1" si="304"/>
        <v>#NAME?</v>
      </c>
      <c r="AJ403" s="315" t="e">
        <f t="shared" ca="1" si="305"/>
        <v>#NAME?</v>
      </c>
      <c r="AK403" s="568" t="e">
        <f t="shared" ca="1" si="318"/>
        <v>#NAME?</v>
      </c>
      <c r="AL403" s="313" t="e">
        <f t="shared" ca="1" si="319"/>
        <v>#NAME?</v>
      </c>
      <c r="AM403" s="313" t="e">
        <f t="shared" ca="1" si="306"/>
        <v>#NAME?</v>
      </c>
      <c r="AN403" s="313" t="e">
        <f t="shared" ca="1" si="307"/>
        <v>#NAME?</v>
      </c>
      <c r="AO403" s="316" t="e">
        <f t="shared" ca="1" si="320"/>
        <v>#NAME?</v>
      </c>
      <c r="AP403" s="313" t="e">
        <f t="shared" ca="1" si="321"/>
        <v>#NAME?</v>
      </c>
      <c r="AQ403" s="314" t="e">
        <f t="shared" ca="1" si="308"/>
        <v>#NAME?</v>
      </c>
      <c r="AR403" s="315" t="e">
        <f t="shared" ca="1" si="322"/>
        <v>#NAME?</v>
      </c>
      <c r="AS403" s="316" t="e">
        <f t="shared" ca="1" si="323"/>
        <v>#NAME?</v>
      </c>
      <c r="AT403" s="315" t="e">
        <f t="shared" ca="1" si="324"/>
        <v>#NAME?</v>
      </c>
      <c r="AU403" s="317">
        <v>427.8</v>
      </c>
      <c r="AV403" s="315" t="e">
        <f t="shared" ca="1" si="325"/>
        <v>#NAME?</v>
      </c>
      <c r="AW403" s="318" t="e">
        <f ca="1">0.0001*BicubicInterpolation('Drag Coef Table'!$B$4:$L$28,AV403,AC403)</f>
        <v>#NAME?</v>
      </c>
      <c r="AX403" s="319" t="e">
        <f t="shared" ca="1" si="326"/>
        <v>#NAME?</v>
      </c>
      <c r="AY403" s="318" t="e">
        <f t="shared" ca="1" si="327"/>
        <v>#NAME?</v>
      </c>
      <c r="AZ403" s="320" t="e">
        <f t="shared" ca="1" si="328"/>
        <v>#NAME?</v>
      </c>
      <c r="BA403" s="321" t="e">
        <f t="shared" ca="1" si="329"/>
        <v>#NAME?</v>
      </c>
      <c r="BB403" s="322" t="e">
        <f t="shared" ca="1" si="330"/>
        <v>#NAME?</v>
      </c>
      <c r="BC403" s="323">
        <v>75.196700000000007</v>
      </c>
      <c r="BD403" s="324" t="e">
        <f t="shared" ca="1" si="331"/>
        <v>#NAME?</v>
      </c>
      <c r="BE403" s="325" t="e">
        <f t="shared" ca="1" si="332"/>
        <v>#NAME?</v>
      </c>
      <c r="BF403" s="324" t="e">
        <f ca="1">BicubicInterpolation('TSFC Eff Table'!$B$4:$E$69,2,BB403)</f>
        <v>#NAME?</v>
      </c>
      <c r="BG403" s="326" t="e">
        <f t="shared" ca="1" si="333"/>
        <v>#NAME?</v>
      </c>
      <c r="BH403" s="694" t="e">
        <f ca="1">IF( S403="LRCINOP",   (1+(0.03/10)*Z403*(1+0.2*AC403^2) )*BicubicInterpolation( 'LRC INOP FF'!$C$4:$AA$21, Y403, U403 )-200, IF(S403 ="HOLDINGINOP", (1+(0.03/10)*Z403*(1+0.2*AC403^2) )*BicubicInterpolation( 'Holding INOP FF'!$C$4:$J$13,  Y403,  U403)/1.05-200,   BA403*BG403))</f>
        <v>#NAME?</v>
      </c>
      <c r="BI403" s="344" t="e">
        <f t="shared" ca="1" si="292"/>
        <v>#NAME?</v>
      </c>
      <c r="BJ403" s="322" t="e">
        <f t="shared" ca="1" si="334"/>
        <v>#NAME?</v>
      </c>
      <c r="BK403" s="338" t="e">
        <f t="shared" ca="1" si="293"/>
        <v>#NAME?</v>
      </c>
      <c r="BL403" s="327" t="e">
        <f t="shared" ca="1" si="335"/>
        <v>#NAME?</v>
      </c>
      <c r="BM403" s="328">
        <f t="shared" si="336"/>
        <v>200</v>
      </c>
      <c r="BN403" s="329" t="e">
        <f t="shared" ca="1" si="337"/>
        <v>#NAME?</v>
      </c>
      <c r="BO403" s="344" t="e">
        <f t="shared" ca="1" si="294"/>
        <v>#NAME?</v>
      </c>
      <c r="BP403" s="320" t="e">
        <f t="shared" ca="1" si="338"/>
        <v>#NAME?</v>
      </c>
      <c r="BQ403" s="344" t="e">
        <f t="shared" ca="1" si="295"/>
        <v>#NAME?</v>
      </c>
      <c r="BR403" s="347" t="e">
        <f t="shared" ca="1" si="296"/>
        <v>#NAME?</v>
      </c>
      <c r="BS403" s="326" t="e">
        <f t="shared" ca="1" si="339"/>
        <v>#NAME?</v>
      </c>
      <c r="BT403" s="437" t="e">
        <f t="shared" ca="1" si="309"/>
        <v>#NAME?</v>
      </c>
      <c r="BU403" s="437" t="e">
        <f t="shared" ca="1" si="310"/>
        <v>#NAME?</v>
      </c>
      <c r="BV403" s="441" t="e">
        <f t="shared" ca="1" si="311"/>
        <v>#NAME?</v>
      </c>
      <c r="BW403" s="442" t="e">
        <f t="shared" ca="1" si="312"/>
        <v>#NAME?</v>
      </c>
      <c r="BX403" s="470" t="e">
        <f t="shared" ca="1" si="285"/>
        <v>#NAME?</v>
      </c>
      <c r="BY403" s="484" t="e">
        <f t="shared" ca="1" si="297"/>
        <v>#NAME?</v>
      </c>
    </row>
    <row r="404" spans="9:77" ht="17.75" customHeight="1" x14ac:dyDescent="0.2">
      <c r="I404" s="366">
        <v>320</v>
      </c>
      <c r="J404" s="414">
        <f t="shared" si="298"/>
        <v>41705.934722222948</v>
      </c>
      <c r="K404" s="435" t="e">
        <f t="shared" ca="1" si="299"/>
        <v>#NAME?</v>
      </c>
      <c r="L404" s="435" t="e">
        <f t="shared" ca="1" si="286"/>
        <v>#NAME?</v>
      </c>
      <c r="M404" s="664" t="e">
        <f t="shared" ca="1" si="340"/>
        <v>#NAME?</v>
      </c>
      <c r="N404" s="664" t="e">
        <f t="shared" ca="1" si="341"/>
        <v>#NAME?</v>
      </c>
      <c r="O404" s="140" t="e">
        <f t="shared" ca="1" si="287"/>
        <v>#NAME?</v>
      </c>
      <c r="P404" s="352" t="e">
        <f t="shared" ca="1" si="300"/>
        <v>#NAME?</v>
      </c>
      <c r="Q404" s="665" t="e">
        <f t="shared" ca="1" si="342"/>
        <v>#NAME?</v>
      </c>
      <c r="R404" s="352" t="e">
        <f t="shared" ca="1" si="313"/>
        <v>#NAME?</v>
      </c>
      <c r="S404" s="662" t="e">
        <f t="shared" ca="1" si="288"/>
        <v>#NAME?</v>
      </c>
      <c r="T404" s="443" t="e">
        <f t="shared" ca="1" si="281"/>
        <v>#NAME?</v>
      </c>
      <c r="U404" s="369" t="e">
        <f t="shared" ca="1" si="282"/>
        <v>#NAME?</v>
      </c>
      <c r="V404" s="454" t="e">
        <f t="shared" ca="1" si="289"/>
        <v>#NAME?</v>
      </c>
      <c r="W404" s="457">
        <f t="shared" si="290"/>
        <v>1000</v>
      </c>
      <c r="X404" s="463" t="e">
        <f t="shared" ca="1" si="291"/>
        <v>#NAME?</v>
      </c>
      <c r="Y404" s="455" t="e">
        <f t="shared" ca="1" si="301"/>
        <v>#NAME?</v>
      </c>
      <c r="Z404" s="699">
        <f t="shared" si="283"/>
        <v>8.5</v>
      </c>
      <c r="AA404" s="355" t="str">
        <f t="shared" si="284"/>
        <v>ON</v>
      </c>
      <c r="AB404" s="357">
        <f t="shared" si="314"/>
        <v>1.4999999999999999E-2</v>
      </c>
      <c r="AC404" s="356" t="e">
        <f ca="1">IF(  Y403=0,0,IF(OR(S404="KCAS",S404="INOP",S404="MEFE"),   ( (5*( (   (((1+0.2*(T404/661.4786)^2)^3.5 -1)  )/( (1-6.8755856*10^-6 *100*Y404)^5.2558797) +1)^(2/7) -1) )^0.5),IF(S404="MACH",T404, IF(S404="LRC",BicubicInterpolation( 'LRC Mach'!$C$4:$AL$21, Y404,U404),  IF(S404="MRC",BicubicInterpolation( 'MRC Mach'!$C$3:$T$18, Y404,U404),  IF(S404="M0.84",0.84,  IF(S404="CI52",BicubicInterpolation('CI=52 Mach'!$C$3:$T$18, Y404,U404),  IF(S404="HOLDING",BicubicInterpolation(  'Holding Mach'!$C$4:$M$13, Y404,U404),                         IF(S404="LRCINOP", BicubicInterpolation('LRC INOP Mach'!$C$4:$AA$21,Y404,U404), IF(S404="HOLDINGINOP",  BicubicInterpolation('Holding INOP Mach'!$N$4:$U$13,Y404,U404),         "XXX" )))))))   )))</f>
        <v>#NAME?</v>
      </c>
      <c r="AD404" s="313" t="e">
        <f t="shared" ca="1" si="315"/>
        <v>#NAME?</v>
      </c>
      <c r="AE404" s="314" t="e">
        <f t="shared" ca="1" si="302"/>
        <v>#NAME?</v>
      </c>
      <c r="AF404" s="313" t="e">
        <f t="shared" ca="1" si="316"/>
        <v>#NAME?</v>
      </c>
      <c r="AG404" s="314" t="e">
        <f t="shared" ca="1" si="303"/>
        <v>#NAME?</v>
      </c>
      <c r="AH404" s="313" t="e">
        <f t="shared" ca="1" si="317"/>
        <v>#NAME?</v>
      </c>
      <c r="AI404" s="314" t="e">
        <f t="shared" ca="1" si="304"/>
        <v>#NAME?</v>
      </c>
      <c r="AJ404" s="315" t="e">
        <f t="shared" ca="1" si="305"/>
        <v>#NAME?</v>
      </c>
      <c r="AK404" s="568" t="e">
        <f t="shared" ca="1" si="318"/>
        <v>#NAME?</v>
      </c>
      <c r="AL404" s="313" t="e">
        <f t="shared" ca="1" si="319"/>
        <v>#NAME?</v>
      </c>
      <c r="AM404" s="313" t="e">
        <f t="shared" ca="1" si="306"/>
        <v>#NAME?</v>
      </c>
      <c r="AN404" s="313" t="e">
        <f t="shared" ca="1" si="307"/>
        <v>#NAME?</v>
      </c>
      <c r="AO404" s="316" t="e">
        <f t="shared" ca="1" si="320"/>
        <v>#NAME?</v>
      </c>
      <c r="AP404" s="313" t="e">
        <f t="shared" ca="1" si="321"/>
        <v>#NAME?</v>
      </c>
      <c r="AQ404" s="314" t="e">
        <f t="shared" ca="1" si="308"/>
        <v>#NAME?</v>
      </c>
      <c r="AR404" s="315" t="e">
        <f t="shared" ca="1" si="322"/>
        <v>#NAME?</v>
      </c>
      <c r="AS404" s="316" t="e">
        <f t="shared" ca="1" si="323"/>
        <v>#NAME?</v>
      </c>
      <c r="AT404" s="315" t="e">
        <f t="shared" ca="1" si="324"/>
        <v>#NAME?</v>
      </c>
      <c r="AU404" s="317">
        <v>427.8</v>
      </c>
      <c r="AV404" s="315" t="e">
        <f t="shared" ca="1" si="325"/>
        <v>#NAME?</v>
      </c>
      <c r="AW404" s="318" t="e">
        <f ca="1">0.0001*BicubicInterpolation('Drag Coef Table'!$B$4:$L$28,AV404,AC404)</f>
        <v>#NAME?</v>
      </c>
      <c r="AX404" s="319" t="e">
        <f t="shared" ca="1" si="326"/>
        <v>#NAME?</v>
      </c>
      <c r="AY404" s="318" t="e">
        <f t="shared" ca="1" si="327"/>
        <v>#NAME?</v>
      </c>
      <c r="AZ404" s="320" t="e">
        <f t="shared" ca="1" si="328"/>
        <v>#NAME?</v>
      </c>
      <c r="BA404" s="321" t="e">
        <f t="shared" ca="1" si="329"/>
        <v>#NAME?</v>
      </c>
      <c r="BB404" s="322" t="e">
        <f t="shared" ca="1" si="330"/>
        <v>#NAME?</v>
      </c>
      <c r="BC404" s="323">
        <v>75.196700000000007</v>
      </c>
      <c r="BD404" s="324" t="e">
        <f t="shared" ca="1" si="331"/>
        <v>#NAME?</v>
      </c>
      <c r="BE404" s="325" t="e">
        <f t="shared" ca="1" si="332"/>
        <v>#NAME?</v>
      </c>
      <c r="BF404" s="324" t="e">
        <f ca="1">BicubicInterpolation('TSFC Eff Table'!$B$4:$E$69,2,BB404)</f>
        <v>#NAME?</v>
      </c>
      <c r="BG404" s="326" t="e">
        <f t="shared" ca="1" si="333"/>
        <v>#NAME?</v>
      </c>
      <c r="BH404" s="694" t="e">
        <f ca="1">IF( S404="LRCINOP",   (1+(0.03/10)*Z404*(1+0.2*AC404^2) )*BicubicInterpolation( 'LRC INOP FF'!$C$4:$AA$21, Y404, U404 )-200, IF(S404 ="HOLDINGINOP", (1+(0.03/10)*Z404*(1+0.2*AC404^2) )*BicubicInterpolation( 'Holding INOP FF'!$C$4:$J$13,  Y404,  U404)/1.05-200,   BA404*BG404))</f>
        <v>#NAME?</v>
      </c>
      <c r="BI404" s="344" t="e">
        <f t="shared" ca="1" si="292"/>
        <v>#NAME?</v>
      </c>
      <c r="BJ404" s="322" t="e">
        <f t="shared" ca="1" si="334"/>
        <v>#NAME?</v>
      </c>
      <c r="BK404" s="338" t="e">
        <f t="shared" ca="1" si="293"/>
        <v>#NAME?</v>
      </c>
      <c r="BL404" s="327" t="e">
        <f t="shared" ca="1" si="335"/>
        <v>#NAME?</v>
      </c>
      <c r="BM404" s="328">
        <f t="shared" si="336"/>
        <v>200</v>
      </c>
      <c r="BN404" s="329" t="e">
        <f t="shared" ca="1" si="337"/>
        <v>#NAME?</v>
      </c>
      <c r="BO404" s="344" t="e">
        <f t="shared" ca="1" si="294"/>
        <v>#NAME?</v>
      </c>
      <c r="BP404" s="320" t="e">
        <f t="shared" ca="1" si="338"/>
        <v>#NAME?</v>
      </c>
      <c r="BQ404" s="344" t="e">
        <f t="shared" ca="1" si="295"/>
        <v>#NAME?</v>
      </c>
      <c r="BR404" s="347" t="e">
        <f t="shared" ca="1" si="296"/>
        <v>#NAME?</v>
      </c>
      <c r="BS404" s="326" t="e">
        <f t="shared" ca="1" si="339"/>
        <v>#NAME?</v>
      </c>
      <c r="BT404" s="437" t="e">
        <f t="shared" ca="1" si="309"/>
        <v>#NAME?</v>
      </c>
      <c r="BU404" s="437" t="e">
        <f t="shared" ca="1" si="310"/>
        <v>#NAME?</v>
      </c>
      <c r="BV404" s="441" t="e">
        <f t="shared" ca="1" si="311"/>
        <v>#NAME?</v>
      </c>
      <c r="BW404" s="442" t="e">
        <f t="shared" ca="1" si="312"/>
        <v>#NAME?</v>
      </c>
      <c r="BX404" s="470" t="e">
        <f t="shared" ca="1" si="285"/>
        <v>#NAME?</v>
      </c>
      <c r="BY404" s="484" t="e">
        <f t="shared" ca="1" si="297"/>
        <v>#NAME?</v>
      </c>
    </row>
    <row r="405" spans="9:77" ht="17.75" customHeight="1" x14ac:dyDescent="0.2">
      <c r="I405" s="366">
        <v>321</v>
      </c>
      <c r="J405" s="414">
        <f t="shared" si="298"/>
        <v>41705.935416667395</v>
      </c>
      <c r="K405" s="435" t="e">
        <f t="shared" ca="1" si="299"/>
        <v>#NAME?</v>
      </c>
      <c r="L405" s="435" t="e">
        <f t="shared" ca="1" si="286"/>
        <v>#NAME?</v>
      </c>
      <c r="M405" s="664" t="e">
        <f t="shared" ca="1" si="340"/>
        <v>#NAME?</v>
      </c>
      <c r="N405" s="664" t="e">
        <f t="shared" ca="1" si="341"/>
        <v>#NAME?</v>
      </c>
      <c r="O405" s="140" t="e">
        <f t="shared" ca="1" si="287"/>
        <v>#NAME?</v>
      </c>
      <c r="P405" s="352" t="e">
        <f t="shared" ca="1" si="300"/>
        <v>#NAME?</v>
      </c>
      <c r="Q405" s="665" t="e">
        <f t="shared" ca="1" si="342"/>
        <v>#NAME?</v>
      </c>
      <c r="R405" s="352" t="e">
        <f t="shared" ca="1" si="313"/>
        <v>#NAME?</v>
      </c>
      <c r="S405" s="662" t="e">
        <f t="shared" ca="1" si="288"/>
        <v>#NAME?</v>
      </c>
      <c r="T405" s="443" t="e">
        <f t="shared" ref="T405:T468" ca="1" si="343">IF(AND(S405="MEFE",  S404="MEFE"), MAX(T404+$C$43,$C$39), IF(AND(S404="INOP",S405="MEFE"),  MAX(T404+$C$38,$C$39), IF(AND(S405="INOP",S404="INOP"), MAX(T404+$C$38,$C$39),IF(S405="INOP", AO404,IF($J405&lt;$C$12,$C$6,IF($J405&lt;$C$18,$C$14,$C$20))))))</f>
        <v>#NAME?</v>
      </c>
      <c r="U405" s="369" t="e">
        <f t="shared" ref="U405:U468" ca="1" si="344">P405</f>
        <v>#NAME?</v>
      </c>
      <c r="V405" s="454" t="e">
        <f t="shared" ca="1" si="289"/>
        <v>#NAME?</v>
      </c>
      <c r="W405" s="457">
        <f t="shared" si="290"/>
        <v>1000</v>
      </c>
      <c r="X405" s="463" t="e">
        <f t="shared" ca="1" si="291"/>
        <v>#NAME?</v>
      </c>
      <c r="Y405" s="455" t="e">
        <f t="shared" ca="1" si="301"/>
        <v>#NAME?</v>
      </c>
      <c r="Z405" s="699">
        <f t="shared" ref="Z405:Z468" si="345">IF(I405&gt;$M$83-1,$C$22,IF(I405&gt;$K$83-1,$C$16,$C$8))</f>
        <v>8.5</v>
      </c>
      <c r="AA405" s="355" t="str">
        <f t="shared" ref="AA405:AA468" si="346">IF(I405&lt;$K$83,$C$9, IF( I405&lt;$L$83, $C$17,$C$23))</f>
        <v>ON</v>
      </c>
      <c r="AB405" s="357">
        <f t="shared" si="314"/>
        <v>1.4999999999999999E-2</v>
      </c>
      <c r="AC405" s="356" t="e">
        <f ca="1">IF(  Y404=0,0,IF(OR(S405="KCAS",S405="INOP",S405="MEFE"),   ( (5*( (   (((1+0.2*(T405/661.4786)^2)^3.5 -1)  )/( (1-6.8755856*10^-6 *100*Y405)^5.2558797) +1)^(2/7) -1) )^0.5),IF(S405="MACH",T405, IF(S405="LRC",BicubicInterpolation( 'LRC Mach'!$C$4:$AL$21, Y405,U405),  IF(S405="MRC",BicubicInterpolation( 'MRC Mach'!$C$3:$T$18, Y405,U405),  IF(S405="M0.84",0.84,  IF(S405="CI52",BicubicInterpolation('CI=52 Mach'!$C$3:$T$18, Y405,U405),  IF(S405="HOLDING",BicubicInterpolation(  'Holding Mach'!$C$4:$M$13, Y405,U405),                         IF(S405="LRCINOP", BicubicInterpolation('LRC INOP Mach'!$C$4:$AA$21,Y405,U405), IF(S405="HOLDINGINOP",  BicubicInterpolation('Holding INOP Mach'!$N$4:$U$13,Y405,U405),         "XXX" )))))))   )))</f>
        <v>#NAME?</v>
      </c>
      <c r="AD405" s="313" t="e">
        <f t="shared" ca="1" si="315"/>
        <v>#NAME?</v>
      </c>
      <c r="AE405" s="314" t="e">
        <f t="shared" ca="1" si="302"/>
        <v>#NAME?</v>
      </c>
      <c r="AF405" s="313" t="e">
        <f t="shared" ca="1" si="316"/>
        <v>#NAME?</v>
      </c>
      <c r="AG405" s="314" t="e">
        <f t="shared" ca="1" si="303"/>
        <v>#NAME?</v>
      </c>
      <c r="AH405" s="313" t="e">
        <f t="shared" ca="1" si="317"/>
        <v>#NAME?</v>
      </c>
      <c r="AI405" s="314" t="e">
        <f t="shared" ca="1" si="304"/>
        <v>#NAME?</v>
      </c>
      <c r="AJ405" s="315" t="e">
        <f t="shared" ca="1" si="305"/>
        <v>#NAME?</v>
      </c>
      <c r="AK405" s="568" t="e">
        <f t="shared" ca="1" si="318"/>
        <v>#NAME?</v>
      </c>
      <c r="AL405" s="313" t="e">
        <f t="shared" ca="1" si="319"/>
        <v>#NAME?</v>
      </c>
      <c r="AM405" s="313" t="e">
        <f t="shared" ca="1" si="306"/>
        <v>#NAME?</v>
      </c>
      <c r="AN405" s="313" t="e">
        <f t="shared" ca="1" si="307"/>
        <v>#NAME?</v>
      </c>
      <c r="AO405" s="316" t="e">
        <f t="shared" ca="1" si="320"/>
        <v>#NAME?</v>
      </c>
      <c r="AP405" s="313" t="e">
        <f t="shared" ca="1" si="321"/>
        <v>#NAME?</v>
      </c>
      <c r="AQ405" s="314" t="e">
        <f t="shared" ca="1" si="308"/>
        <v>#NAME?</v>
      </c>
      <c r="AR405" s="315" t="e">
        <f t="shared" ca="1" si="322"/>
        <v>#NAME?</v>
      </c>
      <c r="AS405" s="316" t="e">
        <f t="shared" ca="1" si="323"/>
        <v>#NAME?</v>
      </c>
      <c r="AT405" s="315" t="e">
        <f t="shared" ca="1" si="324"/>
        <v>#NAME?</v>
      </c>
      <c r="AU405" s="317">
        <v>427.8</v>
      </c>
      <c r="AV405" s="315" t="e">
        <f t="shared" ca="1" si="325"/>
        <v>#NAME?</v>
      </c>
      <c r="AW405" s="318" t="e">
        <f ca="1">0.0001*BicubicInterpolation('Drag Coef Table'!$B$4:$L$28,AV405,AC405)</f>
        <v>#NAME?</v>
      </c>
      <c r="AX405" s="319" t="e">
        <f t="shared" ca="1" si="326"/>
        <v>#NAME?</v>
      </c>
      <c r="AY405" s="318" t="e">
        <f t="shared" ca="1" si="327"/>
        <v>#NAME?</v>
      </c>
      <c r="AZ405" s="320" t="e">
        <f t="shared" ca="1" si="328"/>
        <v>#NAME?</v>
      </c>
      <c r="BA405" s="321" t="e">
        <f t="shared" ca="1" si="329"/>
        <v>#NAME?</v>
      </c>
      <c r="BB405" s="322" t="e">
        <f t="shared" ca="1" si="330"/>
        <v>#NAME?</v>
      </c>
      <c r="BC405" s="323">
        <v>75.196700000000007</v>
      </c>
      <c r="BD405" s="324" t="e">
        <f t="shared" ca="1" si="331"/>
        <v>#NAME?</v>
      </c>
      <c r="BE405" s="325" t="e">
        <f t="shared" ca="1" si="332"/>
        <v>#NAME?</v>
      </c>
      <c r="BF405" s="324" t="e">
        <f ca="1">BicubicInterpolation('TSFC Eff Table'!$B$4:$E$69,2,BB405)</f>
        <v>#NAME?</v>
      </c>
      <c r="BG405" s="326" t="e">
        <f t="shared" ca="1" si="333"/>
        <v>#NAME?</v>
      </c>
      <c r="BH405" s="694" t="e">
        <f ca="1">IF( S405="LRCINOP",   (1+(0.03/10)*Z405*(1+0.2*AC405^2) )*BicubicInterpolation( 'LRC INOP FF'!$C$4:$AA$21, Y405, U405 )-200, IF(S405 ="HOLDINGINOP", (1+(0.03/10)*Z405*(1+0.2*AC405^2) )*BicubicInterpolation( 'Holding INOP FF'!$C$4:$J$13,  Y405,  U405)/1.05-200,   BA405*BG405))</f>
        <v>#NAME?</v>
      </c>
      <c r="BI405" s="344" t="e">
        <f t="shared" ca="1" si="292"/>
        <v>#NAME?</v>
      </c>
      <c r="BJ405" s="322" t="e">
        <f t="shared" ca="1" si="334"/>
        <v>#NAME?</v>
      </c>
      <c r="BK405" s="338" t="e">
        <f t="shared" ca="1" si="293"/>
        <v>#NAME?</v>
      </c>
      <c r="BL405" s="327" t="e">
        <f t="shared" ca="1" si="335"/>
        <v>#NAME?</v>
      </c>
      <c r="BM405" s="328">
        <f t="shared" si="336"/>
        <v>200</v>
      </c>
      <c r="BN405" s="329" t="e">
        <f t="shared" ca="1" si="337"/>
        <v>#NAME?</v>
      </c>
      <c r="BO405" s="344" t="e">
        <f t="shared" ca="1" si="294"/>
        <v>#NAME?</v>
      </c>
      <c r="BP405" s="320" t="e">
        <f t="shared" ca="1" si="338"/>
        <v>#NAME?</v>
      </c>
      <c r="BQ405" s="344" t="e">
        <f t="shared" ca="1" si="295"/>
        <v>#NAME?</v>
      </c>
      <c r="BR405" s="347" t="e">
        <f t="shared" ca="1" si="296"/>
        <v>#NAME?</v>
      </c>
      <c r="BS405" s="326" t="e">
        <f t="shared" ca="1" si="339"/>
        <v>#NAME?</v>
      </c>
      <c r="BT405" s="437" t="e">
        <f t="shared" ca="1" si="309"/>
        <v>#NAME?</v>
      </c>
      <c r="BU405" s="437" t="e">
        <f t="shared" ca="1" si="310"/>
        <v>#NAME?</v>
      </c>
      <c r="BV405" s="441" t="e">
        <f t="shared" ca="1" si="311"/>
        <v>#NAME?</v>
      </c>
      <c r="BW405" s="442" t="e">
        <f t="shared" ca="1" si="312"/>
        <v>#NAME?</v>
      </c>
      <c r="BX405" s="470" t="e">
        <f t="shared" ref="BX405:BX468" ca="1" si="347">IF(Y405=0,I405,"")</f>
        <v>#NAME?</v>
      </c>
      <c r="BY405" s="484" t="e">
        <f t="shared" ca="1" si="297"/>
        <v>#NAME?</v>
      </c>
    </row>
    <row r="406" spans="9:77" ht="17.75" customHeight="1" x14ac:dyDescent="0.2">
      <c r="I406" s="366">
        <v>322</v>
      </c>
      <c r="J406" s="414">
        <f t="shared" si="298"/>
        <v>41705.936111111841</v>
      </c>
      <c r="K406" s="435" t="e">
        <f t="shared" ca="1" si="299"/>
        <v>#NAME?</v>
      </c>
      <c r="L406" s="435" t="e">
        <f t="shared" ref="L406:L469" ca="1" si="348">IF(N406=0,0,Q406*(1+$C$79)/60)</f>
        <v>#NAME?</v>
      </c>
      <c r="M406" s="664" t="e">
        <f t="shared" ca="1" si="340"/>
        <v>#NAME?</v>
      </c>
      <c r="N406" s="664" t="e">
        <f t="shared" ca="1" si="341"/>
        <v>#NAME?</v>
      </c>
      <c r="O406" s="140" t="e">
        <f t="shared" ref="O406:O469" ca="1" si="349">M406+N406</f>
        <v>#NAME?</v>
      </c>
      <c r="P406" s="352" t="e">
        <f t="shared" ca="1" si="300"/>
        <v>#NAME?</v>
      </c>
      <c r="Q406" s="665" t="e">
        <f t="shared" ca="1" si="342"/>
        <v>#NAME?</v>
      </c>
      <c r="R406" s="352" t="e">
        <f t="shared" ca="1" si="313"/>
        <v>#NAME?</v>
      </c>
      <c r="S406" s="662" t="e">
        <f t="shared" ref="S406:S469" ca="1" si="350">IF(O406=0, "MEFE",IF(AND(  NOT(S405="LRCINOP"),NOT(S405="HOLDINGINOP"),  N406=0), "INOP",IF(I406&gt;$M$83-1,$C$19,IF(I406&gt;$K$83-1,$C$13,$C$5))))</f>
        <v>#NAME?</v>
      </c>
      <c r="T406" s="443" t="e">
        <f t="shared" ca="1" si="343"/>
        <v>#NAME?</v>
      </c>
      <c r="U406" s="369" t="e">
        <f t="shared" ca="1" si="344"/>
        <v>#NAME?</v>
      </c>
      <c r="V406" s="454" t="e">
        <f t="shared" ref="V406:V469" ca="1" si="351">IF(S405="MEFE",0,IF(AND(S405="INOP", T406=$C$39 ), MIN($C$40,V405 ),IF(J405&lt;$C$12,$C$7,IF(J405&lt;$C$18,$C$15,$C$21))))</f>
        <v>#NAME?</v>
      </c>
      <c r="W406" s="457">
        <f t="shared" ref="W406:W469" si="352">$C$27</f>
        <v>1000</v>
      </c>
      <c r="X406" s="463" t="e">
        <f t="shared" ref="X406:X469" ca="1" si="353">IF(   Y405=0,  0,   IF(S406="INOP", $C$41, IF(S406="MEFE", $C$42,IF(OR(S406="KCAS",S406="HOLDING"), $C$31,$C$28 ) ))             )</f>
        <v>#NAME?</v>
      </c>
      <c r="Y406" s="455" t="e">
        <f t="shared" ca="1" si="301"/>
        <v>#NAME?</v>
      </c>
      <c r="Z406" s="699">
        <f t="shared" si="345"/>
        <v>8.5</v>
      </c>
      <c r="AA406" s="355" t="str">
        <f t="shared" si="346"/>
        <v>ON</v>
      </c>
      <c r="AB406" s="357">
        <f t="shared" si="314"/>
        <v>1.4999999999999999E-2</v>
      </c>
      <c r="AC406" s="356" t="e">
        <f ca="1">IF(  Y405=0,0,IF(OR(S406="KCAS",S406="INOP",S406="MEFE"),   ( (5*( (   (((1+0.2*(T406/661.4786)^2)^3.5 -1)  )/( (1-6.8755856*10^-6 *100*Y406)^5.2558797) +1)^(2/7) -1) )^0.5),IF(S406="MACH",T406, IF(S406="LRC",BicubicInterpolation( 'LRC Mach'!$C$4:$AL$21, Y406,U406),  IF(S406="MRC",BicubicInterpolation( 'MRC Mach'!$C$3:$T$18, Y406,U406),  IF(S406="M0.84",0.84,  IF(S406="CI52",BicubicInterpolation('CI=52 Mach'!$C$3:$T$18, Y406,U406),  IF(S406="HOLDING",BicubicInterpolation(  'Holding Mach'!$C$4:$M$13, Y406,U406),                         IF(S406="LRCINOP", BicubicInterpolation('LRC INOP Mach'!$C$4:$AA$21,Y406,U406), IF(S406="HOLDINGINOP",  BicubicInterpolation('Holding INOP Mach'!$N$4:$U$13,Y406,U406),         "XXX" )))))))   )))</f>
        <v>#NAME?</v>
      </c>
      <c r="AD406" s="313" t="e">
        <f t="shared" ca="1" si="315"/>
        <v>#NAME?</v>
      </c>
      <c r="AE406" s="314" t="e">
        <f t="shared" ca="1" si="302"/>
        <v>#NAME?</v>
      </c>
      <c r="AF406" s="313" t="e">
        <f t="shared" ca="1" si="316"/>
        <v>#NAME?</v>
      </c>
      <c r="AG406" s="314" t="e">
        <f t="shared" ca="1" si="303"/>
        <v>#NAME?</v>
      </c>
      <c r="AH406" s="313" t="e">
        <f t="shared" ca="1" si="317"/>
        <v>#NAME?</v>
      </c>
      <c r="AI406" s="314" t="e">
        <f t="shared" ca="1" si="304"/>
        <v>#NAME?</v>
      </c>
      <c r="AJ406" s="315" t="e">
        <f t="shared" ca="1" si="305"/>
        <v>#NAME?</v>
      </c>
      <c r="AK406" s="568" t="e">
        <f t="shared" ca="1" si="318"/>
        <v>#NAME?</v>
      </c>
      <c r="AL406" s="313" t="e">
        <f t="shared" ca="1" si="319"/>
        <v>#NAME?</v>
      </c>
      <c r="AM406" s="313" t="e">
        <f t="shared" ca="1" si="306"/>
        <v>#NAME?</v>
      </c>
      <c r="AN406" s="313" t="e">
        <f t="shared" ca="1" si="307"/>
        <v>#NAME?</v>
      </c>
      <c r="AO406" s="316" t="e">
        <f t="shared" ca="1" si="320"/>
        <v>#NAME?</v>
      </c>
      <c r="AP406" s="313" t="e">
        <f t="shared" ca="1" si="321"/>
        <v>#NAME?</v>
      </c>
      <c r="AQ406" s="314" t="e">
        <f t="shared" ca="1" si="308"/>
        <v>#NAME?</v>
      </c>
      <c r="AR406" s="315" t="e">
        <f t="shared" ca="1" si="322"/>
        <v>#NAME?</v>
      </c>
      <c r="AS406" s="316" t="e">
        <f t="shared" ca="1" si="323"/>
        <v>#NAME?</v>
      </c>
      <c r="AT406" s="315" t="e">
        <f t="shared" ca="1" si="324"/>
        <v>#NAME?</v>
      </c>
      <c r="AU406" s="317">
        <v>427.8</v>
      </c>
      <c r="AV406" s="315" t="e">
        <f t="shared" ca="1" si="325"/>
        <v>#NAME?</v>
      </c>
      <c r="AW406" s="318" t="e">
        <f ca="1">0.0001*BicubicInterpolation('Drag Coef Table'!$B$4:$L$28,AV406,AC406)</f>
        <v>#NAME?</v>
      </c>
      <c r="AX406" s="319" t="e">
        <f t="shared" ca="1" si="326"/>
        <v>#NAME?</v>
      </c>
      <c r="AY406" s="318" t="e">
        <f t="shared" ca="1" si="327"/>
        <v>#NAME?</v>
      </c>
      <c r="AZ406" s="320" t="e">
        <f t="shared" ca="1" si="328"/>
        <v>#NAME?</v>
      </c>
      <c r="BA406" s="321" t="e">
        <f t="shared" ca="1" si="329"/>
        <v>#NAME?</v>
      </c>
      <c r="BB406" s="322" t="e">
        <f t="shared" ca="1" si="330"/>
        <v>#NAME?</v>
      </c>
      <c r="BC406" s="323">
        <v>75.196700000000007</v>
      </c>
      <c r="BD406" s="324" t="e">
        <f t="shared" ca="1" si="331"/>
        <v>#NAME?</v>
      </c>
      <c r="BE406" s="325" t="e">
        <f t="shared" ca="1" si="332"/>
        <v>#NAME?</v>
      </c>
      <c r="BF406" s="324" t="e">
        <f ca="1">BicubicInterpolation('TSFC Eff Table'!$B$4:$E$69,2,BB406)</f>
        <v>#NAME?</v>
      </c>
      <c r="BG406" s="326" t="e">
        <f t="shared" ca="1" si="333"/>
        <v>#NAME?</v>
      </c>
      <c r="BH406" s="694" t="e">
        <f ca="1">IF( S406="LRCINOP",   (1+(0.03/10)*Z406*(1+0.2*AC406^2) )*BicubicInterpolation( 'LRC INOP FF'!$C$4:$AA$21, Y406, U406 )-200, IF(S406 ="HOLDINGINOP", (1+(0.03/10)*Z406*(1+0.2*AC406^2) )*BicubicInterpolation( 'Holding INOP FF'!$C$4:$J$13,  Y406,  U406)/1.05-200,   BA406*BG406))</f>
        <v>#NAME?</v>
      </c>
      <c r="BI406" s="344" t="e">
        <f t="shared" ref="BI406:BI469" ca="1" si="354">IF( OR( S406="LRCINOP", S406 ="HOLDINGINOP"),BH406, BH406/2)</f>
        <v>#NAME?</v>
      </c>
      <c r="BJ406" s="322" t="e">
        <f t="shared" ca="1" si="334"/>
        <v>#NAME?</v>
      </c>
      <c r="BK406" s="338" t="e">
        <f t="shared" ref="BK406:BK469" ca="1" si="355">IF( OR( S406="LRCINOP", S406 ="HOLDINGINOP"),BJ406, 2*BJ406)</f>
        <v>#NAME?</v>
      </c>
      <c r="BL406" s="327" t="e">
        <f t="shared" ca="1" si="335"/>
        <v>#NAME?</v>
      </c>
      <c r="BM406" s="328">
        <f t="shared" si="336"/>
        <v>200</v>
      </c>
      <c r="BN406" s="329" t="e">
        <f t="shared" ca="1" si="337"/>
        <v>#NAME?</v>
      </c>
      <c r="BO406" s="344" t="e">
        <f t="shared" ref="BO406:BO469" ca="1" si="356">IF( OR( S406="LRCINOP", S406 ="HOLDINGINOP"), BN406, 2*BN406)</f>
        <v>#NAME?</v>
      </c>
      <c r="BP406" s="320" t="e">
        <f t="shared" ca="1" si="338"/>
        <v>#NAME?</v>
      </c>
      <c r="BQ406" s="344" t="e">
        <f t="shared" ref="BQ406:BQ469" ca="1" si="357">BN406*(1+$C$25)</f>
        <v>#NAME?</v>
      </c>
      <c r="BR406" s="347" t="e">
        <f t="shared" ref="BR406:BR469" ca="1" si="358">BO406*(1+$C$25)</f>
        <v>#NAME?</v>
      </c>
      <c r="BS406" s="326" t="e">
        <f t="shared" ca="1" si="339"/>
        <v>#NAME?</v>
      </c>
      <c r="BT406" s="437" t="e">
        <f t="shared" ca="1" si="309"/>
        <v>#NAME?</v>
      </c>
      <c r="BU406" s="437" t="e">
        <f t="shared" ca="1" si="310"/>
        <v>#NAME?</v>
      </c>
      <c r="BV406" s="441" t="e">
        <f t="shared" ca="1" si="311"/>
        <v>#NAME?</v>
      </c>
      <c r="BW406" s="442" t="e">
        <f t="shared" ca="1" si="312"/>
        <v>#NAME?</v>
      </c>
      <c r="BX406" s="470" t="e">
        <f t="shared" ca="1" si="347"/>
        <v>#NAME?</v>
      </c>
      <c r="BY406" s="484" t="e">
        <f t="shared" ref="BY406:BY469" ca="1" si="359">100*O406</f>
        <v>#NAME?</v>
      </c>
    </row>
    <row r="407" spans="9:77" ht="17.75" customHeight="1" x14ac:dyDescent="0.2">
      <c r="I407" s="366">
        <v>323</v>
      </c>
      <c r="J407" s="414">
        <f t="shared" ref="J407:J470" si="360">J406+1/1440</f>
        <v>41705.936805556288</v>
      </c>
      <c r="K407" s="435" t="e">
        <f t="shared" ref="K407:K470" ca="1" si="361">IF(M407=0,0,Q407*(1+$C$78)/60)</f>
        <v>#NAME?</v>
      </c>
      <c r="L407" s="435" t="e">
        <f t="shared" ca="1" si="348"/>
        <v>#NAME?</v>
      </c>
      <c r="M407" s="664" t="e">
        <f t="shared" ca="1" si="340"/>
        <v>#NAME?</v>
      </c>
      <c r="N407" s="664" t="e">
        <f t="shared" ca="1" si="341"/>
        <v>#NAME?</v>
      </c>
      <c r="O407" s="140" t="e">
        <f t="shared" ca="1" si="349"/>
        <v>#NAME?</v>
      </c>
      <c r="P407" s="352" t="e">
        <f t="shared" ref="P407:P470" ca="1" si="362">MAX(O407+$C$24,$C$24)</f>
        <v>#NAME?</v>
      </c>
      <c r="Q407" s="665" t="e">
        <f t="shared" ca="1" si="342"/>
        <v>#NAME?</v>
      </c>
      <c r="R407" s="352" t="e">
        <f t="shared" ca="1" si="313"/>
        <v>#NAME?</v>
      </c>
      <c r="S407" s="662" t="e">
        <f t="shared" ca="1" si="350"/>
        <v>#NAME?</v>
      </c>
      <c r="T407" s="443" t="e">
        <f t="shared" ca="1" si="343"/>
        <v>#NAME?</v>
      </c>
      <c r="U407" s="369" t="e">
        <f t="shared" ca="1" si="344"/>
        <v>#NAME?</v>
      </c>
      <c r="V407" s="454" t="e">
        <f t="shared" ca="1" si="351"/>
        <v>#NAME?</v>
      </c>
      <c r="W407" s="457">
        <f t="shared" si="352"/>
        <v>1000</v>
      </c>
      <c r="X407" s="463" t="e">
        <f t="shared" ca="1" si="353"/>
        <v>#NAME?</v>
      </c>
      <c r="Y407" s="455" t="e">
        <f t="shared" ref="Y407:Y470" ca="1" si="363">Y406   +   IF(   V407=Y406,   0,   IF(V407-Y406&lt;0, MAX(V407-Y406,X407/100), IF(    V407-Y406&gt;0,    MIN(V407-Y406, W407/100 ))))</f>
        <v>#NAME?</v>
      </c>
      <c r="Z407" s="699">
        <f t="shared" si="345"/>
        <v>8.5</v>
      </c>
      <c r="AA407" s="355" t="str">
        <f t="shared" si="346"/>
        <v>ON</v>
      </c>
      <c r="AB407" s="357">
        <f t="shared" si="314"/>
        <v>1.4999999999999999E-2</v>
      </c>
      <c r="AC407" s="356" t="e">
        <f ca="1">IF(  Y406=0,0,IF(OR(S407="KCAS",S407="INOP",S407="MEFE"),   ( (5*( (   (((1+0.2*(T407/661.4786)^2)^3.5 -1)  )/( (1-6.8755856*10^-6 *100*Y407)^5.2558797) +1)^(2/7) -1) )^0.5),IF(S407="MACH",T407, IF(S407="LRC",BicubicInterpolation( 'LRC Mach'!$C$4:$AL$21, Y407,U407),  IF(S407="MRC",BicubicInterpolation( 'MRC Mach'!$C$3:$T$18, Y407,U407),  IF(S407="M0.84",0.84,  IF(S407="CI52",BicubicInterpolation('CI=52 Mach'!$C$3:$T$18, Y407,U407),  IF(S407="HOLDING",BicubicInterpolation(  'Holding Mach'!$C$4:$M$13, Y407,U407),                         IF(S407="LRCINOP", BicubicInterpolation('LRC INOP Mach'!$C$4:$AA$21,Y407,U407), IF(S407="HOLDINGINOP",  BicubicInterpolation('Holding INOP Mach'!$N$4:$U$13,Y407,U407),         "XXX" )))))))   )))</f>
        <v>#NAME?</v>
      </c>
      <c r="AD407" s="313" t="e">
        <f t="shared" ca="1" si="315"/>
        <v>#NAME?</v>
      </c>
      <c r="AE407" s="314" t="e">
        <f t="shared" ref="AE407:AE470" ca="1" si="364">AD407/288.15</f>
        <v>#NAME?</v>
      </c>
      <c r="AF407" s="313" t="e">
        <f t="shared" ca="1" si="316"/>
        <v>#NAME?</v>
      </c>
      <c r="AG407" s="314" t="e">
        <f t="shared" ref="AG407:AG470" ca="1" si="365">AF407/288.15</f>
        <v>#NAME?</v>
      </c>
      <c r="AH407" s="313" t="e">
        <f t="shared" ca="1" si="317"/>
        <v>#NAME?</v>
      </c>
      <c r="AI407" s="314" t="e">
        <f t="shared" ref="AI407:AI470" ca="1" si="366">AH407/288.15</f>
        <v>#NAME?</v>
      </c>
      <c r="AJ407" s="315" t="e">
        <f t="shared" ref="AJ407:AJ470" ca="1" si="367">AI407^0.68</f>
        <v>#NAME?</v>
      </c>
      <c r="AK407" s="568" t="e">
        <f t="shared" ca="1" si="318"/>
        <v>#NAME?</v>
      </c>
      <c r="AL407" s="313" t="e">
        <f t="shared" ca="1" si="319"/>
        <v>#NAME?</v>
      </c>
      <c r="AM407" s="313" t="e">
        <f t="shared" ref="AM407:AM470" ca="1" si="368">AL407*0.5144444</f>
        <v>#NAME?</v>
      </c>
      <c r="AN407" s="313" t="e">
        <f t="shared" ref="AN407:AN470" ca="1" si="369">AN406+AVERAGE(AL406:AL407)/60</f>
        <v>#NAME?</v>
      </c>
      <c r="AO407" s="316" t="e">
        <f t="shared" ca="1" si="320"/>
        <v>#NAME?</v>
      </c>
      <c r="AP407" s="313" t="e">
        <f t="shared" ca="1" si="321"/>
        <v>#NAME?</v>
      </c>
      <c r="AQ407" s="314" t="e">
        <f t="shared" ref="AQ407:AQ470" ca="1" si="370">AP407/1013.25</f>
        <v>#NAME?</v>
      </c>
      <c r="AR407" s="315" t="e">
        <f t="shared" ca="1" si="322"/>
        <v>#NAME?</v>
      </c>
      <c r="AS407" s="316" t="e">
        <f t="shared" ca="1" si="323"/>
        <v>#NAME?</v>
      </c>
      <c r="AT407" s="315" t="e">
        <f t="shared" ca="1" si="324"/>
        <v>#NAME?</v>
      </c>
      <c r="AU407" s="317">
        <v>427.8</v>
      </c>
      <c r="AV407" s="315" t="e">
        <f t="shared" ca="1" si="325"/>
        <v>#NAME?</v>
      </c>
      <c r="AW407" s="318" t="e">
        <f ca="1">0.0001*BicubicInterpolation('Drag Coef Table'!$B$4:$L$28,AV407,AC407)</f>
        <v>#NAME?</v>
      </c>
      <c r="AX407" s="319" t="e">
        <f t="shared" ca="1" si="326"/>
        <v>#NAME?</v>
      </c>
      <c r="AY407" s="318" t="e">
        <f t="shared" ca="1" si="327"/>
        <v>#NAME?</v>
      </c>
      <c r="AZ407" s="320" t="e">
        <f t="shared" ca="1" si="328"/>
        <v>#NAME?</v>
      </c>
      <c r="BA407" s="321" t="e">
        <f t="shared" ca="1" si="329"/>
        <v>#NAME?</v>
      </c>
      <c r="BB407" s="322" t="e">
        <f t="shared" ca="1" si="330"/>
        <v>#NAME?</v>
      </c>
      <c r="BC407" s="323">
        <v>75.196700000000007</v>
      </c>
      <c r="BD407" s="324" t="e">
        <f t="shared" ca="1" si="331"/>
        <v>#NAME?</v>
      </c>
      <c r="BE407" s="325" t="e">
        <f t="shared" ca="1" si="332"/>
        <v>#NAME?</v>
      </c>
      <c r="BF407" s="324" t="e">
        <f ca="1">BicubicInterpolation('TSFC Eff Table'!$B$4:$E$69,2,BB407)</f>
        <v>#NAME?</v>
      </c>
      <c r="BG407" s="326" t="e">
        <f t="shared" ca="1" si="333"/>
        <v>#NAME?</v>
      </c>
      <c r="BH407" s="694" t="e">
        <f ca="1">IF( S407="LRCINOP",   (1+(0.03/10)*Z407*(1+0.2*AC407^2) )*BicubicInterpolation( 'LRC INOP FF'!$C$4:$AA$21, Y407, U407 )-200, IF(S407 ="HOLDINGINOP", (1+(0.03/10)*Z407*(1+0.2*AC407^2) )*BicubicInterpolation( 'Holding INOP FF'!$C$4:$J$13,  Y407,  U407)/1.05-200,   BA407*BG407))</f>
        <v>#NAME?</v>
      </c>
      <c r="BI407" s="344" t="e">
        <f t="shared" ca="1" si="354"/>
        <v>#NAME?</v>
      </c>
      <c r="BJ407" s="322" t="e">
        <f t="shared" ca="1" si="334"/>
        <v>#NAME?</v>
      </c>
      <c r="BK407" s="338" t="e">
        <f t="shared" ca="1" si="355"/>
        <v>#NAME?</v>
      </c>
      <c r="BL407" s="327" t="e">
        <f t="shared" ca="1" si="335"/>
        <v>#NAME?</v>
      </c>
      <c r="BM407" s="328">
        <f t="shared" si="336"/>
        <v>200</v>
      </c>
      <c r="BN407" s="329" t="e">
        <f t="shared" ca="1" si="337"/>
        <v>#NAME?</v>
      </c>
      <c r="BO407" s="344" t="e">
        <f t="shared" ca="1" si="356"/>
        <v>#NAME?</v>
      </c>
      <c r="BP407" s="320" t="e">
        <f t="shared" ca="1" si="338"/>
        <v>#NAME?</v>
      </c>
      <c r="BQ407" s="344" t="e">
        <f t="shared" ca="1" si="357"/>
        <v>#NAME?</v>
      </c>
      <c r="BR407" s="347" t="e">
        <f t="shared" ca="1" si="358"/>
        <v>#NAME?</v>
      </c>
      <c r="BS407" s="326" t="e">
        <f t="shared" ca="1" si="339"/>
        <v>#NAME?</v>
      </c>
      <c r="BT407" s="437" t="e">
        <f t="shared" ref="BT407:BT470" ca="1" si="371">IF(AND(M407=0,M406&gt;0),I407,"")</f>
        <v>#NAME?</v>
      </c>
      <c r="BU407" s="437" t="e">
        <f t="shared" ref="BU407:BU470" ca="1" si="372">IF(AND(N407=0,N406&gt;0),$I407,"")</f>
        <v>#NAME?</v>
      </c>
      <c r="BV407" s="441" t="e">
        <f t="shared" ref="BV407:BV470" ca="1" si="373">BV406+AC406</f>
        <v>#NAME?</v>
      </c>
      <c r="BW407" s="442" t="e">
        <f t="shared" ref="BW407:BW470" ca="1" si="374">BW406+AL406</f>
        <v>#NAME?</v>
      </c>
      <c r="BX407" s="470" t="e">
        <f t="shared" ca="1" si="347"/>
        <v>#NAME?</v>
      </c>
      <c r="BY407" s="484" t="e">
        <f t="shared" ca="1" si="359"/>
        <v>#NAME?</v>
      </c>
    </row>
    <row r="408" spans="9:77" ht="17.75" customHeight="1" x14ac:dyDescent="0.2">
      <c r="I408" s="366">
        <v>324</v>
      </c>
      <c r="J408" s="414">
        <f t="shared" si="360"/>
        <v>41705.937500000735</v>
      </c>
      <c r="K408" s="435" t="e">
        <f t="shared" ca="1" si="361"/>
        <v>#NAME?</v>
      </c>
      <c r="L408" s="435" t="e">
        <f t="shared" ca="1" si="348"/>
        <v>#NAME?</v>
      </c>
      <c r="M408" s="664" t="e">
        <f t="shared" ca="1" si="340"/>
        <v>#NAME?</v>
      </c>
      <c r="N408" s="664" t="e">
        <f t="shared" ca="1" si="341"/>
        <v>#NAME?</v>
      </c>
      <c r="O408" s="140" t="e">
        <f t="shared" ca="1" si="349"/>
        <v>#NAME?</v>
      </c>
      <c r="P408" s="352" t="e">
        <f t="shared" ca="1" si="362"/>
        <v>#NAME?</v>
      </c>
      <c r="Q408" s="665" t="e">
        <f t="shared" ca="1" si="342"/>
        <v>#NAME?</v>
      </c>
      <c r="R408" s="352" t="e">
        <f t="shared" ca="1" si="313"/>
        <v>#NAME?</v>
      </c>
      <c r="S408" s="662" t="e">
        <f t="shared" ca="1" si="350"/>
        <v>#NAME?</v>
      </c>
      <c r="T408" s="443" t="e">
        <f t="shared" ca="1" si="343"/>
        <v>#NAME?</v>
      </c>
      <c r="U408" s="369" t="e">
        <f t="shared" ca="1" si="344"/>
        <v>#NAME?</v>
      </c>
      <c r="V408" s="454" t="e">
        <f t="shared" ca="1" si="351"/>
        <v>#NAME?</v>
      </c>
      <c r="W408" s="457">
        <f t="shared" si="352"/>
        <v>1000</v>
      </c>
      <c r="X408" s="463" t="e">
        <f t="shared" ca="1" si="353"/>
        <v>#NAME?</v>
      </c>
      <c r="Y408" s="455" t="e">
        <f t="shared" ca="1" si="363"/>
        <v>#NAME?</v>
      </c>
      <c r="Z408" s="699">
        <f t="shared" si="345"/>
        <v>8.5</v>
      </c>
      <c r="AA408" s="355" t="str">
        <f t="shared" si="346"/>
        <v>ON</v>
      </c>
      <c r="AB408" s="357">
        <f t="shared" si="314"/>
        <v>1.4999999999999999E-2</v>
      </c>
      <c r="AC408" s="356" t="e">
        <f ca="1">IF(  Y407=0,0,IF(OR(S408="KCAS",S408="INOP",S408="MEFE"),   ( (5*( (   (((1+0.2*(T408/661.4786)^2)^3.5 -1)  )/( (1-6.8755856*10^-6 *100*Y408)^5.2558797) +1)^(2/7) -1) )^0.5),IF(S408="MACH",T408, IF(S408="LRC",BicubicInterpolation( 'LRC Mach'!$C$4:$AL$21, Y408,U408),  IF(S408="MRC",BicubicInterpolation( 'MRC Mach'!$C$3:$T$18, Y408,U408),  IF(S408="M0.84",0.84,  IF(S408="CI52",BicubicInterpolation('CI=52 Mach'!$C$3:$T$18, Y408,U408),  IF(S408="HOLDING",BicubicInterpolation(  'Holding Mach'!$C$4:$M$13, Y408,U408),                         IF(S408="LRCINOP", BicubicInterpolation('LRC INOP Mach'!$C$4:$AA$21,Y408,U408), IF(S408="HOLDINGINOP",  BicubicInterpolation('Holding INOP Mach'!$N$4:$U$13,Y408,U408),         "XXX" )))))))   )))</f>
        <v>#NAME?</v>
      </c>
      <c r="AD408" s="313" t="e">
        <f t="shared" ca="1" si="315"/>
        <v>#NAME?</v>
      </c>
      <c r="AE408" s="314" t="e">
        <f t="shared" ca="1" si="364"/>
        <v>#NAME?</v>
      </c>
      <c r="AF408" s="313" t="e">
        <f t="shared" ca="1" si="316"/>
        <v>#NAME?</v>
      </c>
      <c r="AG408" s="314" t="e">
        <f t="shared" ca="1" si="365"/>
        <v>#NAME?</v>
      </c>
      <c r="AH408" s="313" t="e">
        <f t="shared" ca="1" si="317"/>
        <v>#NAME?</v>
      </c>
      <c r="AI408" s="314" t="e">
        <f t="shared" ca="1" si="366"/>
        <v>#NAME?</v>
      </c>
      <c r="AJ408" s="315" t="e">
        <f t="shared" ca="1" si="367"/>
        <v>#NAME?</v>
      </c>
      <c r="AK408" s="568" t="e">
        <f t="shared" ca="1" si="318"/>
        <v>#NAME?</v>
      </c>
      <c r="AL408" s="313" t="e">
        <f t="shared" ca="1" si="319"/>
        <v>#NAME?</v>
      </c>
      <c r="AM408" s="313" t="e">
        <f t="shared" ca="1" si="368"/>
        <v>#NAME?</v>
      </c>
      <c r="AN408" s="313" t="e">
        <f t="shared" ca="1" si="369"/>
        <v>#NAME?</v>
      </c>
      <c r="AO408" s="316" t="e">
        <f t="shared" ca="1" si="320"/>
        <v>#NAME?</v>
      </c>
      <c r="AP408" s="313" t="e">
        <f t="shared" ca="1" si="321"/>
        <v>#NAME?</v>
      </c>
      <c r="AQ408" s="314" t="e">
        <f t="shared" ca="1" si="370"/>
        <v>#NAME?</v>
      </c>
      <c r="AR408" s="315" t="e">
        <f t="shared" ca="1" si="322"/>
        <v>#NAME?</v>
      </c>
      <c r="AS408" s="316" t="e">
        <f t="shared" ca="1" si="323"/>
        <v>#NAME?</v>
      </c>
      <c r="AT408" s="315" t="e">
        <f t="shared" ca="1" si="324"/>
        <v>#NAME?</v>
      </c>
      <c r="AU408" s="317">
        <v>427.8</v>
      </c>
      <c r="AV408" s="315" t="e">
        <f t="shared" ca="1" si="325"/>
        <v>#NAME?</v>
      </c>
      <c r="AW408" s="318" t="e">
        <f ca="1">0.0001*BicubicInterpolation('Drag Coef Table'!$B$4:$L$28,AV408,AC408)</f>
        <v>#NAME?</v>
      </c>
      <c r="AX408" s="319" t="e">
        <f t="shared" ca="1" si="326"/>
        <v>#NAME?</v>
      </c>
      <c r="AY408" s="318" t="e">
        <f t="shared" ca="1" si="327"/>
        <v>#NAME?</v>
      </c>
      <c r="AZ408" s="320" t="e">
        <f t="shared" ca="1" si="328"/>
        <v>#NAME?</v>
      </c>
      <c r="BA408" s="321" t="e">
        <f t="shared" ca="1" si="329"/>
        <v>#NAME?</v>
      </c>
      <c r="BB408" s="322" t="e">
        <f t="shared" ca="1" si="330"/>
        <v>#NAME?</v>
      </c>
      <c r="BC408" s="323">
        <v>75.196700000000007</v>
      </c>
      <c r="BD408" s="324" t="e">
        <f t="shared" ca="1" si="331"/>
        <v>#NAME?</v>
      </c>
      <c r="BE408" s="325" t="e">
        <f t="shared" ca="1" si="332"/>
        <v>#NAME?</v>
      </c>
      <c r="BF408" s="324" t="e">
        <f ca="1">BicubicInterpolation('TSFC Eff Table'!$B$4:$E$69,2,BB408)</f>
        <v>#NAME?</v>
      </c>
      <c r="BG408" s="326" t="e">
        <f t="shared" ca="1" si="333"/>
        <v>#NAME?</v>
      </c>
      <c r="BH408" s="694" t="e">
        <f ca="1">IF( S408="LRCINOP",   (1+(0.03/10)*Z408*(1+0.2*AC408^2) )*BicubicInterpolation( 'LRC INOP FF'!$C$4:$AA$21, Y408, U408 )-200, IF(S408 ="HOLDINGINOP", (1+(0.03/10)*Z408*(1+0.2*AC408^2) )*BicubicInterpolation( 'Holding INOP FF'!$C$4:$J$13,  Y408,  U408)/1.05-200,   BA408*BG408))</f>
        <v>#NAME?</v>
      </c>
      <c r="BI408" s="344" t="e">
        <f t="shared" ca="1" si="354"/>
        <v>#NAME?</v>
      </c>
      <c r="BJ408" s="322" t="e">
        <f t="shared" ca="1" si="334"/>
        <v>#NAME?</v>
      </c>
      <c r="BK408" s="338" t="e">
        <f t="shared" ca="1" si="355"/>
        <v>#NAME?</v>
      </c>
      <c r="BL408" s="327" t="e">
        <f t="shared" ca="1" si="335"/>
        <v>#NAME?</v>
      </c>
      <c r="BM408" s="328">
        <f t="shared" si="336"/>
        <v>200</v>
      </c>
      <c r="BN408" s="329" t="e">
        <f t="shared" ca="1" si="337"/>
        <v>#NAME?</v>
      </c>
      <c r="BO408" s="344" t="e">
        <f t="shared" ca="1" si="356"/>
        <v>#NAME?</v>
      </c>
      <c r="BP408" s="320" t="e">
        <f t="shared" ca="1" si="338"/>
        <v>#NAME?</v>
      </c>
      <c r="BQ408" s="344" t="e">
        <f t="shared" ca="1" si="357"/>
        <v>#NAME?</v>
      </c>
      <c r="BR408" s="347" t="e">
        <f t="shared" ca="1" si="358"/>
        <v>#NAME?</v>
      </c>
      <c r="BS408" s="326" t="e">
        <f t="shared" ca="1" si="339"/>
        <v>#NAME?</v>
      </c>
      <c r="BT408" s="437" t="e">
        <f t="shared" ca="1" si="371"/>
        <v>#NAME?</v>
      </c>
      <c r="BU408" s="437" t="e">
        <f t="shared" ca="1" si="372"/>
        <v>#NAME?</v>
      </c>
      <c r="BV408" s="441" t="e">
        <f t="shared" ca="1" si="373"/>
        <v>#NAME?</v>
      </c>
      <c r="BW408" s="442" t="e">
        <f t="shared" ca="1" si="374"/>
        <v>#NAME?</v>
      </c>
      <c r="BX408" s="470" t="e">
        <f t="shared" ca="1" si="347"/>
        <v>#NAME?</v>
      </c>
      <c r="BY408" s="484" t="e">
        <f t="shared" ca="1" si="359"/>
        <v>#NAME?</v>
      </c>
    </row>
    <row r="409" spans="9:77" ht="17.75" customHeight="1" x14ac:dyDescent="0.2">
      <c r="I409" s="366">
        <v>325</v>
      </c>
      <c r="J409" s="414">
        <f t="shared" si="360"/>
        <v>41705.938194445182</v>
      </c>
      <c r="K409" s="435" t="e">
        <f t="shared" ca="1" si="361"/>
        <v>#NAME?</v>
      </c>
      <c r="L409" s="435" t="e">
        <f t="shared" ca="1" si="348"/>
        <v>#NAME?</v>
      </c>
      <c r="M409" s="664" t="e">
        <f t="shared" ca="1" si="340"/>
        <v>#NAME?</v>
      </c>
      <c r="N409" s="664" t="e">
        <f t="shared" ca="1" si="341"/>
        <v>#NAME?</v>
      </c>
      <c r="O409" s="140" t="e">
        <f t="shared" ca="1" si="349"/>
        <v>#NAME?</v>
      </c>
      <c r="P409" s="352" t="e">
        <f t="shared" ca="1" si="362"/>
        <v>#NAME?</v>
      </c>
      <c r="Q409" s="665" t="e">
        <f t="shared" ca="1" si="342"/>
        <v>#NAME?</v>
      </c>
      <c r="R409" s="352" t="e">
        <f t="shared" ca="1" si="313"/>
        <v>#NAME?</v>
      </c>
      <c r="S409" s="662" t="e">
        <f t="shared" ca="1" si="350"/>
        <v>#NAME?</v>
      </c>
      <c r="T409" s="443" t="e">
        <f t="shared" ca="1" si="343"/>
        <v>#NAME?</v>
      </c>
      <c r="U409" s="369" t="e">
        <f t="shared" ca="1" si="344"/>
        <v>#NAME?</v>
      </c>
      <c r="V409" s="454" t="e">
        <f t="shared" ca="1" si="351"/>
        <v>#NAME?</v>
      </c>
      <c r="W409" s="457">
        <f t="shared" si="352"/>
        <v>1000</v>
      </c>
      <c r="X409" s="463" t="e">
        <f t="shared" ca="1" si="353"/>
        <v>#NAME?</v>
      </c>
      <c r="Y409" s="455" t="e">
        <f t="shared" ca="1" si="363"/>
        <v>#NAME?</v>
      </c>
      <c r="Z409" s="699">
        <f t="shared" si="345"/>
        <v>8.5</v>
      </c>
      <c r="AA409" s="355" t="str">
        <f t="shared" si="346"/>
        <v>ON</v>
      </c>
      <c r="AB409" s="357">
        <f t="shared" si="314"/>
        <v>1.4999999999999999E-2</v>
      </c>
      <c r="AC409" s="356" t="e">
        <f ca="1">IF(  Y408=0,0,IF(OR(S409="KCAS",S409="INOP",S409="MEFE"),   ( (5*( (   (((1+0.2*(T409/661.4786)^2)^3.5 -1)  )/( (1-6.8755856*10^-6 *100*Y409)^5.2558797) +1)^(2/7) -1) )^0.5),IF(S409="MACH",T409, IF(S409="LRC",BicubicInterpolation( 'LRC Mach'!$C$4:$AL$21, Y409,U409),  IF(S409="MRC",BicubicInterpolation( 'MRC Mach'!$C$3:$T$18, Y409,U409),  IF(S409="M0.84",0.84,  IF(S409="CI52",BicubicInterpolation('CI=52 Mach'!$C$3:$T$18, Y409,U409),  IF(S409="HOLDING",BicubicInterpolation(  'Holding Mach'!$C$4:$M$13, Y409,U409),                         IF(S409="LRCINOP", BicubicInterpolation('LRC INOP Mach'!$C$4:$AA$21,Y409,U409), IF(S409="HOLDINGINOP",  BicubicInterpolation('Holding INOP Mach'!$N$4:$U$13,Y409,U409),         "XXX" )))))))   )))</f>
        <v>#NAME?</v>
      </c>
      <c r="AD409" s="313" t="e">
        <f t="shared" ca="1" si="315"/>
        <v>#NAME?</v>
      </c>
      <c r="AE409" s="314" t="e">
        <f t="shared" ca="1" si="364"/>
        <v>#NAME?</v>
      </c>
      <c r="AF409" s="313" t="e">
        <f t="shared" ca="1" si="316"/>
        <v>#NAME?</v>
      </c>
      <c r="AG409" s="314" t="e">
        <f t="shared" ca="1" si="365"/>
        <v>#NAME?</v>
      </c>
      <c r="AH409" s="313" t="e">
        <f t="shared" ca="1" si="317"/>
        <v>#NAME?</v>
      </c>
      <c r="AI409" s="314" t="e">
        <f t="shared" ca="1" si="366"/>
        <v>#NAME?</v>
      </c>
      <c r="AJ409" s="315" t="e">
        <f t="shared" ca="1" si="367"/>
        <v>#NAME?</v>
      </c>
      <c r="AK409" s="568" t="e">
        <f t="shared" ca="1" si="318"/>
        <v>#NAME?</v>
      </c>
      <c r="AL409" s="313" t="e">
        <f t="shared" ca="1" si="319"/>
        <v>#NAME?</v>
      </c>
      <c r="AM409" s="313" t="e">
        <f t="shared" ca="1" si="368"/>
        <v>#NAME?</v>
      </c>
      <c r="AN409" s="313" t="e">
        <f t="shared" ca="1" si="369"/>
        <v>#NAME?</v>
      </c>
      <c r="AO409" s="316" t="e">
        <f t="shared" ca="1" si="320"/>
        <v>#NAME?</v>
      </c>
      <c r="AP409" s="313" t="e">
        <f t="shared" ca="1" si="321"/>
        <v>#NAME?</v>
      </c>
      <c r="AQ409" s="314" t="e">
        <f t="shared" ca="1" si="370"/>
        <v>#NAME?</v>
      </c>
      <c r="AR409" s="315" t="e">
        <f t="shared" ca="1" si="322"/>
        <v>#NAME?</v>
      </c>
      <c r="AS409" s="316" t="e">
        <f t="shared" ca="1" si="323"/>
        <v>#NAME?</v>
      </c>
      <c r="AT409" s="315" t="e">
        <f t="shared" ca="1" si="324"/>
        <v>#NAME?</v>
      </c>
      <c r="AU409" s="317">
        <v>427.8</v>
      </c>
      <c r="AV409" s="315" t="e">
        <f t="shared" ca="1" si="325"/>
        <v>#NAME?</v>
      </c>
      <c r="AW409" s="318" t="e">
        <f ca="1">0.0001*BicubicInterpolation('Drag Coef Table'!$B$4:$L$28,AV409,AC409)</f>
        <v>#NAME?</v>
      </c>
      <c r="AX409" s="319" t="e">
        <f t="shared" ca="1" si="326"/>
        <v>#NAME?</v>
      </c>
      <c r="AY409" s="318" t="e">
        <f t="shared" ca="1" si="327"/>
        <v>#NAME?</v>
      </c>
      <c r="AZ409" s="320" t="e">
        <f t="shared" ca="1" si="328"/>
        <v>#NAME?</v>
      </c>
      <c r="BA409" s="321" t="e">
        <f t="shared" ca="1" si="329"/>
        <v>#NAME?</v>
      </c>
      <c r="BB409" s="322" t="e">
        <f t="shared" ca="1" si="330"/>
        <v>#NAME?</v>
      </c>
      <c r="BC409" s="323">
        <v>75.196700000000007</v>
      </c>
      <c r="BD409" s="324" t="e">
        <f t="shared" ca="1" si="331"/>
        <v>#NAME?</v>
      </c>
      <c r="BE409" s="325" t="e">
        <f t="shared" ca="1" si="332"/>
        <v>#NAME?</v>
      </c>
      <c r="BF409" s="324" t="e">
        <f ca="1">BicubicInterpolation('TSFC Eff Table'!$B$4:$E$69,2,BB409)</f>
        <v>#NAME?</v>
      </c>
      <c r="BG409" s="326" t="e">
        <f t="shared" ca="1" si="333"/>
        <v>#NAME?</v>
      </c>
      <c r="BH409" s="694" t="e">
        <f ca="1">IF( S409="LRCINOP",   (1+(0.03/10)*Z409*(1+0.2*AC409^2) )*BicubicInterpolation( 'LRC INOP FF'!$C$4:$AA$21, Y409, U409 )-200, IF(S409 ="HOLDINGINOP", (1+(0.03/10)*Z409*(1+0.2*AC409^2) )*BicubicInterpolation( 'Holding INOP FF'!$C$4:$J$13,  Y409,  U409)/1.05-200,   BA409*BG409))</f>
        <v>#NAME?</v>
      </c>
      <c r="BI409" s="344" t="e">
        <f t="shared" ca="1" si="354"/>
        <v>#NAME?</v>
      </c>
      <c r="BJ409" s="322" t="e">
        <f t="shared" ca="1" si="334"/>
        <v>#NAME?</v>
      </c>
      <c r="BK409" s="338" t="e">
        <f t="shared" ca="1" si="355"/>
        <v>#NAME?</v>
      </c>
      <c r="BL409" s="327" t="e">
        <f t="shared" ca="1" si="335"/>
        <v>#NAME?</v>
      </c>
      <c r="BM409" s="328">
        <f t="shared" si="336"/>
        <v>200</v>
      </c>
      <c r="BN409" s="329" t="e">
        <f t="shared" ca="1" si="337"/>
        <v>#NAME?</v>
      </c>
      <c r="BO409" s="344" t="e">
        <f t="shared" ca="1" si="356"/>
        <v>#NAME?</v>
      </c>
      <c r="BP409" s="320" t="e">
        <f t="shared" ca="1" si="338"/>
        <v>#NAME?</v>
      </c>
      <c r="BQ409" s="344" t="e">
        <f t="shared" ca="1" si="357"/>
        <v>#NAME?</v>
      </c>
      <c r="BR409" s="347" t="e">
        <f t="shared" ca="1" si="358"/>
        <v>#NAME?</v>
      </c>
      <c r="BS409" s="326" t="e">
        <f t="shared" ca="1" si="339"/>
        <v>#NAME?</v>
      </c>
      <c r="BT409" s="437" t="e">
        <f t="shared" ca="1" si="371"/>
        <v>#NAME?</v>
      </c>
      <c r="BU409" s="437" t="e">
        <f t="shared" ca="1" si="372"/>
        <v>#NAME?</v>
      </c>
      <c r="BV409" s="441" t="e">
        <f t="shared" ca="1" si="373"/>
        <v>#NAME?</v>
      </c>
      <c r="BW409" s="442" t="e">
        <f t="shared" ca="1" si="374"/>
        <v>#NAME?</v>
      </c>
      <c r="BX409" s="470" t="e">
        <f t="shared" ca="1" si="347"/>
        <v>#NAME?</v>
      </c>
      <c r="BY409" s="484" t="e">
        <f t="shared" ca="1" si="359"/>
        <v>#NAME?</v>
      </c>
    </row>
    <row r="410" spans="9:77" ht="17.75" customHeight="1" x14ac:dyDescent="0.2">
      <c r="I410" s="366">
        <v>326</v>
      </c>
      <c r="J410" s="414">
        <f t="shared" si="360"/>
        <v>41705.938888889628</v>
      </c>
      <c r="K410" s="435" t="e">
        <f t="shared" ca="1" si="361"/>
        <v>#NAME?</v>
      </c>
      <c r="L410" s="435" t="e">
        <f t="shared" ca="1" si="348"/>
        <v>#NAME?</v>
      </c>
      <c r="M410" s="664" t="e">
        <f t="shared" ca="1" si="340"/>
        <v>#NAME?</v>
      </c>
      <c r="N410" s="664" t="e">
        <f t="shared" ca="1" si="341"/>
        <v>#NAME?</v>
      </c>
      <c r="O410" s="140" t="e">
        <f t="shared" ca="1" si="349"/>
        <v>#NAME?</v>
      </c>
      <c r="P410" s="352" t="e">
        <f t="shared" ca="1" si="362"/>
        <v>#NAME?</v>
      </c>
      <c r="Q410" s="665" t="e">
        <f t="shared" ca="1" si="342"/>
        <v>#NAME?</v>
      </c>
      <c r="R410" s="352" t="e">
        <f t="shared" ca="1" si="313"/>
        <v>#NAME?</v>
      </c>
      <c r="S410" s="662" t="e">
        <f t="shared" ca="1" si="350"/>
        <v>#NAME?</v>
      </c>
      <c r="T410" s="443" t="e">
        <f t="shared" ca="1" si="343"/>
        <v>#NAME?</v>
      </c>
      <c r="U410" s="369" t="e">
        <f t="shared" ca="1" si="344"/>
        <v>#NAME?</v>
      </c>
      <c r="V410" s="454" t="e">
        <f t="shared" ca="1" si="351"/>
        <v>#NAME?</v>
      </c>
      <c r="W410" s="457">
        <f t="shared" si="352"/>
        <v>1000</v>
      </c>
      <c r="X410" s="463" t="e">
        <f t="shared" ca="1" si="353"/>
        <v>#NAME?</v>
      </c>
      <c r="Y410" s="455" t="e">
        <f t="shared" ca="1" si="363"/>
        <v>#NAME?</v>
      </c>
      <c r="Z410" s="699">
        <f t="shared" si="345"/>
        <v>8.5</v>
      </c>
      <c r="AA410" s="355" t="str">
        <f t="shared" si="346"/>
        <v>ON</v>
      </c>
      <c r="AB410" s="357">
        <f t="shared" si="314"/>
        <v>1.4999999999999999E-2</v>
      </c>
      <c r="AC410" s="356" t="e">
        <f ca="1">IF(  Y409=0,0,IF(OR(S410="KCAS",S410="INOP",S410="MEFE"),   ( (5*( (   (((1+0.2*(T410/661.4786)^2)^3.5 -1)  )/( (1-6.8755856*10^-6 *100*Y410)^5.2558797) +1)^(2/7) -1) )^0.5),IF(S410="MACH",T410, IF(S410="LRC",BicubicInterpolation( 'LRC Mach'!$C$4:$AL$21, Y410,U410),  IF(S410="MRC",BicubicInterpolation( 'MRC Mach'!$C$3:$T$18, Y410,U410),  IF(S410="M0.84",0.84,  IF(S410="CI52",BicubicInterpolation('CI=52 Mach'!$C$3:$T$18, Y410,U410),  IF(S410="HOLDING",BicubicInterpolation(  'Holding Mach'!$C$4:$M$13, Y410,U410),                         IF(S410="LRCINOP", BicubicInterpolation('LRC INOP Mach'!$C$4:$AA$21,Y410,U410), IF(S410="HOLDINGINOP",  BicubicInterpolation('Holding INOP Mach'!$N$4:$U$13,Y410,U410),         "XXX" )))))))   )))</f>
        <v>#NAME?</v>
      </c>
      <c r="AD410" s="313" t="e">
        <f t="shared" ca="1" si="315"/>
        <v>#NAME?</v>
      </c>
      <c r="AE410" s="314" t="e">
        <f t="shared" ca="1" si="364"/>
        <v>#NAME?</v>
      </c>
      <c r="AF410" s="313" t="e">
        <f t="shared" ca="1" si="316"/>
        <v>#NAME?</v>
      </c>
      <c r="AG410" s="314" t="e">
        <f t="shared" ca="1" si="365"/>
        <v>#NAME?</v>
      </c>
      <c r="AH410" s="313" t="e">
        <f t="shared" ca="1" si="317"/>
        <v>#NAME?</v>
      </c>
      <c r="AI410" s="314" t="e">
        <f t="shared" ca="1" si="366"/>
        <v>#NAME?</v>
      </c>
      <c r="AJ410" s="315" t="e">
        <f t="shared" ca="1" si="367"/>
        <v>#NAME?</v>
      </c>
      <c r="AK410" s="568" t="e">
        <f t="shared" ca="1" si="318"/>
        <v>#NAME?</v>
      </c>
      <c r="AL410" s="313" t="e">
        <f t="shared" ca="1" si="319"/>
        <v>#NAME?</v>
      </c>
      <c r="AM410" s="313" t="e">
        <f t="shared" ca="1" si="368"/>
        <v>#NAME?</v>
      </c>
      <c r="AN410" s="313" t="e">
        <f t="shared" ca="1" si="369"/>
        <v>#NAME?</v>
      </c>
      <c r="AO410" s="316" t="e">
        <f t="shared" ca="1" si="320"/>
        <v>#NAME?</v>
      </c>
      <c r="AP410" s="313" t="e">
        <f t="shared" ca="1" si="321"/>
        <v>#NAME?</v>
      </c>
      <c r="AQ410" s="314" t="e">
        <f t="shared" ca="1" si="370"/>
        <v>#NAME?</v>
      </c>
      <c r="AR410" s="315" t="e">
        <f t="shared" ca="1" si="322"/>
        <v>#NAME?</v>
      </c>
      <c r="AS410" s="316" t="e">
        <f t="shared" ca="1" si="323"/>
        <v>#NAME?</v>
      </c>
      <c r="AT410" s="315" t="e">
        <f t="shared" ca="1" si="324"/>
        <v>#NAME?</v>
      </c>
      <c r="AU410" s="317">
        <v>427.8</v>
      </c>
      <c r="AV410" s="315" t="e">
        <f t="shared" ca="1" si="325"/>
        <v>#NAME?</v>
      </c>
      <c r="AW410" s="318" t="e">
        <f ca="1">0.0001*BicubicInterpolation('Drag Coef Table'!$B$4:$L$28,AV410,AC410)</f>
        <v>#NAME?</v>
      </c>
      <c r="AX410" s="319" t="e">
        <f t="shared" ca="1" si="326"/>
        <v>#NAME?</v>
      </c>
      <c r="AY410" s="318" t="e">
        <f t="shared" ca="1" si="327"/>
        <v>#NAME?</v>
      </c>
      <c r="AZ410" s="320" t="e">
        <f t="shared" ca="1" si="328"/>
        <v>#NAME?</v>
      </c>
      <c r="BA410" s="321" t="e">
        <f t="shared" ca="1" si="329"/>
        <v>#NAME?</v>
      </c>
      <c r="BB410" s="322" t="e">
        <f t="shared" ca="1" si="330"/>
        <v>#NAME?</v>
      </c>
      <c r="BC410" s="323">
        <v>75.196700000000007</v>
      </c>
      <c r="BD410" s="324" t="e">
        <f t="shared" ca="1" si="331"/>
        <v>#NAME?</v>
      </c>
      <c r="BE410" s="325" t="e">
        <f t="shared" ca="1" si="332"/>
        <v>#NAME?</v>
      </c>
      <c r="BF410" s="324" t="e">
        <f ca="1">BicubicInterpolation('TSFC Eff Table'!$B$4:$E$69,2,BB410)</f>
        <v>#NAME?</v>
      </c>
      <c r="BG410" s="326" t="e">
        <f t="shared" ca="1" si="333"/>
        <v>#NAME?</v>
      </c>
      <c r="BH410" s="694" t="e">
        <f ca="1">IF( S410="LRCINOP",   (1+(0.03/10)*Z410*(1+0.2*AC410^2) )*BicubicInterpolation( 'LRC INOP FF'!$C$4:$AA$21, Y410, U410 )-200, IF(S410 ="HOLDINGINOP", (1+(0.03/10)*Z410*(1+0.2*AC410^2) )*BicubicInterpolation( 'Holding INOP FF'!$C$4:$J$13,  Y410,  U410)/1.05-200,   BA410*BG410))</f>
        <v>#NAME?</v>
      </c>
      <c r="BI410" s="344" t="e">
        <f t="shared" ca="1" si="354"/>
        <v>#NAME?</v>
      </c>
      <c r="BJ410" s="322" t="e">
        <f t="shared" ca="1" si="334"/>
        <v>#NAME?</v>
      </c>
      <c r="BK410" s="338" t="e">
        <f t="shared" ca="1" si="355"/>
        <v>#NAME?</v>
      </c>
      <c r="BL410" s="327" t="e">
        <f t="shared" ca="1" si="335"/>
        <v>#NAME?</v>
      </c>
      <c r="BM410" s="328">
        <f t="shared" si="336"/>
        <v>200</v>
      </c>
      <c r="BN410" s="329" t="e">
        <f t="shared" ca="1" si="337"/>
        <v>#NAME?</v>
      </c>
      <c r="BO410" s="344" t="e">
        <f t="shared" ca="1" si="356"/>
        <v>#NAME?</v>
      </c>
      <c r="BP410" s="320" t="e">
        <f t="shared" ca="1" si="338"/>
        <v>#NAME?</v>
      </c>
      <c r="BQ410" s="344" t="e">
        <f t="shared" ca="1" si="357"/>
        <v>#NAME?</v>
      </c>
      <c r="BR410" s="347" t="e">
        <f t="shared" ca="1" si="358"/>
        <v>#NAME?</v>
      </c>
      <c r="BS410" s="326" t="e">
        <f t="shared" ca="1" si="339"/>
        <v>#NAME?</v>
      </c>
      <c r="BT410" s="437" t="e">
        <f t="shared" ca="1" si="371"/>
        <v>#NAME?</v>
      </c>
      <c r="BU410" s="437" t="e">
        <f t="shared" ca="1" si="372"/>
        <v>#NAME?</v>
      </c>
      <c r="BV410" s="441" t="e">
        <f t="shared" ca="1" si="373"/>
        <v>#NAME?</v>
      </c>
      <c r="BW410" s="442" t="e">
        <f t="shared" ca="1" si="374"/>
        <v>#NAME?</v>
      </c>
      <c r="BX410" s="470" t="e">
        <f t="shared" ca="1" si="347"/>
        <v>#NAME?</v>
      </c>
      <c r="BY410" s="484" t="e">
        <f t="shared" ca="1" si="359"/>
        <v>#NAME?</v>
      </c>
    </row>
    <row r="411" spans="9:77" ht="17.75" customHeight="1" x14ac:dyDescent="0.2">
      <c r="I411" s="366">
        <v>327</v>
      </c>
      <c r="J411" s="414">
        <f t="shared" si="360"/>
        <v>41705.939583334075</v>
      </c>
      <c r="K411" s="435" t="e">
        <f t="shared" ca="1" si="361"/>
        <v>#NAME?</v>
      </c>
      <c r="L411" s="435" t="e">
        <f t="shared" ca="1" si="348"/>
        <v>#NAME?</v>
      </c>
      <c r="M411" s="664" t="e">
        <f t="shared" ca="1" si="340"/>
        <v>#NAME?</v>
      </c>
      <c r="N411" s="664" t="e">
        <f t="shared" ca="1" si="341"/>
        <v>#NAME?</v>
      </c>
      <c r="O411" s="140" t="e">
        <f t="shared" ca="1" si="349"/>
        <v>#NAME?</v>
      </c>
      <c r="P411" s="352" t="e">
        <f t="shared" ca="1" si="362"/>
        <v>#NAME?</v>
      </c>
      <c r="Q411" s="665" t="e">
        <f t="shared" ca="1" si="342"/>
        <v>#NAME?</v>
      </c>
      <c r="R411" s="352" t="e">
        <f t="shared" ca="1" si="313"/>
        <v>#NAME?</v>
      </c>
      <c r="S411" s="662" t="e">
        <f t="shared" ca="1" si="350"/>
        <v>#NAME?</v>
      </c>
      <c r="T411" s="443" t="e">
        <f t="shared" ca="1" si="343"/>
        <v>#NAME?</v>
      </c>
      <c r="U411" s="369" t="e">
        <f t="shared" ca="1" si="344"/>
        <v>#NAME?</v>
      </c>
      <c r="V411" s="454" t="e">
        <f t="shared" ca="1" si="351"/>
        <v>#NAME?</v>
      </c>
      <c r="W411" s="457">
        <f t="shared" si="352"/>
        <v>1000</v>
      </c>
      <c r="X411" s="463" t="e">
        <f t="shared" ca="1" si="353"/>
        <v>#NAME?</v>
      </c>
      <c r="Y411" s="455" t="e">
        <f t="shared" ca="1" si="363"/>
        <v>#NAME?</v>
      </c>
      <c r="Z411" s="699">
        <f t="shared" si="345"/>
        <v>8.5</v>
      </c>
      <c r="AA411" s="355" t="str">
        <f t="shared" si="346"/>
        <v>ON</v>
      </c>
      <c r="AB411" s="357">
        <f t="shared" si="314"/>
        <v>1.4999999999999999E-2</v>
      </c>
      <c r="AC411" s="356" t="e">
        <f ca="1">IF(  Y410=0,0,IF(OR(S411="KCAS",S411="INOP",S411="MEFE"),   ( (5*( (   (((1+0.2*(T411/661.4786)^2)^3.5 -1)  )/( (1-6.8755856*10^-6 *100*Y411)^5.2558797) +1)^(2/7) -1) )^0.5),IF(S411="MACH",T411, IF(S411="LRC",BicubicInterpolation( 'LRC Mach'!$C$4:$AL$21, Y411,U411),  IF(S411="MRC",BicubicInterpolation( 'MRC Mach'!$C$3:$T$18, Y411,U411),  IF(S411="M0.84",0.84,  IF(S411="CI52",BicubicInterpolation('CI=52 Mach'!$C$3:$T$18, Y411,U411),  IF(S411="HOLDING",BicubicInterpolation(  'Holding Mach'!$C$4:$M$13, Y411,U411),                         IF(S411="LRCINOP", BicubicInterpolation('LRC INOP Mach'!$C$4:$AA$21,Y411,U411), IF(S411="HOLDINGINOP",  BicubicInterpolation('Holding INOP Mach'!$N$4:$U$13,Y411,U411),         "XXX" )))))))   )))</f>
        <v>#NAME?</v>
      </c>
      <c r="AD411" s="313" t="e">
        <f t="shared" ca="1" si="315"/>
        <v>#NAME?</v>
      </c>
      <c r="AE411" s="314" t="e">
        <f t="shared" ca="1" si="364"/>
        <v>#NAME?</v>
      </c>
      <c r="AF411" s="313" t="e">
        <f t="shared" ca="1" si="316"/>
        <v>#NAME?</v>
      </c>
      <c r="AG411" s="314" t="e">
        <f t="shared" ca="1" si="365"/>
        <v>#NAME?</v>
      </c>
      <c r="AH411" s="313" t="e">
        <f t="shared" ca="1" si="317"/>
        <v>#NAME?</v>
      </c>
      <c r="AI411" s="314" t="e">
        <f t="shared" ca="1" si="366"/>
        <v>#NAME?</v>
      </c>
      <c r="AJ411" s="315" t="e">
        <f t="shared" ca="1" si="367"/>
        <v>#NAME?</v>
      </c>
      <c r="AK411" s="568" t="e">
        <f t="shared" ca="1" si="318"/>
        <v>#NAME?</v>
      </c>
      <c r="AL411" s="313" t="e">
        <f t="shared" ca="1" si="319"/>
        <v>#NAME?</v>
      </c>
      <c r="AM411" s="313" t="e">
        <f t="shared" ca="1" si="368"/>
        <v>#NAME?</v>
      </c>
      <c r="AN411" s="313" t="e">
        <f t="shared" ca="1" si="369"/>
        <v>#NAME?</v>
      </c>
      <c r="AO411" s="316" t="e">
        <f t="shared" ca="1" si="320"/>
        <v>#NAME?</v>
      </c>
      <c r="AP411" s="313" t="e">
        <f t="shared" ca="1" si="321"/>
        <v>#NAME?</v>
      </c>
      <c r="AQ411" s="314" t="e">
        <f t="shared" ca="1" si="370"/>
        <v>#NAME?</v>
      </c>
      <c r="AR411" s="315" t="e">
        <f t="shared" ca="1" si="322"/>
        <v>#NAME?</v>
      </c>
      <c r="AS411" s="316" t="e">
        <f t="shared" ca="1" si="323"/>
        <v>#NAME?</v>
      </c>
      <c r="AT411" s="315" t="e">
        <f t="shared" ca="1" si="324"/>
        <v>#NAME?</v>
      </c>
      <c r="AU411" s="317">
        <v>427.8</v>
      </c>
      <c r="AV411" s="315" t="e">
        <f t="shared" ca="1" si="325"/>
        <v>#NAME?</v>
      </c>
      <c r="AW411" s="318" t="e">
        <f ca="1">0.0001*BicubicInterpolation('Drag Coef Table'!$B$4:$L$28,AV411,AC411)</f>
        <v>#NAME?</v>
      </c>
      <c r="AX411" s="319" t="e">
        <f t="shared" ca="1" si="326"/>
        <v>#NAME?</v>
      </c>
      <c r="AY411" s="318" t="e">
        <f t="shared" ca="1" si="327"/>
        <v>#NAME?</v>
      </c>
      <c r="AZ411" s="320" t="e">
        <f t="shared" ca="1" si="328"/>
        <v>#NAME?</v>
      </c>
      <c r="BA411" s="321" t="e">
        <f t="shared" ca="1" si="329"/>
        <v>#NAME?</v>
      </c>
      <c r="BB411" s="322" t="e">
        <f t="shared" ca="1" si="330"/>
        <v>#NAME?</v>
      </c>
      <c r="BC411" s="323">
        <v>75.196700000000007</v>
      </c>
      <c r="BD411" s="324" t="e">
        <f t="shared" ca="1" si="331"/>
        <v>#NAME?</v>
      </c>
      <c r="BE411" s="325" t="e">
        <f t="shared" ca="1" si="332"/>
        <v>#NAME?</v>
      </c>
      <c r="BF411" s="324" t="e">
        <f ca="1">BicubicInterpolation('TSFC Eff Table'!$B$4:$E$69,2,BB411)</f>
        <v>#NAME?</v>
      </c>
      <c r="BG411" s="326" t="e">
        <f t="shared" ca="1" si="333"/>
        <v>#NAME?</v>
      </c>
      <c r="BH411" s="694" t="e">
        <f ca="1">IF( S411="LRCINOP",   (1+(0.03/10)*Z411*(1+0.2*AC411^2) )*BicubicInterpolation( 'LRC INOP FF'!$C$4:$AA$21, Y411, U411 )-200, IF(S411 ="HOLDINGINOP", (1+(0.03/10)*Z411*(1+0.2*AC411^2) )*BicubicInterpolation( 'Holding INOP FF'!$C$4:$J$13,  Y411,  U411)/1.05-200,   BA411*BG411))</f>
        <v>#NAME?</v>
      </c>
      <c r="BI411" s="344" t="e">
        <f t="shared" ca="1" si="354"/>
        <v>#NAME?</v>
      </c>
      <c r="BJ411" s="322" t="e">
        <f t="shared" ca="1" si="334"/>
        <v>#NAME?</v>
      </c>
      <c r="BK411" s="338" t="e">
        <f t="shared" ca="1" si="355"/>
        <v>#NAME?</v>
      </c>
      <c r="BL411" s="327" t="e">
        <f t="shared" ca="1" si="335"/>
        <v>#NAME?</v>
      </c>
      <c r="BM411" s="328">
        <f t="shared" si="336"/>
        <v>200</v>
      </c>
      <c r="BN411" s="329" t="e">
        <f t="shared" ca="1" si="337"/>
        <v>#NAME?</v>
      </c>
      <c r="BO411" s="344" t="e">
        <f t="shared" ca="1" si="356"/>
        <v>#NAME?</v>
      </c>
      <c r="BP411" s="320" t="e">
        <f t="shared" ca="1" si="338"/>
        <v>#NAME?</v>
      </c>
      <c r="BQ411" s="344" t="e">
        <f t="shared" ca="1" si="357"/>
        <v>#NAME?</v>
      </c>
      <c r="BR411" s="347" t="e">
        <f t="shared" ca="1" si="358"/>
        <v>#NAME?</v>
      </c>
      <c r="BS411" s="326" t="e">
        <f t="shared" ca="1" si="339"/>
        <v>#NAME?</v>
      </c>
      <c r="BT411" s="437" t="e">
        <f t="shared" ca="1" si="371"/>
        <v>#NAME?</v>
      </c>
      <c r="BU411" s="437" t="e">
        <f t="shared" ca="1" si="372"/>
        <v>#NAME?</v>
      </c>
      <c r="BV411" s="441" t="e">
        <f t="shared" ca="1" si="373"/>
        <v>#NAME?</v>
      </c>
      <c r="BW411" s="442" t="e">
        <f t="shared" ca="1" si="374"/>
        <v>#NAME?</v>
      </c>
      <c r="BX411" s="470" t="e">
        <f t="shared" ca="1" si="347"/>
        <v>#NAME?</v>
      </c>
      <c r="BY411" s="484" t="e">
        <f t="shared" ca="1" si="359"/>
        <v>#NAME?</v>
      </c>
    </row>
    <row r="412" spans="9:77" ht="17.75" customHeight="1" x14ac:dyDescent="0.2">
      <c r="I412" s="366">
        <v>328</v>
      </c>
      <c r="J412" s="414">
        <f t="shared" si="360"/>
        <v>41705.940277778522</v>
      </c>
      <c r="K412" s="435" t="e">
        <f t="shared" ca="1" si="361"/>
        <v>#NAME?</v>
      </c>
      <c r="L412" s="435" t="e">
        <f t="shared" ca="1" si="348"/>
        <v>#NAME?</v>
      </c>
      <c r="M412" s="664" t="e">
        <f t="shared" ca="1" si="340"/>
        <v>#NAME?</v>
      </c>
      <c r="N412" s="664" t="e">
        <f t="shared" ca="1" si="341"/>
        <v>#NAME?</v>
      </c>
      <c r="O412" s="140" t="e">
        <f t="shared" ca="1" si="349"/>
        <v>#NAME?</v>
      </c>
      <c r="P412" s="352" t="e">
        <f t="shared" ca="1" si="362"/>
        <v>#NAME?</v>
      </c>
      <c r="Q412" s="665" t="e">
        <f t="shared" ca="1" si="342"/>
        <v>#NAME?</v>
      </c>
      <c r="R412" s="352" t="e">
        <f t="shared" ca="1" si="313"/>
        <v>#NAME?</v>
      </c>
      <c r="S412" s="662" t="e">
        <f t="shared" ca="1" si="350"/>
        <v>#NAME?</v>
      </c>
      <c r="T412" s="443" t="e">
        <f t="shared" ca="1" si="343"/>
        <v>#NAME?</v>
      </c>
      <c r="U412" s="369" t="e">
        <f t="shared" ca="1" si="344"/>
        <v>#NAME?</v>
      </c>
      <c r="V412" s="454" t="e">
        <f t="shared" ca="1" si="351"/>
        <v>#NAME?</v>
      </c>
      <c r="W412" s="457">
        <f t="shared" si="352"/>
        <v>1000</v>
      </c>
      <c r="X412" s="463" t="e">
        <f t="shared" ca="1" si="353"/>
        <v>#NAME?</v>
      </c>
      <c r="Y412" s="455" t="e">
        <f t="shared" ca="1" si="363"/>
        <v>#NAME?</v>
      </c>
      <c r="Z412" s="699">
        <f t="shared" si="345"/>
        <v>8.5</v>
      </c>
      <c r="AA412" s="355" t="str">
        <f t="shared" si="346"/>
        <v>ON</v>
      </c>
      <c r="AB412" s="357">
        <f t="shared" si="314"/>
        <v>1.4999999999999999E-2</v>
      </c>
      <c r="AC412" s="356" t="e">
        <f ca="1">IF(  Y411=0,0,IF(OR(S412="KCAS",S412="INOP",S412="MEFE"),   ( (5*( (   (((1+0.2*(T412/661.4786)^2)^3.5 -1)  )/( (1-6.8755856*10^-6 *100*Y412)^5.2558797) +1)^(2/7) -1) )^0.5),IF(S412="MACH",T412, IF(S412="LRC",BicubicInterpolation( 'LRC Mach'!$C$4:$AL$21, Y412,U412),  IF(S412="MRC",BicubicInterpolation( 'MRC Mach'!$C$3:$T$18, Y412,U412),  IF(S412="M0.84",0.84,  IF(S412="CI52",BicubicInterpolation('CI=52 Mach'!$C$3:$T$18, Y412,U412),  IF(S412="HOLDING",BicubicInterpolation(  'Holding Mach'!$C$4:$M$13, Y412,U412),                         IF(S412="LRCINOP", BicubicInterpolation('LRC INOP Mach'!$C$4:$AA$21,Y412,U412), IF(S412="HOLDINGINOP",  BicubicInterpolation('Holding INOP Mach'!$N$4:$U$13,Y412,U412),         "XXX" )))))))   )))</f>
        <v>#NAME?</v>
      </c>
      <c r="AD412" s="313" t="e">
        <f t="shared" ca="1" si="315"/>
        <v>#NAME?</v>
      </c>
      <c r="AE412" s="314" t="e">
        <f t="shared" ca="1" si="364"/>
        <v>#NAME?</v>
      </c>
      <c r="AF412" s="313" t="e">
        <f t="shared" ca="1" si="316"/>
        <v>#NAME?</v>
      </c>
      <c r="AG412" s="314" t="e">
        <f t="shared" ca="1" si="365"/>
        <v>#NAME?</v>
      </c>
      <c r="AH412" s="313" t="e">
        <f t="shared" ca="1" si="317"/>
        <v>#NAME?</v>
      </c>
      <c r="AI412" s="314" t="e">
        <f t="shared" ca="1" si="366"/>
        <v>#NAME?</v>
      </c>
      <c r="AJ412" s="315" t="e">
        <f t="shared" ca="1" si="367"/>
        <v>#NAME?</v>
      </c>
      <c r="AK412" s="568" t="e">
        <f t="shared" ca="1" si="318"/>
        <v>#NAME?</v>
      </c>
      <c r="AL412" s="313" t="e">
        <f t="shared" ca="1" si="319"/>
        <v>#NAME?</v>
      </c>
      <c r="AM412" s="313" t="e">
        <f t="shared" ca="1" si="368"/>
        <v>#NAME?</v>
      </c>
      <c r="AN412" s="313" t="e">
        <f t="shared" ca="1" si="369"/>
        <v>#NAME?</v>
      </c>
      <c r="AO412" s="316" t="e">
        <f t="shared" ca="1" si="320"/>
        <v>#NAME?</v>
      </c>
      <c r="AP412" s="313" t="e">
        <f t="shared" ca="1" si="321"/>
        <v>#NAME?</v>
      </c>
      <c r="AQ412" s="314" t="e">
        <f t="shared" ca="1" si="370"/>
        <v>#NAME?</v>
      </c>
      <c r="AR412" s="315" t="e">
        <f t="shared" ca="1" si="322"/>
        <v>#NAME?</v>
      </c>
      <c r="AS412" s="316" t="e">
        <f t="shared" ca="1" si="323"/>
        <v>#NAME?</v>
      </c>
      <c r="AT412" s="315" t="e">
        <f t="shared" ca="1" si="324"/>
        <v>#NAME?</v>
      </c>
      <c r="AU412" s="317">
        <v>427.8</v>
      </c>
      <c r="AV412" s="315" t="e">
        <f t="shared" ca="1" si="325"/>
        <v>#NAME?</v>
      </c>
      <c r="AW412" s="318" t="e">
        <f ca="1">0.0001*BicubicInterpolation('Drag Coef Table'!$B$4:$L$28,AV412,AC412)</f>
        <v>#NAME?</v>
      </c>
      <c r="AX412" s="319" t="e">
        <f t="shared" ca="1" si="326"/>
        <v>#NAME?</v>
      </c>
      <c r="AY412" s="318" t="e">
        <f t="shared" ca="1" si="327"/>
        <v>#NAME?</v>
      </c>
      <c r="AZ412" s="320" t="e">
        <f t="shared" ca="1" si="328"/>
        <v>#NAME?</v>
      </c>
      <c r="BA412" s="321" t="e">
        <f t="shared" ca="1" si="329"/>
        <v>#NAME?</v>
      </c>
      <c r="BB412" s="322" t="e">
        <f t="shared" ca="1" si="330"/>
        <v>#NAME?</v>
      </c>
      <c r="BC412" s="323">
        <v>75.196700000000007</v>
      </c>
      <c r="BD412" s="324" t="e">
        <f t="shared" ca="1" si="331"/>
        <v>#NAME?</v>
      </c>
      <c r="BE412" s="325" t="e">
        <f t="shared" ca="1" si="332"/>
        <v>#NAME?</v>
      </c>
      <c r="BF412" s="324" t="e">
        <f ca="1">BicubicInterpolation('TSFC Eff Table'!$B$4:$E$69,2,BB412)</f>
        <v>#NAME?</v>
      </c>
      <c r="BG412" s="326" t="e">
        <f t="shared" ca="1" si="333"/>
        <v>#NAME?</v>
      </c>
      <c r="BH412" s="694" t="e">
        <f ca="1">IF( S412="LRCINOP",   (1+(0.03/10)*Z412*(1+0.2*AC412^2) )*BicubicInterpolation( 'LRC INOP FF'!$C$4:$AA$21, Y412, U412 )-200, IF(S412 ="HOLDINGINOP", (1+(0.03/10)*Z412*(1+0.2*AC412^2) )*BicubicInterpolation( 'Holding INOP FF'!$C$4:$J$13,  Y412,  U412)/1.05-200,   BA412*BG412))</f>
        <v>#NAME?</v>
      </c>
      <c r="BI412" s="344" t="e">
        <f t="shared" ca="1" si="354"/>
        <v>#NAME?</v>
      </c>
      <c r="BJ412" s="322" t="e">
        <f t="shared" ca="1" si="334"/>
        <v>#NAME?</v>
      </c>
      <c r="BK412" s="338" t="e">
        <f t="shared" ca="1" si="355"/>
        <v>#NAME?</v>
      </c>
      <c r="BL412" s="327" t="e">
        <f t="shared" ca="1" si="335"/>
        <v>#NAME?</v>
      </c>
      <c r="BM412" s="328">
        <f t="shared" si="336"/>
        <v>200</v>
      </c>
      <c r="BN412" s="329" t="e">
        <f t="shared" ca="1" si="337"/>
        <v>#NAME?</v>
      </c>
      <c r="BO412" s="344" t="e">
        <f t="shared" ca="1" si="356"/>
        <v>#NAME?</v>
      </c>
      <c r="BP412" s="320" t="e">
        <f t="shared" ca="1" si="338"/>
        <v>#NAME?</v>
      </c>
      <c r="BQ412" s="344" t="e">
        <f t="shared" ca="1" si="357"/>
        <v>#NAME?</v>
      </c>
      <c r="BR412" s="347" t="e">
        <f t="shared" ca="1" si="358"/>
        <v>#NAME?</v>
      </c>
      <c r="BS412" s="326" t="e">
        <f t="shared" ca="1" si="339"/>
        <v>#NAME?</v>
      </c>
      <c r="BT412" s="437" t="e">
        <f t="shared" ca="1" si="371"/>
        <v>#NAME?</v>
      </c>
      <c r="BU412" s="437" t="e">
        <f t="shared" ca="1" si="372"/>
        <v>#NAME?</v>
      </c>
      <c r="BV412" s="441" t="e">
        <f t="shared" ca="1" si="373"/>
        <v>#NAME?</v>
      </c>
      <c r="BW412" s="442" t="e">
        <f t="shared" ca="1" si="374"/>
        <v>#NAME?</v>
      </c>
      <c r="BX412" s="470" t="e">
        <f t="shared" ca="1" si="347"/>
        <v>#NAME?</v>
      </c>
      <c r="BY412" s="484" t="e">
        <f t="shared" ca="1" si="359"/>
        <v>#NAME?</v>
      </c>
    </row>
    <row r="413" spans="9:77" ht="17.75" customHeight="1" x14ac:dyDescent="0.2">
      <c r="I413" s="366">
        <v>329</v>
      </c>
      <c r="J413" s="414">
        <f t="shared" si="360"/>
        <v>41705.940972222968</v>
      </c>
      <c r="K413" s="435" t="e">
        <f t="shared" ca="1" si="361"/>
        <v>#NAME?</v>
      </c>
      <c r="L413" s="435" t="e">
        <f t="shared" ca="1" si="348"/>
        <v>#NAME?</v>
      </c>
      <c r="M413" s="664" t="e">
        <f t="shared" ca="1" si="340"/>
        <v>#NAME?</v>
      </c>
      <c r="N413" s="664" t="e">
        <f t="shared" ca="1" si="341"/>
        <v>#NAME?</v>
      </c>
      <c r="O413" s="140" t="e">
        <f t="shared" ca="1" si="349"/>
        <v>#NAME?</v>
      </c>
      <c r="P413" s="352" t="e">
        <f t="shared" ca="1" si="362"/>
        <v>#NAME?</v>
      </c>
      <c r="Q413" s="665" t="e">
        <f t="shared" ca="1" si="342"/>
        <v>#NAME?</v>
      </c>
      <c r="R413" s="352" t="e">
        <f t="shared" ca="1" si="313"/>
        <v>#NAME?</v>
      </c>
      <c r="S413" s="662" t="e">
        <f t="shared" ca="1" si="350"/>
        <v>#NAME?</v>
      </c>
      <c r="T413" s="443" t="e">
        <f t="shared" ca="1" si="343"/>
        <v>#NAME?</v>
      </c>
      <c r="U413" s="369" t="e">
        <f t="shared" ca="1" si="344"/>
        <v>#NAME?</v>
      </c>
      <c r="V413" s="454" t="e">
        <f t="shared" ca="1" si="351"/>
        <v>#NAME?</v>
      </c>
      <c r="W413" s="457">
        <f t="shared" si="352"/>
        <v>1000</v>
      </c>
      <c r="X413" s="463" t="e">
        <f t="shared" ca="1" si="353"/>
        <v>#NAME?</v>
      </c>
      <c r="Y413" s="455" t="e">
        <f t="shared" ca="1" si="363"/>
        <v>#NAME?</v>
      </c>
      <c r="Z413" s="699">
        <f t="shared" si="345"/>
        <v>8.5</v>
      </c>
      <c r="AA413" s="355" t="str">
        <f t="shared" si="346"/>
        <v>ON</v>
      </c>
      <c r="AB413" s="357">
        <f t="shared" si="314"/>
        <v>1.4999999999999999E-2</v>
      </c>
      <c r="AC413" s="356" t="e">
        <f ca="1">IF(  Y412=0,0,IF(OR(S413="KCAS",S413="INOP",S413="MEFE"),   ( (5*( (   (((1+0.2*(T413/661.4786)^2)^3.5 -1)  )/( (1-6.8755856*10^-6 *100*Y413)^5.2558797) +1)^(2/7) -1) )^0.5),IF(S413="MACH",T413, IF(S413="LRC",BicubicInterpolation( 'LRC Mach'!$C$4:$AL$21, Y413,U413),  IF(S413="MRC",BicubicInterpolation( 'MRC Mach'!$C$3:$T$18, Y413,U413),  IF(S413="M0.84",0.84,  IF(S413="CI52",BicubicInterpolation('CI=52 Mach'!$C$3:$T$18, Y413,U413),  IF(S413="HOLDING",BicubicInterpolation(  'Holding Mach'!$C$4:$M$13, Y413,U413),                         IF(S413="LRCINOP", BicubicInterpolation('LRC INOP Mach'!$C$4:$AA$21,Y413,U413), IF(S413="HOLDINGINOP",  BicubicInterpolation('Holding INOP Mach'!$N$4:$U$13,Y413,U413),         "XXX" )))))))   )))</f>
        <v>#NAME?</v>
      </c>
      <c r="AD413" s="313" t="e">
        <f t="shared" ca="1" si="315"/>
        <v>#NAME?</v>
      </c>
      <c r="AE413" s="314" t="e">
        <f t="shared" ca="1" si="364"/>
        <v>#NAME?</v>
      </c>
      <c r="AF413" s="313" t="e">
        <f t="shared" ca="1" si="316"/>
        <v>#NAME?</v>
      </c>
      <c r="AG413" s="314" t="e">
        <f t="shared" ca="1" si="365"/>
        <v>#NAME?</v>
      </c>
      <c r="AH413" s="313" t="e">
        <f t="shared" ca="1" si="317"/>
        <v>#NAME?</v>
      </c>
      <c r="AI413" s="314" t="e">
        <f t="shared" ca="1" si="366"/>
        <v>#NAME?</v>
      </c>
      <c r="AJ413" s="315" t="e">
        <f t="shared" ca="1" si="367"/>
        <v>#NAME?</v>
      </c>
      <c r="AK413" s="568" t="e">
        <f t="shared" ca="1" si="318"/>
        <v>#NAME?</v>
      </c>
      <c r="AL413" s="313" t="e">
        <f t="shared" ca="1" si="319"/>
        <v>#NAME?</v>
      </c>
      <c r="AM413" s="313" t="e">
        <f t="shared" ca="1" si="368"/>
        <v>#NAME?</v>
      </c>
      <c r="AN413" s="313" t="e">
        <f t="shared" ca="1" si="369"/>
        <v>#NAME?</v>
      </c>
      <c r="AO413" s="316" t="e">
        <f t="shared" ca="1" si="320"/>
        <v>#NAME?</v>
      </c>
      <c r="AP413" s="313" t="e">
        <f t="shared" ca="1" si="321"/>
        <v>#NAME?</v>
      </c>
      <c r="AQ413" s="314" t="e">
        <f t="shared" ca="1" si="370"/>
        <v>#NAME?</v>
      </c>
      <c r="AR413" s="315" t="e">
        <f t="shared" ca="1" si="322"/>
        <v>#NAME?</v>
      </c>
      <c r="AS413" s="316" t="e">
        <f t="shared" ca="1" si="323"/>
        <v>#NAME?</v>
      </c>
      <c r="AT413" s="315" t="e">
        <f t="shared" ca="1" si="324"/>
        <v>#NAME?</v>
      </c>
      <c r="AU413" s="317">
        <v>427.8</v>
      </c>
      <c r="AV413" s="315" t="e">
        <f t="shared" ca="1" si="325"/>
        <v>#NAME?</v>
      </c>
      <c r="AW413" s="318" t="e">
        <f ca="1">0.0001*BicubicInterpolation('Drag Coef Table'!$B$4:$L$28,AV413,AC413)</f>
        <v>#NAME?</v>
      </c>
      <c r="AX413" s="319" t="e">
        <f t="shared" ca="1" si="326"/>
        <v>#NAME?</v>
      </c>
      <c r="AY413" s="318" t="e">
        <f t="shared" ca="1" si="327"/>
        <v>#NAME?</v>
      </c>
      <c r="AZ413" s="320" t="e">
        <f t="shared" ca="1" si="328"/>
        <v>#NAME?</v>
      </c>
      <c r="BA413" s="321" t="e">
        <f t="shared" ca="1" si="329"/>
        <v>#NAME?</v>
      </c>
      <c r="BB413" s="322" t="e">
        <f t="shared" ca="1" si="330"/>
        <v>#NAME?</v>
      </c>
      <c r="BC413" s="323">
        <v>75.196700000000007</v>
      </c>
      <c r="BD413" s="324" t="e">
        <f t="shared" ca="1" si="331"/>
        <v>#NAME?</v>
      </c>
      <c r="BE413" s="325" t="e">
        <f t="shared" ca="1" si="332"/>
        <v>#NAME?</v>
      </c>
      <c r="BF413" s="324" t="e">
        <f ca="1">BicubicInterpolation('TSFC Eff Table'!$B$4:$E$69,2,BB413)</f>
        <v>#NAME?</v>
      </c>
      <c r="BG413" s="326" t="e">
        <f t="shared" ca="1" si="333"/>
        <v>#NAME?</v>
      </c>
      <c r="BH413" s="694" t="e">
        <f ca="1">IF( S413="LRCINOP",   (1+(0.03/10)*Z413*(1+0.2*AC413^2) )*BicubicInterpolation( 'LRC INOP FF'!$C$4:$AA$21, Y413, U413 )-200, IF(S413 ="HOLDINGINOP", (1+(0.03/10)*Z413*(1+0.2*AC413^2) )*BicubicInterpolation( 'Holding INOP FF'!$C$4:$J$13,  Y413,  U413)/1.05-200,   BA413*BG413))</f>
        <v>#NAME?</v>
      </c>
      <c r="BI413" s="344" t="e">
        <f t="shared" ca="1" si="354"/>
        <v>#NAME?</v>
      </c>
      <c r="BJ413" s="322" t="e">
        <f t="shared" ca="1" si="334"/>
        <v>#NAME?</v>
      </c>
      <c r="BK413" s="338" t="e">
        <f t="shared" ca="1" si="355"/>
        <v>#NAME?</v>
      </c>
      <c r="BL413" s="327" t="e">
        <f t="shared" ca="1" si="335"/>
        <v>#NAME?</v>
      </c>
      <c r="BM413" s="328">
        <f t="shared" si="336"/>
        <v>200</v>
      </c>
      <c r="BN413" s="329" t="e">
        <f t="shared" ca="1" si="337"/>
        <v>#NAME?</v>
      </c>
      <c r="BO413" s="344" t="e">
        <f t="shared" ca="1" si="356"/>
        <v>#NAME?</v>
      </c>
      <c r="BP413" s="320" t="e">
        <f t="shared" ca="1" si="338"/>
        <v>#NAME?</v>
      </c>
      <c r="BQ413" s="344" t="e">
        <f t="shared" ca="1" si="357"/>
        <v>#NAME?</v>
      </c>
      <c r="BR413" s="347" t="e">
        <f t="shared" ca="1" si="358"/>
        <v>#NAME?</v>
      </c>
      <c r="BS413" s="326" t="e">
        <f t="shared" ca="1" si="339"/>
        <v>#NAME?</v>
      </c>
      <c r="BT413" s="437" t="e">
        <f t="shared" ca="1" si="371"/>
        <v>#NAME?</v>
      </c>
      <c r="BU413" s="437" t="e">
        <f t="shared" ca="1" si="372"/>
        <v>#NAME?</v>
      </c>
      <c r="BV413" s="441" t="e">
        <f t="shared" ca="1" si="373"/>
        <v>#NAME?</v>
      </c>
      <c r="BW413" s="442" t="e">
        <f t="shared" ca="1" si="374"/>
        <v>#NAME?</v>
      </c>
      <c r="BX413" s="470" t="e">
        <f t="shared" ca="1" si="347"/>
        <v>#NAME?</v>
      </c>
      <c r="BY413" s="484" t="e">
        <f t="shared" ca="1" si="359"/>
        <v>#NAME?</v>
      </c>
    </row>
    <row r="414" spans="9:77" ht="17.75" customHeight="1" x14ac:dyDescent="0.2">
      <c r="I414" s="366">
        <v>330</v>
      </c>
      <c r="J414" s="414">
        <f t="shared" si="360"/>
        <v>41705.941666667415</v>
      </c>
      <c r="K414" s="435" t="e">
        <f t="shared" ca="1" si="361"/>
        <v>#NAME?</v>
      </c>
      <c r="L414" s="435" t="e">
        <f t="shared" ca="1" si="348"/>
        <v>#NAME?</v>
      </c>
      <c r="M414" s="664" t="e">
        <f t="shared" ca="1" si="340"/>
        <v>#NAME?</v>
      </c>
      <c r="N414" s="664" t="e">
        <f t="shared" ca="1" si="341"/>
        <v>#NAME?</v>
      </c>
      <c r="O414" s="140" t="e">
        <f t="shared" ca="1" si="349"/>
        <v>#NAME?</v>
      </c>
      <c r="P414" s="352" t="e">
        <f t="shared" ca="1" si="362"/>
        <v>#NAME?</v>
      </c>
      <c r="Q414" s="665" t="e">
        <f t="shared" ca="1" si="342"/>
        <v>#NAME?</v>
      </c>
      <c r="R414" s="352" t="e">
        <f t="shared" ca="1" si="313"/>
        <v>#NAME?</v>
      </c>
      <c r="S414" s="662" t="e">
        <f t="shared" ca="1" si="350"/>
        <v>#NAME?</v>
      </c>
      <c r="T414" s="443" t="e">
        <f t="shared" ca="1" si="343"/>
        <v>#NAME?</v>
      </c>
      <c r="U414" s="369" t="e">
        <f t="shared" ca="1" si="344"/>
        <v>#NAME?</v>
      </c>
      <c r="V414" s="454" t="e">
        <f t="shared" ca="1" si="351"/>
        <v>#NAME?</v>
      </c>
      <c r="W414" s="457">
        <f t="shared" si="352"/>
        <v>1000</v>
      </c>
      <c r="X414" s="463" t="e">
        <f t="shared" ca="1" si="353"/>
        <v>#NAME?</v>
      </c>
      <c r="Y414" s="455" t="e">
        <f t="shared" ca="1" si="363"/>
        <v>#NAME?</v>
      </c>
      <c r="Z414" s="699">
        <f t="shared" si="345"/>
        <v>8.5</v>
      </c>
      <c r="AA414" s="355" t="str">
        <f t="shared" si="346"/>
        <v>ON</v>
      </c>
      <c r="AB414" s="357">
        <f t="shared" si="314"/>
        <v>1.4999999999999999E-2</v>
      </c>
      <c r="AC414" s="356" t="e">
        <f ca="1">IF(  Y413=0,0,IF(OR(S414="KCAS",S414="INOP",S414="MEFE"),   ( (5*( (   (((1+0.2*(T414/661.4786)^2)^3.5 -1)  )/( (1-6.8755856*10^-6 *100*Y414)^5.2558797) +1)^(2/7) -1) )^0.5),IF(S414="MACH",T414, IF(S414="LRC",BicubicInterpolation( 'LRC Mach'!$C$4:$AL$21, Y414,U414),  IF(S414="MRC",BicubicInterpolation( 'MRC Mach'!$C$3:$T$18, Y414,U414),  IF(S414="M0.84",0.84,  IF(S414="CI52",BicubicInterpolation('CI=52 Mach'!$C$3:$T$18, Y414,U414),  IF(S414="HOLDING",BicubicInterpolation(  'Holding Mach'!$C$4:$M$13, Y414,U414),                         IF(S414="LRCINOP", BicubicInterpolation('LRC INOP Mach'!$C$4:$AA$21,Y414,U414), IF(S414="HOLDINGINOP",  BicubicInterpolation('Holding INOP Mach'!$N$4:$U$13,Y414,U414),         "XXX" )))))))   )))</f>
        <v>#NAME?</v>
      </c>
      <c r="AD414" s="313" t="e">
        <f t="shared" ca="1" si="315"/>
        <v>#NAME?</v>
      </c>
      <c r="AE414" s="314" t="e">
        <f t="shared" ca="1" si="364"/>
        <v>#NAME?</v>
      </c>
      <c r="AF414" s="313" t="e">
        <f t="shared" ca="1" si="316"/>
        <v>#NAME?</v>
      </c>
      <c r="AG414" s="314" t="e">
        <f t="shared" ca="1" si="365"/>
        <v>#NAME?</v>
      </c>
      <c r="AH414" s="313" t="e">
        <f t="shared" ca="1" si="317"/>
        <v>#NAME?</v>
      </c>
      <c r="AI414" s="314" t="e">
        <f t="shared" ca="1" si="366"/>
        <v>#NAME?</v>
      </c>
      <c r="AJ414" s="315" t="e">
        <f t="shared" ca="1" si="367"/>
        <v>#NAME?</v>
      </c>
      <c r="AK414" s="568" t="e">
        <f t="shared" ca="1" si="318"/>
        <v>#NAME?</v>
      </c>
      <c r="AL414" s="313" t="e">
        <f t="shared" ca="1" si="319"/>
        <v>#NAME?</v>
      </c>
      <c r="AM414" s="313" t="e">
        <f t="shared" ca="1" si="368"/>
        <v>#NAME?</v>
      </c>
      <c r="AN414" s="313" t="e">
        <f t="shared" ca="1" si="369"/>
        <v>#NAME?</v>
      </c>
      <c r="AO414" s="316" t="e">
        <f t="shared" ca="1" si="320"/>
        <v>#NAME?</v>
      </c>
      <c r="AP414" s="313" t="e">
        <f t="shared" ca="1" si="321"/>
        <v>#NAME?</v>
      </c>
      <c r="AQ414" s="314" t="e">
        <f t="shared" ca="1" si="370"/>
        <v>#NAME?</v>
      </c>
      <c r="AR414" s="315" t="e">
        <f t="shared" ca="1" si="322"/>
        <v>#NAME?</v>
      </c>
      <c r="AS414" s="316" t="e">
        <f t="shared" ca="1" si="323"/>
        <v>#NAME?</v>
      </c>
      <c r="AT414" s="315" t="e">
        <f t="shared" ca="1" si="324"/>
        <v>#NAME?</v>
      </c>
      <c r="AU414" s="317">
        <v>427.8</v>
      </c>
      <c r="AV414" s="315" t="e">
        <f t="shared" ca="1" si="325"/>
        <v>#NAME?</v>
      </c>
      <c r="AW414" s="318" t="e">
        <f ca="1">0.0001*BicubicInterpolation('Drag Coef Table'!$B$4:$L$28,AV414,AC414)</f>
        <v>#NAME?</v>
      </c>
      <c r="AX414" s="319" t="e">
        <f t="shared" ca="1" si="326"/>
        <v>#NAME?</v>
      </c>
      <c r="AY414" s="318" t="e">
        <f t="shared" ca="1" si="327"/>
        <v>#NAME?</v>
      </c>
      <c r="AZ414" s="320" t="e">
        <f t="shared" ca="1" si="328"/>
        <v>#NAME?</v>
      </c>
      <c r="BA414" s="321" t="e">
        <f t="shared" ca="1" si="329"/>
        <v>#NAME?</v>
      </c>
      <c r="BB414" s="322" t="e">
        <f t="shared" ca="1" si="330"/>
        <v>#NAME?</v>
      </c>
      <c r="BC414" s="323">
        <v>75.196700000000007</v>
      </c>
      <c r="BD414" s="324" t="e">
        <f t="shared" ca="1" si="331"/>
        <v>#NAME?</v>
      </c>
      <c r="BE414" s="325" t="e">
        <f t="shared" ca="1" si="332"/>
        <v>#NAME?</v>
      </c>
      <c r="BF414" s="324" t="e">
        <f ca="1">BicubicInterpolation('TSFC Eff Table'!$B$4:$E$69,2,BB414)</f>
        <v>#NAME?</v>
      </c>
      <c r="BG414" s="326" t="e">
        <f t="shared" ca="1" si="333"/>
        <v>#NAME?</v>
      </c>
      <c r="BH414" s="694" t="e">
        <f ca="1">IF( S414="LRCINOP",   (1+(0.03/10)*Z414*(1+0.2*AC414^2) )*BicubicInterpolation( 'LRC INOP FF'!$C$4:$AA$21, Y414, U414 )-200, IF(S414 ="HOLDINGINOP", (1+(0.03/10)*Z414*(1+0.2*AC414^2) )*BicubicInterpolation( 'Holding INOP FF'!$C$4:$J$13,  Y414,  U414)/1.05-200,   BA414*BG414))</f>
        <v>#NAME?</v>
      </c>
      <c r="BI414" s="344" t="e">
        <f t="shared" ca="1" si="354"/>
        <v>#NAME?</v>
      </c>
      <c r="BJ414" s="322" t="e">
        <f t="shared" ca="1" si="334"/>
        <v>#NAME?</v>
      </c>
      <c r="BK414" s="338" t="e">
        <f t="shared" ca="1" si="355"/>
        <v>#NAME?</v>
      </c>
      <c r="BL414" s="327" t="e">
        <f t="shared" ca="1" si="335"/>
        <v>#NAME?</v>
      </c>
      <c r="BM414" s="328">
        <f t="shared" si="336"/>
        <v>200</v>
      </c>
      <c r="BN414" s="329" t="e">
        <f t="shared" ca="1" si="337"/>
        <v>#NAME?</v>
      </c>
      <c r="BO414" s="344" t="e">
        <f t="shared" ca="1" si="356"/>
        <v>#NAME?</v>
      </c>
      <c r="BP414" s="320" t="e">
        <f t="shared" ca="1" si="338"/>
        <v>#NAME?</v>
      </c>
      <c r="BQ414" s="344" t="e">
        <f t="shared" ca="1" si="357"/>
        <v>#NAME?</v>
      </c>
      <c r="BR414" s="347" t="e">
        <f t="shared" ca="1" si="358"/>
        <v>#NAME?</v>
      </c>
      <c r="BS414" s="326" t="e">
        <f t="shared" ca="1" si="339"/>
        <v>#NAME?</v>
      </c>
      <c r="BT414" s="437" t="e">
        <f t="shared" ca="1" si="371"/>
        <v>#NAME?</v>
      </c>
      <c r="BU414" s="437" t="e">
        <f t="shared" ca="1" si="372"/>
        <v>#NAME?</v>
      </c>
      <c r="BV414" s="441" t="e">
        <f t="shared" ca="1" si="373"/>
        <v>#NAME?</v>
      </c>
      <c r="BW414" s="442" t="e">
        <f t="shared" ca="1" si="374"/>
        <v>#NAME?</v>
      </c>
      <c r="BX414" s="470" t="e">
        <f t="shared" ca="1" si="347"/>
        <v>#NAME?</v>
      </c>
      <c r="BY414" s="484" t="e">
        <f t="shared" ca="1" si="359"/>
        <v>#NAME?</v>
      </c>
    </row>
    <row r="415" spans="9:77" ht="17.75" customHeight="1" x14ac:dyDescent="0.2">
      <c r="I415" s="366">
        <v>331</v>
      </c>
      <c r="J415" s="414">
        <f t="shared" si="360"/>
        <v>41705.942361111862</v>
      </c>
      <c r="K415" s="435" t="e">
        <f t="shared" ca="1" si="361"/>
        <v>#NAME?</v>
      </c>
      <c r="L415" s="435" t="e">
        <f t="shared" ca="1" si="348"/>
        <v>#NAME?</v>
      </c>
      <c r="M415" s="664" t="e">
        <f t="shared" ca="1" si="340"/>
        <v>#NAME?</v>
      </c>
      <c r="N415" s="664" t="e">
        <f t="shared" ca="1" si="341"/>
        <v>#NAME?</v>
      </c>
      <c r="O415" s="140" t="e">
        <f t="shared" ca="1" si="349"/>
        <v>#NAME?</v>
      </c>
      <c r="P415" s="352" t="e">
        <f t="shared" ca="1" si="362"/>
        <v>#NAME?</v>
      </c>
      <c r="Q415" s="665" t="e">
        <f t="shared" ca="1" si="342"/>
        <v>#NAME?</v>
      </c>
      <c r="R415" s="352" t="e">
        <f t="shared" ref="R415:R478" ca="1" si="375">AC415</f>
        <v>#NAME?</v>
      </c>
      <c r="S415" s="662" t="e">
        <f t="shared" ca="1" si="350"/>
        <v>#NAME?</v>
      </c>
      <c r="T415" s="443" t="e">
        <f t="shared" ca="1" si="343"/>
        <v>#NAME?</v>
      </c>
      <c r="U415" s="369" t="e">
        <f t="shared" ca="1" si="344"/>
        <v>#NAME?</v>
      </c>
      <c r="V415" s="454" t="e">
        <f t="shared" ca="1" si="351"/>
        <v>#NAME?</v>
      </c>
      <c r="W415" s="457">
        <f t="shared" si="352"/>
        <v>1000</v>
      </c>
      <c r="X415" s="463" t="e">
        <f t="shared" ca="1" si="353"/>
        <v>#NAME?</v>
      </c>
      <c r="Y415" s="455" t="e">
        <f t="shared" ca="1" si="363"/>
        <v>#NAME?</v>
      </c>
      <c r="Z415" s="699">
        <f t="shared" si="345"/>
        <v>8.5</v>
      </c>
      <c r="AA415" s="355" t="str">
        <f t="shared" si="346"/>
        <v>ON</v>
      </c>
      <c r="AB415" s="357">
        <f t="shared" ref="AB415:AB478" si="376">AB414</f>
        <v>1.4999999999999999E-2</v>
      </c>
      <c r="AC415" s="356" t="e">
        <f ca="1">IF(  Y414=0,0,IF(OR(S415="KCAS",S415="INOP",S415="MEFE"),   ( (5*( (   (((1+0.2*(T415/661.4786)^2)^3.5 -1)  )/( (1-6.8755856*10^-6 *100*Y415)^5.2558797) +1)^(2/7) -1) )^0.5),IF(S415="MACH",T415, IF(S415="LRC",BicubicInterpolation( 'LRC Mach'!$C$4:$AL$21, Y415,U415),  IF(S415="MRC",BicubicInterpolation( 'MRC Mach'!$C$3:$T$18, Y415,U415),  IF(S415="M0.84",0.84,  IF(S415="CI52",BicubicInterpolation('CI=52 Mach'!$C$3:$T$18, Y415,U415),  IF(S415="HOLDING",BicubicInterpolation(  'Holding Mach'!$C$4:$M$13, Y415,U415),                         IF(S415="LRCINOP", BicubicInterpolation('LRC INOP Mach'!$C$4:$AA$21,Y415,U415), IF(S415="HOLDINGINOP",  BicubicInterpolation('Holding INOP Mach'!$N$4:$U$13,Y415,U415),         "XXX" )))))))   )))</f>
        <v>#NAME?</v>
      </c>
      <c r="AD415" s="313" t="e">
        <f t="shared" ref="AD415:AD478" ca="1" si="377">IF(Y415&lt;360.8924,288.15-1.9812*Y415/10,216.65)</f>
        <v>#NAME?</v>
      </c>
      <c r="AE415" s="314" t="e">
        <f t="shared" ca="1" si="364"/>
        <v>#NAME?</v>
      </c>
      <c r="AF415" s="313" t="e">
        <f t="shared" ref="AF415:AF478" ca="1" si="378">AD415+Z415</f>
        <v>#NAME?</v>
      </c>
      <c r="AG415" s="314" t="e">
        <f t="shared" ca="1" si="365"/>
        <v>#NAME?</v>
      </c>
      <c r="AH415" s="313" t="e">
        <f t="shared" ref="AH415:AH478" ca="1" si="379">AF415*(1+0.2*AC415^2)</f>
        <v>#NAME?</v>
      </c>
      <c r="AI415" s="314" t="e">
        <f t="shared" ca="1" si="366"/>
        <v>#NAME?</v>
      </c>
      <c r="AJ415" s="315" t="e">
        <f t="shared" ca="1" si="367"/>
        <v>#NAME?</v>
      </c>
      <c r="AK415" s="568" t="e">
        <f t="shared" ref="AK415:AK478" ca="1" si="380">661.4786*SQRT(AG415)</f>
        <v>#NAME?</v>
      </c>
      <c r="AL415" s="313" t="e">
        <f t="shared" ref="AL415:AL478" ca="1" si="381">AC415*AK415</f>
        <v>#NAME?</v>
      </c>
      <c r="AM415" s="313" t="e">
        <f t="shared" ca="1" si="368"/>
        <v>#NAME?</v>
      </c>
      <c r="AN415" s="313" t="e">
        <f t="shared" ca="1" si="369"/>
        <v>#NAME?</v>
      </c>
      <c r="AO415" s="316" t="e">
        <f t="shared" ref="AO415:AO478" ca="1" si="382">661.4786*(5*((1 + ( (1-0.00068755856*Y415)^5.2558797)*((1 + AC415^2/5)^3.5 - 1))^(2/7) - 1))^0.5</f>
        <v>#NAME?</v>
      </c>
      <c r="AP415" s="313" t="e">
        <f t="shared" ref="AP415:AP478" ca="1" si="383">IF(Y415&lt;360.8924,1013.25*(1-0.0000068755856*100*Y415)^5.2558797,0.01*0.2233609*101325*EXP(-0.004806346*(Y415-360.8924)))</f>
        <v>#NAME?</v>
      </c>
      <c r="AQ415" s="314" t="e">
        <f t="shared" ca="1" si="370"/>
        <v>#NAME?</v>
      </c>
      <c r="AR415" s="315" t="e">
        <f t="shared" ref="AR415:AR478" ca="1" si="384">AQ415*(1+0.2*AC415^2)^3.5</f>
        <v>#NAME?</v>
      </c>
      <c r="AS415" s="316" t="e">
        <f t="shared" ref="AS415:AS478" ca="1" si="385">U415/AQ415</f>
        <v>#NAME?</v>
      </c>
      <c r="AT415" s="315" t="e">
        <f t="shared" ref="AT415:AT478" ca="1" si="386">1.225*AQ415/AG415</f>
        <v>#NAME?</v>
      </c>
      <c r="AU415" s="317">
        <v>427.8</v>
      </c>
      <c r="AV415" s="315" t="e">
        <f t="shared" ref="AV415:AV478" ca="1" si="387">1000*9.80665*U415/(0.5*AT415*AU415*(AM415)^2)</f>
        <v>#NAME?</v>
      </c>
      <c r="AW415" s="318" t="e">
        <f ca="1">0.0001*BicubicInterpolation('Drag Coef Table'!$B$4:$L$28,AV415,AC415)</f>
        <v>#NAME?</v>
      </c>
      <c r="AX415" s="319" t="e">
        <f t="shared" ref="AX415:AX478" ca="1" si="388">(-45.29)*0.0001*LOG10(  (  ( AG415 + 0.38312 ) / AG415^2    )   /   (   (AE415 +0.38312)/(AE415)^2  ) )</f>
        <v>#NAME?</v>
      </c>
      <c r="AY415" s="318" t="e">
        <f t="shared" ref="AY415:AY478" ca="1" si="389">AW415+AX415</f>
        <v>#NAME?</v>
      </c>
      <c r="AZ415" s="320" t="e">
        <f t="shared" ref="AZ415:AZ478" ca="1" si="390">AV415/AY415</f>
        <v>#NAME?</v>
      </c>
      <c r="BA415" s="321" t="e">
        <f t="shared" ref="BA415:BA478" ca="1" si="391">AY415*0.5*AT415*(AM415^2)*AU415/1000</f>
        <v>#NAME?</v>
      </c>
      <c r="BB415" s="322" t="e">
        <f t="shared" ref="BB415:BB478" ca="1" si="392">BA415/AQ415/9.80665</f>
        <v>#NAME?</v>
      </c>
      <c r="BC415" s="323">
        <v>75.196700000000007</v>
      </c>
      <c r="BD415" s="324" t="e">
        <f t="shared" ref="BD415:BD478" ca="1" si="393">AG415^0.68</f>
        <v>#NAME?</v>
      </c>
      <c r="BE415" s="325" t="e">
        <f t="shared" ref="BE415:BE478" ca="1" si="394">AC415^0.53</f>
        <v>#NAME?</v>
      </c>
      <c r="BF415" s="324" t="e">
        <f ca="1">BicubicInterpolation('TSFC Eff Table'!$B$4:$E$69,2,BB415)</f>
        <v>#NAME?</v>
      </c>
      <c r="BG415" s="326" t="e">
        <f t="shared" ref="BG415:BG478" ca="1" si="395">BC415*BD415*BE415/BF415</f>
        <v>#NAME?</v>
      </c>
      <c r="BH415" s="694" t="e">
        <f ca="1">IF( S415="LRCINOP",   (1+(0.03/10)*Z415*(1+0.2*AC415^2) )*BicubicInterpolation( 'LRC INOP FF'!$C$4:$AA$21, Y415, U415 )-200, IF(S415 ="HOLDINGINOP", (1+(0.03/10)*Z415*(1+0.2*AC415^2) )*BicubicInterpolation( 'Holding INOP FF'!$C$4:$J$13,  Y415,  U415)/1.05-200,   BA415*BG415))</f>
        <v>#NAME?</v>
      </c>
      <c r="BI415" s="344" t="e">
        <f t="shared" ca="1" si="354"/>
        <v>#NAME?</v>
      </c>
      <c r="BJ415" s="322" t="e">
        <f t="shared" ref="BJ415:BJ478" ca="1" si="396">BI415/(AR415*AJ415)/1000</f>
        <v>#NAME?</v>
      </c>
      <c r="BK415" s="338" t="e">
        <f t="shared" ca="1" si="355"/>
        <v>#NAME?</v>
      </c>
      <c r="BL415" s="327" t="e">
        <f t="shared" ref="BL415:BL478" ca="1" si="397">100*BK415/AS415</f>
        <v>#NAME?</v>
      </c>
      <c r="BM415" s="328">
        <f t="shared" ref="BM415:BM478" si="398">200-IF(AA415="OFF",55,0)</f>
        <v>200</v>
      </c>
      <c r="BN415" s="329" t="e">
        <f t="shared" ref="BN415:BN478" ca="1" si="399">BI415+BM415</f>
        <v>#NAME?</v>
      </c>
      <c r="BO415" s="344" t="e">
        <f t="shared" ca="1" si="356"/>
        <v>#NAME?</v>
      </c>
      <c r="BP415" s="320" t="e">
        <f t="shared" ref="BP415:BP478" ca="1" si="400">1000*AL415/BO415</f>
        <v>#NAME?</v>
      </c>
      <c r="BQ415" s="344" t="e">
        <f t="shared" ca="1" si="357"/>
        <v>#NAME?</v>
      </c>
      <c r="BR415" s="347" t="e">
        <f t="shared" ca="1" si="358"/>
        <v>#NAME?</v>
      </c>
      <c r="BS415" s="326" t="e">
        <f t="shared" ref="BS415:BS478" ca="1" si="401">1000*AL415/BR415</f>
        <v>#NAME?</v>
      </c>
      <c r="BT415" s="437" t="e">
        <f t="shared" ca="1" si="371"/>
        <v>#NAME?</v>
      </c>
      <c r="BU415" s="437" t="e">
        <f t="shared" ca="1" si="372"/>
        <v>#NAME?</v>
      </c>
      <c r="BV415" s="441" t="e">
        <f t="shared" ca="1" si="373"/>
        <v>#NAME?</v>
      </c>
      <c r="BW415" s="442" t="e">
        <f t="shared" ca="1" si="374"/>
        <v>#NAME?</v>
      </c>
      <c r="BX415" s="470" t="e">
        <f t="shared" ca="1" si="347"/>
        <v>#NAME?</v>
      </c>
      <c r="BY415" s="484" t="e">
        <f t="shared" ca="1" si="359"/>
        <v>#NAME?</v>
      </c>
    </row>
    <row r="416" spans="9:77" ht="17.75" customHeight="1" x14ac:dyDescent="0.2">
      <c r="I416" s="366">
        <v>332</v>
      </c>
      <c r="J416" s="414">
        <f t="shared" si="360"/>
        <v>41705.943055556309</v>
      </c>
      <c r="K416" s="435" t="e">
        <f t="shared" ca="1" si="361"/>
        <v>#NAME?</v>
      </c>
      <c r="L416" s="435" t="e">
        <f t="shared" ca="1" si="348"/>
        <v>#NAME?</v>
      </c>
      <c r="M416" s="664" t="e">
        <f t="shared" ca="1" si="340"/>
        <v>#NAME?</v>
      </c>
      <c r="N416" s="664" t="e">
        <f t="shared" ca="1" si="341"/>
        <v>#NAME?</v>
      </c>
      <c r="O416" s="140" t="e">
        <f t="shared" ca="1" si="349"/>
        <v>#NAME?</v>
      </c>
      <c r="P416" s="352" t="e">
        <f t="shared" ca="1" si="362"/>
        <v>#NAME?</v>
      </c>
      <c r="Q416" s="665" t="e">
        <f t="shared" ca="1" si="342"/>
        <v>#NAME?</v>
      </c>
      <c r="R416" s="352" t="e">
        <f t="shared" ca="1" si="375"/>
        <v>#NAME?</v>
      </c>
      <c r="S416" s="662" t="e">
        <f t="shared" ca="1" si="350"/>
        <v>#NAME?</v>
      </c>
      <c r="T416" s="443" t="e">
        <f t="shared" ca="1" si="343"/>
        <v>#NAME?</v>
      </c>
      <c r="U416" s="369" t="e">
        <f t="shared" ca="1" si="344"/>
        <v>#NAME?</v>
      </c>
      <c r="V416" s="454" t="e">
        <f t="shared" ca="1" si="351"/>
        <v>#NAME?</v>
      </c>
      <c r="W416" s="457">
        <f t="shared" si="352"/>
        <v>1000</v>
      </c>
      <c r="X416" s="463" t="e">
        <f t="shared" ca="1" si="353"/>
        <v>#NAME?</v>
      </c>
      <c r="Y416" s="455" t="e">
        <f t="shared" ca="1" si="363"/>
        <v>#NAME?</v>
      </c>
      <c r="Z416" s="699">
        <f t="shared" si="345"/>
        <v>8.5</v>
      </c>
      <c r="AA416" s="355" t="str">
        <f t="shared" si="346"/>
        <v>ON</v>
      </c>
      <c r="AB416" s="357">
        <f t="shared" si="376"/>
        <v>1.4999999999999999E-2</v>
      </c>
      <c r="AC416" s="356" t="e">
        <f ca="1">IF(  Y415=0,0,IF(OR(S416="KCAS",S416="INOP",S416="MEFE"),   ( (5*( (   (((1+0.2*(T416/661.4786)^2)^3.5 -1)  )/( (1-6.8755856*10^-6 *100*Y416)^5.2558797) +1)^(2/7) -1) )^0.5),IF(S416="MACH",T416, IF(S416="LRC",BicubicInterpolation( 'LRC Mach'!$C$4:$AL$21, Y416,U416),  IF(S416="MRC",BicubicInterpolation( 'MRC Mach'!$C$3:$T$18, Y416,U416),  IF(S416="M0.84",0.84,  IF(S416="CI52",BicubicInterpolation('CI=52 Mach'!$C$3:$T$18, Y416,U416),  IF(S416="HOLDING",BicubicInterpolation(  'Holding Mach'!$C$4:$M$13, Y416,U416),                         IF(S416="LRCINOP", BicubicInterpolation('LRC INOP Mach'!$C$4:$AA$21,Y416,U416), IF(S416="HOLDINGINOP",  BicubicInterpolation('Holding INOP Mach'!$N$4:$U$13,Y416,U416),         "XXX" )))))))   )))</f>
        <v>#NAME?</v>
      </c>
      <c r="AD416" s="313" t="e">
        <f t="shared" ca="1" si="377"/>
        <v>#NAME?</v>
      </c>
      <c r="AE416" s="314" t="e">
        <f t="shared" ca="1" si="364"/>
        <v>#NAME?</v>
      </c>
      <c r="AF416" s="313" t="e">
        <f t="shared" ca="1" si="378"/>
        <v>#NAME?</v>
      </c>
      <c r="AG416" s="314" t="e">
        <f t="shared" ca="1" si="365"/>
        <v>#NAME?</v>
      </c>
      <c r="AH416" s="313" t="e">
        <f t="shared" ca="1" si="379"/>
        <v>#NAME?</v>
      </c>
      <c r="AI416" s="314" t="e">
        <f t="shared" ca="1" si="366"/>
        <v>#NAME?</v>
      </c>
      <c r="AJ416" s="315" t="e">
        <f t="shared" ca="1" si="367"/>
        <v>#NAME?</v>
      </c>
      <c r="AK416" s="568" t="e">
        <f t="shared" ca="1" si="380"/>
        <v>#NAME?</v>
      </c>
      <c r="AL416" s="313" t="e">
        <f t="shared" ca="1" si="381"/>
        <v>#NAME?</v>
      </c>
      <c r="AM416" s="313" t="e">
        <f t="shared" ca="1" si="368"/>
        <v>#NAME?</v>
      </c>
      <c r="AN416" s="313" t="e">
        <f t="shared" ca="1" si="369"/>
        <v>#NAME?</v>
      </c>
      <c r="AO416" s="316" t="e">
        <f t="shared" ca="1" si="382"/>
        <v>#NAME?</v>
      </c>
      <c r="AP416" s="313" t="e">
        <f t="shared" ca="1" si="383"/>
        <v>#NAME?</v>
      </c>
      <c r="AQ416" s="314" t="e">
        <f t="shared" ca="1" si="370"/>
        <v>#NAME?</v>
      </c>
      <c r="AR416" s="315" t="e">
        <f t="shared" ca="1" si="384"/>
        <v>#NAME?</v>
      </c>
      <c r="AS416" s="316" t="e">
        <f t="shared" ca="1" si="385"/>
        <v>#NAME?</v>
      </c>
      <c r="AT416" s="315" t="e">
        <f t="shared" ca="1" si="386"/>
        <v>#NAME?</v>
      </c>
      <c r="AU416" s="317">
        <v>427.8</v>
      </c>
      <c r="AV416" s="315" t="e">
        <f t="shared" ca="1" si="387"/>
        <v>#NAME?</v>
      </c>
      <c r="AW416" s="318" t="e">
        <f ca="1">0.0001*BicubicInterpolation('Drag Coef Table'!$B$4:$L$28,AV416,AC416)</f>
        <v>#NAME?</v>
      </c>
      <c r="AX416" s="319" t="e">
        <f t="shared" ca="1" si="388"/>
        <v>#NAME?</v>
      </c>
      <c r="AY416" s="318" t="e">
        <f t="shared" ca="1" si="389"/>
        <v>#NAME?</v>
      </c>
      <c r="AZ416" s="320" t="e">
        <f t="shared" ca="1" si="390"/>
        <v>#NAME?</v>
      </c>
      <c r="BA416" s="321" t="e">
        <f t="shared" ca="1" si="391"/>
        <v>#NAME?</v>
      </c>
      <c r="BB416" s="322" t="e">
        <f t="shared" ca="1" si="392"/>
        <v>#NAME?</v>
      </c>
      <c r="BC416" s="323">
        <v>75.196700000000007</v>
      </c>
      <c r="BD416" s="324" t="e">
        <f t="shared" ca="1" si="393"/>
        <v>#NAME?</v>
      </c>
      <c r="BE416" s="325" t="e">
        <f t="shared" ca="1" si="394"/>
        <v>#NAME?</v>
      </c>
      <c r="BF416" s="324" t="e">
        <f ca="1">BicubicInterpolation('TSFC Eff Table'!$B$4:$E$69,2,BB416)</f>
        <v>#NAME?</v>
      </c>
      <c r="BG416" s="326" t="e">
        <f t="shared" ca="1" si="395"/>
        <v>#NAME?</v>
      </c>
      <c r="BH416" s="694" t="e">
        <f ca="1">IF( S416="LRCINOP",   (1+(0.03/10)*Z416*(1+0.2*AC416^2) )*BicubicInterpolation( 'LRC INOP FF'!$C$4:$AA$21, Y416, U416 )-200, IF(S416 ="HOLDINGINOP", (1+(0.03/10)*Z416*(1+0.2*AC416^2) )*BicubicInterpolation( 'Holding INOP FF'!$C$4:$J$13,  Y416,  U416)/1.05-200,   BA416*BG416))</f>
        <v>#NAME?</v>
      </c>
      <c r="BI416" s="344" t="e">
        <f t="shared" ca="1" si="354"/>
        <v>#NAME?</v>
      </c>
      <c r="BJ416" s="322" t="e">
        <f t="shared" ca="1" si="396"/>
        <v>#NAME?</v>
      </c>
      <c r="BK416" s="338" t="e">
        <f t="shared" ca="1" si="355"/>
        <v>#NAME?</v>
      </c>
      <c r="BL416" s="327" t="e">
        <f t="shared" ca="1" si="397"/>
        <v>#NAME?</v>
      </c>
      <c r="BM416" s="328">
        <f t="shared" si="398"/>
        <v>200</v>
      </c>
      <c r="BN416" s="329" t="e">
        <f t="shared" ca="1" si="399"/>
        <v>#NAME?</v>
      </c>
      <c r="BO416" s="344" t="e">
        <f t="shared" ca="1" si="356"/>
        <v>#NAME?</v>
      </c>
      <c r="BP416" s="320" t="e">
        <f t="shared" ca="1" si="400"/>
        <v>#NAME?</v>
      </c>
      <c r="BQ416" s="344" t="e">
        <f t="shared" ca="1" si="357"/>
        <v>#NAME?</v>
      </c>
      <c r="BR416" s="347" t="e">
        <f t="shared" ca="1" si="358"/>
        <v>#NAME?</v>
      </c>
      <c r="BS416" s="326" t="e">
        <f t="shared" ca="1" si="401"/>
        <v>#NAME?</v>
      </c>
      <c r="BT416" s="437" t="e">
        <f t="shared" ca="1" si="371"/>
        <v>#NAME?</v>
      </c>
      <c r="BU416" s="437" t="e">
        <f t="shared" ca="1" si="372"/>
        <v>#NAME?</v>
      </c>
      <c r="BV416" s="441" t="e">
        <f t="shared" ca="1" si="373"/>
        <v>#NAME?</v>
      </c>
      <c r="BW416" s="442" t="e">
        <f t="shared" ca="1" si="374"/>
        <v>#NAME?</v>
      </c>
      <c r="BX416" s="470" t="e">
        <f t="shared" ca="1" si="347"/>
        <v>#NAME?</v>
      </c>
      <c r="BY416" s="484" t="e">
        <f t="shared" ca="1" si="359"/>
        <v>#NAME?</v>
      </c>
    </row>
    <row r="417" spans="9:77" ht="17.75" customHeight="1" x14ac:dyDescent="0.2">
      <c r="I417" s="366">
        <v>333</v>
      </c>
      <c r="J417" s="414">
        <f t="shared" si="360"/>
        <v>41705.943750000755</v>
      </c>
      <c r="K417" s="435" t="e">
        <f t="shared" ca="1" si="361"/>
        <v>#NAME?</v>
      </c>
      <c r="L417" s="435" t="e">
        <f t="shared" ca="1" si="348"/>
        <v>#NAME?</v>
      </c>
      <c r="M417" s="664" t="e">
        <f t="shared" ca="1" si="340"/>
        <v>#NAME?</v>
      </c>
      <c r="N417" s="664" t="e">
        <f t="shared" ca="1" si="341"/>
        <v>#NAME?</v>
      </c>
      <c r="O417" s="140" t="e">
        <f t="shared" ca="1" si="349"/>
        <v>#NAME?</v>
      </c>
      <c r="P417" s="352" t="e">
        <f t="shared" ca="1" si="362"/>
        <v>#NAME?</v>
      </c>
      <c r="Q417" s="665" t="e">
        <f t="shared" ca="1" si="342"/>
        <v>#NAME?</v>
      </c>
      <c r="R417" s="352" t="e">
        <f t="shared" ca="1" si="375"/>
        <v>#NAME?</v>
      </c>
      <c r="S417" s="662" t="e">
        <f t="shared" ca="1" si="350"/>
        <v>#NAME?</v>
      </c>
      <c r="T417" s="443" t="e">
        <f t="shared" ca="1" si="343"/>
        <v>#NAME?</v>
      </c>
      <c r="U417" s="369" t="e">
        <f t="shared" ca="1" si="344"/>
        <v>#NAME?</v>
      </c>
      <c r="V417" s="454" t="e">
        <f t="shared" ca="1" si="351"/>
        <v>#NAME?</v>
      </c>
      <c r="W417" s="457">
        <f t="shared" si="352"/>
        <v>1000</v>
      </c>
      <c r="X417" s="463" t="e">
        <f t="shared" ca="1" si="353"/>
        <v>#NAME?</v>
      </c>
      <c r="Y417" s="455" t="e">
        <f t="shared" ca="1" si="363"/>
        <v>#NAME?</v>
      </c>
      <c r="Z417" s="699">
        <f t="shared" si="345"/>
        <v>8.5</v>
      </c>
      <c r="AA417" s="355" t="str">
        <f t="shared" si="346"/>
        <v>ON</v>
      </c>
      <c r="AB417" s="357">
        <f t="shared" si="376"/>
        <v>1.4999999999999999E-2</v>
      </c>
      <c r="AC417" s="356" t="e">
        <f ca="1">IF(  Y416=0,0,IF(OR(S417="KCAS",S417="INOP",S417="MEFE"),   ( (5*( (   (((1+0.2*(T417/661.4786)^2)^3.5 -1)  )/( (1-6.8755856*10^-6 *100*Y417)^5.2558797) +1)^(2/7) -1) )^0.5),IF(S417="MACH",T417, IF(S417="LRC",BicubicInterpolation( 'LRC Mach'!$C$4:$AL$21, Y417,U417),  IF(S417="MRC",BicubicInterpolation( 'MRC Mach'!$C$3:$T$18, Y417,U417),  IF(S417="M0.84",0.84,  IF(S417="CI52",BicubicInterpolation('CI=52 Mach'!$C$3:$T$18, Y417,U417),  IF(S417="HOLDING",BicubicInterpolation(  'Holding Mach'!$C$4:$M$13, Y417,U417),                         IF(S417="LRCINOP", BicubicInterpolation('LRC INOP Mach'!$C$4:$AA$21,Y417,U417), IF(S417="HOLDINGINOP",  BicubicInterpolation('Holding INOP Mach'!$N$4:$U$13,Y417,U417),         "XXX" )))))))   )))</f>
        <v>#NAME?</v>
      </c>
      <c r="AD417" s="313" t="e">
        <f t="shared" ca="1" si="377"/>
        <v>#NAME?</v>
      </c>
      <c r="AE417" s="314" t="e">
        <f t="shared" ca="1" si="364"/>
        <v>#NAME?</v>
      </c>
      <c r="AF417" s="313" t="e">
        <f t="shared" ca="1" si="378"/>
        <v>#NAME?</v>
      </c>
      <c r="AG417" s="314" t="e">
        <f t="shared" ca="1" si="365"/>
        <v>#NAME?</v>
      </c>
      <c r="AH417" s="313" t="e">
        <f t="shared" ca="1" si="379"/>
        <v>#NAME?</v>
      </c>
      <c r="AI417" s="314" t="e">
        <f t="shared" ca="1" si="366"/>
        <v>#NAME?</v>
      </c>
      <c r="AJ417" s="315" t="e">
        <f t="shared" ca="1" si="367"/>
        <v>#NAME?</v>
      </c>
      <c r="AK417" s="568" t="e">
        <f t="shared" ca="1" si="380"/>
        <v>#NAME?</v>
      </c>
      <c r="AL417" s="313" t="e">
        <f t="shared" ca="1" si="381"/>
        <v>#NAME?</v>
      </c>
      <c r="AM417" s="313" t="e">
        <f t="shared" ca="1" si="368"/>
        <v>#NAME?</v>
      </c>
      <c r="AN417" s="313" t="e">
        <f t="shared" ca="1" si="369"/>
        <v>#NAME?</v>
      </c>
      <c r="AO417" s="316" t="e">
        <f t="shared" ca="1" si="382"/>
        <v>#NAME?</v>
      </c>
      <c r="AP417" s="313" t="e">
        <f t="shared" ca="1" si="383"/>
        <v>#NAME?</v>
      </c>
      <c r="AQ417" s="314" t="e">
        <f t="shared" ca="1" si="370"/>
        <v>#NAME?</v>
      </c>
      <c r="AR417" s="315" t="e">
        <f t="shared" ca="1" si="384"/>
        <v>#NAME?</v>
      </c>
      <c r="AS417" s="316" t="e">
        <f t="shared" ca="1" si="385"/>
        <v>#NAME?</v>
      </c>
      <c r="AT417" s="315" t="e">
        <f t="shared" ca="1" si="386"/>
        <v>#NAME?</v>
      </c>
      <c r="AU417" s="317">
        <v>427.8</v>
      </c>
      <c r="AV417" s="315" t="e">
        <f t="shared" ca="1" si="387"/>
        <v>#NAME?</v>
      </c>
      <c r="AW417" s="318" t="e">
        <f ca="1">0.0001*BicubicInterpolation('Drag Coef Table'!$B$4:$L$28,AV417,AC417)</f>
        <v>#NAME?</v>
      </c>
      <c r="AX417" s="319" t="e">
        <f t="shared" ca="1" si="388"/>
        <v>#NAME?</v>
      </c>
      <c r="AY417" s="318" t="e">
        <f t="shared" ca="1" si="389"/>
        <v>#NAME?</v>
      </c>
      <c r="AZ417" s="320" t="e">
        <f t="shared" ca="1" si="390"/>
        <v>#NAME?</v>
      </c>
      <c r="BA417" s="321" t="e">
        <f t="shared" ca="1" si="391"/>
        <v>#NAME?</v>
      </c>
      <c r="BB417" s="322" t="e">
        <f t="shared" ca="1" si="392"/>
        <v>#NAME?</v>
      </c>
      <c r="BC417" s="323">
        <v>75.196700000000007</v>
      </c>
      <c r="BD417" s="324" t="e">
        <f t="shared" ca="1" si="393"/>
        <v>#NAME?</v>
      </c>
      <c r="BE417" s="325" t="e">
        <f t="shared" ca="1" si="394"/>
        <v>#NAME?</v>
      </c>
      <c r="BF417" s="324" t="e">
        <f ca="1">BicubicInterpolation('TSFC Eff Table'!$B$4:$E$69,2,BB417)</f>
        <v>#NAME?</v>
      </c>
      <c r="BG417" s="326" t="e">
        <f t="shared" ca="1" si="395"/>
        <v>#NAME?</v>
      </c>
      <c r="BH417" s="694" t="e">
        <f ca="1">IF( S417="LRCINOP",   (1+(0.03/10)*Z417*(1+0.2*AC417^2) )*BicubicInterpolation( 'LRC INOP FF'!$C$4:$AA$21, Y417, U417 )-200, IF(S417 ="HOLDINGINOP", (1+(0.03/10)*Z417*(1+0.2*AC417^2) )*BicubicInterpolation( 'Holding INOP FF'!$C$4:$J$13,  Y417,  U417)/1.05-200,   BA417*BG417))</f>
        <v>#NAME?</v>
      </c>
      <c r="BI417" s="344" t="e">
        <f t="shared" ca="1" si="354"/>
        <v>#NAME?</v>
      </c>
      <c r="BJ417" s="322" t="e">
        <f t="shared" ca="1" si="396"/>
        <v>#NAME?</v>
      </c>
      <c r="BK417" s="338" t="e">
        <f t="shared" ca="1" si="355"/>
        <v>#NAME?</v>
      </c>
      <c r="BL417" s="327" t="e">
        <f t="shared" ca="1" si="397"/>
        <v>#NAME?</v>
      </c>
      <c r="BM417" s="328">
        <f t="shared" si="398"/>
        <v>200</v>
      </c>
      <c r="BN417" s="329" t="e">
        <f t="shared" ca="1" si="399"/>
        <v>#NAME?</v>
      </c>
      <c r="BO417" s="344" t="e">
        <f t="shared" ca="1" si="356"/>
        <v>#NAME?</v>
      </c>
      <c r="BP417" s="320" t="e">
        <f t="shared" ca="1" si="400"/>
        <v>#NAME?</v>
      </c>
      <c r="BQ417" s="344" t="e">
        <f t="shared" ca="1" si="357"/>
        <v>#NAME?</v>
      </c>
      <c r="BR417" s="347" t="e">
        <f t="shared" ca="1" si="358"/>
        <v>#NAME?</v>
      </c>
      <c r="BS417" s="326" t="e">
        <f t="shared" ca="1" si="401"/>
        <v>#NAME?</v>
      </c>
      <c r="BT417" s="437" t="e">
        <f t="shared" ca="1" si="371"/>
        <v>#NAME?</v>
      </c>
      <c r="BU417" s="437" t="e">
        <f t="shared" ca="1" si="372"/>
        <v>#NAME?</v>
      </c>
      <c r="BV417" s="441" t="e">
        <f t="shared" ca="1" si="373"/>
        <v>#NAME?</v>
      </c>
      <c r="BW417" s="442" t="e">
        <f t="shared" ca="1" si="374"/>
        <v>#NAME?</v>
      </c>
      <c r="BX417" s="470" t="e">
        <f t="shared" ca="1" si="347"/>
        <v>#NAME?</v>
      </c>
      <c r="BY417" s="484" t="e">
        <f t="shared" ca="1" si="359"/>
        <v>#NAME?</v>
      </c>
    </row>
    <row r="418" spans="9:77" ht="17.75" customHeight="1" x14ac:dyDescent="0.2">
      <c r="I418" s="366">
        <v>334</v>
      </c>
      <c r="J418" s="414">
        <f t="shared" si="360"/>
        <v>41705.944444445202</v>
      </c>
      <c r="K418" s="435" t="e">
        <f t="shared" ca="1" si="361"/>
        <v>#NAME?</v>
      </c>
      <c r="L418" s="435" t="e">
        <f t="shared" ca="1" si="348"/>
        <v>#NAME?</v>
      </c>
      <c r="M418" s="664" t="e">
        <f t="shared" ca="1" si="340"/>
        <v>#NAME?</v>
      </c>
      <c r="N418" s="664" t="e">
        <f t="shared" ca="1" si="341"/>
        <v>#NAME?</v>
      </c>
      <c r="O418" s="140" t="e">
        <f t="shared" ca="1" si="349"/>
        <v>#NAME?</v>
      </c>
      <c r="P418" s="352" t="e">
        <f t="shared" ca="1" si="362"/>
        <v>#NAME?</v>
      </c>
      <c r="Q418" s="665" t="e">
        <f t="shared" ca="1" si="342"/>
        <v>#NAME?</v>
      </c>
      <c r="R418" s="352" t="e">
        <f t="shared" ca="1" si="375"/>
        <v>#NAME?</v>
      </c>
      <c r="S418" s="662" t="e">
        <f t="shared" ca="1" si="350"/>
        <v>#NAME?</v>
      </c>
      <c r="T418" s="443" t="e">
        <f t="shared" ca="1" si="343"/>
        <v>#NAME?</v>
      </c>
      <c r="U418" s="369" t="e">
        <f t="shared" ca="1" si="344"/>
        <v>#NAME?</v>
      </c>
      <c r="V418" s="454" t="e">
        <f t="shared" ca="1" si="351"/>
        <v>#NAME?</v>
      </c>
      <c r="W418" s="457">
        <f t="shared" si="352"/>
        <v>1000</v>
      </c>
      <c r="X418" s="463" t="e">
        <f t="shared" ca="1" si="353"/>
        <v>#NAME?</v>
      </c>
      <c r="Y418" s="455" t="e">
        <f t="shared" ca="1" si="363"/>
        <v>#NAME?</v>
      </c>
      <c r="Z418" s="699">
        <f t="shared" si="345"/>
        <v>8.5</v>
      </c>
      <c r="AA418" s="355" t="str">
        <f t="shared" si="346"/>
        <v>ON</v>
      </c>
      <c r="AB418" s="357">
        <f t="shared" si="376"/>
        <v>1.4999999999999999E-2</v>
      </c>
      <c r="AC418" s="356" t="e">
        <f ca="1">IF(  Y417=0,0,IF(OR(S418="KCAS",S418="INOP",S418="MEFE"),   ( (5*( (   (((1+0.2*(T418/661.4786)^2)^3.5 -1)  )/( (1-6.8755856*10^-6 *100*Y418)^5.2558797) +1)^(2/7) -1) )^0.5),IF(S418="MACH",T418, IF(S418="LRC",BicubicInterpolation( 'LRC Mach'!$C$4:$AL$21, Y418,U418),  IF(S418="MRC",BicubicInterpolation( 'MRC Mach'!$C$3:$T$18, Y418,U418),  IF(S418="M0.84",0.84,  IF(S418="CI52",BicubicInterpolation('CI=52 Mach'!$C$3:$T$18, Y418,U418),  IF(S418="HOLDING",BicubicInterpolation(  'Holding Mach'!$C$4:$M$13, Y418,U418),                         IF(S418="LRCINOP", BicubicInterpolation('LRC INOP Mach'!$C$4:$AA$21,Y418,U418), IF(S418="HOLDINGINOP",  BicubicInterpolation('Holding INOP Mach'!$N$4:$U$13,Y418,U418),         "XXX" )))))))   )))</f>
        <v>#NAME?</v>
      </c>
      <c r="AD418" s="313" t="e">
        <f t="shared" ca="1" si="377"/>
        <v>#NAME?</v>
      </c>
      <c r="AE418" s="314" t="e">
        <f t="shared" ca="1" si="364"/>
        <v>#NAME?</v>
      </c>
      <c r="AF418" s="313" t="e">
        <f t="shared" ca="1" si="378"/>
        <v>#NAME?</v>
      </c>
      <c r="AG418" s="314" t="e">
        <f t="shared" ca="1" si="365"/>
        <v>#NAME?</v>
      </c>
      <c r="AH418" s="313" t="e">
        <f t="shared" ca="1" si="379"/>
        <v>#NAME?</v>
      </c>
      <c r="AI418" s="314" t="e">
        <f t="shared" ca="1" si="366"/>
        <v>#NAME?</v>
      </c>
      <c r="AJ418" s="315" t="e">
        <f t="shared" ca="1" si="367"/>
        <v>#NAME?</v>
      </c>
      <c r="AK418" s="568" t="e">
        <f t="shared" ca="1" si="380"/>
        <v>#NAME?</v>
      </c>
      <c r="AL418" s="313" t="e">
        <f t="shared" ca="1" si="381"/>
        <v>#NAME?</v>
      </c>
      <c r="AM418" s="313" t="e">
        <f t="shared" ca="1" si="368"/>
        <v>#NAME?</v>
      </c>
      <c r="AN418" s="313" t="e">
        <f t="shared" ca="1" si="369"/>
        <v>#NAME?</v>
      </c>
      <c r="AO418" s="316" t="e">
        <f t="shared" ca="1" si="382"/>
        <v>#NAME?</v>
      </c>
      <c r="AP418" s="313" t="e">
        <f t="shared" ca="1" si="383"/>
        <v>#NAME?</v>
      </c>
      <c r="AQ418" s="314" t="e">
        <f t="shared" ca="1" si="370"/>
        <v>#NAME?</v>
      </c>
      <c r="AR418" s="315" t="e">
        <f t="shared" ca="1" si="384"/>
        <v>#NAME?</v>
      </c>
      <c r="AS418" s="316" t="e">
        <f t="shared" ca="1" si="385"/>
        <v>#NAME?</v>
      </c>
      <c r="AT418" s="315" t="e">
        <f t="shared" ca="1" si="386"/>
        <v>#NAME?</v>
      </c>
      <c r="AU418" s="317">
        <v>427.8</v>
      </c>
      <c r="AV418" s="315" t="e">
        <f t="shared" ca="1" si="387"/>
        <v>#NAME?</v>
      </c>
      <c r="AW418" s="318" t="e">
        <f ca="1">0.0001*BicubicInterpolation('Drag Coef Table'!$B$4:$L$28,AV418,AC418)</f>
        <v>#NAME?</v>
      </c>
      <c r="AX418" s="319" t="e">
        <f t="shared" ca="1" si="388"/>
        <v>#NAME?</v>
      </c>
      <c r="AY418" s="318" t="e">
        <f t="shared" ca="1" si="389"/>
        <v>#NAME?</v>
      </c>
      <c r="AZ418" s="320" t="e">
        <f t="shared" ca="1" si="390"/>
        <v>#NAME?</v>
      </c>
      <c r="BA418" s="321" t="e">
        <f t="shared" ca="1" si="391"/>
        <v>#NAME?</v>
      </c>
      <c r="BB418" s="322" t="e">
        <f t="shared" ca="1" si="392"/>
        <v>#NAME?</v>
      </c>
      <c r="BC418" s="323">
        <v>75.196700000000007</v>
      </c>
      <c r="BD418" s="324" t="e">
        <f t="shared" ca="1" si="393"/>
        <v>#NAME?</v>
      </c>
      <c r="BE418" s="325" t="e">
        <f t="shared" ca="1" si="394"/>
        <v>#NAME?</v>
      </c>
      <c r="BF418" s="324" t="e">
        <f ca="1">BicubicInterpolation('TSFC Eff Table'!$B$4:$E$69,2,BB418)</f>
        <v>#NAME?</v>
      </c>
      <c r="BG418" s="326" t="e">
        <f t="shared" ca="1" si="395"/>
        <v>#NAME?</v>
      </c>
      <c r="BH418" s="694" t="e">
        <f ca="1">IF( S418="LRCINOP",   (1+(0.03/10)*Z418*(1+0.2*AC418^2) )*BicubicInterpolation( 'LRC INOP FF'!$C$4:$AA$21, Y418, U418 )-200, IF(S418 ="HOLDINGINOP", (1+(0.03/10)*Z418*(1+0.2*AC418^2) )*BicubicInterpolation( 'Holding INOP FF'!$C$4:$J$13,  Y418,  U418)/1.05-200,   BA418*BG418))</f>
        <v>#NAME?</v>
      </c>
      <c r="BI418" s="344" t="e">
        <f t="shared" ca="1" si="354"/>
        <v>#NAME?</v>
      </c>
      <c r="BJ418" s="322" t="e">
        <f t="shared" ca="1" si="396"/>
        <v>#NAME?</v>
      </c>
      <c r="BK418" s="338" t="e">
        <f t="shared" ca="1" si="355"/>
        <v>#NAME?</v>
      </c>
      <c r="BL418" s="327" t="e">
        <f t="shared" ca="1" si="397"/>
        <v>#NAME?</v>
      </c>
      <c r="BM418" s="328">
        <f t="shared" si="398"/>
        <v>200</v>
      </c>
      <c r="BN418" s="329" t="e">
        <f t="shared" ca="1" si="399"/>
        <v>#NAME?</v>
      </c>
      <c r="BO418" s="344" t="e">
        <f t="shared" ca="1" si="356"/>
        <v>#NAME?</v>
      </c>
      <c r="BP418" s="320" t="e">
        <f t="shared" ca="1" si="400"/>
        <v>#NAME?</v>
      </c>
      <c r="BQ418" s="344" t="e">
        <f t="shared" ca="1" si="357"/>
        <v>#NAME?</v>
      </c>
      <c r="BR418" s="347" t="e">
        <f t="shared" ca="1" si="358"/>
        <v>#NAME?</v>
      </c>
      <c r="BS418" s="326" t="e">
        <f t="shared" ca="1" si="401"/>
        <v>#NAME?</v>
      </c>
      <c r="BT418" s="437" t="e">
        <f t="shared" ca="1" si="371"/>
        <v>#NAME?</v>
      </c>
      <c r="BU418" s="437" t="e">
        <f t="shared" ca="1" si="372"/>
        <v>#NAME?</v>
      </c>
      <c r="BV418" s="441" t="e">
        <f t="shared" ca="1" si="373"/>
        <v>#NAME?</v>
      </c>
      <c r="BW418" s="442" t="e">
        <f t="shared" ca="1" si="374"/>
        <v>#NAME?</v>
      </c>
      <c r="BX418" s="470" t="e">
        <f t="shared" ca="1" si="347"/>
        <v>#NAME?</v>
      </c>
      <c r="BY418" s="484" t="e">
        <f t="shared" ca="1" si="359"/>
        <v>#NAME?</v>
      </c>
    </row>
    <row r="419" spans="9:77" ht="17.75" customHeight="1" x14ac:dyDescent="0.2">
      <c r="I419" s="366">
        <v>335</v>
      </c>
      <c r="J419" s="414">
        <f t="shared" si="360"/>
        <v>41705.945138889649</v>
      </c>
      <c r="K419" s="435" t="e">
        <f t="shared" ca="1" si="361"/>
        <v>#NAME?</v>
      </c>
      <c r="L419" s="435" t="e">
        <f t="shared" ca="1" si="348"/>
        <v>#NAME?</v>
      </c>
      <c r="M419" s="664" t="e">
        <f t="shared" ca="1" si="340"/>
        <v>#NAME?</v>
      </c>
      <c r="N419" s="664" t="e">
        <f t="shared" ca="1" si="341"/>
        <v>#NAME?</v>
      </c>
      <c r="O419" s="140" t="e">
        <f t="shared" ca="1" si="349"/>
        <v>#NAME?</v>
      </c>
      <c r="P419" s="352" t="e">
        <f t="shared" ca="1" si="362"/>
        <v>#NAME?</v>
      </c>
      <c r="Q419" s="665" t="e">
        <f t="shared" ca="1" si="342"/>
        <v>#NAME?</v>
      </c>
      <c r="R419" s="352" t="e">
        <f t="shared" ca="1" si="375"/>
        <v>#NAME?</v>
      </c>
      <c r="S419" s="662" t="e">
        <f t="shared" ca="1" si="350"/>
        <v>#NAME?</v>
      </c>
      <c r="T419" s="443" t="e">
        <f t="shared" ca="1" si="343"/>
        <v>#NAME?</v>
      </c>
      <c r="U419" s="369" t="e">
        <f t="shared" ca="1" si="344"/>
        <v>#NAME?</v>
      </c>
      <c r="V419" s="454" t="e">
        <f t="shared" ca="1" si="351"/>
        <v>#NAME?</v>
      </c>
      <c r="W419" s="457">
        <f t="shared" si="352"/>
        <v>1000</v>
      </c>
      <c r="X419" s="463" t="e">
        <f t="shared" ca="1" si="353"/>
        <v>#NAME?</v>
      </c>
      <c r="Y419" s="455" t="e">
        <f t="shared" ca="1" si="363"/>
        <v>#NAME?</v>
      </c>
      <c r="Z419" s="699">
        <f t="shared" si="345"/>
        <v>8.5</v>
      </c>
      <c r="AA419" s="355" t="str">
        <f t="shared" si="346"/>
        <v>ON</v>
      </c>
      <c r="AB419" s="357">
        <f t="shared" si="376"/>
        <v>1.4999999999999999E-2</v>
      </c>
      <c r="AC419" s="356" t="e">
        <f ca="1">IF(  Y418=0,0,IF(OR(S419="KCAS",S419="INOP",S419="MEFE"),   ( (5*( (   (((1+0.2*(T419/661.4786)^2)^3.5 -1)  )/( (1-6.8755856*10^-6 *100*Y419)^5.2558797) +1)^(2/7) -1) )^0.5),IF(S419="MACH",T419, IF(S419="LRC",BicubicInterpolation( 'LRC Mach'!$C$4:$AL$21, Y419,U419),  IF(S419="MRC",BicubicInterpolation( 'MRC Mach'!$C$3:$T$18, Y419,U419),  IF(S419="M0.84",0.84,  IF(S419="CI52",BicubicInterpolation('CI=52 Mach'!$C$3:$T$18, Y419,U419),  IF(S419="HOLDING",BicubicInterpolation(  'Holding Mach'!$C$4:$M$13, Y419,U419),                         IF(S419="LRCINOP", BicubicInterpolation('LRC INOP Mach'!$C$4:$AA$21,Y419,U419), IF(S419="HOLDINGINOP",  BicubicInterpolation('Holding INOP Mach'!$N$4:$U$13,Y419,U419),         "XXX" )))))))   )))</f>
        <v>#NAME?</v>
      </c>
      <c r="AD419" s="313" t="e">
        <f t="shared" ca="1" si="377"/>
        <v>#NAME?</v>
      </c>
      <c r="AE419" s="314" t="e">
        <f t="shared" ca="1" si="364"/>
        <v>#NAME?</v>
      </c>
      <c r="AF419" s="313" t="e">
        <f t="shared" ca="1" si="378"/>
        <v>#NAME?</v>
      </c>
      <c r="AG419" s="314" t="e">
        <f t="shared" ca="1" si="365"/>
        <v>#NAME?</v>
      </c>
      <c r="AH419" s="313" t="e">
        <f t="shared" ca="1" si="379"/>
        <v>#NAME?</v>
      </c>
      <c r="AI419" s="314" t="e">
        <f t="shared" ca="1" si="366"/>
        <v>#NAME?</v>
      </c>
      <c r="AJ419" s="315" t="e">
        <f t="shared" ca="1" si="367"/>
        <v>#NAME?</v>
      </c>
      <c r="AK419" s="568" t="e">
        <f t="shared" ca="1" si="380"/>
        <v>#NAME?</v>
      </c>
      <c r="AL419" s="313" t="e">
        <f t="shared" ca="1" si="381"/>
        <v>#NAME?</v>
      </c>
      <c r="AM419" s="313" t="e">
        <f t="shared" ca="1" si="368"/>
        <v>#NAME?</v>
      </c>
      <c r="AN419" s="313" t="e">
        <f t="shared" ca="1" si="369"/>
        <v>#NAME?</v>
      </c>
      <c r="AO419" s="316" t="e">
        <f t="shared" ca="1" si="382"/>
        <v>#NAME?</v>
      </c>
      <c r="AP419" s="313" t="e">
        <f t="shared" ca="1" si="383"/>
        <v>#NAME?</v>
      </c>
      <c r="AQ419" s="314" t="e">
        <f t="shared" ca="1" si="370"/>
        <v>#NAME?</v>
      </c>
      <c r="AR419" s="315" t="e">
        <f t="shared" ca="1" si="384"/>
        <v>#NAME?</v>
      </c>
      <c r="AS419" s="316" t="e">
        <f t="shared" ca="1" si="385"/>
        <v>#NAME?</v>
      </c>
      <c r="AT419" s="315" t="e">
        <f t="shared" ca="1" si="386"/>
        <v>#NAME?</v>
      </c>
      <c r="AU419" s="317">
        <v>427.8</v>
      </c>
      <c r="AV419" s="315" t="e">
        <f t="shared" ca="1" si="387"/>
        <v>#NAME?</v>
      </c>
      <c r="AW419" s="318" t="e">
        <f ca="1">0.0001*BicubicInterpolation('Drag Coef Table'!$B$4:$L$28,AV419,AC419)</f>
        <v>#NAME?</v>
      </c>
      <c r="AX419" s="319" t="e">
        <f t="shared" ca="1" si="388"/>
        <v>#NAME?</v>
      </c>
      <c r="AY419" s="318" t="e">
        <f t="shared" ca="1" si="389"/>
        <v>#NAME?</v>
      </c>
      <c r="AZ419" s="320" t="e">
        <f t="shared" ca="1" si="390"/>
        <v>#NAME?</v>
      </c>
      <c r="BA419" s="321" t="e">
        <f t="shared" ca="1" si="391"/>
        <v>#NAME?</v>
      </c>
      <c r="BB419" s="322" t="e">
        <f t="shared" ca="1" si="392"/>
        <v>#NAME?</v>
      </c>
      <c r="BC419" s="323">
        <v>75.196700000000007</v>
      </c>
      <c r="BD419" s="324" t="e">
        <f t="shared" ca="1" si="393"/>
        <v>#NAME?</v>
      </c>
      <c r="BE419" s="325" t="e">
        <f t="shared" ca="1" si="394"/>
        <v>#NAME?</v>
      </c>
      <c r="BF419" s="324" t="e">
        <f ca="1">BicubicInterpolation('TSFC Eff Table'!$B$4:$E$69,2,BB419)</f>
        <v>#NAME?</v>
      </c>
      <c r="BG419" s="326" t="e">
        <f t="shared" ca="1" si="395"/>
        <v>#NAME?</v>
      </c>
      <c r="BH419" s="694" t="e">
        <f ca="1">IF( S419="LRCINOP",   (1+(0.03/10)*Z419*(1+0.2*AC419^2) )*BicubicInterpolation( 'LRC INOP FF'!$C$4:$AA$21, Y419, U419 )-200, IF(S419 ="HOLDINGINOP", (1+(0.03/10)*Z419*(1+0.2*AC419^2) )*BicubicInterpolation( 'Holding INOP FF'!$C$4:$J$13,  Y419,  U419)/1.05-200,   BA419*BG419))</f>
        <v>#NAME?</v>
      </c>
      <c r="BI419" s="344" t="e">
        <f t="shared" ca="1" si="354"/>
        <v>#NAME?</v>
      </c>
      <c r="BJ419" s="322" t="e">
        <f t="shared" ca="1" si="396"/>
        <v>#NAME?</v>
      </c>
      <c r="BK419" s="338" t="e">
        <f t="shared" ca="1" si="355"/>
        <v>#NAME?</v>
      </c>
      <c r="BL419" s="327" t="e">
        <f t="shared" ca="1" si="397"/>
        <v>#NAME?</v>
      </c>
      <c r="BM419" s="328">
        <f t="shared" si="398"/>
        <v>200</v>
      </c>
      <c r="BN419" s="329" t="e">
        <f t="shared" ca="1" si="399"/>
        <v>#NAME?</v>
      </c>
      <c r="BO419" s="344" t="e">
        <f t="shared" ca="1" si="356"/>
        <v>#NAME?</v>
      </c>
      <c r="BP419" s="320" t="e">
        <f t="shared" ca="1" si="400"/>
        <v>#NAME?</v>
      </c>
      <c r="BQ419" s="344" t="e">
        <f t="shared" ca="1" si="357"/>
        <v>#NAME?</v>
      </c>
      <c r="BR419" s="347" t="e">
        <f t="shared" ca="1" si="358"/>
        <v>#NAME?</v>
      </c>
      <c r="BS419" s="326" t="e">
        <f t="shared" ca="1" si="401"/>
        <v>#NAME?</v>
      </c>
      <c r="BT419" s="437" t="e">
        <f t="shared" ca="1" si="371"/>
        <v>#NAME?</v>
      </c>
      <c r="BU419" s="437" t="e">
        <f t="shared" ca="1" si="372"/>
        <v>#NAME?</v>
      </c>
      <c r="BV419" s="441" t="e">
        <f t="shared" ca="1" si="373"/>
        <v>#NAME?</v>
      </c>
      <c r="BW419" s="442" t="e">
        <f t="shared" ca="1" si="374"/>
        <v>#NAME?</v>
      </c>
      <c r="BX419" s="470" t="e">
        <f t="shared" ca="1" si="347"/>
        <v>#NAME?</v>
      </c>
      <c r="BY419" s="484" t="e">
        <f t="shared" ca="1" si="359"/>
        <v>#NAME?</v>
      </c>
    </row>
    <row r="420" spans="9:77" ht="17.75" customHeight="1" x14ac:dyDescent="0.2">
      <c r="I420" s="366">
        <v>336</v>
      </c>
      <c r="J420" s="414">
        <f t="shared" si="360"/>
        <v>41705.945833334095</v>
      </c>
      <c r="K420" s="435" t="e">
        <f t="shared" ca="1" si="361"/>
        <v>#NAME?</v>
      </c>
      <c r="L420" s="435" t="e">
        <f t="shared" ca="1" si="348"/>
        <v>#NAME?</v>
      </c>
      <c r="M420" s="664" t="e">
        <f t="shared" ca="1" si="340"/>
        <v>#NAME?</v>
      </c>
      <c r="N420" s="664" t="e">
        <f t="shared" ca="1" si="341"/>
        <v>#NAME?</v>
      </c>
      <c r="O420" s="140" t="e">
        <f t="shared" ca="1" si="349"/>
        <v>#NAME?</v>
      </c>
      <c r="P420" s="352" t="e">
        <f t="shared" ca="1" si="362"/>
        <v>#NAME?</v>
      </c>
      <c r="Q420" s="665" t="e">
        <f t="shared" ca="1" si="342"/>
        <v>#NAME?</v>
      </c>
      <c r="R420" s="352" t="e">
        <f t="shared" ca="1" si="375"/>
        <v>#NAME?</v>
      </c>
      <c r="S420" s="662" t="e">
        <f t="shared" ca="1" si="350"/>
        <v>#NAME?</v>
      </c>
      <c r="T420" s="443" t="e">
        <f t="shared" ca="1" si="343"/>
        <v>#NAME?</v>
      </c>
      <c r="U420" s="369" t="e">
        <f t="shared" ca="1" si="344"/>
        <v>#NAME?</v>
      </c>
      <c r="V420" s="454" t="e">
        <f t="shared" ca="1" si="351"/>
        <v>#NAME?</v>
      </c>
      <c r="W420" s="457">
        <f t="shared" si="352"/>
        <v>1000</v>
      </c>
      <c r="X420" s="463" t="e">
        <f t="shared" ca="1" si="353"/>
        <v>#NAME?</v>
      </c>
      <c r="Y420" s="455" t="e">
        <f t="shared" ca="1" si="363"/>
        <v>#NAME?</v>
      </c>
      <c r="Z420" s="699">
        <f t="shared" si="345"/>
        <v>8.5</v>
      </c>
      <c r="AA420" s="355" t="str">
        <f t="shared" si="346"/>
        <v>ON</v>
      </c>
      <c r="AB420" s="357">
        <f t="shared" si="376"/>
        <v>1.4999999999999999E-2</v>
      </c>
      <c r="AC420" s="356" t="e">
        <f ca="1">IF(  Y419=0,0,IF(OR(S420="KCAS",S420="INOP",S420="MEFE"),   ( (5*( (   (((1+0.2*(T420/661.4786)^2)^3.5 -1)  )/( (1-6.8755856*10^-6 *100*Y420)^5.2558797) +1)^(2/7) -1) )^0.5),IF(S420="MACH",T420, IF(S420="LRC",BicubicInterpolation( 'LRC Mach'!$C$4:$AL$21, Y420,U420),  IF(S420="MRC",BicubicInterpolation( 'MRC Mach'!$C$3:$T$18, Y420,U420),  IF(S420="M0.84",0.84,  IF(S420="CI52",BicubicInterpolation('CI=52 Mach'!$C$3:$T$18, Y420,U420),  IF(S420="HOLDING",BicubicInterpolation(  'Holding Mach'!$C$4:$M$13, Y420,U420),                         IF(S420="LRCINOP", BicubicInterpolation('LRC INOP Mach'!$C$4:$AA$21,Y420,U420), IF(S420="HOLDINGINOP",  BicubicInterpolation('Holding INOP Mach'!$N$4:$U$13,Y420,U420),         "XXX" )))))))   )))</f>
        <v>#NAME?</v>
      </c>
      <c r="AD420" s="313" t="e">
        <f t="shared" ca="1" si="377"/>
        <v>#NAME?</v>
      </c>
      <c r="AE420" s="314" t="e">
        <f t="shared" ca="1" si="364"/>
        <v>#NAME?</v>
      </c>
      <c r="AF420" s="313" t="e">
        <f t="shared" ca="1" si="378"/>
        <v>#NAME?</v>
      </c>
      <c r="AG420" s="314" t="e">
        <f t="shared" ca="1" si="365"/>
        <v>#NAME?</v>
      </c>
      <c r="AH420" s="313" t="e">
        <f t="shared" ca="1" si="379"/>
        <v>#NAME?</v>
      </c>
      <c r="AI420" s="314" t="e">
        <f t="shared" ca="1" si="366"/>
        <v>#NAME?</v>
      </c>
      <c r="AJ420" s="315" t="e">
        <f t="shared" ca="1" si="367"/>
        <v>#NAME?</v>
      </c>
      <c r="AK420" s="568" t="e">
        <f t="shared" ca="1" si="380"/>
        <v>#NAME?</v>
      </c>
      <c r="AL420" s="313" t="e">
        <f t="shared" ca="1" si="381"/>
        <v>#NAME?</v>
      </c>
      <c r="AM420" s="313" t="e">
        <f t="shared" ca="1" si="368"/>
        <v>#NAME?</v>
      </c>
      <c r="AN420" s="313" t="e">
        <f t="shared" ca="1" si="369"/>
        <v>#NAME?</v>
      </c>
      <c r="AO420" s="316" t="e">
        <f t="shared" ca="1" si="382"/>
        <v>#NAME?</v>
      </c>
      <c r="AP420" s="313" t="e">
        <f t="shared" ca="1" si="383"/>
        <v>#NAME?</v>
      </c>
      <c r="AQ420" s="314" t="e">
        <f t="shared" ca="1" si="370"/>
        <v>#NAME?</v>
      </c>
      <c r="AR420" s="315" t="e">
        <f t="shared" ca="1" si="384"/>
        <v>#NAME?</v>
      </c>
      <c r="AS420" s="316" t="e">
        <f t="shared" ca="1" si="385"/>
        <v>#NAME?</v>
      </c>
      <c r="AT420" s="315" t="e">
        <f t="shared" ca="1" si="386"/>
        <v>#NAME?</v>
      </c>
      <c r="AU420" s="317">
        <v>427.8</v>
      </c>
      <c r="AV420" s="315" t="e">
        <f t="shared" ca="1" si="387"/>
        <v>#NAME?</v>
      </c>
      <c r="AW420" s="318" t="e">
        <f ca="1">0.0001*BicubicInterpolation('Drag Coef Table'!$B$4:$L$28,AV420,AC420)</f>
        <v>#NAME?</v>
      </c>
      <c r="AX420" s="319" t="e">
        <f t="shared" ca="1" si="388"/>
        <v>#NAME?</v>
      </c>
      <c r="AY420" s="318" t="e">
        <f t="shared" ca="1" si="389"/>
        <v>#NAME?</v>
      </c>
      <c r="AZ420" s="320" t="e">
        <f t="shared" ca="1" si="390"/>
        <v>#NAME?</v>
      </c>
      <c r="BA420" s="321" t="e">
        <f t="shared" ca="1" si="391"/>
        <v>#NAME?</v>
      </c>
      <c r="BB420" s="322" t="e">
        <f t="shared" ca="1" si="392"/>
        <v>#NAME?</v>
      </c>
      <c r="BC420" s="323">
        <v>75.196700000000007</v>
      </c>
      <c r="BD420" s="324" t="e">
        <f t="shared" ca="1" si="393"/>
        <v>#NAME?</v>
      </c>
      <c r="BE420" s="325" t="e">
        <f t="shared" ca="1" si="394"/>
        <v>#NAME?</v>
      </c>
      <c r="BF420" s="324" t="e">
        <f ca="1">BicubicInterpolation('TSFC Eff Table'!$B$4:$E$69,2,BB420)</f>
        <v>#NAME?</v>
      </c>
      <c r="BG420" s="326" t="e">
        <f t="shared" ca="1" si="395"/>
        <v>#NAME?</v>
      </c>
      <c r="BH420" s="694" t="e">
        <f ca="1">IF( S420="LRCINOP",   (1+(0.03/10)*Z420*(1+0.2*AC420^2) )*BicubicInterpolation( 'LRC INOP FF'!$C$4:$AA$21, Y420, U420 )-200, IF(S420 ="HOLDINGINOP", (1+(0.03/10)*Z420*(1+0.2*AC420^2) )*BicubicInterpolation( 'Holding INOP FF'!$C$4:$J$13,  Y420,  U420)/1.05-200,   BA420*BG420))</f>
        <v>#NAME?</v>
      </c>
      <c r="BI420" s="344" t="e">
        <f t="shared" ca="1" si="354"/>
        <v>#NAME?</v>
      </c>
      <c r="BJ420" s="322" t="e">
        <f t="shared" ca="1" si="396"/>
        <v>#NAME?</v>
      </c>
      <c r="BK420" s="338" t="e">
        <f t="shared" ca="1" si="355"/>
        <v>#NAME?</v>
      </c>
      <c r="BL420" s="327" t="e">
        <f t="shared" ca="1" si="397"/>
        <v>#NAME?</v>
      </c>
      <c r="BM420" s="328">
        <f t="shared" si="398"/>
        <v>200</v>
      </c>
      <c r="BN420" s="329" t="e">
        <f t="shared" ca="1" si="399"/>
        <v>#NAME?</v>
      </c>
      <c r="BO420" s="344" t="e">
        <f t="shared" ca="1" si="356"/>
        <v>#NAME?</v>
      </c>
      <c r="BP420" s="320" t="e">
        <f t="shared" ca="1" si="400"/>
        <v>#NAME?</v>
      </c>
      <c r="BQ420" s="344" t="e">
        <f t="shared" ca="1" si="357"/>
        <v>#NAME?</v>
      </c>
      <c r="BR420" s="347" t="e">
        <f t="shared" ca="1" si="358"/>
        <v>#NAME?</v>
      </c>
      <c r="BS420" s="326" t="e">
        <f t="shared" ca="1" si="401"/>
        <v>#NAME?</v>
      </c>
      <c r="BT420" s="437" t="e">
        <f t="shared" ca="1" si="371"/>
        <v>#NAME?</v>
      </c>
      <c r="BU420" s="437" t="e">
        <f t="shared" ca="1" si="372"/>
        <v>#NAME?</v>
      </c>
      <c r="BV420" s="441" t="e">
        <f t="shared" ca="1" si="373"/>
        <v>#NAME?</v>
      </c>
      <c r="BW420" s="442" t="e">
        <f t="shared" ca="1" si="374"/>
        <v>#NAME?</v>
      </c>
      <c r="BX420" s="470" t="e">
        <f t="shared" ca="1" si="347"/>
        <v>#NAME?</v>
      </c>
      <c r="BY420" s="484" t="e">
        <f t="shared" ca="1" si="359"/>
        <v>#NAME?</v>
      </c>
    </row>
    <row r="421" spans="9:77" ht="17.75" customHeight="1" x14ac:dyDescent="0.2">
      <c r="I421" s="366">
        <v>337</v>
      </c>
      <c r="J421" s="414">
        <f t="shared" si="360"/>
        <v>41705.946527778542</v>
      </c>
      <c r="K421" s="435" t="e">
        <f t="shared" ca="1" si="361"/>
        <v>#NAME?</v>
      </c>
      <c r="L421" s="435" t="e">
        <f t="shared" ca="1" si="348"/>
        <v>#NAME?</v>
      </c>
      <c r="M421" s="664" t="e">
        <f t="shared" ca="1" si="340"/>
        <v>#NAME?</v>
      </c>
      <c r="N421" s="664" t="e">
        <f t="shared" ca="1" si="341"/>
        <v>#NAME?</v>
      </c>
      <c r="O421" s="140" t="e">
        <f t="shared" ca="1" si="349"/>
        <v>#NAME?</v>
      </c>
      <c r="P421" s="352" t="e">
        <f t="shared" ca="1" si="362"/>
        <v>#NAME?</v>
      </c>
      <c r="Q421" s="665" t="e">
        <f t="shared" ca="1" si="342"/>
        <v>#NAME?</v>
      </c>
      <c r="R421" s="352" t="e">
        <f t="shared" ca="1" si="375"/>
        <v>#NAME?</v>
      </c>
      <c r="S421" s="662" t="e">
        <f t="shared" ca="1" si="350"/>
        <v>#NAME?</v>
      </c>
      <c r="T421" s="443" t="e">
        <f t="shared" ca="1" si="343"/>
        <v>#NAME?</v>
      </c>
      <c r="U421" s="369" t="e">
        <f t="shared" ca="1" si="344"/>
        <v>#NAME?</v>
      </c>
      <c r="V421" s="454" t="e">
        <f t="shared" ca="1" si="351"/>
        <v>#NAME?</v>
      </c>
      <c r="W421" s="457">
        <f t="shared" si="352"/>
        <v>1000</v>
      </c>
      <c r="X421" s="463" t="e">
        <f t="shared" ca="1" si="353"/>
        <v>#NAME?</v>
      </c>
      <c r="Y421" s="455" t="e">
        <f t="shared" ca="1" si="363"/>
        <v>#NAME?</v>
      </c>
      <c r="Z421" s="699">
        <f t="shared" si="345"/>
        <v>8.5</v>
      </c>
      <c r="AA421" s="355" t="str">
        <f t="shared" si="346"/>
        <v>ON</v>
      </c>
      <c r="AB421" s="357">
        <f t="shared" si="376"/>
        <v>1.4999999999999999E-2</v>
      </c>
      <c r="AC421" s="356" t="e">
        <f ca="1">IF(  Y420=0,0,IF(OR(S421="KCAS",S421="INOP",S421="MEFE"),   ( (5*( (   (((1+0.2*(T421/661.4786)^2)^3.5 -1)  )/( (1-6.8755856*10^-6 *100*Y421)^5.2558797) +1)^(2/7) -1) )^0.5),IF(S421="MACH",T421, IF(S421="LRC",BicubicInterpolation( 'LRC Mach'!$C$4:$AL$21, Y421,U421),  IF(S421="MRC",BicubicInterpolation( 'MRC Mach'!$C$3:$T$18, Y421,U421),  IF(S421="M0.84",0.84,  IF(S421="CI52",BicubicInterpolation('CI=52 Mach'!$C$3:$T$18, Y421,U421),  IF(S421="HOLDING",BicubicInterpolation(  'Holding Mach'!$C$4:$M$13, Y421,U421),                         IF(S421="LRCINOP", BicubicInterpolation('LRC INOP Mach'!$C$4:$AA$21,Y421,U421), IF(S421="HOLDINGINOP",  BicubicInterpolation('Holding INOP Mach'!$N$4:$U$13,Y421,U421),         "XXX" )))))))   )))</f>
        <v>#NAME?</v>
      </c>
      <c r="AD421" s="313" t="e">
        <f t="shared" ca="1" si="377"/>
        <v>#NAME?</v>
      </c>
      <c r="AE421" s="314" t="e">
        <f t="shared" ca="1" si="364"/>
        <v>#NAME?</v>
      </c>
      <c r="AF421" s="313" t="e">
        <f t="shared" ca="1" si="378"/>
        <v>#NAME?</v>
      </c>
      <c r="AG421" s="314" t="e">
        <f t="shared" ca="1" si="365"/>
        <v>#NAME?</v>
      </c>
      <c r="AH421" s="313" t="e">
        <f t="shared" ca="1" si="379"/>
        <v>#NAME?</v>
      </c>
      <c r="AI421" s="314" t="e">
        <f t="shared" ca="1" si="366"/>
        <v>#NAME?</v>
      </c>
      <c r="AJ421" s="315" t="e">
        <f t="shared" ca="1" si="367"/>
        <v>#NAME?</v>
      </c>
      <c r="AK421" s="568" t="e">
        <f t="shared" ca="1" si="380"/>
        <v>#NAME?</v>
      </c>
      <c r="AL421" s="313" t="e">
        <f t="shared" ca="1" si="381"/>
        <v>#NAME?</v>
      </c>
      <c r="AM421" s="313" t="e">
        <f t="shared" ca="1" si="368"/>
        <v>#NAME?</v>
      </c>
      <c r="AN421" s="313" t="e">
        <f t="shared" ca="1" si="369"/>
        <v>#NAME?</v>
      </c>
      <c r="AO421" s="316" t="e">
        <f t="shared" ca="1" si="382"/>
        <v>#NAME?</v>
      </c>
      <c r="AP421" s="313" t="e">
        <f t="shared" ca="1" si="383"/>
        <v>#NAME?</v>
      </c>
      <c r="AQ421" s="314" t="e">
        <f t="shared" ca="1" si="370"/>
        <v>#NAME?</v>
      </c>
      <c r="AR421" s="315" t="e">
        <f t="shared" ca="1" si="384"/>
        <v>#NAME?</v>
      </c>
      <c r="AS421" s="316" t="e">
        <f t="shared" ca="1" si="385"/>
        <v>#NAME?</v>
      </c>
      <c r="AT421" s="315" t="e">
        <f t="shared" ca="1" si="386"/>
        <v>#NAME?</v>
      </c>
      <c r="AU421" s="317">
        <v>427.8</v>
      </c>
      <c r="AV421" s="315" t="e">
        <f t="shared" ca="1" si="387"/>
        <v>#NAME?</v>
      </c>
      <c r="AW421" s="318" t="e">
        <f ca="1">0.0001*BicubicInterpolation('Drag Coef Table'!$B$4:$L$28,AV421,AC421)</f>
        <v>#NAME?</v>
      </c>
      <c r="AX421" s="319" t="e">
        <f t="shared" ca="1" si="388"/>
        <v>#NAME?</v>
      </c>
      <c r="AY421" s="318" t="e">
        <f t="shared" ca="1" si="389"/>
        <v>#NAME?</v>
      </c>
      <c r="AZ421" s="320" t="e">
        <f t="shared" ca="1" si="390"/>
        <v>#NAME?</v>
      </c>
      <c r="BA421" s="321" t="e">
        <f t="shared" ca="1" si="391"/>
        <v>#NAME?</v>
      </c>
      <c r="BB421" s="322" t="e">
        <f t="shared" ca="1" si="392"/>
        <v>#NAME?</v>
      </c>
      <c r="BC421" s="323">
        <v>75.196700000000007</v>
      </c>
      <c r="BD421" s="324" t="e">
        <f t="shared" ca="1" si="393"/>
        <v>#NAME?</v>
      </c>
      <c r="BE421" s="325" t="e">
        <f t="shared" ca="1" si="394"/>
        <v>#NAME?</v>
      </c>
      <c r="BF421" s="324" t="e">
        <f ca="1">BicubicInterpolation('TSFC Eff Table'!$B$4:$E$69,2,BB421)</f>
        <v>#NAME?</v>
      </c>
      <c r="BG421" s="326" t="e">
        <f t="shared" ca="1" si="395"/>
        <v>#NAME?</v>
      </c>
      <c r="BH421" s="694" t="e">
        <f ca="1">IF( S421="LRCINOP",   (1+(0.03/10)*Z421*(1+0.2*AC421^2) )*BicubicInterpolation( 'LRC INOP FF'!$C$4:$AA$21, Y421, U421 )-200, IF(S421 ="HOLDINGINOP", (1+(0.03/10)*Z421*(1+0.2*AC421^2) )*BicubicInterpolation( 'Holding INOP FF'!$C$4:$J$13,  Y421,  U421)/1.05-200,   BA421*BG421))</f>
        <v>#NAME?</v>
      </c>
      <c r="BI421" s="344" t="e">
        <f t="shared" ca="1" si="354"/>
        <v>#NAME?</v>
      </c>
      <c r="BJ421" s="322" t="e">
        <f t="shared" ca="1" si="396"/>
        <v>#NAME?</v>
      </c>
      <c r="BK421" s="338" t="e">
        <f t="shared" ca="1" si="355"/>
        <v>#NAME?</v>
      </c>
      <c r="BL421" s="327" t="e">
        <f t="shared" ca="1" si="397"/>
        <v>#NAME?</v>
      </c>
      <c r="BM421" s="328">
        <f t="shared" si="398"/>
        <v>200</v>
      </c>
      <c r="BN421" s="329" t="e">
        <f t="shared" ca="1" si="399"/>
        <v>#NAME?</v>
      </c>
      <c r="BO421" s="344" t="e">
        <f t="shared" ca="1" si="356"/>
        <v>#NAME?</v>
      </c>
      <c r="BP421" s="320" t="e">
        <f t="shared" ca="1" si="400"/>
        <v>#NAME?</v>
      </c>
      <c r="BQ421" s="344" t="e">
        <f t="shared" ca="1" si="357"/>
        <v>#NAME?</v>
      </c>
      <c r="BR421" s="347" t="e">
        <f t="shared" ca="1" si="358"/>
        <v>#NAME?</v>
      </c>
      <c r="BS421" s="326" t="e">
        <f t="shared" ca="1" si="401"/>
        <v>#NAME?</v>
      </c>
      <c r="BT421" s="437" t="e">
        <f t="shared" ca="1" si="371"/>
        <v>#NAME?</v>
      </c>
      <c r="BU421" s="437" t="e">
        <f t="shared" ca="1" si="372"/>
        <v>#NAME?</v>
      </c>
      <c r="BV421" s="441" t="e">
        <f t="shared" ca="1" si="373"/>
        <v>#NAME?</v>
      </c>
      <c r="BW421" s="442" t="e">
        <f t="shared" ca="1" si="374"/>
        <v>#NAME?</v>
      </c>
      <c r="BX421" s="470" t="e">
        <f t="shared" ca="1" si="347"/>
        <v>#NAME?</v>
      </c>
      <c r="BY421" s="484" t="e">
        <f t="shared" ca="1" si="359"/>
        <v>#NAME?</v>
      </c>
    </row>
    <row r="422" spans="9:77" ht="17.75" customHeight="1" x14ac:dyDescent="0.2">
      <c r="I422" s="366">
        <v>338</v>
      </c>
      <c r="J422" s="414">
        <f t="shared" si="360"/>
        <v>41705.947222222989</v>
      </c>
      <c r="K422" s="435" t="e">
        <f t="shared" ca="1" si="361"/>
        <v>#NAME?</v>
      </c>
      <c r="L422" s="435" t="e">
        <f t="shared" ca="1" si="348"/>
        <v>#NAME?</v>
      </c>
      <c r="M422" s="664" t="e">
        <f t="shared" ca="1" si="340"/>
        <v>#NAME?</v>
      </c>
      <c r="N422" s="664" t="e">
        <f t="shared" ca="1" si="341"/>
        <v>#NAME?</v>
      </c>
      <c r="O422" s="140" t="e">
        <f t="shared" ca="1" si="349"/>
        <v>#NAME?</v>
      </c>
      <c r="P422" s="352" t="e">
        <f t="shared" ca="1" si="362"/>
        <v>#NAME?</v>
      </c>
      <c r="Q422" s="665" t="e">
        <f t="shared" ca="1" si="342"/>
        <v>#NAME?</v>
      </c>
      <c r="R422" s="352" t="e">
        <f t="shared" ca="1" si="375"/>
        <v>#NAME?</v>
      </c>
      <c r="S422" s="662" t="e">
        <f t="shared" ca="1" si="350"/>
        <v>#NAME?</v>
      </c>
      <c r="T422" s="443" t="e">
        <f t="shared" ca="1" si="343"/>
        <v>#NAME?</v>
      </c>
      <c r="U422" s="369" t="e">
        <f t="shared" ca="1" si="344"/>
        <v>#NAME?</v>
      </c>
      <c r="V422" s="454" t="e">
        <f t="shared" ca="1" si="351"/>
        <v>#NAME?</v>
      </c>
      <c r="W422" s="457">
        <f t="shared" si="352"/>
        <v>1000</v>
      </c>
      <c r="X422" s="463" t="e">
        <f t="shared" ca="1" si="353"/>
        <v>#NAME?</v>
      </c>
      <c r="Y422" s="455" t="e">
        <f t="shared" ca="1" si="363"/>
        <v>#NAME?</v>
      </c>
      <c r="Z422" s="699">
        <f t="shared" si="345"/>
        <v>8.5</v>
      </c>
      <c r="AA422" s="355" t="str">
        <f t="shared" si="346"/>
        <v>ON</v>
      </c>
      <c r="AB422" s="357">
        <f t="shared" si="376"/>
        <v>1.4999999999999999E-2</v>
      </c>
      <c r="AC422" s="356" t="e">
        <f ca="1">IF(  Y421=0,0,IF(OR(S422="KCAS",S422="INOP",S422="MEFE"),   ( (5*( (   (((1+0.2*(T422/661.4786)^2)^3.5 -1)  )/( (1-6.8755856*10^-6 *100*Y422)^5.2558797) +1)^(2/7) -1) )^0.5),IF(S422="MACH",T422, IF(S422="LRC",BicubicInterpolation( 'LRC Mach'!$C$4:$AL$21, Y422,U422),  IF(S422="MRC",BicubicInterpolation( 'MRC Mach'!$C$3:$T$18, Y422,U422),  IF(S422="M0.84",0.84,  IF(S422="CI52",BicubicInterpolation('CI=52 Mach'!$C$3:$T$18, Y422,U422),  IF(S422="HOLDING",BicubicInterpolation(  'Holding Mach'!$C$4:$M$13, Y422,U422),                         IF(S422="LRCINOP", BicubicInterpolation('LRC INOP Mach'!$C$4:$AA$21,Y422,U422), IF(S422="HOLDINGINOP",  BicubicInterpolation('Holding INOP Mach'!$N$4:$U$13,Y422,U422),         "XXX" )))))))   )))</f>
        <v>#NAME?</v>
      </c>
      <c r="AD422" s="313" t="e">
        <f t="shared" ca="1" si="377"/>
        <v>#NAME?</v>
      </c>
      <c r="AE422" s="314" t="e">
        <f t="shared" ca="1" si="364"/>
        <v>#NAME?</v>
      </c>
      <c r="AF422" s="313" t="e">
        <f t="shared" ca="1" si="378"/>
        <v>#NAME?</v>
      </c>
      <c r="AG422" s="314" t="e">
        <f t="shared" ca="1" si="365"/>
        <v>#NAME?</v>
      </c>
      <c r="AH422" s="313" t="e">
        <f t="shared" ca="1" si="379"/>
        <v>#NAME?</v>
      </c>
      <c r="AI422" s="314" t="e">
        <f t="shared" ca="1" si="366"/>
        <v>#NAME?</v>
      </c>
      <c r="AJ422" s="315" t="e">
        <f t="shared" ca="1" si="367"/>
        <v>#NAME?</v>
      </c>
      <c r="AK422" s="568" t="e">
        <f t="shared" ca="1" si="380"/>
        <v>#NAME?</v>
      </c>
      <c r="AL422" s="313" t="e">
        <f t="shared" ca="1" si="381"/>
        <v>#NAME?</v>
      </c>
      <c r="AM422" s="313" t="e">
        <f t="shared" ca="1" si="368"/>
        <v>#NAME?</v>
      </c>
      <c r="AN422" s="313" t="e">
        <f t="shared" ca="1" si="369"/>
        <v>#NAME?</v>
      </c>
      <c r="AO422" s="316" t="e">
        <f t="shared" ca="1" si="382"/>
        <v>#NAME?</v>
      </c>
      <c r="AP422" s="313" t="e">
        <f t="shared" ca="1" si="383"/>
        <v>#NAME?</v>
      </c>
      <c r="AQ422" s="314" t="e">
        <f t="shared" ca="1" si="370"/>
        <v>#NAME?</v>
      </c>
      <c r="AR422" s="315" t="e">
        <f t="shared" ca="1" si="384"/>
        <v>#NAME?</v>
      </c>
      <c r="AS422" s="316" t="e">
        <f t="shared" ca="1" si="385"/>
        <v>#NAME?</v>
      </c>
      <c r="AT422" s="315" t="e">
        <f t="shared" ca="1" si="386"/>
        <v>#NAME?</v>
      </c>
      <c r="AU422" s="317">
        <v>427.8</v>
      </c>
      <c r="AV422" s="315" t="e">
        <f t="shared" ca="1" si="387"/>
        <v>#NAME?</v>
      </c>
      <c r="AW422" s="318" t="e">
        <f ca="1">0.0001*BicubicInterpolation('Drag Coef Table'!$B$4:$L$28,AV422,AC422)</f>
        <v>#NAME?</v>
      </c>
      <c r="AX422" s="319" t="e">
        <f t="shared" ca="1" si="388"/>
        <v>#NAME?</v>
      </c>
      <c r="AY422" s="318" t="e">
        <f t="shared" ca="1" si="389"/>
        <v>#NAME?</v>
      </c>
      <c r="AZ422" s="320" t="e">
        <f t="shared" ca="1" si="390"/>
        <v>#NAME?</v>
      </c>
      <c r="BA422" s="321" t="e">
        <f t="shared" ca="1" si="391"/>
        <v>#NAME?</v>
      </c>
      <c r="BB422" s="322" t="e">
        <f t="shared" ca="1" si="392"/>
        <v>#NAME?</v>
      </c>
      <c r="BC422" s="323">
        <v>75.196700000000007</v>
      </c>
      <c r="BD422" s="324" t="e">
        <f t="shared" ca="1" si="393"/>
        <v>#NAME?</v>
      </c>
      <c r="BE422" s="325" t="e">
        <f t="shared" ca="1" si="394"/>
        <v>#NAME?</v>
      </c>
      <c r="BF422" s="324" t="e">
        <f ca="1">BicubicInterpolation('TSFC Eff Table'!$B$4:$E$69,2,BB422)</f>
        <v>#NAME?</v>
      </c>
      <c r="BG422" s="326" t="e">
        <f t="shared" ca="1" si="395"/>
        <v>#NAME?</v>
      </c>
      <c r="BH422" s="694" t="e">
        <f ca="1">IF( S422="LRCINOP",   (1+(0.03/10)*Z422*(1+0.2*AC422^2) )*BicubicInterpolation( 'LRC INOP FF'!$C$4:$AA$21, Y422, U422 )-200, IF(S422 ="HOLDINGINOP", (1+(0.03/10)*Z422*(1+0.2*AC422^2) )*BicubicInterpolation( 'Holding INOP FF'!$C$4:$J$13,  Y422,  U422)/1.05-200,   BA422*BG422))</f>
        <v>#NAME?</v>
      </c>
      <c r="BI422" s="344" t="e">
        <f t="shared" ca="1" si="354"/>
        <v>#NAME?</v>
      </c>
      <c r="BJ422" s="322" t="e">
        <f t="shared" ca="1" si="396"/>
        <v>#NAME?</v>
      </c>
      <c r="BK422" s="338" t="e">
        <f t="shared" ca="1" si="355"/>
        <v>#NAME?</v>
      </c>
      <c r="BL422" s="327" t="e">
        <f t="shared" ca="1" si="397"/>
        <v>#NAME?</v>
      </c>
      <c r="BM422" s="328">
        <f t="shared" si="398"/>
        <v>200</v>
      </c>
      <c r="BN422" s="329" t="e">
        <f t="shared" ca="1" si="399"/>
        <v>#NAME?</v>
      </c>
      <c r="BO422" s="344" t="e">
        <f t="shared" ca="1" si="356"/>
        <v>#NAME?</v>
      </c>
      <c r="BP422" s="320" t="e">
        <f t="shared" ca="1" si="400"/>
        <v>#NAME?</v>
      </c>
      <c r="BQ422" s="344" t="e">
        <f t="shared" ca="1" si="357"/>
        <v>#NAME?</v>
      </c>
      <c r="BR422" s="347" t="e">
        <f t="shared" ca="1" si="358"/>
        <v>#NAME?</v>
      </c>
      <c r="BS422" s="326" t="e">
        <f t="shared" ca="1" si="401"/>
        <v>#NAME?</v>
      </c>
      <c r="BT422" s="437" t="e">
        <f t="shared" ca="1" si="371"/>
        <v>#NAME?</v>
      </c>
      <c r="BU422" s="437" t="e">
        <f t="shared" ca="1" si="372"/>
        <v>#NAME?</v>
      </c>
      <c r="BV422" s="441" t="e">
        <f t="shared" ca="1" si="373"/>
        <v>#NAME?</v>
      </c>
      <c r="BW422" s="442" t="e">
        <f t="shared" ca="1" si="374"/>
        <v>#NAME?</v>
      </c>
      <c r="BX422" s="470" t="e">
        <f t="shared" ca="1" si="347"/>
        <v>#NAME?</v>
      </c>
      <c r="BY422" s="484" t="e">
        <f t="shared" ca="1" si="359"/>
        <v>#NAME?</v>
      </c>
    </row>
    <row r="423" spans="9:77" ht="17.75" customHeight="1" x14ac:dyDescent="0.2">
      <c r="I423" s="366">
        <v>339</v>
      </c>
      <c r="J423" s="414">
        <f t="shared" si="360"/>
        <v>41705.947916667435</v>
      </c>
      <c r="K423" s="435" t="e">
        <f t="shared" ca="1" si="361"/>
        <v>#NAME?</v>
      </c>
      <c r="L423" s="435" t="e">
        <f t="shared" ca="1" si="348"/>
        <v>#NAME?</v>
      </c>
      <c r="M423" s="664" t="e">
        <f t="shared" ca="1" si="340"/>
        <v>#NAME?</v>
      </c>
      <c r="N423" s="664" t="e">
        <f t="shared" ca="1" si="341"/>
        <v>#NAME?</v>
      </c>
      <c r="O423" s="140" t="e">
        <f t="shared" ca="1" si="349"/>
        <v>#NAME?</v>
      </c>
      <c r="P423" s="352" t="e">
        <f t="shared" ca="1" si="362"/>
        <v>#NAME?</v>
      </c>
      <c r="Q423" s="665" t="e">
        <f t="shared" ca="1" si="342"/>
        <v>#NAME?</v>
      </c>
      <c r="R423" s="352" t="e">
        <f t="shared" ca="1" si="375"/>
        <v>#NAME?</v>
      </c>
      <c r="S423" s="662" t="e">
        <f t="shared" ca="1" si="350"/>
        <v>#NAME?</v>
      </c>
      <c r="T423" s="443" t="e">
        <f t="shared" ca="1" si="343"/>
        <v>#NAME?</v>
      </c>
      <c r="U423" s="369" t="e">
        <f t="shared" ca="1" si="344"/>
        <v>#NAME?</v>
      </c>
      <c r="V423" s="454" t="e">
        <f t="shared" ca="1" si="351"/>
        <v>#NAME?</v>
      </c>
      <c r="W423" s="457">
        <f t="shared" si="352"/>
        <v>1000</v>
      </c>
      <c r="X423" s="463" t="e">
        <f t="shared" ca="1" si="353"/>
        <v>#NAME?</v>
      </c>
      <c r="Y423" s="455" t="e">
        <f t="shared" ca="1" si="363"/>
        <v>#NAME?</v>
      </c>
      <c r="Z423" s="699">
        <f t="shared" si="345"/>
        <v>8.5</v>
      </c>
      <c r="AA423" s="355" t="str">
        <f t="shared" si="346"/>
        <v>ON</v>
      </c>
      <c r="AB423" s="357">
        <f t="shared" si="376"/>
        <v>1.4999999999999999E-2</v>
      </c>
      <c r="AC423" s="356" t="e">
        <f ca="1">IF(  Y422=0,0,IF(OR(S423="KCAS",S423="INOP",S423="MEFE"),   ( (5*( (   (((1+0.2*(T423/661.4786)^2)^3.5 -1)  )/( (1-6.8755856*10^-6 *100*Y423)^5.2558797) +1)^(2/7) -1) )^0.5),IF(S423="MACH",T423, IF(S423="LRC",BicubicInterpolation( 'LRC Mach'!$C$4:$AL$21, Y423,U423),  IF(S423="MRC",BicubicInterpolation( 'MRC Mach'!$C$3:$T$18, Y423,U423),  IF(S423="M0.84",0.84,  IF(S423="CI52",BicubicInterpolation('CI=52 Mach'!$C$3:$T$18, Y423,U423),  IF(S423="HOLDING",BicubicInterpolation(  'Holding Mach'!$C$4:$M$13, Y423,U423),                         IF(S423="LRCINOP", BicubicInterpolation('LRC INOP Mach'!$C$4:$AA$21,Y423,U423), IF(S423="HOLDINGINOP",  BicubicInterpolation('Holding INOP Mach'!$N$4:$U$13,Y423,U423),         "XXX" )))))))   )))</f>
        <v>#NAME?</v>
      </c>
      <c r="AD423" s="313" t="e">
        <f t="shared" ca="1" si="377"/>
        <v>#NAME?</v>
      </c>
      <c r="AE423" s="314" t="e">
        <f t="shared" ca="1" si="364"/>
        <v>#NAME?</v>
      </c>
      <c r="AF423" s="313" t="e">
        <f t="shared" ca="1" si="378"/>
        <v>#NAME?</v>
      </c>
      <c r="AG423" s="314" t="e">
        <f t="shared" ca="1" si="365"/>
        <v>#NAME?</v>
      </c>
      <c r="AH423" s="313" t="e">
        <f t="shared" ca="1" si="379"/>
        <v>#NAME?</v>
      </c>
      <c r="AI423" s="314" t="e">
        <f t="shared" ca="1" si="366"/>
        <v>#NAME?</v>
      </c>
      <c r="AJ423" s="315" t="e">
        <f t="shared" ca="1" si="367"/>
        <v>#NAME?</v>
      </c>
      <c r="AK423" s="568" t="e">
        <f t="shared" ca="1" si="380"/>
        <v>#NAME?</v>
      </c>
      <c r="AL423" s="313" t="e">
        <f t="shared" ca="1" si="381"/>
        <v>#NAME?</v>
      </c>
      <c r="AM423" s="313" t="e">
        <f t="shared" ca="1" si="368"/>
        <v>#NAME?</v>
      </c>
      <c r="AN423" s="313" t="e">
        <f t="shared" ca="1" si="369"/>
        <v>#NAME?</v>
      </c>
      <c r="AO423" s="316" t="e">
        <f t="shared" ca="1" si="382"/>
        <v>#NAME?</v>
      </c>
      <c r="AP423" s="313" t="e">
        <f t="shared" ca="1" si="383"/>
        <v>#NAME?</v>
      </c>
      <c r="AQ423" s="314" t="e">
        <f t="shared" ca="1" si="370"/>
        <v>#NAME?</v>
      </c>
      <c r="AR423" s="315" t="e">
        <f t="shared" ca="1" si="384"/>
        <v>#NAME?</v>
      </c>
      <c r="AS423" s="316" t="e">
        <f t="shared" ca="1" si="385"/>
        <v>#NAME?</v>
      </c>
      <c r="AT423" s="315" t="e">
        <f t="shared" ca="1" si="386"/>
        <v>#NAME?</v>
      </c>
      <c r="AU423" s="317">
        <v>427.8</v>
      </c>
      <c r="AV423" s="315" t="e">
        <f t="shared" ca="1" si="387"/>
        <v>#NAME?</v>
      </c>
      <c r="AW423" s="318" t="e">
        <f ca="1">0.0001*BicubicInterpolation('Drag Coef Table'!$B$4:$L$28,AV423,AC423)</f>
        <v>#NAME?</v>
      </c>
      <c r="AX423" s="319" t="e">
        <f t="shared" ca="1" si="388"/>
        <v>#NAME?</v>
      </c>
      <c r="AY423" s="318" t="e">
        <f t="shared" ca="1" si="389"/>
        <v>#NAME?</v>
      </c>
      <c r="AZ423" s="320" t="e">
        <f t="shared" ca="1" si="390"/>
        <v>#NAME?</v>
      </c>
      <c r="BA423" s="321" t="e">
        <f t="shared" ca="1" si="391"/>
        <v>#NAME?</v>
      </c>
      <c r="BB423" s="322" t="e">
        <f t="shared" ca="1" si="392"/>
        <v>#NAME?</v>
      </c>
      <c r="BC423" s="323">
        <v>75.196700000000007</v>
      </c>
      <c r="BD423" s="324" t="e">
        <f t="shared" ca="1" si="393"/>
        <v>#NAME?</v>
      </c>
      <c r="BE423" s="325" t="e">
        <f t="shared" ca="1" si="394"/>
        <v>#NAME?</v>
      </c>
      <c r="BF423" s="324" t="e">
        <f ca="1">BicubicInterpolation('TSFC Eff Table'!$B$4:$E$69,2,BB423)</f>
        <v>#NAME?</v>
      </c>
      <c r="BG423" s="326" t="e">
        <f t="shared" ca="1" si="395"/>
        <v>#NAME?</v>
      </c>
      <c r="BH423" s="694" t="e">
        <f ca="1">IF( S423="LRCINOP",   (1+(0.03/10)*Z423*(1+0.2*AC423^2) )*BicubicInterpolation( 'LRC INOP FF'!$C$4:$AA$21, Y423, U423 )-200, IF(S423 ="HOLDINGINOP", (1+(0.03/10)*Z423*(1+0.2*AC423^2) )*BicubicInterpolation( 'Holding INOP FF'!$C$4:$J$13,  Y423,  U423)/1.05-200,   BA423*BG423))</f>
        <v>#NAME?</v>
      </c>
      <c r="BI423" s="344" t="e">
        <f t="shared" ca="1" si="354"/>
        <v>#NAME?</v>
      </c>
      <c r="BJ423" s="322" t="e">
        <f t="shared" ca="1" si="396"/>
        <v>#NAME?</v>
      </c>
      <c r="BK423" s="338" t="e">
        <f t="shared" ca="1" si="355"/>
        <v>#NAME?</v>
      </c>
      <c r="BL423" s="327" t="e">
        <f t="shared" ca="1" si="397"/>
        <v>#NAME?</v>
      </c>
      <c r="BM423" s="328">
        <f t="shared" si="398"/>
        <v>200</v>
      </c>
      <c r="BN423" s="329" t="e">
        <f t="shared" ca="1" si="399"/>
        <v>#NAME?</v>
      </c>
      <c r="BO423" s="344" t="e">
        <f t="shared" ca="1" si="356"/>
        <v>#NAME?</v>
      </c>
      <c r="BP423" s="320" t="e">
        <f t="shared" ca="1" si="400"/>
        <v>#NAME?</v>
      </c>
      <c r="BQ423" s="344" t="e">
        <f t="shared" ca="1" si="357"/>
        <v>#NAME?</v>
      </c>
      <c r="BR423" s="347" t="e">
        <f t="shared" ca="1" si="358"/>
        <v>#NAME?</v>
      </c>
      <c r="BS423" s="326" t="e">
        <f t="shared" ca="1" si="401"/>
        <v>#NAME?</v>
      </c>
      <c r="BT423" s="437" t="e">
        <f t="shared" ca="1" si="371"/>
        <v>#NAME?</v>
      </c>
      <c r="BU423" s="437" t="e">
        <f t="shared" ca="1" si="372"/>
        <v>#NAME?</v>
      </c>
      <c r="BV423" s="441" t="e">
        <f t="shared" ca="1" si="373"/>
        <v>#NAME?</v>
      </c>
      <c r="BW423" s="442" t="e">
        <f t="shared" ca="1" si="374"/>
        <v>#NAME?</v>
      </c>
      <c r="BX423" s="470" t="e">
        <f t="shared" ca="1" si="347"/>
        <v>#NAME?</v>
      </c>
      <c r="BY423" s="484" t="e">
        <f t="shared" ca="1" si="359"/>
        <v>#NAME?</v>
      </c>
    </row>
    <row r="424" spans="9:77" ht="17.75" customHeight="1" x14ac:dyDescent="0.2">
      <c r="I424" s="366">
        <v>340</v>
      </c>
      <c r="J424" s="414">
        <f t="shared" si="360"/>
        <v>41705.948611111882</v>
      </c>
      <c r="K424" s="435" t="e">
        <f t="shared" ca="1" si="361"/>
        <v>#NAME?</v>
      </c>
      <c r="L424" s="435" t="e">
        <f t="shared" ca="1" si="348"/>
        <v>#NAME?</v>
      </c>
      <c r="M424" s="664" t="e">
        <f t="shared" ca="1" si="340"/>
        <v>#NAME?</v>
      </c>
      <c r="N424" s="664" t="e">
        <f t="shared" ca="1" si="341"/>
        <v>#NAME?</v>
      </c>
      <c r="O424" s="140" t="e">
        <f t="shared" ca="1" si="349"/>
        <v>#NAME?</v>
      </c>
      <c r="P424" s="352" t="e">
        <f t="shared" ca="1" si="362"/>
        <v>#NAME?</v>
      </c>
      <c r="Q424" s="665" t="e">
        <f t="shared" ca="1" si="342"/>
        <v>#NAME?</v>
      </c>
      <c r="R424" s="352" t="e">
        <f t="shared" ca="1" si="375"/>
        <v>#NAME?</v>
      </c>
      <c r="S424" s="662" t="e">
        <f t="shared" ca="1" si="350"/>
        <v>#NAME?</v>
      </c>
      <c r="T424" s="443" t="e">
        <f t="shared" ca="1" si="343"/>
        <v>#NAME?</v>
      </c>
      <c r="U424" s="369" t="e">
        <f t="shared" ca="1" si="344"/>
        <v>#NAME?</v>
      </c>
      <c r="V424" s="454" t="e">
        <f t="shared" ca="1" si="351"/>
        <v>#NAME?</v>
      </c>
      <c r="W424" s="457">
        <f t="shared" si="352"/>
        <v>1000</v>
      </c>
      <c r="X424" s="463" t="e">
        <f t="shared" ca="1" si="353"/>
        <v>#NAME?</v>
      </c>
      <c r="Y424" s="455" t="e">
        <f t="shared" ca="1" si="363"/>
        <v>#NAME?</v>
      </c>
      <c r="Z424" s="699">
        <f t="shared" si="345"/>
        <v>8.5</v>
      </c>
      <c r="AA424" s="355" t="str">
        <f t="shared" si="346"/>
        <v>ON</v>
      </c>
      <c r="AB424" s="357">
        <f t="shared" si="376"/>
        <v>1.4999999999999999E-2</v>
      </c>
      <c r="AC424" s="356" t="e">
        <f ca="1">IF(  Y423=0,0,IF(OR(S424="KCAS",S424="INOP",S424="MEFE"),   ( (5*( (   (((1+0.2*(T424/661.4786)^2)^3.5 -1)  )/( (1-6.8755856*10^-6 *100*Y424)^5.2558797) +1)^(2/7) -1) )^0.5),IF(S424="MACH",T424, IF(S424="LRC",BicubicInterpolation( 'LRC Mach'!$C$4:$AL$21, Y424,U424),  IF(S424="MRC",BicubicInterpolation( 'MRC Mach'!$C$3:$T$18, Y424,U424),  IF(S424="M0.84",0.84,  IF(S424="CI52",BicubicInterpolation('CI=52 Mach'!$C$3:$T$18, Y424,U424),  IF(S424="HOLDING",BicubicInterpolation(  'Holding Mach'!$C$4:$M$13, Y424,U424),                         IF(S424="LRCINOP", BicubicInterpolation('LRC INOP Mach'!$C$4:$AA$21,Y424,U424), IF(S424="HOLDINGINOP",  BicubicInterpolation('Holding INOP Mach'!$N$4:$U$13,Y424,U424),         "XXX" )))))))   )))</f>
        <v>#NAME?</v>
      </c>
      <c r="AD424" s="313" t="e">
        <f t="shared" ca="1" si="377"/>
        <v>#NAME?</v>
      </c>
      <c r="AE424" s="314" t="e">
        <f t="shared" ca="1" si="364"/>
        <v>#NAME?</v>
      </c>
      <c r="AF424" s="313" t="e">
        <f t="shared" ca="1" si="378"/>
        <v>#NAME?</v>
      </c>
      <c r="AG424" s="314" t="e">
        <f t="shared" ca="1" si="365"/>
        <v>#NAME?</v>
      </c>
      <c r="AH424" s="313" t="e">
        <f t="shared" ca="1" si="379"/>
        <v>#NAME?</v>
      </c>
      <c r="AI424" s="314" t="e">
        <f t="shared" ca="1" si="366"/>
        <v>#NAME?</v>
      </c>
      <c r="AJ424" s="315" t="e">
        <f t="shared" ca="1" si="367"/>
        <v>#NAME?</v>
      </c>
      <c r="AK424" s="568" t="e">
        <f t="shared" ca="1" si="380"/>
        <v>#NAME?</v>
      </c>
      <c r="AL424" s="313" t="e">
        <f t="shared" ca="1" si="381"/>
        <v>#NAME?</v>
      </c>
      <c r="AM424" s="313" t="e">
        <f t="shared" ca="1" si="368"/>
        <v>#NAME?</v>
      </c>
      <c r="AN424" s="313" t="e">
        <f t="shared" ca="1" si="369"/>
        <v>#NAME?</v>
      </c>
      <c r="AO424" s="316" t="e">
        <f t="shared" ca="1" si="382"/>
        <v>#NAME?</v>
      </c>
      <c r="AP424" s="313" t="e">
        <f t="shared" ca="1" si="383"/>
        <v>#NAME?</v>
      </c>
      <c r="AQ424" s="314" t="e">
        <f t="shared" ca="1" si="370"/>
        <v>#NAME?</v>
      </c>
      <c r="AR424" s="315" t="e">
        <f t="shared" ca="1" si="384"/>
        <v>#NAME?</v>
      </c>
      <c r="AS424" s="316" t="e">
        <f t="shared" ca="1" si="385"/>
        <v>#NAME?</v>
      </c>
      <c r="AT424" s="315" t="e">
        <f t="shared" ca="1" si="386"/>
        <v>#NAME?</v>
      </c>
      <c r="AU424" s="317">
        <v>427.8</v>
      </c>
      <c r="AV424" s="315" t="e">
        <f t="shared" ca="1" si="387"/>
        <v>#NAME?</v>
      </c>
      <c r="AW424" s="318" t="e">
        <f ca="1">0.0001*BicubicInterpolation('Drag Coef Table'!$B$4:$L$28,AV424,AC424)</f>
        <v>#NAME?</v>
      </c>
      <c r="AX424" s="319" t="e">
        <f t="shared" ca="1" si="388"/>
        <v>#NAME?</v>
      </c>
      <c r="AY424" s="318" t="e">
        <f t="shared" ca="1" si="389"/>
        <v>#NAME?</v>
      </c>
      <c r="AZ424" s="320" t="e">
        <f t="shared" ca="1" si="390"/>
        <v>#NAME?</v>
      </c>
      <c r="BA424" s="321" t="e">
        <f t="shared" ca="1" si="391"/>
        <v>#NAME?</v>
      </c>
      <c r="BB424" s="322" t="e">
        <f t="shared" ca="1" si="392"/>
        <v>#NAME?</v>
      </c>
      <c r="BC424" s="323">
        <v>75.196700000000007</v>
      </c>
      <c r="BD424" s="324" t="e">
        <f t="shared" ca="1" si="393"/>
        <v>#NAME?</v>
      </c>
      <c r="BE424" s="325" t="e">
        <f t="shared" ca="1" si="394"/>
        <v>#NAME?</v>
      </c>
      <c r="BF424" s="324" t="e">
        <f ca="1">BicubicInterpolation('TSFC Eff Table'!$B$4:$E$69,2,BB424)</f>
        <v>#NAME?</v>
      </c>
      <c r="BG424" s="326" t="e">
        <f t="shared" ca="1" si="395"/>
        <v>#NAME?</v>
      </c>
      <c r="BH424" s="694" t="e">
        <f ca="1">IF( S424="LRCINOP",   (1+(0.03/10)*Z424*(1+0.2*AC424^2) )*BicubicInterpolation( 'LRC INOP FF'!$C$4:$AA$21, Y424, U424 )-200, IF(S424 ="HOLDINGINOP", (1+(0.03/10)*Z424*(1+0.2*AC424^2) )*BicubicInterpolation( 'Holding INOP FF'!$C$4:$J$13,  Y424,  U424)/1.05-200,   BA424*BG424))</f>
        <v>#NAME?</v>
      </c>
      <c r="BI424" s="344" t="e">
        <f t="shared" ca="1" si="354"/>
        <v>#NAME?</v>
      </c>
      <c r="BJ424" s="322" t="e">
        <f t="shared" ca="1" si="396"/>
        <v>#NAME?</v>
      </c>
      <c r="BK424" s="338" t="e">
        <f t="shared" ca="1" si="355"/>
        <v>#NAME?</v>
      </c>
      <c r="BL424" s="327" t="e">
        <f t="shared" ca="1" si="397"/>
        <v>#NAME?</v>
      </c>
      <c r="BM424" s="328">
        <f t="shared" si="398"/>
        <v>200</v>
      </c>
      <c r="BN424" s="329" t="e">
        <f t="shared" ca="1" si="399"/>
        <v>#NAME?</v>
      </c>
      <c r="BO424" s="344" t="e">
        <f t="shared" ca="1" si="356"/>
        <v>#NAME?</v>
      </c>
      <c r="BP424" s="320" t="e">
        <f t="shared" ca="1" si="400"/>
        <v>#NAME?</v>
      </c>
      <c r="BQ424" s="344" t="e">
        <f t="shared" ca="1" si="357"/>
        <v>#NAME?</v>
      </c>
      <c r="BR424" s="347" t="e">
        <f t="shared" ca="1" si="358"/>
        <v>#NAME?</v>
      </c>
      <c r="BS424" s="326" t="e">
        <f t="shared" ca="1" si="401"/>
        <v>#NAME?</v>
      </c>
      <c r="BT424" s="437" t="e">
        <f t="shared" ca="1" si="371"/>
        <v>#NAME?</v>
      </c>
      <c r="BU424" s="437" t="e">
        <f t="shared" ca="1" si="372"/>
        <v>#NAME?</v>
      </c>
      <c r="BV424" s="441" t="e">
        <f t="shared" ca="1" si="373"/>
        <v>#NAME?</v>
      </c>
      <c r="BW424" s="442" t="e">
        <f t="shared" ca="1" si="374"/>
        <v>#NAME?</v>
      </c>
      <c r="BX424" s="470" t="e">
        <f t="shared" ca="1" si="347"/>
        <v>#NAME?</v>
      </c>
      <c r="BY424" s="484" t="e">
        <f t="shared" ca="1" si="359"/>
        <v>#NAME?</v>
      </c>
    </row>
    <row r="425" spans="9:77" ht="17.75" customHeight="1" x14ac:dyDescent="0.2">
      <c r="I425" s="366">
        <v>341</v>
      </c>
      <c r="J425" s="414">
        <f t="shared" si="360"/>
        <v>41705.949305556329</v>
      </c>
      <c r="K425" s="435" t="e">
        <f t="shared" ca="1" si="361"/>
        <v>#NAME?</v>
      </c>
      <c r="L425" s="435" t="e">
        <f t="shared" ca="1" si="348"/>
        <v>#NAME?</v>
      </c>
      <c r="M425" s="664" t="e">
        <f t="shared" ref="M425:M488" ca="1" si="402">IF(  AND(OR(S424="LRCINOP",S424="HOLDINGINOP"),NOT(S424=S423), $C$35="L"), 0,   IF(  AND(OR(S424="LRCINOP",S424="HOLDINGINOP"),NOT(S424=S423), $C$35="R"),  MAX(M424-K424/1000+N424,0),MAX(M424-K424/1000,0)   ))</f>
        <v>#NAME?</v>
      </c>
      <c r="N425" s="664" t="e">
        <f t="shared" ref="N425:N488" ca="1" si="403">IF(  AND(OR(S424="LRCINOP",S424="HOLDINGINOP"),NOT(S424=S423), $C$35="R"), 0,   IF(  AND(OR(S424="LRCINOP",S424="HOLDINGINOP"),NOT(S424=S423), $C$35="L"),  MAX(N424-L424/1000+M424,0),MAX(N424-L424/1000,0)   ))</f>
        <v>#NAME?</v>
      </c>
      <c r="O425" s="140" t="e">
        <f t="shared" ca="1" si="349"/>
        <v>#NAME?</v>
      </c>
      <c r="P425" s="352" t="e">
        <f t="shared" ca="1" si="362"/>
        <v>#NAME?</v>
      </c>
      <c r="Q425" s="665" t="e">
        <f t="shared" ca="1" si="342"/>
        <v>#NAME?</v>
      </c>
      <c r="R425" s="352" t="e">
        <f t="shared" ca="1" si="375"/>
        <v>#NAME?</v>
      </c>
      <c r="S425" s="662" t="e">
        <f t="shared" ca="1" si="350"/>
        <v>#NAME?</v>
      </c>
      <c r="T425" s="443" t="e">
        <f t="shared" ca="1" si="343"/>
        <v>#NAME?</v>
      </c>
      <c r="U425" s="369" t="e">
        <f t="shared" ca="1" si="344"/>
        <v>#NAME?</v>
      </c>
      <c r="V425" s="454" t="e">
        <f t="shared" ca="1" si="351"/>
        <v>#NAME?</v>
      </c>
      <c r="W425" s="457">
        <f t="shared" si="352"/>
        <v>1000</v>
      </c>
      <c r="X425" s="463" t="e">
        <f t="shared" ca="1" si="353"/>
        <v>#NAME?</v>
      </c>
      <c r="Y425" s="455" t="e">
        <f t="shared" ca="1" si="363"/>
        <v>#NAME?</v>
      </c>
      <c r="Z425" s="699">
        <f t="shared" si="345"/>
        <v>8.5</v>
      </c>
      <c r="AA425" s="355" t="str">
        <f t="shared" si="346"/>
        <v>ON</v>
      </c>
      <c r="AB425" s="357">
        <f t="shared" si="376"/>
        <v>1.4999999999999999E-2</v>
      </c>
      <c r="AC425" s="356" t="e">
        <f ca="1">IF(  Y424=0,0,IF(OR(S425="KCAS",S425="INOP",S425="MEFE"),   ( (5*( (   (((1+0.2*(T425/661.4786)^2)^3.5 -1)  )/( (1-6.8755856*10^-6 *100*Y425)^5.2558797) +1)^(2/7) -1) )^0.5),IF(S425="MACH",T425, IF(S425="LRC",BicubicInterpolation( 'LRC Mach'!$C$4:$AL$21, Y425,U425),  IF(S425="MRC",BicubicInterpolation( 'MRC Mach'!$C$3:$T$18, Y425,U425),  IF(S425="M0.84",0.84,  IF(S425="CI52",BicubicInterpolation('CI=52 Mach'!$C$3:$T$18, Y425,U425),  IF(S425="HOLDING",BicubicInterpolation(  'Holding Mach'!$C$4:$M$13, Y425,U425),                         IF(S425="LRCINOP", BicubicInterpolation('LRC INOP Mach'!$C$4:$AA$21,Y425,U425), IF(S425="HOLDINGINOP",  BicubicInterpolation('Holding INOP Mach'!$N$4:$U$13,Y425,U425),         "XXX" )))))))   )))</f>
        <v>#NAME?</v>
      </c>
      <c r="AD425" s="313" t="e">
        <f t="shared" ca="1" si="377"/>
        <v>#NAME?</v>
      </c>
      <c r="AE425" s="314" t="e">
        <f t="shared" ca="1" si="364"/>
        <v>#NAME?</v>
      </c>
      <c r="AF425" s="313" t="e">
        <f t="shared" ca="1" si="378"/>
        <v>#NAME?</v>
      </c>
      <c r="AG425" s="314" t="e">
        <f t="shared" ca="1" si="365"/>
        <v>#NAME?</v>
      </c>
      <c r="AH425" s="313" t="e">
        <f t="shared" ca="1" si="379"/>
        <v>#NAME?</v>
      </c>
      <c r="AI425" s="314" t="e">
        <f t="shared" ca="1" si="366"/>
        <v>#NAME?</v>
      </c>
      <c r="AJ425" s="315" t="e">
        <f t="shared" ca="1" si="367"/>
        <v>#NAME?</v>
      </c>
      <c r="AK425" s="568" t="e">
        <f t="shared" ca="1" si="380"/>
        <v>#NAME?</v>
      </c>
      <c r="AL425" s="313" t="e">
        <f t="shared" ca="1" si="381"/>
        <v>#NAME?</v>
      </c>
      <c r="AM425" s="313" t="e">
        <f t="shared" ca="1" si="368"/>
        <v>#NAME?</v>
      </c>
      <c r="AN425" s="313" t="e">
        <f t="shared" ca="1" si="369"/>
        <v>#NAME?</v>
      </c>
      <c r="AO425" s="316" t="e">
        <f t="shared" ca="1" si="382"/>
        <v>#NAME?</v>
      </c>
      <c r="AP425" s="313" t="e">
        <f t="shared" ca="1" si="383"/>
        <v>#NAME?</v>
      </c>
      <c r="AQ425" s="314" t="e">
        <f t="shared" ca="1" si="370"/>
        <v>#NAME?</v>
      </c>
      <c r="AR425" s="315" t="e">
        <f t="shared" ca="1" si="384"/>
        <v>#NAME?</v>
      </c>
      <c r="AS425" s="316" t="e">
        <f t="shared" ca="1" si="385"/>
        <v>#NAME?</v>
      </c>
      <c r="AT425" s="315" t="e">
        <f t="shared" ca="1" si="386"/>
        <v>#NAME?</v>
      </c>
      <c r="AU425" s="317">
        <v>427.8</v>
      </c>
      <c r="AV425" s="315" t="e">
        <f t="shared" ca="1" si="387"/>
        <v>#NAME?</v>
      </c>
      <c r="AW425" s="318" t="e">
        <f ca="1">0.0001*BicubicInterpolation('Drag Coef Table'!$B$4:$L$28,AV425,AC425)</f>
        <v>#NAME?</v>
      </c>
      <c r="AX425" s="319" t="e">
        <f t="shared" ca="1" si="388"/>
        <v>#NAME?</v>
      </c>
      <c r="AY425" s="318" t="e">
        <f t="shared" ca="1" si="389"/>
        <v>#NAME?</v>
      </c>
      <c r="AZ425" s="320" t="e">
        <f t="shared" ca="1" si="390"/>
        <v>#NAME?</v>
      </c>
      <c r="BA425" s="321" t="e">
        <f t="shared" ca="1" si="391"/>
        <v>#NAME?</v>
      </c>
      <c r="BB425" s="322" t="e">
        <f t="shared" ca="1" si="392"/>
        <v>#NAME?</v>
      </c>
      <c r="BC425" s="323">
        <v>75.196700000000007</v>
      </c>
      <c r="BD425" s="324" t="e">
        <f t="shared" ca="1" si="393"/>
        <v>#NAME?</v>
      </c>
      <c r="BE425" s="325" t="e">
        <f t="shared" ca="1" si="394"/>
        <v>#NAME?</v>
      </c>
      <c r="BF425" s="324" t="e">
        <f ca="1">BicubicInterpolation('TSFC Eff Table'!$B$4:$E$69,2,BB425)</f>
        <v>#NAME?</v>
      </c>
      <c r="BG425" s="326" t="e">
        <f t="shared" ca="1" si="395"/>
        <v>#NAME?</v>
      </c>
      <c r="BH425" s="694" t="e">
        <f ca="1">IF( S425="LRCINOP",   (1+(0.03/10)*Z425*(1+0.2*AC425^2) )*BicubicInterpolation( 'LRC INOP FF'!$C$4:$AA$21, Y425, U425 )-200, IF(S425 ="HOLDINGINOP", (1+(0.03/10)*Z425*(1+0.2*AC425^2) )*BicubicInterpolation( 'Holding INOP FF'!$C$4:$J$13,  Y425,  U425)/1.05-200,   BA425*BG425))</f>
        <v>#NAME?</v>
      </c>
      <c r="BI425" s="344" t="e">
        <f t="shared" ca="1" si="354"/>
        <v>#NAME?</v>
      </c>
      <c r="BJ425" s="322" t="e">
        <f t="shared" ca="1" si="396"/>
        <v>#NAME?</v>
      </c>
      <c r="BK425" s="338" t="e">
        <f t="shared" ca="1" si="355"/>
        <v>#NAME?</v>
      </c>
      <c r="BL425" s="327" t="e">
        <f t="shared" ca="1" si="397"/>
        <v>#NAME?</v>
      </c>
      <c r="BM425" s="328">
        <f t="shared" si="398"/>
        <v>200</v>
      </c>
      <c r="BN425" s="329" t="e">
        <f t="shared" ca="1" si="399"/>
        <v>#NAME?</v>
      </c>
      <c r="BO425" s="344" t="e">
        <f t="shared" ca="1" si="356"/>
        <v>#NAME?</v>
      </c>
      <c r="BP425" s="320" t="e">
        <f t="shared" ca="1" si="400"/>
        <v>#NAME?</v>
      </c>
      <c r="BQ425" s="344" t="e">
        <f t="shared" ca="1" si="357"/>
        <v>#NAME?</v>
      </c>
      <c r="BR425" s="347" t="e">
        <f t="shared" ca="1" si="358"/>
        <v>#NAME?</v>
      </c>
      <c r="BS425" s="326" t="e">
        <f t="shared" ca="1" si="401"/>
        <v>#NAME?</v>
      </c>
      <c r="BT425" s="437" t="e">
        <f t="shared" ca="1" si="371"/>
        <v>#NAME?</v>
      </c>
      <c r="BU425" s="437" t="e">
        <f t="shared" ca="1" si="372"/>
        <v>#NAME?</v>
      </c>
      <c r="BV425" s="441" t="e">
        <f t="shared" ca="1" si="373"/>
        <v>#NAME?</v>
      </c>
      <c r="BW425" s="442" t="e">
        <f t="shared" ca="1" si="374"/>
        <v>#NAME?</v>
      </c>
      <c r="BX425" s="470" t="e">
        <f t="shared" ca="1" si="347"/>
        <v>#NAME?</v>
      </c>
      <c r="BY425" s="484" t="e">
        <f t="shared" ca="1" si="359"/>
        <v>#NAME?</v>
      </c>
    </row>
    <row r="426" spans="9:77" ht="17.75" customHeight="1" x14ac:dyDescent="0.2">
      <c r="I426" s="366">
        <v>342</v>
      </c>
      <c r="J426" s="414">
        <f t="shared" si="360"/>
        <v>41705.950000000776</v>
      </c>
      <c r="K426" s="435" t="e">
        <f t="shared" ca="1" si="361"/>
        <v>#NAME?</v>
      </c>
      <c r="L426" s="435" t="e">
        <f t="shared" ca="1" si="348"/>
        <v>#NAME?</v>
      </c>
      <c r="M426" s="664" t="e">
        <f t="shared" ca="1" si="402"/>
        <v>#NAME?</v>
      </c>
      <c r="N426" s="664" t="e">
        <f t="shared" ca="1" si="403"/>
        <v>#NAME?</v>
      </c>
      <c r="O426" s="140" t="e">
        <f t="shared" ca="1" si="349"/>
        <v>#NAME?</v>
      </c>
      <c r="P426" s="352" t="e">
        <f t="shared" ca="1" si="362"/>
        <v>#NAME?</v>
      </c>
      <c r="Q426" s="665" t="e">
        <f t="shared" ca="1" si="342"/>
        <v>#NAME?</v>
      </c>
      <c r="R426" s="352" t="e">
        <f t="shared" ca="1" si="375"/>
        <v>#NAME?</v>
      </c>
      <c r="S426" s="662" t="e">
        <f t="shared" ca="1" si="350"/>
        <v>#NAME?</v>
      </c>
      <c r="T426" s="443" t="e">
        <f t="shared" ca="1" si="343"/>
        <v>#NAME?</v>
      </c>
      <c r="U426" s="369" t="e">
        <f t="shared" ca="1" si="344"/>
        <v>#NAME?</v>
      </c>
      <c r="V426" s="454" t="e">
        <f t="shared" ca="1" si="351"/>
        <v>#NAME?</v>
      </c>
      <c r="W426" s="457">
        <f t="shared" si="352"/>
        <v>1000</v>
      </c>
      <c r="X426" s="463" t="e">
        <f t="shared" ca="1" si="353"/>
        <v>#NAME?</v>
      </c>
      <c r="Y426" s="455" t="e">
        <f t="shared" ca="1" si="363"/>
        <v>#NAME?</v>
      </c>
      <c r="Z426" s="699">
        <f t="shared" si="345"/>
        <v>8.5</v>
      </c>
      <c r="AA426" s="355" t="str">
        <f t="shared" si="346"/>
        <v>ON</v>
      </c>
      <c r="AB426" s="357">
        <f t="shared" si="376"/>
        <v>1.4999999999999999E-2</v>
      </c>
      <c r="AC426" s="356" t="e">
        <f ca="1">IF(  Y425=0,0,IF(OR(S426="KCAS",S426="INOP",S426="MEFE"),   ( (5*( (   (((1+0.2*(T426/661.4786)^2)^3.5 -1)  )/( (1-6.8755856*10^-6 *100*Y426)^5.2558797) +1)^(2/7) -1) )^0.5),IF(S426="MACH",T426, IF(S426="LRC",BicubicInterpolation( 'LRC Mach'!$C$4:$AL$21, Y426,U426),  IF(S426="MRC",BicubicInterpolation( 'MRC Mach'!$C$3:$T$18, Y426,U426),  IF(S426="M0.84",0.84,  IF(S426="CI52",BicubicInterpolation('CI=52 Mach'!$C$3:$T$18, Y426,U426),  IF(S426="HOLDING",BicubicInterpolation(  'Holding Mach'!$C$4:$M$13, Y426,U426),                         IF(S426="LRCINOP", BicubicInterpolation('LRC INOP Mach'!$C$4:$AA$21,Y426,U426), IF(S426="HOLDINGINOP",  BicubicInterpolation('Holding INOP Mach'!$N$4:$U$13,Y426,U426),         "XXX" )))))))   )))</f>
        <v>#NAME?</v>
      </c>
      <c r="AD426" s="313" t="e">
        <f t="shared" ca="1" si="377"/>
        <v>#NAME?</v>
      </c>
      <c r="AE426" s="314" t="e">
        <f t="shared" ca="1" si="364"/>
        <v>#NAME?</v>
      </c>
      <c r="AF426" s="313" t="e">
        <f t="shared" ca="1" si="378"/>
        <v>#NAME?</v>
      </c>
      <c r="AG426" s="314" t="e">
        <f t="shared" ca="1" si="365"/>
        <v>#NAME?</v>
      </c>
      <c r="AH426" s="313" t="e">
        <f t="shared" ca="1" si="379"/>
        <v>#NAME?</v>
      </c>
      <c r="AI426" s="314" t="e">
        <f t="shared" ca="1" si="366"/>
        <v>#NAME?</v>
      </c>
      <c r="AJ426" s="315" t="e">
        <f t="shared" ca="1" si="367"/>
        <v>#NAME?</v>
      </c>
      <c r="AK426" s="568" t="e">
        <f t="shared" ca="1" si="380"/>
        <v>#NAME?</v>
      </c>
      <c r="AL426" s="313" t="e">
        <f t="shared" ca="1" si="381"/>
        <v>#NAME?</v>
      </c>
      <c r="AM426" s="313" t="e">
        <f t="shared" ca="1" si="368"/>
        <v>#NAME?</v>
      </c>
      <c r="AN426" s="313" t="e">
        <f t="shared" ca="1" si="369"/>
        <v>#NAME?</v>
      </c>
      <c r="AO426" s="316" t="e">
        <f t="shared" ca="1" si="382"/>
        <v>#NAME?</v>
      </c>
      <c r="AP426" s="313" t="e">
        <f t="shared" ca="1" si="383"/>
        <v>#NAME?</v>
      </c>
      <c r="AQ426" s="314" t="e">
        <f t="shared" ca="1" si="370"/>
        <v>#NAME?</v>
      </c>
      <c r="AR426" s="315" t="e">
        <f t="shared" ca="1" si="384"/>
        <v>#NAME?</v>
      </c>
      <c r="AS426" s="316" t="e">
        <f t="shared" ca="1" si="385"/>
        <v>#NAME?</v>
      </c>
      <c r="AT426" s="315" t="e">
        <f t="shared" ca="1" si="386"/>
        <v>#NAME?</v>
      </c>
      <c r="AU426" s="317">
        <v>427.8</v>
      </c>
      <c r="AV426" s="315" t="e">
        <f t="shared" ca="1" si="387"/>
        <v>#NAME?</v>
      </c>
      <c r="AW426" s="318" t="e">
        <f ca="1">0.0001*BicubicInterpolation('Drag Coef Table'!$B$4:$L$28,AV426,AC426)</f>
        <v>#NAME?</v>
      </c>
      <c r="AX426" s="319" t="e">
        <f t="shared" ca="1" si="388"/>
        <v>#NAME?</v>
      </c>
      <c r="AY426" s="318" t="e">
        <f t="shared" ca="1" si="389"/>
        <v>#NAME?</v>
      </c>
      <c r="AZ426" s="320" t="e">
        <f t="shared" ca="1" si="390"/>
        <v>#NAME?</v>
      </c>
      <c r="BA426" s="321" t="e">
        <f t="shared" ca="1" si="391"/>
        <v>#NAME?</v>
      </c>
      <c r="BB426" s="322" t="e">
        <f t="shared" ca="1" si="392"/>
        <v>#NAME?</v>
      </c>
      <c r="BC426" s="323">
        <v>75.196700000000007</v>
      </c>
      <c r="BD426" s="324" t="e">
        <f t="shared" ca="1" si="393"/>
        <v>#NAME?</v>
      </c>
      <c r="BE426" s="325" t="e">
        <f t="shared" ca="1" si="394"/>
        <v>#NAME?</v>
      </c>
      <c r="BF426" s="324" t="e">
        <f ca="1">BicubicInterpolation('TSFC Eff Table'!$B$4:$E$69,2,BB426)</f>
        <v>#NAME?</v>
      </c>
      <c r="BG426" s="326" t="e">
        <f t="shared" ca="1" si="395"/>
        <v>#NAME?</v>
      </c>
      <c r="BH426" s="694" t="e">
        <f ca="1">IF( S426="LRCINOP",   (1+(0.03/10)*Z426*(1+0.2*AC426^2) )*BicubicInterpolation( 'LRC INOP FF'!$C$4:$AA$21, Y426, U426 )-200, IF(S426 ="HOLDINGINOP", (1+(0.03/10)*Z426*(1+0.2*AC426^2) )*BicubicInterpolation( 'Holding INOP FF'!$C$4:$J$13,  Y426,  U426)/1.05-200,   BA426*BG426))</f>
        <v>#NAME?</v>
      </c>
      <c r="BI426" s="344" t="e">
        <f t="shared" ca="1" si="354"/>
        <v>#NAME?</v>
      </c>
      <c r="BJ426" s="322" t="e">
        <f t="shared" ca="1" si="396"/>
        <v>#NAME?</v>
      </c>
      <c r="BK426" s="338" t="e">
        <f t="shared" ca="1" si="355"/>
        <v>#NAME?</v>
      </c>
      <c r="BL426" s="327" t="e">
        <f t="shared" ca="1" si="397"/>
        <v>#NAME?</v>
      </c>
      <c r="BM426" s="328">
        <f t="shared" si="398"/>
        <v>200</v>
      </c>
      <c r="BN426" s="329" t="e">
        <f t="shared" ca="1" si="399"/>
        <v>#NAME?</v>
      </c>
      <c r="BO426" s="344" t="e">
        <f t="shared" ca="1" si="356"/>
        <v>#NAME?</v>
      </c>
      <c r="BP426" s="320" t="e">
        <f t="shared" ca="1" si="400"/>
        <v>#NAME?</v>
      </c>
      <c r="BQ426" s="344" t="e">
        <f t="shared" ca="1" si="357"/>
        <v>#NAME?</v>
      </c>
      <c r="BR426" s="347" t="e">
        <f t="shared" ca="1" si="358"/>
        <v>#NAME?</v>
      </c>
      <c r="BS426" s="326" t="e">
        <f t="shared" ca="1" si="401"/>
        <v>#NAME?</v>
      </c>
      <c r="BT426" s="437" t="e">
        <f t="shared" ca="1" si="371"/>
        <v>#NAME?</v>
      </c>
      <c r="BU426" s="437" t="e">
        <f t="shared" ca="1" si="372"/>
        <v>#NAME?</v>
      </c>
      <c r="BV426" s="441" t="e">
        <f t="shared" ca="1" si="373"/>
        <v>#NAME?</v>
      </c>
      <c r="BW426" s="442" t="e">
        <f t="shared" ca="1" si="374"/>
        <v>#NAME?</v>
      </c>
      <c r="BX426" s="470" t="e">
        <f t="shared" ca="1" si="347"/>
        <v>#NAME?</v>
      </c>
      <c r="BY426" s="484" t="e">
        <f t="shared" ca="1" si="359"/>
        <v>#NAME?</v>
      </c>
    </row>
    <row r="427" spans="9:77" ht="17.75" customHeight="1" x14ac:dyDescent="0.2">
      <c r="I427" s="366">
        <v>343</v>
      </c>
      <c r="J427" s="414">
        <f t="shared" si="360"/>
        <v>41705.950694445222</v>
      </c>
      <c r="K427" s="435" t="e">
        <f t="shared" ca="1" si="361"/>
        <v>#NAME?</v>
      </c>
      <c r="L427" s="435" t="e">
        <f t="shared" ca="1" si="348"/>
        <v>#NAME?</v>
      </c>
      <c r="M427" s="664" t="e">
        <f t="shared" ca="1" si="402"/>
        <v>#NAME?</v>
      </c>
      <c r="N427" s="664" t="e">
        <f t="shared" ca="1" si="403"/>
        <v>#NAME?</v>
      </c>
      <c r="O427" s="140" t="e">
        <f t="shared" ca="1" si="349"/>
        <v>#NAME?</v>
      </c>
      <c r="P427" s="352" t="e">
        <f t="shared" ca="1" si="362"/>
        <v>#NAME?</v>
      </c>
      <c r="Q427" s="665" t="e">
        <f t="shared" ca="1" si="342"/>
        <v>#NAME?</v>
      </c>
      <c r="R427" s="352" t="e">
        <f t="shared" ca="1" si="375"/>
        <v>#NAME?</v>
      </c>
      <c r="S427" s="662" t="e">
        <f t="shared" ca="1" si="350"/>
        <v>#NAME?</v>
      </c>
      <c r="T427" s="443" t="e">
        <f t="shared" ca="1" si="343"/>
        <v>#NAME?</v>
      </c>
      <c r="U427" s="369" t="e">
        <f t="shared" ca="1" si="344"/>
        <v>#NAME?</v>
      </c>
      <c r="V427" s="454" t="e">
        <f t="shared" ca="1" si="351"/>
        <v>#NAME?</v>
      </c>
      <c r="W427" s="457">
        <f t="shared" si="352"/>
        <v>1000</v>
      </c>
      <c r="X427" s="463" t="e">
        <f t="shared" ca="1" si="353"/>
        <v>#NAME?</v>
      </c>
      <c r="Y427" s="455" t="e">
        <f t="shared" ca="1" si="363"/>
        <v>#NAME?</v>
      </c>
      <c r="Z427" s="699">
        <f t="shared" si="345"/>
        <v>8.5</v>
      </c>
      <c r="AA427" s="355" t="str">
        <f t="shared" si="346"/>
        <v>ON</v>
      </c>
      <c r="AB427" s="357">
        <f t="shared" si="376"/>
        <v>1.4999999999999999E-2</v>
      </c>
      <c r="AC427" s="356" t="e">
        <f ca="1">IF(  Y426=0,0,IF(OR(S427="KCAS",S427="INOP",S427="MEFE"),   ( (5*( (   (((1+0.2*(T427/661.4786)^2)^3.5 -1)  )/( (1-6.8755856*10^-6 *100*Y427)^5.2558797) +1)^(2/7) -1) )^0.5),IF(S427="MACH",T427, IF(S427="LRC",BicubicInterpolation( 'LRC Mach'!$C$4:$AL$21, Y427,U427),  IF(S427="MRC",BicubicInterpolation( 'MRC Mach'!$C$3:$T$18, Y427,U427),  IF(S427="M0.84",0.84,  IF(S427="CI52",BicubicInterpolation('CI=52 Mach'!$C$3:$T$18, Y427,U427),  IF(S427="HOLDING",BicubicInterpolation(  'Holding Mach'!$C$4:$M$13, Y427,U427),                         IF(S427="LRCINOP", BicubicInterpolation('LRC INOP Mach'!$C$4:$AA$21,Y427,U427), IF(S427="HOLDINGINOP",  BicubicInterpolation('Holding INOP Mach'!$N$4:$U$13,Y427,U427),         "XXX" )))))))   )))</f>
        <v>#NAME?</v>
      </c>
      <c r="AD427" s="313" t="e">
        <f t="shared" ca="1" si="377"/>
        <v>#NAME?</v>
      </c>
      <c r="AE427" s="314" t="e">
        <f t="shared" ca="1" si="364"/>
        <v>#NAME?</v>
      </c>
      <c r="AF427" s="313" t="e">
        <f t="shared" ca="1" si="378"/>
        <v>#NAME?</v>
      </c>
      <c r="AG427" s="314" t="e">
        <f t="shared" ca="1" si="365"/>
        <v>#NAME?</v>
      </c>
      <c r="AH427" s="313" t="e">
        <f t="shared" ca="1" si="379"/>
        <v>#NAME?</v>
      </c>
      <c r="AI427" s="314" t="e">
        <f t="shared" ca="1" si="366"/>
        <v>#NAME?</v>
      </c>
      <c r="AJ427" s="315" t="e">
        <f t="shared" ca="1" si="367"/>
        <v>#NAME?</v>
      </c>
      <c r="AK427" s="568" t="e">
        <f t="shared" ca="1" si="380"/>
        <v>#NAME?</v>
      </c>
      <c r="AL427" s="313" t="e">
        <f t="shared" ca="1" si="381"/>
        <v>#NAME?</v>
      </c>
      <c r="AM427" s="313" t="e">
        <f t="shared" ca="1" si="368"/>
        <v>#NAME?</v>
      </c>
      <c r="AN427" s="313" t="e">
        <f t="shared" ca="1" si="369"/>
        <v>#NAME?</v>
      </c>
      <c r="AO427" s="316" t="e">
        <f t="shared" ca="1" si="382"/>
        <v>#NAME?</v>
      </c>
      <c r="AP427" s="313" t="e">
        <f t="shared" ca="1" si="383"/>
        <v>#NAME?</v>
      </c>
      <c r="AQ427" s="314" t="e">
        <f t="shared" ca="1" si="370"/>
        <v>#NAME?</v>
      </c>
      <c r="AR427" s="315" t="e">
        <f t="shared" ca="1" si="384"/>
        <v>#NAME?</v>
      </c>
      <c r="AS427" s="316" t="e">
        <f t="shared" ca="1" si="385"/>
        <v>#NAME?</v>
      </c>
      <c r="AT427" s="315" t="e">
        <f t="shared" ca="1" si="386"/>
        <v>#NAME?</v>
      </c>
      <c r="AU427" s="317">
        <v>427.8</v>
      </c>
      <c r="AV427" s="315" t="e">
        <f t="shared" ca="1" si="387"/>
        <v>#NAME?</v>
      </c>
      <c r="AW427" s="318" t="e">
        <f ca="1">0.0001*BicubicInterpolation('Drag Coef Table'!$B$4:$L$28,AV427,AC427)</f>
        <v>#NAME?</v>
      </c>
      <c r="AX427" s="319" t="e">
        <f t="shared" ca="1" si="388"/>
        <v>#NAME?</v>
      </c>
      <c r="AY427" s="318" t="e">
        <f t="shared" ca="1" si="389"/>
        <v>#NAME?</v>
      </c>
      <c r="AZ427" s="320" t="e">
        <f t="shared" ca="1" si="390"/>
        <v>#NAME?</v>
      </c>
      <c r="BA427" s="321" t="e">
        <f t="shared" ca="1" si="391"/>
        <v>#NAME?</v>
      </c>
      <c r="BB427" s="322" t="e">
        <f t="shared" ca="1" si="392"/>
        <v>#NAME?</v>
      </c>
      <c r="BC427" s="323">
        <v>75.196700000000007</v>
      </c>
      <c r="BD427" s="324" t="e">
        <f t="shared" ca="1" si="393"/>
        <v>#NAME?</v>
      </c>
      <c r="BE427" s="325" t="e">
        <f t="shared" ca="1" si="394"/>
        <v>#NAME?</v>
      </c>
      <c r="BF427" s="324" t="e">
        <f ca="1">BicubicInterpolation('TSFC Eff Table'!$B$4:$E$69,2,BB427)</f>
        <v>#NAME?</v>
      </c>
      <c r="BG427" s="326" t="e">
        <f t="shared" ca="1" si="395"/>
        <v>#NAME?</v>
      </c>
      <c r="BH427" s="694" t="e">
        <f ca="1">IF( S427="LRCINOP",   (1+(0.03/10)*Z427*(1+0.2*AC427^2) )*BicubicInterpolation( 'LRC INOP FF'!$C$4:$AA$21, Y427, U427 )-200, IF(S427 ="HOLDINGINOP", (1+(0.03/10)*Z427*(1+0.2*AC427^2) )*BicubicInterpolation( 'Holding INOP FF'!$C$4:$J$13,  Y427,  U427)/1.05-200,   BA427*BG427))</f>
        <v>#NAME?</v>
      </c>
      <c r="BI427" s="344" t="e">
        <f t="shared" ca="1" si="354"/>
        <v>#NAME?</v>
      </c>
      <c r="BJ427" s="322" t="e">
        <f t="shared" ca="1" si="396"/>
        <v>#NAME?</v>
      </c>
      <c r="BK427" s="338" t="e">
        <f t="shared" ca="1" si="355"/>
        <v>#NAME?</v>
      </c>
      <c r="BL427" s="327" t="e">
        <f t="shared" ca="1" si="397"/>
        <v>#NAME?</v>
      </c>
      <c r="BM427" s="328">
        <f t="shared" si="398"/>
        <v>200</v>
      </c>
      <c r="BN427" s="329" t="e">
        <f t="shared" ca="1" si="399"/>
        <v>#NAME?</v>
      </c>
      <c r="BO427" s="344" t="e">
        <f t="shared" ca="1" si="356"/>
        <v>#NAME?</v>
      </c>
      <c r="BP427" s="320" t="e">
        <f t="shared" ca="1" si="400"/>
        <v>#NAME?</v>
      </c>
      <c r="BQ427" s="344" t="e">
        <f t="shared" ca="1" si="357"/>
        <v>#NAME?</v>
      </c>
      <c r="BR427" s="347" t="e">
        <f t="shared" ca="1" si="358"/>
        <v>#NAME?</v>
      </c>
      <c r="BS427" s="326" t="e">
        <f t="shared" ca="1" si="401"/>
        <v>#NAME?</v>
      </c>
      <c r="BT427" s="437" t="e">
        <f t="shared" ca="1" si="371"/>
        <v>#NAME?</v>
      </c>
      <c r="BU427" s="437" t="e">
        <f t="shared" ca="1" si="372"/>
        <v>#NAME?</v>
      </c>
      <c r="BV427" s="441" t="e">
        <f t="shared" ca="1" si="373"/>
        <v>#NAME?</v>
      </c>
      <c r="BW427" s="442" t="e">
        <f t="shared" ca="1" si="374"/>
        <v>#NAME?</v>
      </c>
      <c r="BX427" s="470" t="e">
        <f t="shared" ca="1" si="347"/>
        <v>#NAME?</v>
      </c>
      <c r="BY427" s="484" t="e">
        <f t="shared" ca="1" si="359"/>
        <v>#NAME?</v>
      </c>
    </row>
    <row r="428" spans="9:77" ht="17.75" customHeight="1" x14ac:dyDescent="0.2">
      <c r="I428" s="366">
        <v>344</v>
      </c>
      <c r="J428" s="414">
        <f t="shared" si="360"/>
        <v>41705.951388889669</v>
      </c>
      <c r="K428" s="435" t="e">
        <f t="shared" ca="1" si="361"/>
        <v>#NAME?</v>
      </c>
      <c r="L428" s="435" t="e">
        <f t="shared" ca="1" si="348"/>
        <v>#NAME?</v>
      </c>
      <c r="M428" s="664" t="e">
        <f t="shared" ca="1" si="402"/>
        <v>#NAME?</v>
      </c>
      <c r="N428" s="664" t="e">
        <f t="shared" ca="1" si="403"/>
        <v>#NAME?</v>
      </c>
      <c r="O428" s="140" t="e">
        <f t="shared" ca="1" si="349"/>
        <v>#NAME?</v>
      </c>
      <c r="P428" s="352" t="e">
        <f t="shared" ca="1" si="362"/>
        <v>#NAME?</v>
      </c>
      <c r="Q428" s="665" t="e">
        <f t="shared" ca="1" si="342"/>
        <v>#NAME?</v>
      </c>
      <c r="R428" s="352" t="e">
        <f t="shared" ca="1" si="375"/>
        <v>#NAME?</v>
      </c>
      <c r="S428" s="662" t="e">
        <f t="shared" ca="1" si="350"/>
        <v>#NAME?</v>
      </c>
      <c r="T428" s="443" t="e">
        <f t="shared" ca="1" si="343"/>
        <v>#NAME?</v>
      </c>
      <c r="U428" s="369" t="e">
        <f t="shared" ca="1" si="344"/>
        <v>#NAME?</v>
      </c>
      <c r="V428" s="454" t="e">
        <f t="shared" ca="1" si="351"/>
        <v>#NAME?</v>
      </c>
      <c r="W428" s="457">
        <f t="shared" si="352"/>
        <v>1000</v>
      </c>
      <c r="X428" s="463" t="e">
        <f t="shared" ca="1" si="353"/>
        <v>#NAME?</v>
      </c>
      <c r="Y428" s="455" t="e">
        <f t="shared" ca="1" si="363"/>
        <v>#NAME?</v>
      </c>
      <c r="Z428" s="699">
        <f t="shared" si="345"/>
        <v>8.5</v>
      </c>
      <c r="AA428" s="355" t="str">
        <f t="shared" si="346"/>
        <v>ON</v>
      </c>
      <c r="AB428" s="357">
        <f t="shared" si="376"/>
        <v>1.4999999999999999E-2</v>
      </c>
      <c r="AC428" s="356" t="e">
        <f ca="1">IF(  Y427=0,0,IF(OR(S428="KCAS",S428="INOP",S428="MEFE"),   ( (5*( (   (((1+0.2*(T428/661.4786)^2)^3.5 -1)  )/( (1-6.8755856*10^-6 *100*Y428)^5.2558797) +1)^(2/7) -1) )^0.5),IF(S428="MACH",T428, IF(S428="LRC",BicubicInterpolation( 'LRC Mach'!$C$4:$AL$21, Y428,U428),  IF(S428="MRC",BicubicInterpolation( 'MRC Mach'!$C$3:$T$18, Y428,U428),  IF(S428="M0.84",0.84,  IF(S428="CI52",BicubicInterpolation('CI=52 Mach'!$C$3:$T$18, Y428,U428),  IF(S428="HOLDING",BicubicInterpolation(  'Holding Mach'!$C$4:$M$13, Y428,U428),                         IF(S428="LRCINOP", BicubicInterpolation('LRC INOP Mach'!$C$4:$AA$21,Y428,U428), IF(S428="HOLDINGINOP",  BicubicInterpolation('Holding INOP Mach'!$N$4:$U$13,Y428,U428),         "XXX" )))))))   )))</f>
        <v>#NAME?</v>
      </c>
      <c r="AD428" s="313" t="e">
        <f t="shared" ca="1" si="377"/>
        <v>#NAME?</v>
      </c>
      <c r="AE428" s="314" t="e">
        <f t="shared" ca="1" si="364"/>
        <v>#NAME?</v>
      </c>
      <c r="AF428" s="313" t="e">
        <f t="shared" ca="1" si="378"/>
        <v>#NAME?</v>
      </c>
      <c r="AG428" s="314" t="e">
        <f t="shared" ca="1" si="365"/>
        <v>#NAME?</v>
      </c>
      <c r="AH428" s="313" t="e">
        <f t="shared" ca="1" si="379"/>
        <v>#NAME?</v>
      </c>
      <c r="AI428" s="314" t="e">
        <f t="shared" ca="1" si="366"/>
        <v>#NAME?</v>
      </c>
      <c r="AJ428" s="315" t="e">
        <f t="shared" ca="1" si="367"/>
        <v>#NAME?</v>
      </c>
      <c r="AK428" s="568" t="e">
        <f t="shared" ca="1" si="380"/>
        <v>#NAME?</v>
      </c>
      <c r="AL428" s="313" t="e">
        <f t="shared" ca="1" si="381"/>
        <v>#NAME?</v>
      </c>
      <c r="AM428" s="313" t="e">
        <f t="shared" ca="1" si="368"/>
        <v>#NAME?</v>
      </c>
      <c r="AN428" s="313" t="e">
        <f t="shared" ca="1" si="369"/>
        <v>#NAME?</v>
      </c>
      <c r="AO428" s="316" t="e">
        <f t="shared" ca="1" si="382"/>
        <v>#NAME?</v>
      </c>
      <c r="AP428" s="313" t="e">
        <f t="shared" ca="1" si="383"/>
        <v>#NAME?</v>
      </c>
      <c r="AQ428" s="314" t="e">
        <f t="shared" ca="1" si="370"/>
        <v>#NAME?</v>
      </c>
      <c r="AR428" s="315" t="e">
        <f t="shared" ca="1" si="384"/>
        <v>#NAME?</v>
      </c>
      <c r="AS428" s="316" t="e">
        <f t="shared" ca="1" si="385"/>
        <v>#NAME?</v>
      </c>
      <c r="AT428" s="315" t="e">
        <f t="shared" ca="1" si="386"/>
        <v>#NAME?</v>
      </c>
      <c r="AU428" s="317">
        <v>427.8</v>
      </c>
      <c r="AV428" s="315" t="e">
        <f t="shared" ca="1" si="387"/>
        <v>#NAME?</v>
      </c>
      <c r="AW428" s="318" t="e">
        <f ca="1">0.0001*BicubicInterpolation('Drag Coef Table'!$B$4:$L$28,AV428,AC428)</f>
        <v>#NAME?</v>
      </c>
      <c r="AX428" s="319" t="e">
        <f t="shared" ca="1" si="388"/>
        <v>#NAME?</v>
      </c>
      <c r="AY428" s="318" t="e">
        <f t="shared" ca="1" si="389"/>
        <v>#NAME?</v>
      </c>
      <c r="AZ428" s="320" t="e">
        <f t="shared" ca="1" si="390"/>
        <v>#NAME?</v>
      </c>
      <c r="BA428" s="321" t="e">
        <f t="shared" ca="1" si="391"/>
        <v>#NAME?</v>
      </c>
      <c r="BB428" s="322" t="e">
        <f t="shared" ca="1" si="392"/>
        <v>#NAME?</v>
      </c>
      <c r="BC428" s="323">
        <v>75.196700000000007</v>
      </c>
      <c r="BD428" s="324" t="e">
        <f t="shared" ca="1" si="393"/>
        <v>#NAME?</v>
      </c>
      <c r="BE428" s="325" t="e">
        <f t="shared" ca="1" si="394"/>
        <v>#NAME?</v>
      </c>
      <c r="BF428" s="324" t="e">
        <f ca="1">BicubicInterpolation('TSFC Eff Table'!$B$4:$E$69,2,BB428)</f>
        <v>#NAME?</v>
      </c>
      <c r="BG428" s="326" t="e">
        <f t="shared" ca="1" si="395"/>
        <v>#NAME?</v>
      </c>
      <c r="BH428" s="694" t="e">
        <f ca="1">IF( S428="LRCINOP",   (1+(0.03/10)*Z428*(1+0.2*AC428^2) )*BicubicInterpolation( 'LRC INOP FF'!$C$4:$AA$21, Y428, U428 )-200, IF(S428 ="HOLDINGINOP", (1+(0.03/10)*Z428*(1+0.2*AC428^2) )*BicubicInterpolation( 'Holding INOP FF'!$C$4:$J$13,  Y428,  U428)/1.05-200,   BA428*BG428))</f>
        <v>#NAME?</v>
      </c>
      <c r="BI428" s="344" t="e">
        <f t="shared" ca="1" si="354"/>
        <v>#NAME?</v>
      </c>
      <c r="BJ428" s="322" t="e">
        <f t="shared" ca="1" si="396"/>
        <v>#NAME?</v>
      </c>
      <c r="BK428" s="338" t="e">
        <f t="shared" ca="1" si="355"/>
        <v>#NAME?</v>
      </c>
      <c r="BL428" s="327" t="e">
        <f t="shared" ca="1" si="397"/>
        <v>#NAME?</v>
      </c>
      <c r="BM428" s="328">
        <f t="shared" si="398"/>
        <v>200</v>
      </c>
      <c r="BN428" s="329" t="e">
        <f t="shared" ca="1" si="399"/>
        <v>#NAME?</v>
      </c>
      <c r="BO428" s="344" t="e">
        <f t="shared" ca="1" si="356"/>
        <v>#NAME?</v>
      </c>
      <c r="BP428" s="320" t="e">
        <f t="shared" ca="1" si="400"/>
        <v>#NAME?</v>
      </c>
      <c r="BQ428" s="344" t="e">
        <f t="shared" ca="1" si="357"/>
        <v>#NAME?</v>
      </c>
      <c r="BR428" s="347" t="e">
        <f t="shared" ca="1" si="358"/>
        <v>#NAME?</v>
      </c>
      <c r="BS428" s="326" t="e">
        <f t="shared" ca="1" si="401"/>
        <v>#NAME?</v>
      </c>
      <c r="BT428" s="437" t="e">
        <f t="shared" ca="1" si="371"/>
        <v>#NAME?</v>
      </c>
      <c r="BU428" s="437" t="e">
        <f t="shared" ca="1" si="372"/>
        <v>#NAME?</v>
      </c>
      <c r="BV428" s="441" t="e">
        <f t="shared" ca="1" si="373"/>
        <v>#NAME?</v>
      </c>
      <c r="BW428" s="442" t="e">
        <f t="shared" ca="1" si="374"/>
        <v>#NAME?</v>
      </c>
      <c r="BX428" s="470" t="e">
        <f t="shared" ca="1" si="347"/>
        <v>#NAME?</v>
      </c>
      <c r="BY428" s="484" t="e">
        <f t="shared" ca="1" si="359"/>
        <v>#NAME?</v>
      </c>
    </row>
    <row r="429" spans="9:77" ht="17.75" customHeight="1" x14ac:dyDescent="0.2">
      <c r="I429" s="366">
        <v>345</v>
      </c>
      <c r="J429" s="414">
        <f t="shared" si="360"/>
        <v>41705.952083334116</v>
      </c>
      <c r="K429" s="435" t="e">
        <f t="shared" ca="1" si="361"/>
        <v>#NAME?</v>
      </c>
      <c r="L429" s="435" t="e">
        <f t="shared" ca="1" si="348"/>
        <v>#NAME?</v>
      </c>
      <c r="M429" s="664" t="e">
        <f t="shared" ca="1" si="402"/>
        <v>#NAME?</v>
      </c>
      <c r="N429" s="664" t="e">
        <f t="shared" ca="1" si="403"/>
        <v>#NAME?</v>
      </c>
      <c r="O429" s="140" t="e">
        <f t="shared" ca="1" si="349"/>
        <v>#NAME?</v>
      </c>
      <c r="P429" s="352" t="e">
        <f t="shared" ca="1" si="362"/>
        <v>#NAME?</v>
      </c>
      <c r="Q429" s="665" t="e">
        <f t="shared" ca="1" si="342"/>
        <v>#NAME?</v>
      </c>
      <c r="R429" s="352" t="e">
        <f t="shared" ca="1" si="375"/>
        <v>#NAME?</v>
      </c>
      <c r="S429" s="662" t="e">
        <f t="shared" ca="1" si="350"/>
        <v>#NAME?</v>
      </c>
      <c r="T429" s="443" t="e">
        <f t="shared" ca="1" si="343"/>
        <v>#NAME?</v>
      </c>
      <c r="U429" s="369" t="e">
        <f t="shared" ca="1" si="344"/>
        <v>#NAME?</v>
      </c>
      <c r="V429" s="454" t="e">
        <f t="shared" ca="1" si="351"/>
        <v>#NAME?</v>
      </c>
      <c r="W429" s="457">
        <f t="shared" si="352"/>
        <v>1000</v>
      </c>
      <c r="X429" s="463" t="e">
        <f t="shared" ca="1" si="353"/>
        <v>#NAME?</v>
      </c>
      <c r="Y429" s="455" t="e">
        <f t="shared" ca="1" si="363"/>
        <v>#NAME?</v>
      </c>
      <c r="Z429" s="699">
        <f t="shared" si="345"/>
        <v>8.5</v>
      </c>
      <c r="AA429" s="355" t="str">
        <f t="shared" si="346"/>
        <v>ON</v>
      </c>
      <c r="AB429" s="357">
        <f t="shared" si="376"/>
        <v>1.4999999999999999E-2</v>
      </c>
      <c r="AC429" s="356" t="e">
        <f ca="1">IF(  Y428=0,0,IF(OR(S429="KCAS",S429="INOP",S429="MEFE"),   ( (5*( (   (((1+0.2*(T429/661.4786)^2)^3.5 -1)  )/( (1-6.8755856*10^-6 *100*Y429)^5.2558797) +1)^(2/7) -1) )^0.5),IF(S429="MACH",T429, IF(S429="LRC",BicubicInterpolation( 'LRC Mach'!$C$4:$AL$21, Y429,U429),  IF(S429="MRC",BicubicInterpolation( 'MRC Mach'!$C$3:$T$18, Y429,U429),  IF(S429="M0.84",0.84,  IF(S429="CI52",BicubicInterpolation('CI=52 Mach'!$C$3:$T$18, Y429,U429),  IF(S429="HOLDING",BicubicInterpolation(  'Holding Mach'!$C$4:$M$13, Y429,U429),                         IF(S429="LRCINOP", BicubicInterpolation('LRC INOP Mach'!$C$4:$AA$21,Y429,U429), IF(S429="HOLDINGINOP",  BicubicInterpolation('Holding INOP Mach'!$N$4:$U$13,Y429,U429),         "XXX" )))))))   )))</f>
        <v>#NAME?</v>
      </c>
      <c r="AD429" s="313" t="e">
        <f t="shared" ca="1" si="377"/>
        <v>#NAME?</v>
      </c>
      <c r="AE429" s="314" t="e">
        <f t="shared" ca="1" si="364"/>
        <v>#NAME?</v>
      </c>
      <c r="AF429" s="313" t="e">
        <f t="shared" ca="1" si="378"/>
        <v>#NAME?</v>
      </c>
      <c r="AG429" s="314" t="e">
        <f t="shared" ca="1" si="365"/>
        <v>#NAME?</v>
      </c>
      <c r="AH429" s="313" t="e">
        <f t="shared" ca="1" si="379"/>
        <v>#NAME?</v>
      </c>
      <c r="AI429" s="314" t="e">
        <f t="shared" ca="1" si="366"/>
        <v>#NAME?</v>
      </c>
      <c r="AJ429" s="315" t="e">
        <f t="shared" ca="1" si="367"/>
        <v>#NAME?</v>
      </c>
      <c r="AK429" s="568" t="e">
        <f t="shared" ca="1" si="380"/>
        <v>#NAME?</v>
      </c>
      <c r="AL429" s="313" t="e">
        <f t="shared" ca="1" si="381"/>
        <v>#NAME?</v>
      </c>
      <c r="AM429" s="313" t="e">
        <f t="shared" ca="1" si="368"/>
        <v>#NAME?</v>
      </c>
      <c r="AN429" s="313" t="e">
        <f t="shared" ca="1" si="369"/>
        <v>#NAME?</v>
      </c>
      <c r="AO429" s="316" t="e">
        <f t="shared" ca="1" si="382"/>
        <v>#NAME?</v>
      </c>
      <c r="AP429" s="313" t="e">
        <f t="shared" ca="1" si="383"/>
        <v>#NAME?</v>
      </c>
      <c r="AQ429" s="314" t="e">
        <f t="shared" ca="1" si="370"/>
        <v>#NAME?</v>
      </c>
      <c r="AR429" s="315" t="e">
        <f t="shared" ca="1" si="384"/>
        <v>#NAME?</v>
      </c>
      <c r="AS429" s="316" t="e">
        <f t="shared" ca="1" si="385"/>
        <v>#NAME?</v>
      </c>
      <c r="AT429" s="315" t="e">
        <f t="shared" ca="1" si="386"/>
        <v>#NAME?</v>
      </c>
      <c r="AU429" s="317">
        <v>427.8</v>
      </c>
      <c r="AV429" s="315" t="e">
        <f t="shared" ca="1" si="387"/>
        <v>#NAME?</v>
      </c>
      <c r="AW429" s="318" t="e">
        <f ca="1">0.0001*BicubicInterpolation('Drag Coef Table'!$B$4:$L$28,AV429,AC429)</f>
        <v>#NAME?</v>
      </c>
      <c r="AX429" s="319" t="e">
        <f t="shared" ca="1" si="388"/>
        <v>#NAME?</v>
      </c>
      <c r="AY429" s="318" t="e">
        <f t="shared" ca="1" si="389"/>
        <v>#NAME?</v>
      </c>
      <c r="AZ429" s="320" t="e">
        <f t="shared" ca="1" si="390"/>
        <v>#NAME?</v>
      </c>
      <c r="BA429" s="321" t="e">
        <f t="shared" ca="1" si="391"/>
        <v>#NAME?</v>
      </c>
      <c r="BB429" s="322" t="e">
        <f t="shared" ca="1" si="392"/>
        <v>#NAME?</v>
      </c>
      <c r="BC429" s="323">
        <v>75.196700000000007</v>
      </c>
      <c r="BD429" s="324" t="e">
        <f t="shared" ca="1" si="393"/>
        <v>#NAME?</v>
      </c>
      <c r="BE429" s="325" t="e">
        <f t="shared" ca="1" si="394"/>
        <v>#NAME?</v>
      </c>
      <c r="BF429" s="324" t="e">
        <f ca="1">BicubicInterpolation('TSFC Eff Table'!$B$4:$E$69,2,BB429)</f>
        <v>#NAME?</v>
      </c>
      <c r="BG429" s="326" t="e">
        <f t="shared" ca="1" si="395"/>
        <v>#NAME?</v>
      </c>
      <c r="BH429" s="694" t="e">
        <f ca="1">IF( S429="LRCINOP",   (1+(0.03/10)*Z429*(1+0.2*AC429^2) )*BicubicInterpolation( 'LRC INOP FF'!$C$4:$AA$21, Y429, U429 )-200, IF(S429 ="HOLDINGINOP", (1+(0.03/10)*Z429*(1+0.2*AC429^2) )*BicubicInterpolation( 'Holding INOP FF'!$C$4:$J$13,  Y429,  U429)/1.05-200,   BA429*BG429))</f>
        <v>#NAME?</v>
      </c>
      <c r="BI429" s="344" t="e">
        <f t="shared" ca="1" si="354"/>
        <v>#NAME?</v>
      </c>
      <c r="BJ429" s="322" t="e">
        <f t="shared" ca="1" si="396"/>
        <v>#NAME?</v>
      </c>
      <c r="BK429" s="338" t="e">
        <f t="shared" ca="1" si="355"/>
        <v>#NAME?</v>
      </c>
      <c r="BL429" s="327" t="e">
        <f t="shared" ca="1" si="397"/>
        <v>#NAME?</v>
      </c>
      <c r="BM429" s="328">
        <f t="shared" si="398"/>
        <v>200</v>
      </c>
      <c r="BN429" s="329" t="e">
        <f t="shared" ca="1" si="399"/>
        <v>#NAME?</v>
      </c>
      <c r="BO429" s="344" t="e">
        <f t="shared" ca="1" si="356"/>
        <v>#NAME?</v>
      </c>
      <c r="BP429" s="320" t="e">
        <f t="shared" ca="1" si="400"/>
        <v>#NAME?</v>
      </c>
      <c r="BQ429" s="344" t="e">
        <f t="shared" ca="1" si="357"/>
        <v>#NAME?</v>
      </c>
      <c r="BR429" s="347" t="e">
        <f t="shared" ca="1" si="358"/>
        <v>#NAME?</v>
      </c>
      <c r="BS429" s="326" t="e">
        <f t="shared" ca="1" si="401"/>
        <v>#NAME?</v>
      </c>
      <c r="BT429" s="437" t="e">
        <f t="shared" ca="1" si="371"/>
        <v>#NAME?</v>
      </c>
      <c r="BU429" s="437" t="e">
        <f t="shared" ca="1" si="372"/>
        <v>#NAME?</v>
      </c>
      <c r="BV429" s="441" t="e">
        <f t="shared" ca="1" si="373"/>
        <v>#NAME?</v>
      </c>
      <c r="BW429" s="442" t="e">
        <f t="shared" ca="1" si="374"/>
        <v>#NAME?</v>
      </c>
      <c r="BX429" s="470" t="e">
        <f t="shared" ca="1" si="347"/>
        <v>#NAME?</v>
      </c>
      <c r="BY429" s="484" t="e">
        <f t="shared" ca="1" si="359"/>
        <v>#NAME?</v>
      </c>
    </row>
    <row r="430" spans="9:77" ht="17.75" customHeight="1" x14ac:dyDescent="0.2">
      <c r="I430" s="366">
        <v>346</v>
      </c>
      <c r="J430" s="414">
        <f t="shared" si="360"/>
        <v>41705.952777778562</v>
      </c>
      <c r="K430" s="435" t="e">
        <f t="shared" ca="1" si="361"/>
        <v>#NAME?</v>
      </c>
      <c r="L430" s="435" t="e">
        <f t="shared" ca="1" si="348"/>
        <v>#NAME?</v>
      </c>
      <c r="M430" s="664" t="e">
        <f t="shared" ca="1" si="402"/>
        <v>#NAME?</v>
      </c>
      <c r="N430" s="664" t="e">
        <f t="shared" ca="1" si="403"/>
        <v>#NAME?</v>
      </c>
      <c r="O430" s="140" t="e">
        <f t="shared" ca="1" si="349"/>
        <v>#NAME?</v>
      </c>
      <c r="P430" s="352" t="e">
        <f t="shared" ca="1" si="362"/>
        <v>#NAME?</v>
      </c>
      <c r="Q430" s="665" t="e">
        <f t="shared" ca="1" si="342"/>
        <v>#NAME?</v>
      </c>
      <c r="R430" s="352" t="e">
        <f t="shared" ca="1" si="375"/>
        <v>#NAME?</v>
      </c>
      <c r="S430" s="662" t="e">
        <f t="shared" ca="1" si="350"/>
        <v>#NAME?</v>
      </c>
      <c r="T430" s="443" t="e">
        <f t="shared" ca="1" si="343"/>
        <v>#NAME?</v>
      </c>
      <c r="U430" s="369" t="e">
        <f t="shared" ca="1" si="344"/>
        <v>#NAME?</v>
      </c>
      <c r="V430" s="454" t="e">
        <f t="shared" ca="1" si="351"/>
        <v>#NAME?</v>
      </c>
      <c r="W430" s="457">
        <f t="shared" si="352"/>
        <v>1000</v>
      </c>
      <c r="X430" s="463" t="e">
        <f t="shared" ca="1" si="353"/>
        <v>#NAME?</v>
      </c>
      <c r="Y430" s="455" t="e">
        <f t="shared" ca="1" si="363"/>
        <v>#NAME?</v>
      </c>
      <c r="Z430" s="699">
        <f t="shared" si="345"/>
        <v>8.5</v>
      </c>
      <c r="AA430" s="355" t="str">
        <f t="shared" si="346"/>
        <v>ON</v>
      </c>
      <c r="AB430" s="357">
        <f t="shared" si="376"/>
        <v>1.4999999999999999E-2</v>
      </c>
      <c r="AC430" s="356" t="e">
        <f ca="1">IF(  Y429=0,0,IF(OR(S430="KCAS",S430="INOP",S430="MEFE"),   ( (5*( (   (((1+0.2*(T430/661.4786)^2)^3.5 -1)  )/( (1-6.8755856*10^-6 *100*Y430)^5.2558797) +1)^(2/7) -1) )^0.5),IF(S430="MACH",T430, IF(S430="LRC",BicubicInterpolation( 'LRC Mach'!$C$4:$AL$21, Y430,U430),  IF(S430="MRC",BicubicInterpolation( 'MRC Mach'!$C$3:$T$18, Y430,U430),  IF(S430="M0.84",0.84,  IF(S430="CI52",BicubicInterpolation('CI=52 Mach'!$C$3:$T$18, Y430,U430),  IF(S430="HOLDING",BicubicInterpolation(  'Holding Mach'!$C$4:$M$13, Y430,U430),                         IF(S430="LRCINOP", BicubicInterpolation('LRC INOP Mach'!$C$4:$AA$21,Y430,U430), IF(S430="HOLDINGINOP",  BicubicInterpolation('Holding INOP Mach'!$N$4:$U$13,Y430,U430),         "XXX" )))))))   )))</f>
        <v>#NAME?</v>
      </c>
      <c r="AD430" s="313" t="e">
        <f t="shared" ca="1" si="377"/>
        <v>#NAME?</v>
      </c>
      <c r="AE430" s="314" t="e">
        <f t="shared" ca="1" si="364"/>
        <v>#NAME?</v>
      </c>
      <c r="AF430" s="313" t="e">
        <f t="shared" ca="1" si="378"/>
        <v>#NAME?</v>
      </c>
      <c r="AG430" s="314" t="e">
        <f t="shared" ca="1" si="365"/>
        <v>#NAME?</v>
      </c>
      <c r="AH430" s="313" t="e">
        <f t="shared" ca="1" si="379"/>
        <v>#NAME?</v>
      </c>
      <c r="AI430" s="314" t="e">
        <f t="shared" ca="1" si="366"/>
        <v>#NAME?</v>
      </c>
      <c r="AJ430" s="315" t="e">
        <f t="shared" ca="1" si="367"/>
        <v>#NAME?</v>
      </c>
      <c r="AK430" s="568" t="e">
        <f t="shared" ca="1" si="380"/>
        <v>#NAME?</v>
      </c>
      <c r="AL430" s="313" t="e">
        <f t="shared" ca="1" si="381"/>
        <v>#NAME?</v>
      </c>
      <c r="AM430" s="313" t="e">
        <f t="shared" ca="1" si="368"/>
        <v>#NAME?</v>
      </c>
      <c r="AN430" s="313" t="e">
        <f t="shared" ca="1" si="369"/>
        <v>#NAME?</v>
      </c>
      <c r="AO430" s="316" t="e">
        <f t="shared" ca="1" si="382"/>
        <v>#NAME?</v>
      </c>
      <c r="AP430" s="313" t="e">
        <f t="shared" ca="1" si="383"/>
        <v>#NAME?</v>
      </c>
      <c r="AQ430" s="314" t="e">
        <f t="shared" ca="1" si="370"/>
        <v>#NAME?</v>
      </c>
      <c r="AR430" s="315" t="e">
        <f t="shared" ca="1" si="384"/>
        <v>#NAME?</v>
      </c>
      <c r="AS430" s="316" t="e">
        <f t="shared" ca="1" si="385"/>
        <v>#NAME?</v>
      </c>
      <c r="AT430" s="315" t="e">
        <f t="shared" ca="1" si="386"/>
        <v>#NAME?</v>
      </c>
      <c r="AU430" s="317">
        <v>427.8</v>
      </c>
      <c r="AV430" s="315" t="e">
        <f t="shared" ca="1" si="387"/>
        <v>#NAME?</v>
      </c>
      <c r="AW430" s="318" t="e">
        <f ca="1">0.0001*BicubicInterpolation('Drag Coef Table'!$B$4:$L$28,AV430,AC430)</f>
        <v>#NAME?</v>
      </c>
      <c r="AX430" s="319" t="e">
        <f t="shared" ca="1" si="388"/>
        <v>#NAME?</v>
      </c>
      <c r="AY430" s="318" t="e">
        <f t="shared" ca="1" si="389"/>
        <v>#NAME?</v>
      </c>
      <c r="AZ430" s="320" t="e">
        <f t="shared" ca="1" si="390"/>
        <v>#NAME?</v>
      </c>
      <c r="BA430" s="321" t="e">
        <f t="shared" ca="1" si="391"/>
        <v>#NAME?</v>
      </c>
      <c r="BB430" s="322" t="e">
        <f t="shared" ca="1" si="392"/>
        <v>#NAME?</v>
      </c>
      <c r="BC430" s="323">
        <v>75.196700000000007</v>
      </c>
      <c r="BD430" s="324" t="e">
        <f t="shared" ca="1" si="393"/>
        <v>#NAME?</v>
      </c>
      <c r="BE430" s="325" t="e">
        <f t="shared" ca="1" si="394"/>
        <v>#NAME?</v>
      </c>
      <c r="BF430" s="324" t="e">
        <f ca="1">BicubicInterpolation('TSFC Eff Table'!$B$4:$E$69,2,BB430)</f>
        <v>#NAME?</v>
      </c>
      <c r="BG430" s="326" t="e">
        <f t="shared" ca="1" si="395"/>
        <v>#NAME?</v>
      </c>
      <c r="BH430" s="694" t="e">
        <f ca="1">IF( S430="LRCINOP",   (1+(0.03/10)*Z430*(1+0.2*AC430^2) )*BicubicInterpolation( 'LRC INOP FF'!$C$4:$AA$21, Y430, U430 )-200, IF(S430 ="HOLDINGINOP", (1+(0.03/10)*Z430*(1+0.2*AC430^2) )*BicubicInterpolation( 'Holding INOP FF'!$C$4:$J$13,  Y430,  U430)/1.05-200,   BA430*BG430))</f>
        <v>#NAME?</v>
      </c>
      <c r="BI430" s="344" t="e">
        <f t="shared" ca="1" si="354"/>
        <v>#NAME?</v>
      </c>
      <c r="BJ430" s="322" t="e">
        <f t="shared" ca="1" si="396"/>
        <v>#NAME?</v>
      </c>
      <c r="BK430" s="338" t="e">
        <f t="shared" ca="1" si="355"/>
        <v>#NAME?</v>
      </c>
      <c r="BL430" s="327" t="e">
        <f t="shared" ca="1" si="397"/>
        <v>#NAME?</v>
      </c>
      <c r="BM430" s="328">
        <f t="shared" si="398"/>
        <v>200</v>
      </c>
      <c r="BN430" s="329" t="e">
        <f t="shared" ca="1" si="399"/>
        <v>#NAME?</v>
      </c>
      <c r="BO430" s="344" t="e">
        <f t="shared" ca="1" si="356"/>
        <v>#NAME?</v>
      </c>
      <c r="BP430" s="320" t="e">
        <f t="shared" ca="1" si="400"/>
        <v>#NAME?</v>
      </c>
      <c r="BQ430" s="344" t="e">
        <f t="shared" ca="1" si="357"/>
        <v>#NAME?</v>
      </c>
      <c r="BR430" s="347" t="e">
        <f t="shared" ca="1" si="358"/>
        <v>#NAME?</v>
      </c>
      <c r="BS430" s="326" t="e">
        <f t="shared" ca="1" si="401"/>
        <v>#NAME?</v>
      </c>
      <c r="BT430" s="437" t="e">
        <f t="shared" ca="1" si="371"/>
        <v>#NAME?</v>
      </c>
      <c r="BU430" s="437" t="e">
        <f t="shared" ca="1" si="372"/>
        <v>#NAME?</v>
      </c>
      <c r="BV430" s="441" t="e">
        <f t="shared" ca="1" si="373"/>
        <v>#NAME?</v>
      </c>
      <c r="BW430" s="442" t="e">
        <f t="shared" ca="1" si="374"/>
        <v>#NAME?</v>
      </c>
      <c r="BX430" s="470" t="e">
        <f t="shared" ca="1" si="347"/>
        <v>#NAME?</v>
      </c>
      <c r="BY430" s="484" t="e">
        <f t="shared" ca="1" si="359"/>
        <v>#NAME?</v>
      </c>
    </row>
    <row r="431" spans="9:77" ht="17.75" customHeight="1" x14ac:dyDescent="0.2">
      <c r="I431" s="366">
        <v>347</v>
      </c>
      <c r="J431" s="414">
        <f t="shared" si="360"/>
        <v>41705.953472223009</v>
      </c>
      <c r="K431" s="435" t="e">
        <f t="shared" ca="1" si="361"/>
        <v>#NAME?</v>
      </c>
      <c r="L431" s="435" t="e">
        <f t="shared" ca="1" si="348"/>
        <v>#NAME?</v>
      </c>
      <c r="M431" s="664" t="e">
        <f t="shared" ca="1" si="402"/>
        <v>#NAME?</v>
      </c>
      <c r="N431" s="664" t="e">
        <f t="shared" ca="1" si="403"/>
        <v>#NAME?</v>
      </c>
      <c r="O431" s="140" t="e">
        <f t="shared" ca="1" si="349"/>
        <v>#NAME?</v>
      </c>
      <c r="P431" s="352" t="e">
        <f t="shared" ca="1" si="362"/>
        <v>#NAME?</v>
      </c>
      <c r="Q431" s="665" t="e">
        <f t="shared" ca="1" si="342"/>
        <v>#NAME?</v>
      </c>
      <c r="R431" s="352" t="e">
        <f t="shared" ca="1" si="375"/>
        <v>#NAME?</v>
      </c>
      <c r="S431" s="662" t="e">
        <f t="shared" ca="1" si="350"/>
        <v>#NAME?</v>
      </c>
      <c r="T431" s="443" t="e">
        <f t="shared" ca="1" si="343"/>
        <v>#NAME?</v>
      </c>
      <c r="U431" s="369" t="e">
        <f t="shared" ca="1" si="344"/>
        <v>#NAME?</v>
      </c>
      <c r="V431" s="454" t="e">
        <f t="shared" ca="1" si="351"/>
        <v>#NAME?</v>
      </c>
      <c r="W431" s="457">
        <f t="shared" si="352"/>
        <v>1000</v>
      </c>
      <c r="X431" s="463" t="e">
        <f t="shared" ca="1" si="353"/>
        <v>#NAME?</v>
      </c>
      <c r="Y431" s="455" t="e">
        <f t="shared" ca="1" si="363"/>
        <v>#NAME?</v>
      </c>
      <c r="Z431" s="699">
        <f t="shared" si="345"/>
        <v>8.5</v>
      </c>
      <c r="AA431" s="355" t="str">
        <f t="shared" si="346"/>
        <v>ON</v>
      </c>
      <c r="AB431" s="357">
        <f t="shared" si="376"/>
        <v>1.4999999999999999E-2</v>
      </c>
      <c r="AC431" s="356" t="e">
        <f ca="1">IF(  Y430=0,0,IF(OR(S431="KCAS",S431="INOP",S431="MEFE"),   ( (5*( (   (((1+0.2*(T431/661.4786)^2)^3.5 -1)  )/( (1-6.8755856*10^-6 *100*Y431)^5.2558797) +1)^(2/7) -1) )^0.5),IF(S431="MACH",T431, IF(S431="LRC",BicubicInterpolation( 'LRC Mach'!$C$4:$AL$21, Y431,U431),  IF(S431="MRC",BicubicInterpolation( 'MRC Mach'!$C$3:$T$18, Y431,U431),  IF(S431="M0.84",0.84,  IF(S431="CI52",BicubicInterpolation('CI=52 Mach'!$C$3:$T$18, Y431,U431),  IF(S431="HOLDING",BicubicInterpolation(  'Holding Mach'!$C$4:$M$13, Y431,U431),                         IF(S431="LRCINOP", BicubicInterpolation('LRC INOP Mach'!$C$4:$AA$21,Y431,U431), IF(S431="HOLDINGINOP",  BicubicInterpolation('Holding INOP Mach'!$N$4:$U$13,Y431,U431),         "XXX" )))))))   )))</f>
        <v>#NAME?</v>
      </c>
      <c r="AD431" s="313" t="e">
        <f t="shared" ca="1" si="377"/>
        <v>#NAME?</v>
      </c>
      <c r="AE431" s="314" t="e">
        <f t="shared" ca="1" si="364"/>
        <v>#NAME?</v>
      </c>
      <c r="AF431" s="313" t="e">
        <f t="shared" ca="1" si="378"/>
        <v>#NAME?</v>
      </c>
      <c r="AG431" s="314" t="e">
        <f t="shared" ca="1" si="365"/>
        <v>#NAME?</v>
      </c>
      <c r="AH431" s="313" t="e">
        <f t="shared" ca="1" si="379"/>
        <v>#NAME?</v>
      </c>
      <c r="AI431" s="314" t="e">
        <f t="shared" ca="1" si="366"/>
        <v>#NAME?</v>
      </c>
      <c r="AJ431" s="315" t="e">
        <f t="shared" ca="1" si="367"/>
        <v>#NAME?</v>
      </c>
      <c r="AK431" s="568" t="e">
        <f t="shared" ca="1" si="380"/>
        <v>#NAME?</v>
      </c>
      <c r="AL431" s="313" t="e">
        <f t="shared" ca="1" si="381"/>
        <v>#NAME?</v>
      </c>
      <c r="AM431" s="313" t="e">
        <f t="shared" ca="1" si="368"/>
        <v>#NAME?</v>
      </c>
      <c r="AN431" s="313" t="e">
        <f t="shared" ca="1" si="369"/>
        <v>#NAME?</v>
      </c>
      <c r="AO431" s="316" t="e">
        <f t="shared" ca="1" si="382"/>
        <v>#NAME?</v>
      </c>
      <c r="AP431" s="313" t="e">
        <f t="shared" ca="1" si="383"/>
        <v>#NAME?</v>
      </c>
      <c r="AQ431" s="314" t="e">
        <f t="shared" ca="1" si="370"/>
        <v>#NAME?</v>
      </c>
      <c r="AR431" s="315" t="e">
        <f t="shared" ca="1" si="384"/>
        <v>#NAME?</v>
      </c>
      <c r="AS431" s="316" t="e">
        <f t="shared" ca="1" si="385"/>
        <v>#NAME?</v>
      </c>
      <c r="AT431" s="315" t="e">
        <f t="shared" ca="1" si="386"/>
        <v>#NAME?</v>
      </c>
      <c r="AU431" s="317">
        <v>427.8</v>
      </c>
      <c r="AV431" s="315" t="e">
        <f t="shared" ca="1" si="387"/>
        <v>#NAME?</v>
      </c>
      <c r="AW431" s="318" t="e">
        <f ca="1">0.0001*BicubicInterpolation('Drag Coef Table'!$B$4:$L$28,AV431,AC431)</f>
        <v>#NAME?</v>
      </c>
      <c r="AX431" s="319" t="e">
        <f t="shared" ca="1" si="388"/>
        <v>#NAME?</v>
      </c>
      <c r="AY431" s="318" t="e">
        <f t="shared" ca="1" si="389"/>
        <v>#NAME?</v>
      </c>
      <c r="AZ431" s="320" t="e">
        <f t="shared" ca="1" si="390"/>
        <v>#NAME?</v>
      </c>
      <c r="BA431" s="321" t="e">
        <f t="shared" ca="1" si="391"/>
        <v>#NAME?</v>
      </c>
      <c r="BB431" s="322" t="e">
        <f t="shared" ca="1" si="392"/>
        <v>#NAME?</v>
      </c>
      <c r="BC431" s="323">
        <v>75.196700000000007</v>
      </c>
      <c r="BD431" s="324" t="e">
        <f t="shared" ca="1" si="393"/>
        <v>#NAME?</v>
      </c>
      <c r="BE431" s="325" t="e">
        <f t="shared" ca="1" si="394"/>
        <v>#NAME?</v>
      </c>
      <c r="BF431" s="324" t="e">
        <f ca="1">BicubicInterpolation('TSFC Eff Table'!$B$4:$E$69,2,BB431)</f>
        <v>#NAME?</v>
      </c>
      <c r="BG431" s="326" t="e">
        <f t="shared" ca="1" si="395"/>
        <v>#NAME?</v>
      </c>
      <c r="BH431" s="694" t="e">
        <f ca="1">IF( S431="LRCINOP",   (1+(0.03/10)*Z431*(1+0.2*AC431^2) )*BicubicInterpolation( 'LRC INOP FF'!$C$4:$AA$21, Y431, U431 )-200, IF(S431 ="HOLDINGINOP", (1+(0.03/10)*Z431*(1+0.2*AC431^2) )*BicubicInterpolation( 'Holding INOP FF'!$C$4:$J$13,  Y431,  U431)/1.05-200,   BA431*BG431))</f>
        <v>#NAME?</v>
      </c>
      <c r="BI431" s="344" t="e">
        <f t="shared" ca="1" si="354"/>
        <v>#NAME?</v>
      </c>
      <c r="BJ431" s="322" t="e">
        <f t="shared" ca="1" si="396"/>
        <v>#NAME?</v>
      </c>
      <c r="BK431" s="338" t="e">
        <f t="shared" ca="1" si="355"/>
        <v>#NAME?</v>
      </c>
      <c r="BL431" s="327" t="e">
        <f t="shared" ca="1" si="397"/>
        <v>#NAME?</v>
      </c>
      <c r="BM431" s="328">
        <f t="shared" si="398"/>
        <v>200</v>
      </c>
      <c r="BN431" s="329" t="e">
        <f t="shared" ca="1" si="399"/>
        <v>#NAME?</v>
      </c>
      <c r="BO431" s="344" t="e">
        <f t="shared" ca="1" si="356"/>
        <v>#NAME?</v>
      </c>
      <c r="BP431" s="320" t="e">
        <f t="shared" ca="1" si="400"/>
        <v>#NAME?</v>
      </c>
      <c r="BQ431" s="344" t="e">
        <f t="shared" ca="1" si="357"/>
        <v>#NAME?</v>
      </c>
      <c r="BR431" s="347" t="e">
        <f t="shared" ca="1" si="358"/>
        <v>#NAME?</v>
      </c>
      <c r="BS431" s="326" t="e">
        <f t="shared" ca="1" si="401"/>
        <v>#NAME?</v>
      </c>
      <c r="BT431" s="437" t="e">
        <f t="shared" ca="1" si="371"/>
        <v>#NAME?</v>
      </c>
      <c r="BU431" s="437" t="e">
        <f t="shared" ca="1" si="372"/>
        <v>#NAME?</v>
      </c>
      <c r="BV431" s="441" t="e">
        <f t="shared" ca="1" si="373"/>
        <v>#NAME?</v>
      </c>
      <c r="BW431" s="442" t="e">
        <f t="shared" ca="1" si="374"/>
        <v>#NAME?</v>
      </c>
      <c r="BX431" s="470" t="e">
        <f t="shared" ca="1" si="347"/>
        <v>#NAME?</v>
      </c>
      <c r="BY431" s="484" t="e">
        <f t="shared" ca="1" si="359"/>
        <v>#NAME?</v>
      </c>
    </row>
    <row r="432" spans="9:77" ht="17.75" customHeight="1" x14ac:dyDescent="0.2">
      <c r="I432" s="366">
        <v>348</v>
      </c>
      <c r="J432" s="414">
        <f t="shared" si="360"/>
        <v>41705.954166667456</v>
      </c>
      <c r="K432" s="435" t="e">
        <f t="shared" ca="1" si="361"/>
        <v>#NAME?</v>
      </c>
      <c r="L432" s="435" t="e">
        <f t="shared" ca="1" si="348"/>
        <v>#NAME?</v>
      </c>
      <c r="M432" s="664" t="e">
        <f t="shared" ca="1" si="402"/>
        <v>#NAME?</v>
      </c>
      <c r="N432" s="664" t="e">
        <f t="shared" ca="1" si="403"/>
        <v>#NAME?</v>
      </c>
      <c r="O432" s="140" t="e">
        <f t="shared" ca="1" si="349"/>
        <v>#NAME?</v>
      </c>
      <c r="P432" s="352" t="e">
        <f t="shared" ca="1" si="362"/>
        <v>#NAME?</v>
      </c>
      <c r="Q432" s="665" t="e">
        <f t="shared" ca="1" si="342"/>
        <v>#NAME?</v>
      </c>
      <c r="R432" s="352" t="e">
        <f t="shared" ca="1" si="375"/>
        <v>#NAME?</v>
      </c>
      <c r="S432" s="662" t="e">
        <f t="shared" ca="1" si="350"/>
        <v>#NAME?</v>
      </c>
      <c r="T432" s="443" t="e">
        <f t="shared" ca="1" si="343"/>
        <v>#NAME?</v>
      </c>
      <c r="U432" s="369" t="e">
        <f t="shared" ca="1" si="344"/>
        <v>#NAME?</v>
      </c>
      <c r="V432" s="454" t="e">
        <f t="shared" ca="1" si="351"/>
        <v>#NAME?</v>
      </c>
      <c r="W432" s="457">
        <f t="shared" si="352"/>
        <v>1000</v>
      </c>
      <c r="X432" s="463" t="e">
        <f t="shared" ca="1" si="353"/>
        <v>#NAME?</v>
      </c>
      <c r="Y432" s="455" t="e">
        <f t="shared" ca="1" si="363"/>
        <v>#NAME?</v>
      </c>
      <c r="Z432" s="699">
        <f t="shared" si="345"/>
        <v>8.5</v>
      </c>
      <c r="AA432" s="355" t="str">
        <f t="shared" si="346"/>
        <v>ON</v>
      </c>
      <c r="AB432" s="357">
        <f t="shared" si="376"/>
        <v>1.4999999999999999E-2</v>
      </c>
      <c r="AC432" s="356" t="e">
        <f ca="1">IF(  Y431=0,0,IF(OR(S432="KCAS",S432="INOP",S432="MEFE"),   ( (5*( (   (((1+0.2*(T432/661.4786)^2)^3.5 -1)  )/( (1-6.8755856*10^-6 *100*Y432)^5.2558797) +1)^(2/7) -1) )^0.5),IF(S432="MACH",T432, IF(S432="LRC",BicubicInterpolation( 'LRC Mach'!$C$4:$AL$21, Y432,U432),  IF(S432="MRC",BicubicInterpolation( 'MRC Mach'!$C$3:$T$18, Y432,U432),  IF(S432="M0.84",0.84,  IF(S432="CI52",BicubicInterpolation('CI=52 Mach'!$C$3:$T$18, Y432,U432),  IF(S432="HOLDING",BicubicInterpolation(  'Holding Mach'!$C$4:$M$13, Y432,U432),                         IF(S432="LRCINOP", BicubicInterpolation('LRC INOP Mach'!$C$4:$AA$21,Y432,U432), IF(S432="HOLDINGINOP",  BicubicInterpolation('Holding INOP Mach'!$N$4:$U$13,Y432,U432),         "XXX" )))))))   )))</f>
        <v>#NAME?</v>
      </c>
      <c r="AD432" s="313" t="e">
        <f t="shared" ca="1" si="377"/>
        <v>#NAME?</v>
      </c>
      <c r="AE432" s="314" t="e">
        <f t="shared" ca="1" si="364"/>
        <v>#NAME?</v>
      </c>
      <c r="AF432" s="313" t="e">
        <f t="shared" ca="1" si="378"/>
        <v>#NAME?</v>
      </c>
      <c r="AG432" s="314" t="e">
        <f t="shared" ca="1" si="365"/>
        <v>#NAME?</v>
      </c>
      <c r="AH432" s="313" t="e">
        <f t="shared" ca="1" si="379"/>
        <v>#NAME?</v>
      </c>
      <c r="AI432" s="314" t="e">
        <f t="shared" ca="1" si="366"/>
        <v>#NAME?</v>
      </c>
      <c r="AJ432" s="315" t="e">
        <f t="shared" ca="1" si="367"/>
        <v>#NAME?</v>
      </c>
      <c r="AK432" s="568" t="e">
        <f t="shared" ca="1" si="380"/>
        <v>#NAME?</v>
      </c>
      <c r="AL432" s="313" t="e">
        <f t="shared" ca="1" si="381"/>
        <v>#NAME?</v>
      </c>
      <c r="AM432" s="313" t="e">
        <f t="shared" ca="1" si="368"/>
        <v>#NAME?</v>
      </c>
      <c r="AN432" s="313" t="e">
        <f t="shared" ca="1" si="369"/>
        <v>#NAME?</v>
      </c>
      <c r="AO432" s="316" t="e">
        <f t="shared" ca="1" si="382"/>
        <v>#NAME?</v>
      </c>
      <c r="AP432" s="313" t="e">
        <f t="shared" ca="1" si="383"/>
        <v>#NAME?</v>
      </c>
      <c r="AQ432" s="314" t="e">
        <f t="shared" ca="1" si="370"/>
        <v>#NAME?</v>
      </c>
      <c r="AR432" s="315" t="e">
        <f t="shared" ca="1" si="384"/>
        <v>#NAME?</v>
      </c>
      <c r="AS432" s="316" t="e">
        <f t="shared" ca="1" si="385"/>
        <v>#NAME?</v>
      </c>
      <c r="AT432" s="315" t="e">
        <f t="shared" ca="1" si="386"/>
        <v>#NAME?</v>
      </c>
      <c r="AU432" s="317">
        <v>427.8</v>
      </c>
      <c r="AV432" s="315" t="e">
        <f t="shared" ca="1" si="387"/>
        <v>#NAME?</v>
      </c>
      <c r="AW432" s="318" t="e">
        <f ca="1">0.0001*BicubicInterpolation('Drag Coef Table'!$B$4:$L$28,AV432,AC432)</f>
        <v>#NAME?</v>
      </c>
      <c r="AX432" s="319" t="e">
        <f t="shared" ca="1" si="388"/>
        <v>#NAME?</v>
      </c>
      <c r="AY432" s="318" t="e">
        <f t="shared" ca="1" si="389"/>
        <v>#NAME?</v>
      </c>
      <c r="AZ432" s="320" t="e">
        <f t="shared" ca="1" si="390"/>
        <v>#NAME?</v>
      </c>
      <c r="BA432" s="321" t="e">
        <f t="shared" ca="1" si="391"/>
        <v>#NAME?</v>
      </c>
      <c r="BB432" s="322" t="e">
        <f t="shared" ca="1" si="392"/>
        <v>#NAME?</v>
      </c>
      <c r="BC432" s="323">
        <v>75.196700000000007</v>
      </c>
      <c r="BD432" s="324" t="e">
        <f t="shared" ca="1" si="393"/>
        <v>#NAME?</v>
      </c>
      <c r="BE432" s="325" t="e">
        <f t="shared" ca="1" si="394"/>
        <v>#NAME?</v>
      </c>
      <c r="BF432" s="324" t="e">
        <f ca="1">BicubicInterpolation('TSFC Eff Table'!$B$4:$E$69,2,BB432)</f>
        <v>#NAME?</v>
      </c>
      <c r="BG432" s="326" t="e">
        <f t="shared" ca="1" si="395"/>
        <v>#NAME?</v>
      </c>
      <c r="BH432" s="694" t="e">
        <f ca="1">IF( S432="LRCINOP",   (1+(0.03/10)*Z432*(1+0.2*AC432^2) )*BicubicInterpolation( 'LRC INOP FF'!$C$4:$AA$21, Y432, U432 )-200, IF(S432 ="HOLDINGINOP", (1+(0.03/10)*Z432*(1+0.2*AC432^2) )*BicubicInterpolation( 'Holding INOP FF'!$C$4:$J$13,  Y432,  U432)/1.05-200,   BA432*BG432))</f>
        <v>#NAME?</v>
      </c>
      <c r="BI432" s="344" t="e">
        <f t="shared" ca="1" si="354"/>
        <v>#NAME?</v>
      </c>
      <c r="BJ432" s="322" t="e">
        <f t="shared" ca="1" si="396"/>
        <v>#NAME?</v>
      </c>
      <c r="BK432" s="338" t="e">
        <f t="shared" ca="1" si="355"/>
        <v>#NAME?</v>
      </c>
      <c r="BL432" s="327" t="e">
        <f t="shared" ca="1" si="397"/>
        <v>#NAME?</v>
      </c>
      <c r="BM432" s="328">
        <f t="shared" si="398"/>
        <v>200</v>
      </c>
      <c r="BN432" s="329" t="e">
        <f t="shared" ca="1" si="399"/>
        <v>#NAME?</v>
      </c>
      <c r="BO432" s="344" t="e">
        <f t="shared" ca="1" si="356"/>
        <v>#NAME?</v>
      </c>
      <c r="BP432" s="320" t="e">
        <f t="shared" ca="1" si="400"/>
        <v>#NAME?</v>
      </c>
      <c r="BQ432" s="344" t="e">
        <f t="shared" ca="1" si="357"/>
        <v>#NAME?</v>
      </c>
      <c r="BR432" s="347" t="e">
        <f t="shared" ca="1" si="358"/>
        <v>#NAME?</v>
      </c>
      <c r="BS432" s="326" t="e">
        <f t="shared" ca="1" si="401"/>
        <v>#NAME?</v>
      </c>
      <c r="BT432" s="437" t="e">
        <f t="shared" ca="1" si="371"/>
        <v>#NAME?</v>
      </c>
      <c r="BU432" s="437" t="e">
        <f t="shared" ca="1" si="372"/>
        <v>#NAME?</v>
      </c>
      <c r="BV432" s="441" t="e">
        <f t="shared" ca="1" si="373"/>
        <v>#NAME?</v>
      </c>
      <c r="BW432" s="442" t="e">
        <f t="shared" ca="1" si="374"/>
        <v>#NAME?</v>
      </c>
      <c r="BX432" s="470" t="e">
        <f t="shared" ca="1" si="347"/>
        <v>#NAME?</v>
      </c>
      <c r="BY432" s="484" t="e">
        <f t="shared" ca="1" si="359"/>
        <v>#NAME?</v>
      </c>
    </row>
    <row r="433" spans="9:77" ht="17.75" customHeight="1" x14ac:dyDescent="0.2">
      <c r="I433" s="366">
        <v>349</v>
      </c>
      <c r="J433" s="414">
        <f t="shared" si="360"/>
        <v>41705.954861111903</v>
      </c>
      <c r="K433" s="435" t="e">
        <f t="shared" ca="1" si="361"/>
        <v>#NAME?</v>
      </c>
      <c r="L433" s="435" t="e">
        <f t="shared" ca="1" si="348"/>
        <v>#NAME?</v>
      </c>
      <c r="M433" s="664" t="e">
        <f t="shared" ca="1" si="402"/>
        <v>#NAME?</v>
      </c>
      <c r="N433" s="664" t="e">
        <f t="shared" ca="1" si="403"/>
        <v>#NAME?</v>
      </c>
      <c r="O433" s="140" t="e">
        <f t="shared" ca="1" si="349"/>
        <v>#NAME?</v>
      </c>
      <c r="P433" s="352" t="e">
        <f t="shared" ca="1" si="362"/>
        <v>#NAME?</v>
      </c>
      <c r="Q433" s="665" t="e">
        <f t="shared" ca="1" si="342"/>
        <v>#NAME?</v>
      </c>
      <c r="R433" s="352" t="e">
        <f t="shared" ca="1" si="375"/>
        <v>#NAME?</v>
      </c>
      <c r="S433" s="662" t="e">
        <f t="shared" ca="1" si="350"/>
        <v>#NAME?</v>
      </c>
      <c r="T433" s="443" t="e">
        <f t="shared" ca="1" si="343"/>
        <v>#NAME?</v>
      </c>
      <c r="U433" s="369" t="e">
        <f t="shared" ca="1" si="344"/>
        <v>#NAME?</v>
      </c>
      <c r="V433" s="454" t="e">
        <f t="shared" ca="1" si="351"/>
        <v>#NAME?</v>
      </c>
      <c r="W433" s="457">
        <f t="shared" si="352"/>
        <v>1000</v>
      </c>
      <c r="X433" s="463" t="e">
        <f t="shared" ca="1" si="353"/>
        <v>#NAME?</v>
      </c>
      <c r="Y433" s="455" t="e">
        <f t="shared" ca="1" si="363"/>
        <v>#NAME?</v>
      </c>
      <c r="Z433" s="699">
        <f t="shared" si="345"/>
        <v>8.5</v>
      </c>
      <c r="AA433" s="355" t="str">
        <f t="shared" si="346"/>
        <v>ON</v>
      </c>
      <c r="AB433" s="357">
        <f t="shared" si="376"/>
        <v>1.4999999999999999E-2</v>
      </c>
      <c r="AC433" s="356" t="e">
        <f ca="1">IF(  Y432=0,0,IF(OR(S433="KCAS",S433="INOP",S433="MEFE"),   ( (5*( (   (((1+0.2*(T433/661.4786)^2)^3.5 -1)  )/( (1-6.8755856*10^-6 *100*Y433)^5.2558797) +1)^(2/7) -1) )^0.5),IF(S433="MACH",T433, IF(S433="LRC",BicubicInterpolation( 'LRC Mach'!$C$4:$AL$21, Y433,U433),  IF(S433="MRC",BicubicInterpolation( 'MRC Mach'!$C$3:$T$18, Y433,U433),  IF(S433="M0.84",0.84,  IF(S433="CI52",BicubicInterpolation('CI=52 Mach'!$C$3:$T$18, Y433,U433),  IF(S433="HOLDING",BicubicInterpolation(  'Holding Mach'!$C$4:$M$13, Y433,U433),                         IF(S433="LRCINOP", BicubicInterpolation('LRC INOP Mach'!$C$4:$AA$21,Y433,U433), IF(S433="HOLDINGINOP",  BicubicInterpolation('Holding INOP Mach'!$N$4:$U$13,Y433,U433),         "XXX" )))))))   )))</f>
        <v>#NAME?</v>
      </c>
      <c r="AD433" s="313" t="e">
        <f t="shared" ca="1" si="377"/>
        <v>#NAME?</v>
      </c>
      <c r="AE433" s="314" t="e">
        <f t="shared" ca="1" si="364"/>
        <v>#NAME?</v>
      </c>
      <c r="AF433" s="313" t="e">
        <f t="shared" ca="1" si="378"/>
        <v>#NAME?</v>
      </c>
      <c r="AG433" s="314" t="e">
        <f t="shared" ca="1" si="365"/>
        <v>#NAME?</v>
      </c>
      <c r="AH433" s="313" t="e">
        <f t="shared" ca="1" si="379"/>
        <v>#NAME?</v>
      </c>
      <c r="AI433" s="314" t="e">
        <f t="shared" ca="1" si="366"/>
        <v>#NAME?</v>
      </c>
      <c r="AJ433" s="315" t="e">
        <f t="shared" ca="1" si="367"/>
        <v>#NAME?</v>
      </c>
      <c r="AK433" s="568" t="e">
        <f t="shared" ca="1" si="380"/>
        <v>#NAME?</v>
      </c>
      <c r="AL433" s="313" t="e">
        <f t="shared" ca="1" si="381"/>
        <v>#NAME?</v>
      </c>
      <c r="AM433" s="313" t="e">
        <f t="shared" ca="1" si="368"/>
        <v>#NAME?</v>
      </c>
      <c r="AN433" s="313" t="e">
        <f t="shared" ca="1" si="369"/>
        <v>#NAME?</v>
      </c>
      <c r="AO433" s="316" t="e">
        <f t="shared" ca="1" si="382"/>
        <v>#NAME?</v>
      </c>
      <c r="AP433" s="313" t="e">
        <f t="shared" ca="1" si="383"/>
        <v>#NAME?</v>
      </c>
      <c r="AQ433" s="314" t="e">
        <f t="shared" ca="1" si="370"/>
        <v>#NAME?</v>
      </c>
      <c r="AR433" s="315" t="e">
        <f t="shared" ca="1" si="384"/>
        <v>#NAME?</v>
      </c>
      <c r="AS433" s="316" t="e">
        <f t="shared" ca="1" si="385"/>
        <v>#NAME?</v>
      </c>
      <c r="AT433" s="315" t="e">
        <f t="shared" ca="1" si="386"/>
        <v>#NAME?</v>
      </c>
      <c r="AU433" s="317">
        <v>427.8</v>
      </c>
      <c r="AV433" s="315" t="e">
        <f t="shared" ca="1" si="387"/>
        <v>#NAME?</v>
      </c>
      <c r="AW433" s="318" t="e">
        <f ca="1">0.0001*BicubicInterpolation('Drag Coef Table'!$B$4:$L$28,AV433,AC433)</f>
        <v>#NAME?</v>
      </c>
      <c r="AX433" s="319" t="e">
        <f t="shared" ca="1" si="388"/>
        <v>#NAME?</v>
      </c>
      <c r="AY433" s="318" t="e">
        <f t="shared" ca="1" si="389"/>
        <v>#NAME?</v>
      </c>
      <c r="AZ433" s="320" t="e">
        <f t="shared" ca="1" si="390"/>
        <v>#NAME?</v>
      </c>
      <c r="BA433" s="321" t="e">
        <f t="shared" ca="1" si="391"/>
        <v>#NAME?</v>
      </c>
      <c r="BB433" s="322" t="e">
        <f t="shared" ca="1" si="392"/>
        <v>#NAME?</v>
      </c>
      <c r="BC433" s="323">
        <v>75.196700000000007</v>
      </c>
      <c r="BD433" s="324" t="e">
        <f t="shared" ca="1" si="393"/>
        <v>#NAME?</v>
      </c>
      <c r="BE433" s="325" t="e">
        <f t="shared" ca="1" si="394"/>
        <v>#NAME?</v>
      </c>
      <c r="BF433" s="324" t="e">
        <f ca="1">BicubicInterpolation('TSFC Eff Table'!$B$4:$E$69,2,BB433)</f>
        <v>#NAME?</v>
      </c>
      <c r="BG433" s="326" t="e">
        <f t="shared" ca="1" si="395"/>
        <v>#NAME?</v>
      </c>
      <c r="BH433" s="694" t="e">
        <f ca="1">IF( S433="LRCINOP",   (1+(0.03/10)*Z433*(1+0.2*AC433^2) )*BicubicInterpolation( 'LRC INOP FF'!$C$4:$AA$21, Y433, U433 )-200, IF(S433 ="HOLDINGINOP", (1+(0.03/10)*Z433*(1+0.2*AC433^2) )*BicubicInterpolation( 'Holding INOP FF'!$C$4:$J$13,  Y433,  U433)/1.05-200,   BA433*BG433))</f>
        <v>#NAME?</v>
      </c>
      <c r="BI433" s="344" t="e">
        <f t="shared" ca="1" si="354"/>
        <v>#NAME?</v>
      </c>
      <c r="BJ433" s="322" t="e">
        <f t="shared" ca="1" si="396"/>
        <v>#NAME?</v>
      </c>
      <c r="BK433" s="338" t="e">
        <f t="shared" ca="1" si="355"/>
        <v>#NAME?</v>
      </c>
      <c r="BL433" s="327" t="e">
        <f t="shared" ca="1" si="397"/>
        <v>#NAME?</v>
      </c>
      <c r="BM433" s="328">
        <f t="shared" si="398"/>
        <v>200</v>
      </c>
      <c r="BN433" s="329" t="e">
        <f t="shared" ca="1" si="399"/>
        <v>#NAME?</v>
      </c>
      <c r="BO433" s="344" t="e">
        <f t="shared" ca="1" si="356"/>
        <v>#NAME?</v>
      </c>
      <c r="BP433" s="320" t="e">
        <f t="shared" ca="1" si="400"/>
        <v>#NAME?</v>
      </c>
      <c r="BQ433" s="344" t="e">
        <f t="shared" ca="1" si="357"/>
        <v>#NAME?</v>
      </c>
      <c r="BR433" s="347" t="e">
        <f t="shared" ca="1" si="358"/>
        <v>#NAME?</v>
      </c>
      <c r="BS433" s="326" t="e">
        <f t="shared" ca="1" si="401"/>
        <v>#NAME?</v>
      </c>
      <c r="BT433" s="437" t="e">
        <f t="shared" ca="1" si="371"/>
        <v>#NAME?</v>
      </c>
      <c r="BU433" s="437" t="e">
        <f t="shared" ca="1" si="372"/>
        <v>#NAME?</v>
      </c>
      <c r="BV433" s="441" t="e">
        <f t="shared" ca="1" si="373"/>
        <v>#NAME?</v>
      </c>
      <c r="BW433" s="442" t="e">
        <f t="shared" ca="1" si="374"/>
        <v>#NAME?</v>
      </c>
      <c r="BX433" s="470" t="e">
        <f t="shared" ca="1" si="347"/>
        <v>#NAME?</v>
      </c>
      <c r="BY433" s="484" t="e">
        <f t="shared" ca="1" si="359"/>
        <v>#NAME?</v>
      </c>
    </row>
    <row r="434" spans="9:77" ht="17.75" customHeight="1" x14ac:dyDescent="0.2">
      <c r="I434" s="366">
        <v>350</v>
      </c>
      <c r="J434" s="414">
        <f t="shared" si="360"/>
        <v>41705.955555556349</v>
      </c>
      <c r="K434" s="435" t="e">
        <f t="shared" ca="1" si="361"/>
        <v>#NAME?</v>
      </c>
      <c r="L434" s="435" t="e">
        <f t="shared" ca="1" si="348"/>
        <v>#NAME?</v>
      </c>
      <c r="M434" s="664" t="e">
        <f t="shared" ca="1" si="402"/>
        <v>#NAME?</v>
      </c>
      <c r="N434" s="664" t="e">
        <f t="shared" ca="1" si="403"/>
        <v>#NAME?</v>
      </c>
      <c r="O434" s="140" t="e">
        <f t="shared" ca="1" si="349"/>
        <v>#NAME?</v>
      </c>
      <c r="P434" s="352" t="e">
        <f t="shared" ca="1" si="362"/>
        <v>#NAME?</v>
      </c>
      <c r="Q434" s="665" t="e">
        <f t="shared" ca="1" si="342"/>
        <v>#NAME?</v>
      </c>
      <c r="R434" s="352" t="e">
        <f t="shared" ca="1" si="375"/>
        <v>#NAME?</v>
      </c>
      <c r="S434" s="662" t="e">
        <f t="shared" ca="1" si="350"/>
        <v>#NAME?</v>
      </c>
      <c r="T434" s="443" t="e">
        <f t="shared" ca="1" si="343"/>
        <v>#NAME?</v>
      </c>
      <c r="U434" s="369" t="e">
        <f t="shared" ca="1" si="344"/>
        <v>#NAME?</v>
      </c>
      <c r="V434" s="454" t="e">
        <f t="shared" ca="1" si="351"/>
        <v>#NAME?</v>
      </c>
      <c r="W434" s="457">
        <f t="shared" si="352"/>
        <v>1000</v>
      </c>
      <c r="X434" s="463" t="e">
        <f t="shared" ca="1" si="353"/>
        <v>#NAME?</v>
      </c>
      <c r="Y434" s="455" t="e">
        <f t="shared" ca="1" si="363"/>
        <v>#NAME?</v>
      </c>
      <c r="Z434" s="699">
        <f t="shared" si="345"/>
        <v>8.5</v>
      </c>
      <c r="AA434" s="355" t="str">
        <f t="shared" si="346"/>
        <v>ON</v>
      </c>
      <c r="AB434" s="357">
        <f t="shared" si="376"/>
        <v>1.4999999999999999E-2</v>
      </c>
      <c r="AC434" s="356" t="e">
        <f ca="1">IF(  Y433=0,0,IF(OR(S434="KCAS",S434="INOP",S434="MEFE"),   ( (5*( (   (((1+0.2*(T434/661.4786)^2)^3.5 -1)  )/( (1-6.8755856*10^-6 *100*Y434)^5.2558797) +1)^(2/7) -1) )^0.5),IF(S434="MACH",T434, IF(S434="LRC",BicubicInterpolation( 'LRC Mach'!$C$4:$AL$21, Y434,U434),  IF(S434="MRC",BicubicInterpolation( 'MRC Mach'!$C$3:$T$18, Y434,U434),  IF(S434="M0.84",0.84,  IF(S434="CI52",BicubicInterpolation('CI=52 Mach'!$C$3:$T$18, Y434,U434),  IF(S434="HOLDING",BicubicInterpolation(  'Holding Mach'!$C$4:$M$13, Y434,U434),                         IF(S434="LRCINOP", BicubicInterpolation('LRC INOP Mach'!$C$4:$AA$21,Y434,U434), IF(S434="HOLDINGINOP",  BicubicInterpolation('Holding INOP Mach'!$N$4:$U$13,Y434,U434),         "XXX" )))))))   )))</f>
        <v>#NAME?</v>
      </c>
      <c r="AD434" s="313" t="e">
        <f t="shared" ca="1" si="377"/>
        <v>#NAME?</v>
      </c>
      <c r="AE434" s="314" t="e">
        <f t="shared" ca="1" si="364"/>
        <v>#NAME?</v>
      </c>
      <c r="AF434" s="313" t="e">
        <f t="shared" ca="1" si="378"/>
        <v>#NAME?</v>
      </c>
      <c r="AG434" s="314" t="e">
        <f t="shared" ca="1" si="365"/>
        <v>#NAME?</v>
      </c>
      <c r="AH434" s="313" t="e">
        <f t="shared" ca="1" si="379"/>
        <v>#NAME?</v>
      </c>
      <c r="AI434" s="314" t="e">
        <f t="shared" ca="1" si="366"/>
        <v>#NAME?</v>
      </c>
      <c r="AJ434" s="315" t="e">
        <f t="shared" ca="1" si="367"/>
        <v>#NAME?</v>
      </c>
      <c r="AK434" s="568" t="e">
        <f t="shared" ca="1" si="380"/>
        <v>#NAME?</v>
      </c>
      <c r="AL434" s="313" t="e">
        <f t="shared" ca="1" si="381"/>
        <v>#NAME?</v>
      </c>
      <c r="AM434" s="313" t="e">
        <f t="shared" ca="1" si="368"/>
        <v>#NAME?</v>
      </c>
      <c r="AN434" s="313" t="e">
        <f t="shared" ca="1" si="369"/>
        <v>#NAME?</v>
      </c>
      <c r="AO434" s="316" t="e">
        <f t="shared" ca="1" si="382"/>
        <v>#NAME?</v>
      </c>
      <c r="AP434" s="313" t="e">
        <f t="shared" ca="1" si="383"/>
        <v>#NAME?</v>
      </c>
      <c r="AQ434" s="314" t="e">
        <f t="shared" ca="1" si="370"/>
        <v>#NAME?</v>
      </c>
      <c r="AR434" s="315" t="e">
        <f t="shared" ca="1" si="384"/>
        <v>#NAME?</v>
      </c>
      <c r="AS434" s="316" t="e">
        <f t="shared" ca="1" si="385"/>
        <v>#NAME?</v>
      </c>
      <c r="AT434" s="315" t="e">
        <f t="shared" ca="1" si="386"/>
        <v>#NAME?</v>
      </c>
      <c r="AU434" s="317">
        <v>427.8</v>
      </c>
      <c r="AV434" s="315" t="e">
        <f t="shared" ca="1" si="387"/>
        <v>#NAME?</v>
      </c>
      <c r="AW434" s="318" t="e">
        <f ca="1">0.0001*BicubicInterpolation('Drag Coef Table'!$B$4:$L$28,AV434,AC434)</f>
        <v>#NAME?</v>
      </c>
      <c r="AX434" s="319" t="e">
        <f t="shared" ca="1" si="388"/>
        <v>#NAME?</v>
      </c>
      <c r="AY434" s="318" t="e">
        <f t="shared" ca="1" si="389"/>
        <v>#NAME?</v>
      </c>
      <c r="AZ434" s="320" t="e">
        <f t="shared" ca="1" si="390"/>
        <v>#NAME?</v>
      </c>
      <c r="BA434" s="321" t="e">
        <f t="shared" ca="1" si="391"/>
        <v>#NAME?</v>
      </c>
      <c r="BB434" s="322" t="e">
        <f t="shared" ca="1" si="392"/>
        <v>#NAME?</v>
      </c>
      <c r="BC434" s="323">
        <v>75.196700000000007</v>
      </c>
      <c r="BD434" s="324" t="e">
        <f t="shared" ca="1" si="393"/>
        <v>#NAME?</v>
      </c>
      <c r="BE434" s="325" t="e">
        <f t="shared" ca="1" si="394"/>
        <v>#NAME?</v>
      </c>
      <c r="BF434" s="324" t="e">
        <f ca="1">BicubicInterpolation('TSFC Eff Table'!$B$4:$E$69,2,BB434)</f>
        <v>#NAME?</v>
      </c>
      <c r="BG434" s="326" t="e">
        <f t="shared" ca="1" si="395"/>
        <v>#NAME?</v>
      </c>
      <c r="BH434" s="694" t="e">
        <f ca="1">IF( S434="LRCINOP",   (1+(0.03/10)*Z434*(1+0.2*AC434^2) )*BicubicInterpolation( 'LRC INOP FF'!$C$4:$AA$21, Y434, U434 )-200, IF(S434 ="HOLDINGINOP", (1+(0.03/10)*Z434*(1+0.2*AC434^2) )*BicubicInterpolation( 'Holding INOP FF'!$C$4:$J$13,  Y434,  U434)/1.05-200,   BA434*BG434))</f>
        <v>#NAME?</v>
      </c>
      <c r="BI434" s="344" t="e">
        <f t="shared" ca="1" si="354"/>
        <v>#NAME?</v>
      </c>
      <c r="BJ434" s="322" t="e">
        <f t="shared" ca="1" si="396"/>
        <v>#NAME?</v>
      </c>
      <c r="BK434" s="338" t="e">
        <f t="shared" ca="1" si="355"/>
        <v>#NAME?</v>
      </c>
      <c r="BL434" s="327" t="e">
        <f t="shared" ca="1" si="397"/>
        <v>#NAME?</v>
      </c>
      <c r="BM434" s="328">
        <f t="shared" si="398"/>
        <v>200</v>
      </c>
      <c r="BN434" s="329" t="e">
        <f t="shared" ca="1" si="399"/>
        <v>#NAME?</v>
      </c>
      <c r="BO434" s="344" t="e">
        <f t="shared" ca="1" si="356"/>
        <v>#NAME?</v>
      </c>
      <c r="BP434" s="320" t="e">
        <f t="shared" ca="1" si="400"/>
        <v>#NAME?</v>
      </c>
      <c r="BQ434" s="344" t="e">
        <f t="shared" ca="1" si="357"/>
        <v>#NAME?</v>
      </c>
      <c r="BR434" s="347" t="e">
        <f t="shared" ca="1" si="358"/>
        <v>#NAME?</v>
      </c>
      <c r="BS434" s="326" t="e">
        <f t="shared" ca="1" si="401"/>
        <v>#NAME?</v>
      </c>
      <c r="BT434" s="437" t="e">
        <f t="shared" ca="1" si="371"/>
        <v>#NAME?</v>
      </c>
      <c r="BU434" s="437" t="e">
        <f t="shared" ca="1" si="372"/>
        <v>#NAME?</v>
      </c>
      <c r="BV434" s="441" t="e">
        <f t="shared" ca="1" si="373"/>
        <v>#NAME?</v>
      </c>
      <c r="BW434" s="442" t="e">
        <f t="shared" ca="1" si="374"/>
        <v>#NAME?</v>
      </c>
      <c r="BX434" s="470" t="e">
        <f t="shared" ca="1" si="347"/>
        <v>#NAME?</v>
      </c>
      <c r="BY434" s="484" t="e">
        <f t="shared" ca="1" si="359"/>
        <v>#NAME?</v>
      </c>
    </row>
    <row r="435" spans="9:77" ht="17.75" customHeight="1" x14ac:dyDescent="0.2">
      <c r="I435" s="366">
        <v>351</v>
      </c>
      <c r="J435" s="414">
        <f t="shared" si="360"/>
        <v>41705.956250000796</v>
      </c>
      <c r="K435" s="435" t="e">
        <f t="shared" ca="1" si="361"/>
        <v>#NAME?</v>
      </c>
      <c r="L435" s="435" t="e">
        <f t="shared" ca="1" si="348"/>
        <v>#NAME?</v>
      </c>
      <c r="M435" s="664" t="e">
        <f t="shared" ca="1" si="402"/>
        <v>#NAME?</v>
      </c>
      <c r="N435" s="664" t="e">
        <f t="shared" ca="1" si="403"/>
        <v>#NAME?</v>
      </c>
      <c r="O435" s="140" t="e">
        <f t="shared" ca="1" si="349"/>
        <v>#NAME?</v>
      </c>
      <c r="P435" s="352" t="e">
        <f t="shared" ca="1" si="362"/>
        <v>#NAME?</v>
      </c>
      <c r="Q435" s="665" t="e">
        <f t="shared" ca="1" si="342"/>
        <v>#NAME?</v>
      </c>
      <c r="R435" s="352" t="e">
        <f t="shared" ca="1" si="375"/>
        <v>#NAME?</v>
      </c>
      <c r="S435" s="662" t="e">
        <f t="shared" ca="1" si="350"/>
        <v>#NAME?</v>
      </c>
      <c r="T435" s="443" t="e">
        <f t="shared" ca="1" si="343"/>
        <v>#NAME?</v>
      </c>
      <c r="U435" s="369" t="e">
        <f t="shared" ca="1" si="344"/>
        <v>#NAME?</v>
      </c>
      <c r="V435" s="454" t="e">
        <f t="shared" ca="1" si="351"/>
        <v>#NAME?</v>
      </c>
      <c r="W435" s="457">
        <f t="shared" si="352"/>
        <v>1000</v>
      </c>
      <c r="X435" s="463" t="e">
        <f t="shared" ca="1" si="353"/>
        <v>#NAME?</v>
      </c>
      <c r="Y435" s="455" t="e">
        <f t="shared" ca="1" si="363"/>
        <v>#NAME?</v>
      </c>
      <c r="Z435" s="699">
        <f t="shared" si="345"/>
        <v>8.5</v>
      </c>
      <c r="AA435" s="355" t="str">
        <f t="shared" si="346"/>
        <v>ON</v>
      </c>
      <c r="AB435" s="357">
        <f t="shared" si="376"/>
        <v>1.4999999999999999E-2</v>
      </c>
      <c r="AC435" s="356" t="e">
        <f ca="1">IF(  Y434=0,0,IF(OR(S435="KCAS",S435="INOP",S435="MEFE"),   ( (5*( (   (((1+0.2*(T435/661.4786)^2)^3.5 -1)  )/( (1-6.8755856*10^-6 *100*Y435)^5.2558797) +1)^(2/7) -1) )^0.5),IF(S435="MACH",T435, IF(S435="LRC",BicubicInterpolation( 'LRC Mach'!$C$4:$AL$21, Y435,U435),  IF(S435="MRC",BicubicInterpolation( 'MRC Mach'!$C$3:$T$18, Y435,U435),  IF(S435="M0.84",0.84,  IF(S435="CI52",BicubicInterpolation('CI=52 Mach'!$C$3:$T$18, Y435,U435),  IF(S435="HOLDING",BicubicInterpolation(  'Holding Mach'!$C$4:$M$13, Y435,U435),                         IF(S435="LRCINOP", BicubicInterpolation('LRC INOP Mach'!$C$4:$AA$21,Y435,U435), IF(S435="HOLDINGINOP",  BicubicInterpolation('Holding INOP Mach'!$N$4:$U$13,Y435,U435),         "XXX" )))))))   )))</f>
        <v>#NAME?</v>
      </c>
      <c r="AD435" s="313" t="e">
        <f t="shared" ca="1" si="377"/>
        <v>#NAME?</v>
      </c>
      <c r="AE435" s="314" t="e">
        <f t="shared" ca="1" si="364"/>
        <v>#NAME?</v>
      </c>
      <c r="AF435" s="313" t="e">
        <f t="shared" ca="1" si="378"/>
        <v>#NAME?</v>
      </c>
      <c r="AG435" s="314" t="e">
        <f t="shared" ca="1" si="365"/>
        <v>#NAME?</v>
      </c>
      <c r="AH435" s="313" t="e">
        <f t="shared" ca="1" si="379"/>
        <v>#NAME?</v>
      </c>
      <c r="AI435" s="314" t="e">
        <f t="shared" ca="1" si="366"/>
        <v>#NAME?</v>
      </c>
      <c r="AJ435" s="315" t="e">
        <f t="shared" ca="1" si="367"/>
        <v>#NAME?</v>
      </c>
      <c r="AK435" s="568" t="e">
        <f t="shared" ca="1" si="380"/>
        <v>#NAME?</v>
      </c>
      <c r="AL435" s="313" t="e">
        <f t="shared" ca="1" si="381"/>
        <v>#NAME?</v>
      </c>
      <c r="AM435" s="313" t="e">
        <f t="shared" ca="1" si="368"/>
        <v>#NAME?</v>
      </c>
      <c r="AN435" s="313" t="e">
        <f t="shared" ca="1" si="369"/>
        <v>#NAME?</v>
      </c>
      <c r="AO435" s="316" t="e">
        <f t="shared" ca="1" si="382"/>
        <v>#NAME?</v>
      </c>
      <c r="AP435" s="313" t="e">
        <f t="shared" ca="1" si="383"/>
        <v>#NAME?</v>
      </c>
      <c r="AQ435" s="314" t="e">
        <f t="shared" ca="1" si="370"/>
        <v>#NAME?</v>
      </c>
      <c r="AR435" s="315" t="e">
        <f t="shared" ca="1" si="384"/>
        <v>#NAME?</v>
      </c>
      <c r="AS435" s="316" t="e">
        <f t="shared" ca="1" si="385"/>
        <v>#NAME?</v>
      </c>
      <c r="AT435" s="315" t="e">
        <f t="shared" ca="1" si="386"/>
        <v>#NAME?</v>
      </c>
      <c r="AU435" s="317">
        <v>427.8</v>
      </c>
      <c r="AV435" s="315" t="e">
        <f t="shared" ca="1" si="387"/>
        <v>#NAME?</v>
      </c>
      <c r="AW435" s="318" t="e">
        <f ca="1">0.0001*BicubicInterpolation('Drag Coef Table'!$B$4:$L$28,AV435,AC435)</f>
        <v>#NAME?</v>
      </c>
      <c r="AX435" s="319" t="e">
        <f t="shared" ca="1" si="388"/>
        <v>#NAME?</v>
      </c>
      <c r="AY435" s="318" t="e">
        <f t="shared" ca="1" si="389"/>
        <v>#NAME?</v>
      </c>
      <c r="AZ435" s="320" t="e">
        <f t="shared" ca="1" si="390"/>
        <v>#NAME?</v>
      </c>
      <c r="BA435" s="321" t="e">
        <f t="shared" ca="1" si="391"/>
        <v>#NAME?</v>
      </c>
      <c r="BB435" s="322" t="e">
        <f t="shared" ca="1" si="392"/>
        <v>#NAME?</v>
      </c>
      <c r="BC435" s="323">
        <v>75.196700000000007</v>
      </c>
      <c r="BD435" s="324" t="e">
        <f t="shared" ca="1" si="393"/>
        <v>#NAME?</v>
      </c>
      <c r="BE435" s="325" t="e">
        <f t="shared" ca="1" si="394"/>
        <v>#NAME?</v>
      </c>
      <c r="BF435" s="324" t="e">
        <f ca="1">BicubicInterpolation('TSFC Eff Table'!$B$4:$E$69,2,BB435)</f>
        <v>#NAME?</v>
      </c>
      <c r="BG435" s="326" t="e">
        <f t="shared" ca="1" si="395"/>
        <v>#NAME?</v>
      </c>
      <c r="BH435" s="694" t="e">
        <f ca="1">IF( S435="LRCINOP",   (1+(0.03/10)*Z435*(1+0.2*AC435^2) )*BicubicInterpolation( 'LRC INOP FF'!$C$4:$AA$21, Y435, U435 )-200, IF(S435 ="HOLDINGINOP", (1+(0.03/10)*Z435*(1+0.2*AC435^2) )*BicubicInterpolation( 'Holding INOP FF'!$C$4:$J$13,  Y435,  U435)/1.05-200,   BA435*BG435))</f>
        <v>#NAME?</v>
      </c>
      <c r="BI435" s="344" t="e">
        <f t="shared" ca="1" si="354"/>
        <v>#NAME?</v>
      </c>
      <c r="BJ435" s="322" t="e">
        <f t="shared" ca="1" si="396"/>
        <v>#NAME?</v>
      </c>
      <c r="BK435" s="338" t="e">
        <f t="shared" ca="1" si="355"/>
        <v>#NAME?</v>
      </c>
      <c r="BL435" s="327" t="e">
        <f t="shared" ca="1" si="397"/>
        <v>#NAME?</v>
      </c>
      <c r="BM435" s="328">
        <f t="shared" si="398"/>
        <v>200</v>
      </c>
      <c r="BN435" s="329" t="e">
        <f t="shared" ca="1" si="399"/>
        <v>#NAME?</v>
      </c>
      <c r="BO435" s="344" t="e">
        <f t="shared" ca="1" si="356"/>
        <v>#NAME?</v>
      </c>
      <c r="BP435" s="320" t="e">
        <f t="shared" ca="1" si="400"/>
        <v>#NAME?</v>
      </c>
      <c r="BQ435" s="344" t="e">
        <f t="shared" ca="1" si="357"/>
        <v>#NAME?</v>
      </c>
      <c r="BR435" s="347" t="e">
        <f t="shared" ca="1" si="358"/>
        <v>#NAME?</v>
      </c>
      <c r="BS435" s="326" t="e">
        <f t="shared" ca="1" si="401"/>
        <v>#NAME?</v>
      </c>
      <c r="BT435" s="437" t="e">
        <f t="shared" ca="1" si="371"/>
        <v>#NAME?</v>
      </c>
      <c r="BU435" s="437" t="e">
        <f t="shared" ca="1" si="372"/>
        <v>#NAME?</v>
      </c>
      <c r="BV435" s="441" t="e">
        <f t="shared" ca="1" si="373"/>
        <v>#NAME?</v>
      </c>
      <c r="BW435" s="442" t="e">
        <f t="shared" ca="1" si="374"/>
        <v>#NAME?</v>
      </c>
      <c r="BX435" s="470" t="e">
        <f t="shared" ca="1" si="347"/>
        <v>#NAME?</v>
      </c>
      <c r="BY435" s="484" t="e">
        <f t="shared" ca="1" si="359"/>
        <v>#NAME?</v>
      </c>
    </row>
    <row r="436" spans="9:77" ht="17.75" customHeight="1" x14ac:dyDescent="0.2">
      <c r="I436" s="366">
        <v>352</v>
      </c>
      <c r="J436" s="414">
        <f t="shared" si="360"/>
        <v>41705.956944445243</v>
      </c>
      <c r="K436" s="435" t="e">
        <f t="shared" ca="1" si="361"/>
        <v>#NAME?</v>
      </c>
      <c r="L436" s="435" t="e">
        <f t="shared" ca="1" si="348"/>
        <v>#NAME?</v>
      </c>
      <c r="M436" s="664" t="e">
        <f t="shared" ca="1" si="402"/>
        <v>#NAME?</v>
      </c>
      <c r="N436" s="664" t="e">
        <f t="shared" ca="1" si="403"/>
        <v>#NAME?</v>
      </c>
      <c r="O436" s="140" t="e">
        <f t="shared" ca="1" si="349"/>
        <v>#NAME?</v>
      </c>
      <c r="P436" s="352" t="e">
        <f t="shared" ca="1" si="362"/>
        <v>#NAME?</v>
      </c>
      <c r="Q436" s="665" t="e">
        <f t="shared" ca="1" si="342"/>
        <v>#NAME?</v>
      </c>
      <c r="R436" s="352" t="e">
        <f t="shared" ca="1" si="375"/>
        <v>#NAME?</v>
      </c>
      <c r="S436" s="662" t="e">
        <f t="shared" ca="1" si="350"/>
        <v>#NAME?</v>
      </c>
      <c r="T436" s="443" t="e">
        <f t="shared" ca="1" si="343"/>
        <v>#NAME?</v>
      </c>
      <c r="U436" s="369" t="e">
        <f t="shared" ca="1" si="344"/>
        <v>#NAME?</v>
      </c>
      <c r="V436" s="454" t="e">
        <f t="shared" ca="1" si="351"/>
        <v>#NAME?</v>
      </c>
      <c r="W436" s="457">
        <f t="shared" si="352"/>
        <v>1000</v>
      </c>
      <c r="X436" s="463" t="e">
        <f t="shared" ca="1" si="353"/>
        <v>#NAME?</v>
      </c>
      <c r="Y436" s="455" t="e">
        <f t="shared" ca="1" si="363"/>
        <v>#NAME?</v>
      </c>
      <c r="Z436" s="699">
        <f t="shared" si="345"/>
        <v>8.5</v>
      </c>
      <c r="AA436" s="355" t="str">
        <f t="shared" si="346"/>
        <v>ON</v>
      </c>
      <c r="AB436" s="357">
        <f t="shared" si="376"/>
        <v>1.4999999999999999E-2</v>
      </c>
      <c r="AC436" s="356" t="e">
        <f ca="1">IF(  Y435=0,0,IF(OR(S436="KCAS",S436="INOP",S436="MEFE"),   ( (5*( (   (((1+0.2*(T436/661.4786)^2)^3.5 -1)  )/( (1-6.8755856*10^-6 *100*Y436)^5.2558797) +1)^(2/7) -1) )^0.5),IF(S436="MACH",T436, IF(S436="LRC",BicubicInterpolation( 'LRC Mach'!$C$4:$AL$21, Y436,U436),  IF(S436="MRC",BicubicInterpolation( 'MRC Mach'!$C$3:$T$18, Y436,U436),  IF(S436="M0.84",0.84,  IF(S436="CI52",BicubicInterpolation('CI=52 Mach'!$C$3:$T$18, Y436,U436),  IF(S436="HOLDING",BicubicInterpolation(  'Holding Mach'!$C$4:$M$13, Y436,U436),                         IF(S436="LRCINOP", BicubicInterpolation('LRC INOP Mach'!$C$4:$AA$21,Y436,U436), IF(S436="HOLDINGINOP",  BicubicInterpolation('Holding INOP Mach'!$N$4:$U$13,Y436,U436),         "XXX" )))))))   )))</f>
        <v>#NAME?</v>
      </c>
      <c r="AD436" s="313" t="e">
        <f t="shared" ca="1" si="377"/>
        <v>#NAME?</v>
      </c>
      <c r="AE436" s="314" t="e">
        <f t="shared" ca="1" si="364"/>
        <v>#NAME?</v>
      </c>
      <c r="AF436" s="313" t="e">
        <f t="shared" ca="1" si="378"/>
        <v>#NAME?</v>
      </c>
      <c r="AG436" s="314" t="e">
        <f t="shared" ca="1" si="365"/>
        <v>#NAME?</v>
      </c>
      <c r="AH436" s="313" t="e">
        <f t="shared" ca="1" si="379"/>
        <v>#NAME?</v>
      </c>
      <c r="AI436" s="314" t="e">
        <f t="shared" ca="1" si="366"/>
        <v>#NAME?</v>
      </c>
      <c r="AJ436" s="315" t="e">
        <f t="shared" ca="1" si="367"/>
        <v>#NAME?</v>
      </c>
      <c r="AK436" s="568" t="e">
        <f t="shared" ca="1" si="380"/>
        <v>#NAME?</v>
      </c>
      <c r="AL436" s="313" t="e">
        <f t="shared" ca="1" si="381"/>
        <v>#NAME?</v>
      </c>
      <c r="AM436" s="313" t="e">
        <f t="shared" ca="1" si="368"/>
        <v>#NAME?</v>
      </c>
      <c r="AN436" s="313" t="e">
        <f t="shared" ca="1" si="369"/>
        <v>#NAME?</v>
      </c>
      <c r="AO436" s="316" t="e">
        <f t="shared" ca="1" si="382"/>
        <v>#NAME?</v>
      </c>
      <c r="AP436" s="313" t="e">
        <f t="shared" ca="1" si="383"/>
        <v>#NAME?</v>
      </c>
      <c r="AQ436" s="314" t="e">
        <f t="shared" ca="1" si="370"/>
        <v>#NAME?</v>
      </c>
      <c r="AR436" s="315" t="e">
        <f t="shared" ca="1" si="384"/>
        <v>#NAME?</v>
      </c>
      <c r="AS436" s="316" t="e">
        <f t="shared" ca="1" si="385"/>
        <v>#NAME?</v>
      </c>
      <c r="AT436" s="315" t="e">
        <f t="shared" ca="1" si="386"/>
        <v>#NAME?</v>
      </c>
      <c r="AU436" s="317">
        <v>427.8</v>
      </c>
      <c r="AV436" s="315" t="e">
        <f t="shared" ca="1" si="387"/>
        <v>#NAME?</v>
      </c>
      <c r="AW436" s="318" t="e">
        <f ca="1">0.0001*BicubicInterpolation('Drag Coef Table'!$B$4:$L$28,AV436,AC436)</f>
        <v>#NAME?</v>
      </c>
      <c r="AX436" s="319" t="e">
        <f t="shared" ca="1" si="388"/>
        <v>#NAME?</v>
      </c>
      <c r="AY436" s="318" t="e">
        <f t="shared" ca="1" si="389"/>
        <v>#NAME?</v>
      </c>
      <c r="AZ436" s="320" t="e">
        <f t="shared" ca="1" si="390"/>
        <v>#NAME?</v>
      </c>
      <c r="BA436" s="321" t="e">
        <f t="shared" ca="1" si="391"/>
        <v>#NAME?</v>
      </c>
      <c r="BB436" s="322" t="e">
        <f t="shared" ca="1" si="392"/>
        <v>#NAME?</v>
      </c>
      <c r="BC436" s="323">
        <v>75.196700000000007</v>
      </c>
      <c r="BD436" s="324" t="e">
        <f t="shared" ca="1" si="393"/>
        <v>#NAME?</v>
      </c>
      <c r="BE436" s="325" t="e">
        <f t="shared" ca="1" si="394"/>
        <v>#NAME?</v>
      </c>
      <c r="BF436" s="324" t="e">
        <f ca="1">BicubicInterpolation('TSFC Eff Table'!$B$4:$E$69,2,BB436)</f>
        <v>#NAME?</v>
      </c>
      <c r="BG436" s="326" t="e">
        <f t="shared" ca="1" si="395"/>
        <v>#NAME?</v>
      </c>
      <c r="BH436" s="694" t="e">
        <f ca="1">IF( S436="LRCINOP",   (1+(0.03/10)*Z436*(1+0.2*AC436^2) )*BicubicInterpolation( 'LRC INOP FF'!$C$4:$AA$21, Y436, U436 )-200, IF(S436 ="HOLDINGINOP", (1+(0.03/10)*Z436*(1+0.2*AC436^2) )*BicubicInterpolation( 'Holding INOP FF'!$C$4:$J$13,  Y436,  U436)/1.05-200,   BA436*BG436))</f>
        <v>#NAME?</v>
      </c>
      <c r="BI436" s="344" t="e">
        <f t="shared" ca="1" si="354"/>
        <v>#NAME?</v>
      </c>
      <c r="BJ436" s="322" t="e">
        <f t="shared" ca="1" si="396"/>
        <v>#NAME?</v>
      </c>
      <c r="BK436" s="338" t="e">
        <f t="shared" ca="1" si="355"/>
        <v>#NAME?</v>
      </c>
      <c r="BL436" s="327" t="e">
        <f t="shared" ca="1" si="397"/>
        <v>#NAME?</v>
      </c>
      <c r="BM436" s="328">
        <f t="shared" si="398"/>
        <v>200</v>
      </c>
      <c r="BN436" s="329" t="e">
        <f t="shared" ca="1" si="399"/>
        <v>#NAME?</v>
      </c>
      <c r="BO436" s="344" t="e">
        <f t="shared" ca="1" si="356"/>
        <v>#NAME?</v>
      </c>
      <c r="BP436" s="320" t="e">
        <f t="shared" ca="1" si="400"/>
        <v>#NAME?</v>
      </c>
      <c r="BQ436" s="344" t="e">
        <f t="shared" ca="1" si="357"/>
        <v>#NAME?</v>
      </c>
      <c r="BR436" s="347" t="e">
        <f t="shared" ca="1" si="358"/>
        <v>#NAME?</v>
      </c>
      <c r="BS436" s="326" t="e">
        <f t="shared" ca="1" si="401"/>
        <v>#NAME?</v>
      </c>
      <c r="BT436" s="437" t="e">
        <f t="shared" ca="1" si="371"/>
        <v>#NAME?</v>
      </c>
      <c r="BU436" s="437" t="e">
        <f t="shared" ca="1" si="372"/>
        <v>#NAME?</v>
      </c>
      <c r="BV436" s="441" t="e">
        <f t="shared" ca="1" si="373"/>
        <v>#NAME?</v>
      </c>
      <c r="BW436" s="442" t="e">
        <f t="shared" ca="1" si="374"/>
        <v>#NAME?</v>
      </c>
      <c r="BX436" s="470" t="e">
        <f t="shared" ca="1" si="347"/>
        <v>#NAME?</v>
      </c>
      <c r="BY436" s="484" t="e">
        <f t="shared" ca="1" si="359"/>
        <v>#NAME?</v>
      </c>
    </row>
    <row r="437" spans="9:77" ht="17.75" customHeight="1" x14ac:dyDescent="0.2">
      <c r="I437" s="366">
        <v>353</v>
      </c>
      <c r="J437" s="414">
        <f t="shared" si="360"/>
        <v>41705.957638889689</v>
      </c>
      <c r="K437" s="435" t="e">
        <f t="shared" ca="1" si="361"/>
        <v>#NAME?</v>
      </c>
      <c r="L437" s="435" t="e">
        <f t="shared" ca="1" si="348"/>
        <v>#NAME?</v>
      </c>
      <c r="M437" s="664" t="e">
        <f t="shared" ca="1" si="402"/>
        <v>#NAME?</v>
      </c>
      <c r="N437" s="664" t="e">
        <f t="shared" ca="1" si="403"/>
        <v>#NAME?</v>
      </c>
      <c r="O437" s="140" t="e">
        <f t="shared" ca="1" si="349"/>
        <v>#NAME?</v>
      </c>
      <c r="P437" s="352" t="e">
        <f t="shared" ca="1" si="362"/>
        <v>#NAME?</v>
      </c>
      <c r="Q437" s="665" t="e">
        <f t="shared" ca="1" si="342"/>
        <v>#NAME?</v>
      </c>
      <c r="R437" s="352" t="e">
        <f t="shared" ca="1" si="375"/>
        <v>#NAME?</v>
      </c>
      <c r="S437" s="662" t="e">
        <f t="shared" ca="1" si="350"/>
        <v>#NAME?</v>
      </c>
      <c r="T437" s="443" t="e">
        <f t="shared" ca="1" si="343"/>
        <v>#NAME?</v>
      </c>
      <c r="U437" s="369" t="e">
        <f t="shared" ca="1" si="344"/>
        <v>#NAME?</v>
      </c>
      <c r="V437" s="454" t="e">
        <f t="shared" ca="1" si="351"/>
        <v>#NAME?</v>
      </c>
      <c r="W437" s="457">
        <f t="shared" si="352"/>
        <v>1000</v>
      </c>
      <c r="X437" s="463" t="e">
        <f t="shared" ca="1" si="353"/>
        <v>#NAME?</v>
      </c>
      <c r="Y437" s="455" t="e">
        <f t="shared" ca="1" si="363"/>
        <v>#NAME?</v>
      </c>
      <c r="Z437" s="699">
        <f t="shared" si="345"/>
        <v>8.5</v>
      </c>
      <c r="AA437" s="355" t="str">
        <f t="shared" si="346"/>
        <v>ON</v>
      </c>
      <c r="AB437" s="357">
        <f t="shared" si="376"/>
        <v>1.4999999999999999E-2</v>
      </c>
      <c r="AC437" s="356" t="e">
        <f ca="1">IF(  Y436=0,0,IF(OR(S437="KCAS",S437="INOP",S437="MEFE"),   ( (5*( (   (((1+0.2*(T437/661.4786)^2)^3.5 -1)  )/( (1-6.8755856*10^-6 *100*Y437)^5.2558797) +1)^(2/7) -1) )^0.5),IF(S437="MACH",T437, IF(S437="LRC",BicubicInterpolation( 'LRC Mach'!$C$4:$AL$21, Y437,U437),  IF(S437="MRC",BicubicInterpolation( 'MRC Mach'!$C$3:$T$18, Y437,U437),  IF(S437="M0.84",0.84,  IF(S437="CI52",BicubicInterpolation('CI=52 Mach'!$C$3:$T$18, Y437,U437),  IF(S437="HOLDING",BicubicInterpolation(  'Holding Mach'!$C$4:$M$13, Y437,U437),                         IF(S437="LRCINOP", BicubicInterpolation('LRC INOP Mach'!$C$4:$AA$21,Y437,U437), IF(S437="HOLDINGINOP",  BicubicInterpolation('Holding INOP Mach'!$N$4:$U$13,Y437,U437),         "XXX" )))))))   )))</f>
        <v>#NAME?</v>
      </c>
      <c r="AD437" s="313" t="e">
        <f t="shared" ca="1" si="377"/>
        <v>#NAME?</v>
      </c>
      <c r="AE437" s="314" t="e">
        <f t="shared" ca="1" si="364"/>
        <v>#NAME?</v>
      </c>
      <c r="AF437" s="313" t="e">
        <f t="shared" ca="1" si="378"/>
        <v>#NAME?</v>
      </c>
      <c r="AG437" s="314" t="e">
        <f t="shared" ca="1" si="365"/>
        <v>#NAME?</v>
      </c>
      <c r="AH437" s="313" t="e">
        <f t="shared" ca="1" si="379"/>
        <v>#NAME?</v>
      </c>
      <c r="AI437" s="314" t="e">
        <f t="shared" ca="1" si="366"/>
        <v>#NAME?</v>
      </c>
      <c r="AJ437" s="315" t="e">
        <f t="shared" ca="1" si="367"/>
        <v>#NAME?</v>
      </c>
      <c r="AK437" s="568" t="e">
        <f t="shared" ca="1" si="380"/>
        <v>#NAME?</v>
      </c>
      <c r="AL437" s="313" t="e">
        <f t="shared" ca="1" si="381"/>
        <v>#NAME?</v>
      </c>
      <c r="AM437" s="313" t="e">
        <f t="shared" ca="1" si="368"/>
        <v>#NAME?</v>
      </c>
      <c r="AN437" s="313" t="e">
        <f t="shared" ca="1" si="369"/>
        <v>#NAME?</v>
      </c>
      <c r="AO437" s="316" t="e">
        <f t="shared" ca="1" si="382"/>
        <v>#NAME?</v>
      </c>
      <c r="AP437" s="313" t="e">
        <f t="shared" ca="1" si="383"/>
        <v>#NAME?</v>
      </c>
      <c r="AQ437" s="314" t="e">
        <f t="shared" ca="1" si="370"/>
        <v>#NAME?</v>
      </c>
      <c r="AR437" s="315" t="e">
        <f t="shared" ca="1" si="384"/>
        <v>#NAME?</v>
      </c>
      <c r="AS437" s="316" t="e">
        <f t="shared" ca="1" si="385"/>
        <v>#NAME?</v>
      </c>
      <c r="AT437" s="315" t="e">
        <f t="shared" ca="1" si="386"/>
        <v>#NAME?</v>
      </c>
      <c r="AU437" s="317">
        <v>427.8</v>
      </c>
      <c r="AV437" s="315" t="e">
        <f t="shared" ca="1" si="387"/>
        <v>#NAME?</v>
      </c>
      <c r="AW437" s="318" t="e">
        <f ca="1">0.0001*BicubicInterpolation('Drag Coef Table'!$B$4:$L$28,AV437,AC437)</f>
        <v>#NAME?</v>
      </c>
      <c r="AX437" s="319" t="e">
        <f t="shared" ca="1" si="388"/>
        <v>#NAME?</v>
      </c>
      <c r="AY437" s="318" t="e">
        <f t="shared" ca="1" si="389"/>
        <v>#NAME?</v>
      </c>
      <c r="AZ437" s="320" t="e">
        <f t="shared" ca="1" si="390"/>
        <v>#NAME?</v>
      </c>
      <c r="BA437" s="321" t="e">
        <f t="shared" ca="1" si="391"/>
        <v>#NAME?</v>
      </c>
      <c r="BB437" s="322" t="e">
        <f t="shared" ca="1" si="392"/>
        <v>#NAME?</v>
      </c>
      <c r="BC437" s="323">
        <v>75.196700000000007</v>
      </c>
      <c r="BD437" s="324" t="e">
        <f t="shared" ca="1" si="393"/>
        <v>#NAME?</v>
      </c>
      <c r="BE437" s="325" t="e">
        <f t="shared" ca="1" si="394"/>
        <v>#NAME?</v>
      </c>
      <c r="BF437" s="324" t="e">
        <f ca="1">BicubicInterpolation('TSFC Eff Table'!$B$4:$E$69,2,BB437)</f>
        <v>#NAME?</v>
      </c>
      <c r="BG437" s="326" t="e">
        <f t="shared" ca="1" si="395"/>
        <v>#NAME?</v>
      </c>
      <c r="BH437" s="694" t="e">
        <f ca="1">IF( S437="LRCINOP",   (1+(0.03/10)*Z437*(1+0.2*AC437^2) )*BicubicInterpolation( 'LRC INOP FF'!$C$4:$AA$21, Y437, U437 )-200, IF(S437 ="HOLDINGINOP", (1+(0.03/10)*Z437*(1+0.2*AC437^2) )*BicubicInterpolation( 'Holding INOP FF'!$C$4:$J$13,  Y437,  U437)/1.05-200,   BA437*BG437))</f>
        <v>#NAME?</v>
      </c>
      <c r="BI437" s="344" t="e">
        <f t="shared" ca="1" si="354"/>
        <v>#NAME?</v>
      </c>
      <c r="BJ437" s="322" t="e">
        <f t="shared" ca="1" si="396"/>
        <v>#NAME?</v>
      </c>
      <c r="BK437" s="338" t="e">
        <f t="shared" ca="1" si="355"/>
        <v>#NAME?</v>
      </c>
      <c r="BL437" s="327" t="e">
        <f t="shared" ca="1" si="397"/>
        <v>#NAME?</v>
      </c>
      <c r="BM437" s="328">
        <f t="shared" si="398"/>
        <v>200</v>
      </c>
      <c r="BN437" s="329" t="e">
        <f t="shared" ca="1" si="399"/>
        <v>#NAME?</v>
      </c>
      <c r="BO437" s="344" t="e">
        <f t="shared" ca="1" si="356"/>
        <v>#NAME?</v>
      </c>
      <c r="BP437" s="320" t="e">
        <f t="shared" ca="1" si="400"/>
        <v>#NAME?</v>
      </c>
      <c r="BQ437" s="344" t="e">
        <f t="shared" ca="1" si="357"/>
        <v>#NAME?</v>
      </c>
      <c r="BR437" s="347" t="e">
        <f t="shared" ca="1" si="358"/>
        <v>#NAME?</v>
      </c>
      <c r="BS437" s="326" t="e">
        <f t="shared" ca="1" si="401"/>
        <v>#NAME?</v>
      </c>
      <c r="BT437" s="437" t="e">
        <f t="shared" ca="1" si="371"/>
        <v>#NAME?</v>
      </c>
      <c r="BU437" s="437" t="e">
        <f t="shared" ca="1" si="372"/>
        <v>#NAME?</v>
      </c>
      <c r="BV437" s="441" t="e">
        <f t="shared" ca="1" si="373"/>
        <v>#NAME?</v>
      </c>
      <c r="BW437" s="442" t="e">
        <f t="shared" ca="1" si="374"/>
        <v>#NAME?</v>
      </c>
      <c r="BX437" s="470" t="e">
        <f t="shared" ca="1" si="347"/>
        <v>#NAME?</v>
      </c>
      <c r="BY437" s="484" t="e">
        <f t="shared" ca="1" si="359"/>
        <v>#NAME?</v>
      </c>
    </row>
    <row r="438" spans="9:77" ht="17.75" customHeight="1" x14ac:dyDescent="0.2">
      <c r="I438" s="366">
        <v>354</v>
      </c>
      <c r="J438" s="414">
        <f t="shared" si="360"/>
        <v>41705.958333334136</v>
      </c>
      <c r="K438" s="435" t="e">
        <f t="shared" ca="1" si="361"/>
        <v>#NAME?</v>
      </c>
      <c r="L438" s="435" t="e">
        <f t="shared" ca="1" si="348"/>
        <v>#NAME?</v>
      </c>
      <c r="M438" s="664" t="e">
        <f t="shared" ca="1" si="402"/>
        <v>#NAME?</v>
      </c>
      <c r="N438" s="664" t="e">
        <f t="shared" ca="1" si="403"/>
        <v>#NAME?</v>
      </c>
      <c r="O438" s="140" t="e">
        <f t="shared" ca="1" si="349"/>
        <v>#NAME?</v>
      </c>
      <c r="P438" s="352" t="e">
        <f t="shared" ca="1" si="362"/>
        <v>#NAME?</v>
      </c>
      <c r="Q438" s="665" t="e">
        <f t="shared" ca="1" si="342"/>
        <v>#NAME?</v>
      </c>
      <c r="R438" s="352" t="e">
        <f t="shared" ca="1" si="375"/>
        <v>#NAME?</v>
      </c>
      <c r="S438" s="662" t="e">
        <f t="shared" ca="1" si="350"/>
        <v>#NAME?</v>
      </c>
      <c r="T438" s="443" t="e">
        <f t="shared" ca="1" si="343"/>
        <v>#NAME?</v>
      </c>
      <c r="U438" s="369" t="e">
        <f t="shared" ca="1" si="344"/>
        <v>#NAME?</v>
      </c>
      <c r="V438" s="454" t="e">
        <f t="shared" ca="1" si="351"/>
        <v>#NAME?</v>
      </c>
      <c r="W438" s="457">
        <f t="shared" si="352"/>
        <v>1000</v>
      </c>
      <c r="X438" s="463" t="e">
        <f t="shared" ca="1" si="353"/>
        <v>#NAME?</v>
      </c>
      <c r="Y438" s="455" t="e">
        <f t="shared" ca="1" si="363"/>
        <v>#NAME?</v>
      </c>
      <c r="Z438" s="699">
        <f t="shared" si="345"/>
        <v>8.5</v>
      </c>
      <c r="AA438" s="355" t="str">
        <f t="shared" si="346"/>
        <v>ON</v>
      </c>
      <c r="AB438" s="357">
        <f t="shared" si="376"/>
        <v>1.4999999999999999E-2</v>
      </c>
      <c r="AC438" s="356" t="e">
        <f ca="1">IF(  Y437=0,0,IF(OR(S438="KCAS",S438="INOP",S438="MEFE"),   ( (5*( (   (((1+0.2*(T438/661.4786)^2)^3.5 -1)  )/( (1-6.8755856*10^-6 *100*Y438)^5.2558797) +1)^(2/7) -1) )^0.5),IF(S438="MACH",T438, IF(S438="LRC",BicubicInterpolation( 'LRC Mach'!$C$4:$AL$21, Y438,U438),  IF(S438="MRC",BicubicInterpolation( 'MRC Mach'!$C$3:$T$18, Y438,U438),  IF(S438="M0.84",0.84,  IF(S438="CI52",BicubicInterpolation('CI=52 Mach'!$C$3:$T$18, Y438,U438),  IF(S438="HOLDING",BicubicInterpolation(  'Holding Mach'!$C$4:$M$13, Y438,U438),                         IF(S438="LRCINOP", BicubicInterpolation('LRC INOP Mach'!$C$4:$AA$21,Y438,U438), IF(S438="HOLDINGINOP",  BicubicInterpolation('Holding INOP Mach'!$N$4:$U$13,Y438,U438),         "XXX" )))))))   )))</f>
        <v>#NAME?</v>
      </c>
      <c r="AD438" s="313" t="e">
        <f t="shared" ca="1" si="377"/>
        <v>#NAME?</v>
      </c>
      <c r="AE438" s="314" t="e">
        <f t="shared" ca="1" si="364"/>
        <v>#NAME?</v>
      </c>
      <c r="AF438" s="313" t="e">
        <f t="shared" ca="1" si="378"/>
        <v>#NAME?</v>
      </c>
      <c r="AG438" s="314" t="e">
        <f t="shared" ca="1" si="365"/>
        <v>#NAME?</v>
      </c>
      <c r="AH438" s="313" t="e">
        <f t="shared" ca="1" si="379"/>
        <v>#NAME?</v>
      </c>
      <c r="AI438" s="314" t="e">
        <f t="shared" ca="1" si="366"/>
        <v>#NAME?</v>
      </c>
      <c r="AJ438" s="315" t="e">
        <f t="shared" ca="1" si="367"/>
        <v>#NAME?</v>
      </c>
      <c r="AK438" s="568" t="e">
        <f t="shared" ca="1" si="380"/>
        <v>#NAME?</v>
      </c>
      <c r="AL438" s="313" t="e">
        <f t="shared" ca="1" si="381"/>
        <v>#NAME?</v>
      </c>
      <c r="AM438" s="313" t="e">
        <f t="shared" ca="1" si="368"/>
        <v>#NAME?</v>
      </c>
      <c r="AN438" s="313" t="e">
        <f t="shared" ca="1" si="369"/>
        <v>#NAME?</v>
      </c>
      <c r="AO438" s="316" t="e">
        <f t="shared" ca="1" si="382"/>
        <v>#NAME?</v>
      </c>
      <c r="AP438" s="313" t="e">
        <f t="shared" ca="1" si="383"/>
        <v>#NAME?</v>
      </c>
      <c r="AQ438" s="314" t="e">
        <f t="shared" ca="1" si="370"/>
        <v>#NAME?</v>
      </c>
      <c r="AR438" s="315" t="e">
        <f t="shared" ca="1" si="384"/>
        <v>#NAME?</v>
      </c>
      <c r="AS438" s="316" t="e">
        <f t="shared" ca="1" si="385"/>
        <v>#NAME?</v>
      </c>
      <c r="AT438" s="315" t="e">
        <f t="shared" ca="1" si="386"/>
        <v>#NAME?</v>
      </c>
      <c r="AU438" s="317">
        <v>427.8</v>
      </c>
      <c r="AV438" s="315" t="e">
        <f t="shared" ca="1" si="387"/>
        <v>#NAME?</v>
      </c>
      <c r="AW438" s="318" t="e">
        <f ca="1">0.0001*BicubicInterpolation('Drag Coef Table'!$B$4:$L$28,AV438,AC438)</f>
        <v>#NAME?</v>
      </c>
      <c r="AX438" s="319" t="e">
        <f t="shared" ca="1" si="388"/>
        <v>#NAME?</v>
      </c>
      <c r="AY438" s="318" t="e">
        <f t="shared" ca="1" si="389"/>
        <v>#NAME?</v>
      </c>
      <c r="AZ438" s="320" t="e">
        <f t="shared" ca="1" si="390"/>
        <v>#NAME?</v>
      </c>
      <c r="BA438" s="321" t="e">
        <f t="shared" ca="1" si="391"/>
        <v>#NAME?</v>
      </c>
      <c r="BB438" s="322" t="e">
        <f t="shared" ca="1" si="392"/>
        <v>#NAME?</v>
      </c>
      <c r="BC438" s="323">
        <v>75.196700000000007</v>
      </c>
      <c r="BD438" s="324" t="e">
        <f t="shared" ca="1" si="393"/>
        <v>#NAME?</v>
      </c>
      <c r="BE438" s="325" t="e">
        <f t="shared" ca="1" si="394"/>
        <v>#NAME?</v>
      </c>
      <c r="BF438" s="324" t="e">
        <f ca="1">BicubicInterpolation('TSFC Eff Table'!$B$4:$E$69,2,BB438)</f>
        <v>#NAME?</v>
      </c>
      <c r="BG438" s="326" t="e">
        <f t="shared" ca="1" si="395"/>
        <v>#NAME?</v>
      </c>
      <c r="BH438" s="694" t="e">
        <f ca="1">IF( S438="LRCINOP",   (1+(0.03/10)*Z438*(1+0.2*AC438^2) )*BicubicInterpolation( 'LRC INOP FF'!$C$4:$AA$21, Y438, U438 )-200, IF(S438 ="HOLDINGINOP", (1+(0.03/10)*Z438*(1+0.2*AC438^2) )*BicubicInterpolation( 'Holding INOP FF'!$C$4:$J$13,  Y438,  U438)/1.05-200,   BA438*BG438))</f>
        <v>#NAME?</v>
      </c>
      <c r="BI438" s="344" t="e">
        <f t="shared" ca="1" si="354"/>
        <v>#NAME?</v>
      </c>
      <c r="BJ438" s="322" t="e">
        <f t="shared" ca="1" si="396"/>
        <v>#NAME?</v>
      </c>
      <c r="BK438" s="338" t="e">
        <f t="shared" ca="1" si="355"/>
        <v>#NAME?</v>
      </c>
      <c r="BL438" s="327" t="e">
        <f t="shared" ca="1" si="397"/>
        <v>#NAME?</v>
      </c>
      <c r="BM438" s="328">
        <f t="shared" si="398"/>
        <v>200</v>
      </c>
      <c r="BN438" s="329" t="e">
        <f t="shared" ca="1" si="399"/>
        <v>#NAME?</v>
      </c>
      <c r="BO438" s="344" t="e">
        <f t="shared" ca="1" si="356"/>
        <v>#NAME?</v>
      </c>
      <c r="BP438" s="320" t="e">
        <f t="shared" ca="1" si="400"/>
        <v>#NAME?</v>
      </c>
      <c r="BQ438" s="344" t="e">
        <f t="shared" ca="1" si="357"/>
        <v>#NAME?</v>
      </c>
      <c r="BR438" s="347" t="e">
        <f t="shared" ca="1" si="358"/>
        <v>#NAME?</v>
      </c>
      <c r="BS438" s="326" t="e">
        <f t="shared" ca="1" si="401"/>
        <v>#NAME?</v>
      </c>
      <c r="BT438" s="437" t="e">
        <f t="shared" ca="1" si="371"/>
        <v>#NAME?</v>
      </c>
      <c r="BU438" s="437" t="e">
        <f t="shared" ca="1" si="372"/>
        <v>#NAME?</v>
      </c>
      <c r="BV438" s="441" t="e">
        <f t="shared" ca="1" si="373"/>
        <v>#NAME?</v>
      </c>
      <c r="BW438" s="442" t="e">
        <f t="shared" ca="1" si="374"/>
        <v>#NAME?</v>
      </c>
      <c r="BX438" s="470" t="e">
        <f t="shared" ca="1" si="347"/>
        <v>#NAME?</v>
      </c>
      <c r="BY438" s="484" t="e">
        <f t="shared" ca="1" si="359"/>
        <v>#NAME?</v>
      </c>
    </row>
    <row r="439" spans="9:77" ht="17.75" customHeight="1" x14ac:dyDescent="0.2">
      <c r="I439" s="366">
        <v>355</v>
      </c>
      <c r="J439" s="414">
        <f t="shared" si="360"/>
        <v>41705.959027778583</v>
      </c>
      <c r="K439" s="435" t="e">
        <f t="shared" ca="1" si="361"/>
        <v>#NAME?</v>
      </c>
      <c r="L439" s="435" t="e">
        <f t="shared" ca="1" si="348"/>
        <v>#NAME?</v>
      </c>
      <c r="M439" s="664" t="e">
        <f t="shared" ca="1" si="402"/>
        <v>#NAME?</v>
      </c>
      <c r="N439" s="664" t="e">
        <f t="shared" ca="1" si="403"/>
        <v>#NAME?</v>
      </c>
      <c r="O439" s="140" t="e">
        <f t="shared" ca="1" si="349"/>
        <v>#NAME?</v>
      </c>
      <c r="P439" s="352" t="e">
        <f t="shared" ca="1" si="362"/>
        <v>#NAME?</v>
      </c>
      <c r="Q439" s="665" t="e">
        <f t="shared" ca="1" si="342"/>
        <v>#NAME?</v>
      </c>
      <c r="R439" s="352" t="e">
        <f t="shared" ca="1" si="375"/>
        <v>#NAME?</v>
      </c>
      <c r="S439" s="662" t="e">
        <f t="shared" ca="1" si="350"/>
        <v>#NAME?</v>
      </c>
      <c r="T439" s="443" t="e">
        <f t="shared" ca="1" si="343"/>
        <v>#NAME?</v>
      </c>
      <c r="U439" s="369" t="e">
        <f t="shared" ca="1" si="344"/>
        <v>#NAME?</v>
      </c>
      <c r="V439" s="454" t="e">
        <f t="shared" ca="1" si="351"/>
        <v>#NAME?</v>
      </c>
      <c r="W439" s="457">
        <f t="shared" si="352"/>
        <v>1000</v>
      </c>
      <c r="X439" s="463" t="e">
        <f t="shared" ca="1" si="353"/>
        <v>#NAME?</v>
      </c>
      <c r="Y439" s="455" t="e">
        <f t="shared" ca="1" si="363"/>
        <v>#NAME?</v>
      </c>
      <c r="Z439" s="699">
        <f t="shared" si="345"/>
        <v>8.5</v>
      </c>
      <c r="AA439" s="355" t="str">
        <f t="shared" si="346"/>
        <v>ON</v>
      </c>
      <c r="AB439" s="357">
        <f t="shared" si="376"/>
        <v>1.4999999999999999E-2</v>
      </c>
      <c r="AC439" s="356" t="e">
        <f ca="1">IF(  Y438=0,0,IF(OR(S439="KCAS",S439="INOP",S439="MEFE"),   ( (5*( (   (((1+0.2*(T439/661.4786)^2)^3.5 -1)  )/( (1-6.8755856*10^-6 *100*Y439)^5.2558797) +1)^(2/7) -1) )^0.5),IF(S439="MACH",T439, IF(S439="LRC",BicubicInterpolation( 'LRC Mach'!$C$4:$AL$21, Y439,U439),  IF(S439="MRC",BicubicInterpolation( 'MRC Mach'!$C$3:$T$18, Y439,U439),  IF(S439="M0.84",0.84,  IF(S439="CI52",BicubicInterpolation('CI=52 Mach'!$C$3:$T$18, Y439,U439),  IF(S439="HOLDING",BicubicInterpolation(  'Holding Mach'!$C$4:$M$13, Y439,U439),                         IF(S439="LRCINOP", BicubicInterpolation('LRC INOP Mach'!$C$4:$AA$21,Y439,U439), IF(S439="HOLDINGINOP",  BicubicInterpolation('Holding INOP Mach'!$N$4:$U$13,Y439,U439),         "XXX" )))))))   )))</f>
        <v>#NAME?</v>
      </c>
      <c r="AD439" s="313" t="e">
        <f t="shared" ca="1" si="377"/>
        <v>#NAME?</v>
      </c>
      <c r="AE439" s="314" t="e">
        <f t="shared" ca="1" si="364"/>
        <v>#NAME?</v>
      </c>
      <c r="AF439" s="313" t="e">
        <f t="shared" ca="1" si="378"/>
        <v>#NAME?</v>
      </c>
      <c r="AG439" s="314" t="e">
        <f t="shared" ca="1" si="365"/>
        <v>#NAME?</v>
      </c>
      <c r="AH439" s="313" t="e">
        <f t="shared" ca="1" si="379"/>
        <v>#NAME?</v>
      </c>
      <c r="AI439" s="314" t="e">
        <f t="shared" ca="1" si="366"/>
        <v>#NAME?</v>
      </c>
      <c r="AJ439" s="315" t="e">
        <f t="shared" ca="1" si="367"/>
        <v>#NAME?</v>
      </c>
      <c r="AK439" s="568" t="e">
        <f t="shared" ca="1" si="380"/>
        <v>#NAME?</v>
      </c>
      <c r="AL439" s="313" t="e">
        <f t="shared" ca="1" si="381"/>
        <v>#NAME?</v>
      </c>
      <c r="AM439" s="313" t="e">
        <f t="shared" ca="1" si="368"/>
        <v>#NAME?</v>
      </c>
      <c r="AN439" s="313" t="e">
        <f t="shared" ca="1" si="369"/>
        <v>#NAME?</v>
      </c>
      <c r="AO439" s="316" t="e">
        <f t="shared" ca="1" si="382"/>
        <v>#NAME?</v>
      </c>
      <c r="AP439" s="313" t="e">
        <f t="shared" ca="1" si="383"/>
        <v>#NAME?</v>
      </c>
      <c r="AQ439" s="314" t="e">
        <f t="shared" ca="1" si="370"/>
        <v>#NAME?</v>
      </c>
      <c r="AR439" s="315" t="e">
        <f t="shared" ca="1" si="384"/>
        <v>#NAME?</v>
      </c>
      <c r="AS439" s="316" t="e">
        <f t="shared" ca="1" si="385"/>
        <v>#NAME?</v>
      </c>
      <c r="AT439" s="315" t="e">
        <f t="shared" ca="1" si="386"/>
        <v>#NAME?</v>
      </c>
      <c r="AU439" s="317">
        <v>427.8</v>
      </c>
      <c r="AV439" s="315" t="e">
        <f t="shared" ca="1" si="387"/>
        <v>#NAME?</v>
      </c>
      <c r="AW439" s="318" t="e">
        <f ca="1">0.0001*BicubicInterpolation('Drag Coef Table'!$B$4:$L$28,AV439,AC439)</f>
        <v>#NAME?</v>
      </c>
      <c r="AX439" s="319" t="e">
        <f t="shared" ca="1" si="388"/>
        <v>#NAME?</v>
      </c>
      <c r="AY439" s="318" t="e">
        <f t="shared" ca="1" si="389"/>
        <v>#NAME?</v>
      </c>
      <c r="AZ439" s="320" t="e">
        <f t="shared" ca="1" si="390"/>
        <v>#NAME?</v>
      </c>
      <c r="BA439" s="321" t="e">
        <f t="shared" ca="1" si="391"/>
        <v>#NAME?</v>
      </c>
      <c r="BB439" s="322" t="e">
        <f t="shared" ca="1" si="392"/>
        <v>#NAME?</v>
      </c>
      <c r="BC439" s="323">
        <v>75.196700000000007</v>
      </c>
      <c r="BD439" s="324" t="e">
        <f t="shared" ca="1" si="393"/>
        <v>#NAME?</v>
      </c>
      <c r="BE439" s="325" t="e">
        <f t="shared" ca="1" si="394"/>
        <v>#NAME?</v>
      </c>
      <c r="BF439" s="324" t="e">
        <f ca="1">BicubicInterpolation('TSFC Eff Table'!$B$4:$E$69,2,BB439)</f>
        <v>#NAME?</v>
      </c>
      <c r="BG439" s="326" t="e">
        <f t="shared" ca="1" si="395"/>
        <v>#NAME?</v>
      </c>
      <c r="BH439" s="694" t="e">
        <f ca="1">IF( S439="LRCINOP",   (1+(0.03/10)*Z439*(1+0.2*AC439^2) )*BicubicInterpolation( 'LRC INOP FF'!$C$4:$AA$21, Y439, U439 )-200, IF(S439 ="HOLDINGINOP", (1+(0.03/10)*Z439*(1+0.2*AC439^2) )*BicubicInterpolation( 'Holding INOP FF'!$C$4:$J$13,  Y439,  U439)/1.05-200,   BA439*BG439))</f>
        <v>#NAME?</v>
      </c>
      <c r="BI439" s="344" t="e">
        <f t="shared" ca="1" si="354"/>
        <v>#NAME?</v>
      </c>
      <c r="BJ439" s="322" t="e">
        <f t="shared" ca="1" si="396"/>
        <v>#NAME?</v>
      </c>
      <c r="BK439" s="338" t="e">
        <f t="shared" ca="1" si="355"/>
        <v>#NAME?</v>
      </c>
      <c r="BL439" s="327" t="e">
        <f t="shared" ca="1" si="397"/>
        <v>#NAME?</v>
      </c>
      <c r="BM439" s="328">
        <f t="shared" si="398"/>
        <v>200</v>
      </c>
      <c r="BN439" s="329" t="e">
        <f t="shared" ca="1" si="399"/>
        <v>#NAME?</v>
      </c>
      <c r="BO439" s="344" t="e">
        <f t="shared" ca="1" si="356"/>
        <v>#NAME?</v>
      </c>
      <c r="BP439" s="320" t="e">
        <f t="shared" ca="1" si="400"/>
        <v>#NAME?</v>
      </c>
      <c r="BQ439" s="344" t="e">
        <f t="shared" ca="1" si="357"/>
        <v>#NAME?</v>
      </c>
      <c r="BR439" s="347" t="e">
        <f t="shared" ca="1" si="358"/>
        <v>#NAME?</v>
      </c>
      <c r="BS439" s="326" t="e">
        <f t="shared" ca="1" si="401"/>
        <v>#NAME?</v>
      </c>
      <c r="BT439" s="437" t="e">
        <f t="shared" ca="1" si="371"/>
        <v>#NAME?</v>
      </c>
      <c r="BU439" s="437" t="e">
        <f t="shared" ca="1" si="372"/>
        <v>#NAME?</v>
      </c>
      <c r="BV439" s="441" t="e">
        <f t="shared" ca="1" si="373"/>
        <v>#NAME?</v>
      </c>
      <c r="BW439" s="442" t="e">
        <f t="shared" ca="1" si="374"/>
        <v>#NAME?</v>
      </c>
      <c r="BX439" s="470" t="e">
        <f t="shared" ca="1" si="347"/>
        <v>#NAME?</v>
      </c>
      <c r="BY439" s="484" t="e">
        <f t="shared" ca="1" si="359"/>
        <v>#NAME?</v>
      </c>
    </row>
    <row r="440" spans="9:77" ht="17.75" customHeight="1" x14ac:dyDescent="0.2">
      <c r="I440" s="366">
        <v>356</v>
      </c>
      <c r="J440" s="414">
        <f t="shared" si="360"/>
        <v>41705.95972222303</v>
      </c>
      <c r="K440" s="435" t="e">
        <f t="shared" ca="1" si="361"/>
        <v>#NAME?</v>
      </c>
      <c r="L440" s="435" t="e">
        <f t="shared" ca="1" si="348"/>
        <v>#NAME?</v>
      </c>
      <c r="M440" s="664" t="e">
        <f t="shared" ca="1" si="402"/>
        <v>#NAME?</v>
      </c>
      <c r="N440" s="664" t="e">
        <f t="shared" ca="1" si="403"/>
        <v>#NAME?</v>
      </c>
      <c r="O440" s="140" t="e">
        <f t="shared" ca="1" si="349"/>
        <v>#NAME?</v>
      </c>
      <c r="P440" s="352" t="e">
        <f t="shared" ca="1" si="362"/>
        <v>#NAME?</v>
      </c>
      <c r="Q440" s="665" t="e">
        <f t="shared" ca="1" si="342"/>
        <v>#NAME?</v>
      </c>
      <c r="R440" s="352" t="e">
        <f t="shared" ca="1" si="375"/>
        <v>#NAME?</v>
      </c>
      <c r="S440" s="662" t="e">
        <f t="shared" ca="1" si="350"/>
        <v>#NAME?</v>
      </c>
      <c r="T440" s="443" t="e">
        <f t="shared" ca="1" si="343"/>
        <v>#NAME?</v>
      </c>
      <c r="U440" s="369" t="e">
        <f t="shared" ca="1" si="344"/>
        <v>#NAME?</v>
      </c>
      <c r="V440" s="454" t="e">
        <f t="shared" ca="1" si="351"/>
        <v>#NAME?</v>
      </c>
      <c r="W440" s="457">
        <f t="shared" si="352"/>
        <v>1000</v>
      </c>
      <c r="X440" s="463" t="e">
        <f t="shared" ca="1" si="353"/>
        <v>#NAME?</v>
      </c>
      <c r="Y440" s="455" t="e">
        <f t="shared" ca="1" si="363"/>
        <v>#NAME?</v>
      </c>
      <c r="Z440" s="699">
        <f t="shared" si="345"/>
        <v>8.5</v>
      </c>
      <c r="AA440" s="355" t="str">
        <f t="shared" si="346"/>
        <v>ON</v>
      </c>
      <c r="AB440" s="357">
        <f t="shared" si="376"/>
        <v>1.4999999999999999E-2</v>
      </c>
      <c r="AC440" s="356" t="e">
        <f ca="1">IF(  Y439=0,0,IF(OR(S440="KCAS",S440="INOP",S440="MEFE"),   ( (5*( (   (((1+0.2*(T440/661.4786)^2)^3.5 -1)  )/( (1-6.8755856*10^-6 *100*Y440)^5.2558797) +1)^(2/7) -1) )^0.5),IF(S440="MACH",T440, IF(S440="LRC",BicubicInterpolation( 'LRC Mach'!$C$4:$AL$21, Y440,U440),  IF(S440="MRC",BicubicInterpolation( 'MRC Mach'!$C$3:$T$18, Y440,U440),  IF(S440="M0.84",0.84,  IF(S440="CI52",BicubicInterpolation('CI=52 Mach'!$C$3:$T$18, Y440,U440),  IF(S440="HOLDING",BicubicInterpolation(  'Holding Mach'!$C$4:$M$13, Y440,U440),                         IF(S440="LRCINOP", BicubicInterpolation('LRC INOP Mach'!$C$4:$AA$21,Y440,U440), IF(S440="HOLDINGINOP",  BicubicInterpolation('Holding INOP Mach'!$N$4:$U$13,Y440,U440),         "XXX" )))))))   )))</f>
        <v>#NAME?</v>
      </c>
      <c r="AD440" s="313" t="e">
        <f t="shared" ca="1" si="377"/>
        <v>#NAME?</v>
      </c>
      <c r="AE440" s="314" t="e">
        <f t="shared" ca="1" si="364"/>
        <v>#NAME?</v>
      </c>
      <c r="AF440" s="313" t="e">
        <f t="shared" ca="1" si="378"/>
        <v>#NAME?</v>
      </c>
      <c r="AG440" s="314" t="e">
        <f t="shared" ca="1" si="365"/>
        <v>#NAME?</v>
      </c>
      <c r="AH440" s="313" t="e">
        <f t="shared" ca="1" si="379"/>
        <v>#NAME?</v>
      </c>
      <c r="AI440" s="314" t="e">
        <f t="shared" ca="1" si="366"/>
        <v>#NAME?</v>
      </c>
      <c r="AJ440" s="315" t="e">
        <f t="shared" ca="1" si="367"/>
        <v>#NAME?</v>
      </c>
      <c r="AK440" s="568" t="e">
        <f t="shared" ca="1" si="380"/>
        <v>#NAME?</v>
      </c>
      <c r="AL440" s="313" t="e">
        <f t="shared" ca="1" si="381"/>
        <v>#NAME?</v>
      </c>
      <c r="AM440" s="313" t="e">
        <f t="shared" ca="1" si="368"/>
        <v>#NAME?</v>
      </c>
      <c r="AN440" s="313" t="e">
        <f t="shared" ca="1" si="369"/>
        <v>#NAME?</v>
      </c>
      <c r="AO440" s="316" t="e">
        <f t="shared" ca="1" si="382"/>
        <v>#NAME?</v>
      </c>
      <c r="AP440" s="313" t="e">
        <f t="shared" ca="1" si="383"/>
        <v>#NAME?</v>
      </c>
      <c r="AQ440" s="314" t="e">
        <f t="shared" ca="1" si="370"/>
        <v>#NAME?</v>
      </c>
      <c r="AR440" s="315" t="e">
        <f t="shared" ca="1" si="384"/>
        <v>#NAME?</v>
      </c>
      <c r="AS440" s="316" t="e">
        <f t="shared" ca="1" si="385"/>
        <v>#NAME?</v>
      </c>
      <c r="AT440" s="315" t="e">
        <f t="shared" ca="1" si="386"/>
        <v>#NAME?</v>
      </c>
      <c r="AU440" s="317">
        <v>427.8</v>
      </c>
      <c r="AV440" s="315" t="e">
        <f t="shared" ca="1" si="387"/>
        <v>#NAME?</v>
      </c>
      <c r="AW440" s="318" t="e">
        <f ca="1">0.0001*BicubicInterpolation('Drag Coef Table'!$B$4:$L$28,AV440,AC440)</f>
        <v>#NAME?</v>
      </c>
      <c r="AX440" s="319" t="e">
        <f t="shared" ca="1" si="388"/>
        <v>#NAME?</v>
      </c>
      <c r="AY440" s="318" t="e">
        <f t="shared" ca="1" si="389"/>
        <v>#NAME?</v>
      </c>
      <c r="AZ440" s="320" t="e">
        <f t="shared" ca="1" si="390"/>
        <v>#NAME?</v>
      </c>
      <c r="BA440" s="321" t="e">
        <f t="shared" ca="1" si="391"/>
        <v>#NAME?</v>
      </c>
      <c r="BB440" s="322" t="e">
        <f t="shared" ca="1" si="392"/>
        <v>#NAME?</v>
      </c>
      <c r="BC440" s="323">
        <v>75.196700000000007</v>
      </c>
      <c r="BD440" s="324" t="e">
        <f t="shared" ca="1" si="393"/>
        <v>#NAME?</v>
      </c>
      <c r="BE440" s="325" t="e">
        <f t="shared" ca="1" si="394"/>
        <v>#NAME?</v>
      </c>
      <c r="BF440" s="324" t="e">
        <f ca="1">BicubicInterpolation('TSFC Eff Table'!$B$4:$E$69,2,BB440)</f>
        <v>#NAME?</v>
      </c>
      <c r="BG440" s="326" t="e">
        <f t="shared" ca="1" si="395"/>
        <v>#NAME?</v>
      </c>
      <c r="BH440" s="694" t="e">
        <f ca="1">IF( S440="LRCINOP",   (1+(0.03/10)*Z440*(1+0.2*AC440^2) )*BicubicInterpolation( 'LRC INOP FF'!$C$4:$AA$21, Y440, U440 )-200, IF(S440 ="HOLDINGINOP", (1+(0.03/10)*Z440*(1+0.2*AC440^2) )*BicubicInterpolation( 'Holding INOP FF'!$C$4:$J$13,  Y440,  U440)/1.05-200,   BA440*BG440))</f>
        <v>#NAME?</v>
      </c>
      <c r="BI440" s="344" t="e">
        <f t="shared" ca="1" si="354"/>
        <v>#NAME?</v>
      </c>
      <c r="BJ440" s="322" t="e">
        <f t="shared" ca="1" si="396"/>
        <v>#NAME?</v>
      </c>
      <c r="BK440" s="338" t="e">
        <f t="shared" ca="1" si="355"/>
        <v>#NAME?</v>
      </c>
      <c r="BL440" s="327" t="e">
        <f t="shared" ca="1" si="397"/>
        <v>#NAME?</v>
      </c>
      <c r="BM440" s="328">
        <f t="shared" si="398"/>
        <v>200</v>
      </c>
      <c r="BN440" s="329" t="e">
        <f t="shared" ca="1" si="399"/>
        <v>#NAME?</v>
      </c>
      <c r="BO440" s="344" t="e">
        <f t="shared" ca="1" si="356"/>
        <v>#NAME?</v>
      </c>
      <c r="BP440" s="320" t="e">
        <f t="shared" ca="1" si="400"/>
        <v>#NAME?</v>
      </c>
      <c r="BQ440" s="344" t="e">
        <f t="shared" ca="1" si="357"/>
        <v>#NAME?</v>
      </c>
      <c r="BR440" s="347" t="e">
        <f t="shared" ca="1" si="358"/>
        <v>#NAME?</v>
      </c>
      <c r="BS440" s="326" t="e">
        <f t="shared" ca="1" si="401"/>
        <v>#NAME?</v>
      </c>
      <c r="BT440" s="437" t="e">
        <f t="shared" ca="1" si="371"/>
        <v>#NAME?</v>
      </c>
      <c r="BU440" s="437" t="e">
        <f t="shared" ca="1" si="372"/>
        <v>#NAME?</v>
      </c>
      <c r="BV440" s="441" t="e">
        <f t="shared" ca="1" si="373"/>
        <v>#NAME?</v>
      </c>
      <c r="BW440" s="442" t="e">
        <f t="shared" ca="1" si="374"/>
        <v>#NAME?</v>
      </c>
      <c r="BX440" s="470" t="e">
        <f t="shared" ca="1" si="347"/>
        <v>#NAME?</v>
      </c>
      <c r="BY440" s="484" t="e">
        <f t="shared" ca="1" si="359"/>
        <v>#NAME?</v>
      </c>
    </row>
    <row r="441" spans="9:77" ht="17.75" customHeight="1" x14ac:dyDescent="0.2">
      <c r="I441" s="366">
        <v>357</v>
      </c>
      <c r="J441" s="414">
        <f t="shared" si="360"/>
        <v>41705.960416667476</v>
      </c>
      <c r="K441" s="435" t="e">
        <f t="shared" ca="1" si="361"/>
        <v>#NAME?</v>
      </c>
      <c r="L441" s="435" t="e">
        <f t="shared" ca="1" si="348"/>
        <v>#NAME?</v>
      </c>
      <c r="M441" s="664" t="e">
        <f t="shared" ca="1" si="402"/>
        <v>#NAME?</v>
      </c>
      <c r="N441" s="664" t="e">
        <f t="shared" ca="1" si="403"/>
        <v>#NAME?</v>
      </c>
      <c r="O441" s="140" t="e">
        <f t="shared" ca="1" si="349"/>
        <v>#NAME?</v>
      </c>
      <c r="P441" s="352" t="e">
        <f t="shared" ca="1" si="362"/>
        <v>#NAME?</v>
      </c>
      <c r="Q441" s="665" t="e">
        <f t="shared" ca="1" si="342"/>
        <v>#NAME?</v>
      </c>
      <c r="R441" s="352" t="e">
        <f t="shared" ca="1" si="375"/>
        <v>#NAME?</v>
      </c>
      <c r="S441" s="662" t="e">
        <f t="shared" ca="1" si="350"/>
        <v>#NAME?</v>
      </c>
      <c r="T441" s="443" t="e">
        <f t="shared" ca="1" si="343"/>
        <v>#NAME?</v>
      </c>
      <c r="U441" s="369" t="e">
        <f t="shared" ca="1" si="344"/>
        <v>#NAME?</v>
      </c>
      <c r="V441" s="454" t="e">
        <f t="shared" ca="1" si="351"/>
        <v>#NAME?</v>
      </c>
      <c r="W441" s="457">
        <f t="shared" si="352"/>
        <v>1000</v>
      </c>
      <c r="X441" s="463" t="e">
        <f t="shared" ca="1" si="353"/>
        <v>#NAME?</v>
      </c>
      <c r="Y441" s="455" t="e">
        <f t="shared" ca="1" si="363"/>
        <v>#NAME?</v>
      </c>
      <c r="Z441" s="699">
        <f t="shared" si="345"/>
        <v>8.5</v>
      </c>
      <c r="AA441" s="355" t="str">
        <f t="shared" si="346"/>
        <v>ON</v>
      </c>
      <c r="AB441" s="357">
        <f t="shared" si="376"/>
        <v>1.4999999999999999E-2</v>
      </c>
      <c r="AC441" s="356" t="e">
        <f ca="1">IF(  Y440=0,0,IF(OR(S441="KCAS",S441="INOP",S441="MEFE"),   ( (5*( (   (((1+0.2*(T441/661.4786)^2)^3.5 -1)  )/( (1-6.8755856*10^-6 *100*Y441)^5.2558797) +1)^(2/7) -1) )^0.5),IF(S441="MACH",T441, IF(S441="LRC",BicubicInterpolation( 'LRC Mach'!$C$4:$AL$21, Y441,U441),  IF(S441="MRC",BicubicInterpolation( 'MRC Mach'!$C$3:$T$18, Y441,U441),  IF(S441="M0.84",0.84,  IF(S441="CI52",BicubicInterpolation('CI=52 Mach'!$C$3:$T$18, Y441,U441),  IF(S441="HOLDING",BicubicInterpolation(  'Holding Mach'!$C$4:$M$13, Y441,U441),                         IF(S441="LRCINOP", BicubicInterpolation('LRC INOP Mach'!$C$4:$AA$21,Y441,U441), IF(S441="HOLDINGINOP",  BicubicInterpolation('Holding INOP Mach'!$N$4:$U$13,Y441,U441),         "XXX" )))))))   )))</f>
        <v>#NAME?</v>
      </c>
      <c r="AD441" s="313" t="e">
        <f t="shared" ca="1" si="377"/>
        <v>#NAME?</v>
      </c>
      <c r="AE441" s="314" t="e">
        <f t="shared" ca="1" si="364"/>
        <v>#NAME?</v>
      </c>
      <c r="AF441" s="313" t="e">
        <f t="shared" ca="1" si="378"/>
        <v>#NAME?</v>
      </c>
      <c r="AG441" s="314" t="e">
        <f t="shared" ca="1" si="365"/>
        <v>#NAME?</v>
      </c>
      <c r="AH441" s="313" t="e">
        <f t="shared" ca="1" si="379"/>
        <v>#NAME?</v>
      </c>
      <c r="AI441" s="314" t="e">
        <f t="shared" ca="1" si="366"/>
        <v>#NAME?</v>
      </c>
      <c r="AJ441" s="315" t="e">
        <f t="shared" ca="1" si="367"/>
        <v>#NAME?</v>
      </c>
      <c r="AK441" s="568" t="e">
        <f t="shared" ca="1" si="380"/>
        <v>#NAME?</v>
      </c>
      <c r="AL441" s="313" t="e">
        <f t="shared" ca="1" si="381"/>
        <v>#NAME?</v>
      </c>
      <c r="AM441" s="313" t="e">
        <f t="shared" ca="1" si="368"/>
        <v>#NAME?</v>
      </c>
      <c r="AN441" s="313" t="e">
        <f t="shared" ca="1" si="369"/>
        <v>#NAME?</v>
      </c>
      <c r="AO441" s="316" t="e">
        <f t="shared" ca="1" si="382"/>
        <v>#NAME?</v>
      </c>
      <c r="AP441" s="313" t="e">
        <f t="shared" ca="1" si="383"/>
        <v>#NAME?</v>
      </c>
      <c r="AQ441" s="314" t="e">
        <f t="shared" ca="1" si="370"/>
        <v>#NAME?</v>
      </c>
      <c r="AR441" s="315" t="e">
        <f t="shared" ca="1" si="384"/>
        <v>#NAME?</v>
      </c>
      <c r="AS441" s="316" t="e">
        <f t="shared" ca="1" si="385"/>
        <v>#NAME?</v>
      </c>
      <c r="AT441" s="315" t="e">
        <f t="shared" ca="1" si="386"/>
        <v>#NAME?</v>
      </c>
      <c r="AU441" s="317">
        <v>427.8</v>
      </c>
      <c r="AV441" s="315" t="e">
        <f t="shared" ca="1" si="387"/>
        <v>#NAME?</v>
      </c>
      <c r="AW441" s="318" t="e">
        <f ca="1">0.0001*BicubicInterpolation('Drag Coef Table'!$B$4:$L$28,AV441,AC441)</f>
        <v>#NAME?</v>
      </c>
      <c r="AX441" s="319" t="e">
        <f t="shared" ca="1" si="388"/>
        <v>#NAME?</v>
      </c>
      <c r="AY441" s="318" t="e">
        <f t="shared" ca="1" si="389"/>
        <v>#NAME?</v>
      </c>
      <c r="AZ441" s="320" t="e">
        <f t="shared" ca="1" si="390"/>
        <v>#NAME?</v>
      </c>
      <c r="BA441" s="321" t="e">
        <f t="shared" ca="1" si="391"/>
        <v>#NAME?</v>
      </c>
      <c r="BB441" s="322" t="e">
        <f t="shared" ca="1" si="392"/>
        <v>#NAME?</v>
      </c>
      <c r="BC441" s="323">
        <v>75.196700000000007</v>
      </c>
      <c r="BD441" s="324" t="e">
        <f t="shared" ca="1" si="393"/>
        <v>#NAME?</v>
      </c>
      <c r="BE441" s="325" t="e">
        <f t="shared" ca="1" si="394"/>
        <v>#NAME?</v>
      </c>
      <c r="BF441" s="324" t="e">
        <f ca="1">BicubicInterpolation('TSFC Eff Table'!$B$4:$E$69,2,BB441)</f>
        <v>#NAME?</v>
      </c>
      <c r="BG441" s="326" t="e">
        <f t="shared" ca="1" si="395"/>
        <v>#NAME?</v>
      </c>
      <c r="BH441" s="694" t="e">
        <f ca="1">IF( S441="LRCINOP",   (1+(0.03/10)*Z441*(1+0.2*AC441^2) )*BicubicInterpolation( 'LRC INOP FF'!$C$4:$AA$21, Y441, U441 )-200, IF(S441 ="HOLDINGINOP", (1+(0.03/10)*Z441*(1+0.2*AC441^2) )*BicubicInterpolation( 'Holding INOP FF'!$C$4:$J$13,  Y441,  U441)/1.05-200,   BA441*BG441))</f>
        <v>#NAME?</v>
      </c>
      <c r="BI441" s="344" t="e">
        <f t="shared" ca="1" si="354"/>
        <v>#NAME?</v>
      </c>
      <c r="BJ441" s="322" t="e">
        <f t="shared" ca="1" si="396"/>
        <v>#NAME?</v>
      </c>
      <c r="BK441" s="338" t="e">
        <f t="shared" ca="1" si="355"/>
        <v>#NAME?</v>
      </c>
      <c r="BL441" s="327" t="e">
        <f t="shared" ca="1" si="397"/>
        <v>#NAME?</v>
      </c>
      <c r="BM441" s="328">
        <f t="shared" si="398"/>
        <v>200</v>
      </c>
      <c r="BN441" s="329" t="e">
        <f t="shared" ca="1" si="399"/>
        <v>#NAME?</v>
      </c>
      <c r="BO441" s="344" t="e">
        <f t="shared" ca="1" si="356"/>
        <v>#NAME?</v>
      </c>
      <c r="BP441" s="320" t="e">
        <f t="shared" ca="1" si="400"/>
        <v>#NAME?</v>
      </c>
      <c r="BQ441" s="344" t="e">
        <f t="shared" ca="1" si="357"/>
        <v>#NAME?</v>
      </c>
      <c r="BR441" s="347" t="e">
        <f t="shared" ca="1" si="358"/>
        <v>#NAME?</v>
      </c>
      <c r="BS441" s="326" t="e">
        <f t="shared" ca="1" si="401"/>
        <v>#NAME?</v>
      </c>
      <c r="BT441" s="437" t="e">
        <f t="shared" ca="1" si="371"/>
        <v>#NAME?</v>
      </c>
      <c r="BU441" s="437" t="e">
        <f t="shared" ca="1" si="372"/>
        <v>#NAME?</v>
      </c>
      <c r="BV441" s="441" t="e">
        <f t="shared" ca="1" si="373"/>
        <v>#NAME?</v>
      </c>
      <c r="BW441" s="442" t="e">
        <f t="shared" ca="1" si="374"/>
        <v>#NAME?</v>
      </c>
      <c r="BX441" s="470" t="e">
        <f t="shared" ca="1" si="347"/>
        <v>#NAME?</v>
      </c>
      <c r="BY441" s="484" t="e">
        <f t="shared" ca="1" si="359"/>
        <v>#NAME?</v>
      </c>
    </row>
    <row r="442" spans="9:77" ht="17.75" customHeight="1" x14ac:dyDescent="0.2">
      <c r="I442" s="366">
        <v>358</v>
      </c>
      <c r="J442" s="414">
        <f t="shared" si="360"/>
        <v>41705.961111111923</v>
      </c>
      <c r="K442" s="435" t="e">
        <f t="shared" ca="1" si="361"/>
        <v>#NAME?</v>
      </c>
      <c r="L442" s="435" t="e">
        <f t="shared" ca="1" si="348"/>
        <v>#NAME?</v>
      </c>
      <c r="M442" s="664" t="e">
        <f t="shared" ca="1" si="402"/>
        <v>#NAME?</v>
      </c>
      <c r="N442" s="664" t="e">
        <f t="shared" ca="1" si="403"/>
        <v>#NAME?</v>
      </c>
      <c r="O442" s="140" t="e">
        <f t="shared" ca="1" si="349"/>
        <v>#NAME?</v>
      </c>
      <c r="P442" s="352" t="e">
        <f t="shared" ca="1" si="362"/>
        <v>#NAME?</v>
      </c>
      <c r="Q442" s="665" t="e">
        <f t="shared" ca="1" si="342"/>
        <v>#NAME?</v>
      </c>
      <c r="R442" s="352" t="e">
        <f t="shared" ca="1" si="375"/>
        <v>#NAME?</v>
      </c>
      <c r="S442" s="662" t="e">
        <f t="shared" ca="1" si="350"/>
        <v>#NAME?</v>
      </c>
      <c r="T442" s="443" t="e">
        <f t="shared" ca="1" si="343"/>
        <v>#NAME?</v>
      </c>
      <c r="U442" s="369" t="e">
        <f t="shared" ca="1" si="344"/>
        <v>#NAME?</v>
      </c>
      <c r="V442" s="454" t="e">
        <f t="shared" ca="1" si="351"/>
        <v>#NAME?</v>
      </c>
      <c r="W442" s="457">
        <f t="shared" si="352"/>
        <v>1000</v>
      </c>
      <c r="X442" s="463" t="e">
        <f t="shared" ca="1" si="353"/>
        <v>#NAME?</v>
      </c>
      <c r="Y442" s="455" t="e">
        <f t="shared" ca="1" si="363"/>
        <v>#NAME?</v>
      </c>
      <c r="Z442" s="699">
        <f t="shared" si="345"/>
        <v>8.5</v>
      </c>
      <c r="AA442" s="355" t="str">
        <f t="shared" si="346"/>
        <v>ON</v>
      </c>
      <c r="AB442" s="357">
        <f t="shared" si="376"/>
        <v>1.4999999999999999E-2</v>
      </c>
      <c r="AC442" s="356" t="e">
        <f ca="1">IF(  Y441=0,0,IF(OR(S442="KCAS",S442="INOP",S442="MEFE"),   ( (5*( (   (((1+0.2*(T442/661.4786)^2)^3.5 -1)  )/( (1-6.8755856*10^-6 *100*Y442)^5.2558797) +1)^(2/7) -1) )^0.5),IF(S442="MACH",T442, IF(S442="LRC",BicubicInterpolation( 'LRC Mach'!$C$4:$AL$21, Y442,U442),  IF(S442="MRC",BicubicInterpolation( 'MRC Mach'!$C$3:$T$18, Y442,U442),  IF(S442="M0.84",0.84,  IF(S442="CI52",BicubicInterpolation('CI=52 Mach'!$C$3:$T$18, Y442,U442),  IF(S442="HOLDING",BicubicInterpolation(  'Holding Mach'!$C$4:$M$13, Y442,U442),                         IF(S442="LRCINOP", BicubicInterpolation('LRC INOP Mach'!$C$4:$AA$21,Y442,U442), IF(S442="HOLDINGINOP",  BicubicInterpolation('Holding INOP Mach'!$N$4:$U$13,Y442,U442),         "XXX" )))))))   )))</f>
        <v>#NAME?</v>
      </c>
      <c r="AD442" s="313" t="e">
        <f t="shared" ca="1" si="377"/>
        <v>#NAME?</v>
      </c>
      <c r="AE442" s="314" t="e">
        <f t="shared" ca="1" si="364"/>
        <v>#NAME?</v>
      </c>
      <c r="AF442" s="313" t="e">
        <f t="shared" ca="1" si="378"/>
        <v>#NAME?</v>
      </c>
      <c r="AG442" s="314" t="e">
        <f t="shared" ca="1" si="365"/>
        <v>#NAME?</v>
      </c>
      <c r="AH442" s="313" t="e">
        <f t="shared" ca="1" si="379"/>
        <v>#NAME?</v>
      </c>
      <c r="AI442" s="314" t="e">
        <f t="shared" ca="1" si="366"/>
        <v>#NAME?</v>
      </c>
      <c r="AJ442" s="315" t="e">
        <f t="shared" ca="1" si="367"/>
        <v>#NAME?</v>
      </c>
      <c r="AK442" s="568" t="e">
        <f t="shared" ca="1" si="380"/>
        <v>#NAME?</v>
      </c>
      <c r="AL442" s="313" t="e">
        <f t="shared" ca="1" si="381"/>
        <v>#NAME?</v>
      </c>
      <c r="AM442" s="313" t="e">
        <f t="shared" ca="1" si="368"/>
        <v>#NAME?</v>
      </c>
      <c r="AN442" s="313" t="e">
        <f t="shared" ca="1" si="369"/>
        <v>#NAME?</v>
      </c>
      <c r="AO442" s="316" t="e">
        <f t="shared" ca="1" si="382"/>
        <v>#NAME?</v>
      </c>
      <c r="AP442" s="313" t="e">
        <f t="shared" ca="1" si="383"/>
        <v>#NAME?</v>
      </c>
      <c r="AQ442" s="314" t="e">
        <f t="shared" ca="1" si="370"/>
        <v>#NAME?</v>
      </c>
      <c r="AR442" s="315" t="e">
        <f t="shared" ca="1" si="384"/>
        <v>#NAME?</v>
      </c>
      <c r="AS442" s="316" t="e">
        <f t="shared" ca="1" si="385"/>
        <v>#NAME?</v>
      </c>
      <c r="AT442" s="315" t="e">
        <f t="shared" ca="1" si="386"/>
        <v>#NAME?</v>
      </c>
      <c r="AU442" s="317">
        <v>427.8</v>
      </c>
      <c r="AV442" s="315" t="e">
        <f t="shared" ca="1" si="387"/>
        <v>#NAME?</v>
      </c>
      <c r="AW442" s="318" t="e">
        <f ca="1">0.0001*BicubicInterpolation('Drag Coef Table'!$B$4:$L$28,AV442,AC442)</f>
        <v>#NAME?</v>
      </c>
      <c r="AX442" s="319" t="e">
        <f t="shared" ca="1" si="388"/>
        <v>#NAME?</v>
      </c>
      <c r="AY442" s="318" t="e">
        <f t="shared" ca="1" si="389"/>
        <v>#NAME?</v>
      </c>
      <c r="AZ442" s="320" t="e">
        <f t="shared" ca="1" si="390"/>
        <v>#NAME?</v>
      </c>
      <c r="BA442" s="321" t="e">
        <f t="shared" ca="1" si="391"/>
        <v>#NAME?</v>
      </c>
      <c r="BB442" s="322" t="e">
        <f t="shared" ca="1" si="392"/>
        <v>#NAME?</v>
      </c>
      <c r="BC442" s="323">
        <v>75.196700000000007</v>
      </c>
      <c r="BD442" s="324" t="e">
        <f t="shared" ca="1" si="393"/>
        <v>#NAME?</v>
      </c>
      <c r="BE442" s="325" t="e">
        <f t="shared" ca="1" si="394"/>
        <v>#NAME?</v>
      </c>
      <c r="BF442" s="324" t="e">
        <f ca="1">BicubicInterpolation('TSFC Eff Table'!$B$4:$E$69,2,BB442)</f>
        <v>#NAME?</v>
      </c>
      <c r="BG442" s="326" t="e">
        <f t="shared" ca="1" si="395"/>
        <v>#NAME?</v>
      </c>
      <c r="BH442" s="694" t="e">
        <f ca="1">IF( S442="LRCINOP",   (1+(0.03/10)*Z442*(1+0.2*AC442^2) )*BicubicInterpolation( 'LRC INOP FF'!$C$4:$AA$21, Y442, U442 )-200, IF(S442 ="HOLDINGINOP", (1+(0.03/10)*Z442*(1+0.2*AC442^2) )*BicubicInterpolation( 'Holding INOP FF'!$C$4:$J$13,  Y442,  U442)/1.05-200,   BA442*BG442))</f>
        <v>#NAME?</v>
      </c>
      <c r="BI442" s="344" t="e">
        <f t="shared" ca="1" si="354"/>
        <v>#NAME?</v>
      </c>
      <c r="BJ442" s="322" t="e">
        <f t="shared" ca="1" si="396"/>
        <v>#NAME?</v>
      </c>
      <c r="BK442" s="338" t="e">
        <f t="shared" ca="1" si="355"/>
        <v>#NAME?</v>
      </c>
      <c r="BL442" s="327" t="e">
        <f t="shared" ca="1" si="397"/>
        <v>#NAME?</v>
      </c>
      <c r="BM442" s="328">
        <f t="shared" si="398"/>
        <v>200</v>
      </c>
      <c r="BN442" s="329" t="e">
        <f t="shared" ca="1" si="399"/>
        <v>#NAME?</v>
      </c>
      <c r="BO442" s="344" t="e">
        <f t="shared" ca="1" si="356"/>
        <v>#NAME?</v>
      </c>
      <c r="BP442" s="320" t="e">
        <f t="shared" ca="1" si="400"/>
        <v>#NAME?</v>
      </c>
      <c r="BQ442" s="344" t="e">
        <f t="shared" ca="1" si="357"/>
        <v>#NAME?</v>
      </c>
      <c r="BR442" s="347" t="e">
        <f t="shared" ca="1" si="358"/>
        <v>#NAME?</v>
      </c>
      <c r="BS442" s="326" t="e">
        <f t="shared" ca="1" si="401"/>
        <v>#NAME?</v>
      </c>
      <c r="BT442" s="437" t="e">
        <f t="shared" ca="1" si="371"/>
        <v>#NAME?</v>
      </c>
      <c r="BU442" s="437" t="e">
        <f t="shared" ca="1" si="372"/>
        <v>#NAME?</v>
      </c>
      <c r="BV442" s="441" t="e">
        <f t="shared" ca="1" si="373"/>
        <v>#NAME?</v>
      </c>
      <c r="BW442" s="442" t="e">
        <f t="shared" ca="1" si="374"/>
        <v>#NAME?</v>
      </c>
      <c r="BX442" s="470" t="e">
        <f t="shared" ca="1" si="347"/>
        <v>#NAME?</v>
      </c>
      <c r="BY442" s="484" t="e">
        <f t="shared" ca="1" si="359"/>
        <v>#NAME?</v>
      </c>
    </row>
    <row r="443" spans="9:77" ht="17.75" customHeight="1" x14ac:dyDescent="0.2">
      <c r="I443" s="366">
        <v>359</v>
      </c>
      <c r="J443" s="414">
        <f t="shared" si="360"/>
        <v>41705.96180555637</v>
      </c>
      <c r="K443" s="435" t="e">
        <f t="shared" ca="1" si="361"/>
        <v>#NAME?</v>
      </c>
      <c r="L443" s="435" t="e">
        <f t="shared" ca="1" si="348"/>
        <v>#NAME?</v>
      </c>
      <c r="M443" s="664" t="e">
        <f t="shared" ca="1" si="402"/>
        <v>#NAME?</v>
      </c>
      <c r="N443" s="664" t="e">
        <f t="shared" ca="1" si="403"/>
        <v>#NAME?</v>
      </c>
      <c r="O443" s="140" t="e">
        <f t="shared" ca="1" si="349"/>
        <v>#NAME?</v>
      </c>
      <c r="P443" s="352" t="e">
        <f t="shared" ca="1" si="362"/>
        <v>#NAME?</v>
      </c>
      <c r="Q443" s="665" t="e">
        <f t="shared" ca="1" si="342"/>
        <v>#NAME?</v>
      </c>
      <c r="R443" s="352" t="e">
        <f t="shared" ca="1" si="375"/>
        <v>#NAME?</v>
      </c>
      <c r="S443" s="662" t="e">
        <f t="shared" ca="1" si="350"/>
        <v>#NAME?</v>
      </c>
      <c r="T443" s="443" t="e">
        <f t="shared" ca="1" si="343"/>
        <v>#NAME?</v>
      </c>
      <c r="U443" s="369" t="e">
        <f t="shared" ca="1" si="344"/>
        <v>#NAME?</v>
      </c>
      <c r="V443" s="454" t="e">
        <f t="shared" ca="1" si="351"/>
        <v>#NAME?</v>
      </c>
      <c r="W443" s="457">
        <f t="shared" si="352"/>
        <v>1000</v>
      </c>
      <c r="X443" s="463" t="e">
        <f t="shared" ca="1" si="353"/>
        <v>#NAME?</v>
      </c>
      <c r="Y443" s="455" t="e">
        <f t="shared" ca="1" si="363"/>
        <v>#NAME?</v>
      </c>
      <c r="Z443" s="699">
        <f t="shared" si="345"/>
        <v>8.5</v>
      </c>
      <c r="AA443" s="355" t="str">
        <f t="shared" si="346"/>
        <v>ON</v>
      </c>
      <c r="AB443" s="357">
        <f t="shared" si="376"/>
        <v>1.4999999999999999E-2</v>
      </c>
      <c r="AC443" s="356" t="e">
        <f ca="1">IF(  Y442=0,0,IF(OR(S443="KCAS",S443="INOP",S443="MEFE"),   ( (5*( (   (((1+0.2*(T443/661.4786)^2)^3.5 -1)  )/( (1-6.8755856*10^-6 *100*Y443)^5.2558797) +1)^(2/7) -1) )^0.5),IF(S443="MACH",T443, IF(S443="LRC",BicubicInterpolation( 'LRC Mach'!$C$4:$AL$21, Y443,U443),  IF(S443="MRC",BicubicInterpolation( 'MRC Mach'!$C$3:$T$18, Y443,U443),  IF(S443="M0.84",0.84,  IF(S443="CI52",BicubicInterpolation('CI=52 Mach'!$C$3:$T$18, Y443,U443),  IF(S443="HOLDING",BicubicInterpolation(  'Holding Mach'!$C$4:$M$13, Y443,U443),                         IF(S443="LRCINOP", BicubicInterpolation('LRC INOP Mach'!$C$4:$AA$21,Y443,U443), IF(S443="HOLDINGINOP",  BicubicInterpolation('Holding INOP Mach'!$N$4:$U$13,Y443,U443),         "XXX" )))))))   )))</f>
        <v>#NAME?</v>
      </c>
      <c r="AD443" s="313" t="e">
        <f t="shared" ca="1" si="377"/>
        <v>#NAME?</v>
      </c>
      <c r="AE443" s="314" t="e">
        <f t="shared" ca="1" si="364"/>
        <v>#NAME?</v>
      </c>
      <c r="AF443" s="313" t="e">
        <f t="shared" ca="1" si="378"/>
        <v>#NAME?</v>
      </c>
      <c r="AG443" s="314" t="e">
        <f t="shared" ca="1" si="365"/>
        <v>#NAME?</v>
      </c>
      <c r="AH443" s="313" t="e">
        <f t="shared" ca="1" si="379"/>
        <v>#NAME?</v>
      </c>
      <c r="AI443" s="314" t="e">
        <f t="shared" ca="1" si="366"/>
        <v>#NAME?</v>
      </c>
      <c r="AJ443" s="315" t="e">
        <f t="shared" ca="1" si="367"/>
        <v>#NAME?</v>
      </c>
      <c r="AK443" s="568" t="e">
        <f t="shared" ca="1" si="380"/>
        <v>#NAME?</v>
      </c>
      <c r="AL443" s="313" t="e">
        <f t="shared" ca="1" si="381"/>
        <v>#NAME?</v>
      </c>
      <c r="AM443" s="313" t="e">
        <f t="shared" ca="1" si="368"/>
        <v>#NAME?</v>
      </c>
      <c r="AN443" s="313" t="e">
        <f t="shared" ca="1" si="369"/>
        <v>#NAME?</v>
      </c>
      <c r="AO443" s="316" t="e">
        <f t="shared" ca="1" si="382"/>
        <v>#NAME?</v>
      </c>
      <c r="AP443" s="313" t="e">
        <f t="shared" ca="1" si="383"/>
        <v>#NAME?</v>
      </c>
      <c r="AQ443" s="314" t="e">
        <f t="shared" ca="1" si="370"/>
        <v>#NAME?</v>
      </c>
      <c r="AR443" s="315" t="e">
        <f t="shared" ca="1" si="384"/>
        <v>#NAME?</v>
      </c>
      <c r="AS443" s="316" t="e">
        <f t="shared" ca="1" si="385"/>
        <v>#NAME?</v>
      </c>
      <c r="AT443" s="315" t="e">
        <f t="shared" ca="1" si="386"/>
        <v>#NAME?</v>
      </c>
      <c r="AU443" s="317">
        <v>427.8</v>
      </c>
      <c r="AV443" s="315" t="e">
        <f t="shared" ca="1" si="387"/>
        <v>#NAME?</v>
      </c>
      <c r="AW443" s="318" t="e">
        <f ca="1">0.0001*BicubicInterpolation('Drag Coef Table'!$B$4:$L$28,AV443,AC443)</f>
        <v>#NAME?</v>
      </c>
      <c r="AX443" s="319" t="e">
        <f t="shared" ca="1" si="388"/>
        <v>#NAME?</v>
      </c>
      <c r="AY443" s="318" t="e">
        <f t="shared" ca="1" si="389"/>
        <v>#NAME?</v>
      </c>
      <c r="AZ443" s="320" t="e">
        <f t="shared" ca="1" si="390"/>
        <v>#NAME?</v>
      </c>
      <c r="BA443" s="321" t="e">
        <f t="shared" ca="1" si="391"/>
        <v>#NAME?</v>
      </c>
      <c r="BB443" s="322" t="e">
        <f t="shared" ca="1" si="392"/>
        <v>#NAME?</v>
      </c>
      <c r="BC443" s="323">
        <v>75.196700000000007</v>
      </c>
      <c r="BD443" s="324" t="e">
        <f t="shared" ca="1" si="393"/>
        <v>#NAME?</v>
      </c>
      <c r="BE443" s="325" t="e">
        <f t="shared" ca="1" si="394"/>
        <v>#NAME?</v>
      </c>
      <c r="BF443" s="324" t="e">
        <f ca="1">BicubicInterpolation('TSFC Eff Table'!$B$4:$E$69,2,BB443)</f>
        <v>#NAME?</v>
      </c>
      <c r="BG443" s="326" t="e">
        <f t="shared" ca="1" si="395"/>
        <v>#NAME?</v>
      </c>
      <c r="BH443" s="694" t="e">
        <f ca="1">IF( S443="LRCINOP",   (1+(0.03/10)*Z443*(1+0.2*AC443^2) )*BicubicInterpolation( 'LRC INOP FF'!$C$4:$AA$21, Y443, U443 )-200, IF(S443 ="HOLDINGINOP", (1+(0.03/10)*Z443*(1+0.2*AC443^2) )*BicubicInterpolation( 'Holding INOP FF'!$C$4:$J$13,  Y443,  U443)/1.05-200,   BA443*BG443))</f>
        <v>#NAME?</v>
      </c>
      <c r="BI443" s="344" t="e">
        <f t="shared" ca="1" si="354"/>
        <v>#NAME?</v>
      </c>
      <c r="BJ443" s="322" t="e">
        <f t="shared" ca="1" si="396"/>
        <v>#NAME?</v>
      </c>
      <c r="BK443" s="338" t="e">
        <f t="shared" ca="1" si="355"/>
        <v>#NAME?</v>
      </c>
      <c r="BL443" s="327" t="e">
        <f t="shared" ca="1" si="397"/>
        <v>#NAME?</v>
      </c>
      <c r="BM443" s="328">
        <f t="shared" si="398"/>
        <v>200</v>
      </c>
      <c r="BN443" s="329" t="e">
        <f t="shared" ca="1" si="399"/>
        <v>#NAME?</v>
      </c>
      <c r="BO443" s="344" t="e">
        <f t="shared" ca="1" si="356"/>
        <v>#NAME?</v>
      </c>
      <c r="BP443" s="320" t="e">
        <f t="shared" ca="1" si="400"/>
        <v>#NAME?</v>
      </c>
      <c r="BQ443" s="344" t="e">
        <f t="shared" ca="1" si="357"/>
        <v>#NAME?</v>
      </c>
      <c r="BR443" s="347" t="e">
        <f t="shared" ca="1" si="358"/>
        <v>#NAME?</v>
      </c>
      <c r="BS443" s="326" t="e">
        <f t="shared" ca="1" si="401"/>
        <v>#NAME?</v>
      </c>
      <c r="BT443" s="437" t="e">
        <f t="shared" ca="1" si="371"/>
        <v>#NAME?</v>
      </c>
      <c r="BU443" s="437" t="e">
        <f t="shared" ca="1" si="372"/>
        <v>#NAME?</v>
      </c>
      <c r="BV443" s="441" t="e">
        <f t="shared" ca="1" si="373"/>
        <v>#NAME?</v>
      </c>
      <c r="BW443" s="442" t="e">
        <f t="shared" ca="1" si="374"/>
        <v>#NAME?</v>
      </c>
      <c r="BX443" s="470" t="e">
        <f t="shared" ca="1" si="347"/>
        <v>#NAME?</v>
      </c>
      <c r="BY443" s="484" t="e">
        <f t="shared" ca="1" si="359"/>
        <v>#NAME?</v>
      </c>
    </row>
    <row r="444" spans="9:77" ht="17.75" customHeight="1" x14ac:dyDescent="0.2">
      <c r="I444" s="366">
        <v>360</v>
      </c>
      <c r="J444" s="414">
        <f t="shared" si="360"/>
        <v>41705.962500000816</v>
      </c>
      <c r="K444" s="435" t="e">
        <f t="shared" ca="1" si="361"/>
        <v>#NAME?</v>
      </c>
      <c r="L444" s="435" t="e">
        <f t="shared" ca="1" si="348"/>
        <v>#NAME?</v>
      </c>
      <c r="M444" s="664" t="e">
        <f t="shared" ca="1" si="402"/>
        <v>#NAME?</v>
      </c>
      <c r="N444" s="664" t="e">
        <f t="shared" ca="1" si="403"/>
        <v>#NAME?</v>
      </c>
      <c r="O444" s="140" t="e">
        <f t="shared" ca="1" si="349"/>
        <v>#NAME?</v>
      </c>
      <c r="P444" s="352" t="e">
        <f t="shared" ca="1" si="362"/>
        <v>#NAME?</v>
      </c>
      <c r="Q444" s="665" t="e">
        <f t="shared" ca="1" si="342"/>
        <v>#NAME?</v>
      </c>
      <c r="R444" s="352" t="e">
        <f t="shared" ca="1" si="375"/>
        <v>#NAME?</v>
      </c>
      <c r="S444" s="662" t="e">
        <f t="shared" ca="1" si="350"/>
        <v>#NAME?</v>
      </c>
      <c r="T444" s="443" t="e">
        <f t="shared" ca="1" si="343"/>
        <v>#NAME?</v>
      </c>
      <c r="U444" s="369" t="e">
        <f t="shared" ca="1" si="344"/>
        <v>#NAME?</v>
      </c>
      <c r="V444" s="454" t="e">
        <f t="shared" ca="1" si="351"/>
        <v>#NAME?</v>
      </c>
      <c r="W444" s="457">
        <f t="shared" si="352"/>
        <v>1000</v>
      </c>
      <c r="X444" s="463" t="e">
        <f t="shared" ca="1" si="353"/>
        <v>#NAME?</v>
      </c>
      <c r="Y444" s="455" t="e">
        <f t="shared" ca="1" si="363"/>
        <v>#NAME?</v>
      </c>
      <c r="Z444" s="699">
        <f t="shared" si="345"/>
        <v>8.5</v>
      </c>
      <c r="AA444" s="355" t="str">
        <f t="shared" si="346"/>
        <v>ON</v>
      </c>
      <c r="AB444" s="357">
        <f t="shared" si="376"/>
        <v>1.4999999999999999E-2</v>
      </c>
      <c r="AC444" s="356" t="e">
        <f ca="1">IF(  Y443=0,0,IF(OR(S444="KCAS",S444="INOP",S444="MEFE"),   ( (5*( (   (((1+0.2*(T444/661.4786)^2)^3.5 -1)  )/( (1-6.8755856*10^-6 *100*Y444)^5.2558797) +1)^(2/7) -1) )^0.5),IF(S444="MACH",T444, IF(S444="LRC",BicubicInterpolation( 'LRC Mach'!$C$4:$AL$21, Y444,U444),  IF(S444="MRC",BicubicInterpolation( 'MRC Mach'!$C$3:$T$18, Y444,U444),  IF(S444="M0.84",0.84,  IF(S444="CI52",BicubicInterpolation('CI=52 Mach'!$C$3:$T$18, Y444,U444),  IF(S444="HOLDING",BicubicInterpolation(  'Holding Mach'!$C$4:$M$13, Y444,U444),                         IF(S444="LRCINOP", BicubicInterpolation('LRC INOP Mach'!$C$4:$AA$21,Y444,U444), IF(S444="HOLDINGINOP",  BicubicInterpolation('Holding INOP Mach'!$N$4:$U$13,Y444,U444),         "XXX" )))))))   )))</f>
        <v>#NAME?</v>
      </c>
      <c r="AD444" s="313" t="e">
        <f t="shared" ca="1" si="377"/>
        <v>#NAME?</v>
      </c>
      <c r="AE444" s="314" t="e">
        <f t="shared" ca="1" si="364"/>
        <v>#NAME?</v>
      </c>
      <c r="AF444" s="313" t="e">
        <f t="shared" ca="1" si="378"/>
        <v>#NAME?</v>
      </c>
      <c r="AG444" s="314" t="e">
        <f t="shared" ca="1" si="365"/>
        <v>#NAME?</v>
      </c>
      <c r="AH444" s="313" t="e">
        <f t="shared" ca="1" si="379"/>
        <v>#NAME?</v>
      </c>
      <c r="AI444" s="314" t="e">
        <f t="shared" ca="1" si="366"/>
        <v>#NAME?</v>
      </c>
      <c r="AJ444" s="315" t="e">
        <f t="shared" ca="1" si="367"/>
        <v>#NAME?</v>
      </c>
      <c r="AK444" s="568" t="e">
        <f t="shared" ca="1" si="380"/>
        <v>#NAME?</v>
      </c>
      <c r="AL444" s="313" t="e">
        <f t="shared" ca="1" si="381"/>
        <v>#NAME?</v>
      </c>
      <c r="AM444" s="313" t="e">
        <f t="shared" ca="1" si="368"/>
        <v>#NAME?</v>
      </c>
      <c r="AN444" s="313" t="e">
        <f t="shared" ca="1" si="369"/>
        <v>#NAME?</v>
      </c>
      <c r="AO444" s="316" t="e">
        <f t="shared" ca="1" si="382"/>
        <v>#NAME?</v>
      </c>
      <c r="AP444" s="313" t="e">
        <f t="shared" ca="1" si="383"/>
        <v>#NAME?</v>
      </c>
      <c r="AQ444" s="314" t="e">
        <f t="shared" ca="1" si="370"/>
        <v>#NAME?</v>
      </c>
      <c r="AR444" s="315" t="e">
        <f t="shared" ca="1" si="384"/>
        <v>#NAME?</v>
      </c>
      <c r="AS444" s="316" t="e">
        <f t="shared" ca="1" si="385"/>
        <v>#NAME?</v>
      </c>
      <c r="AT444" s="315" t="e">
        <f t="shared" ca="1" si="386"/>
        <v>#NAME?</v>
      </c>
      <c r="AU444" s="317">
        <v>427.8</v>
      </c>
      <c r="AV444" s="315" t="e">
        <f t="shared" ca="1" si="387"/>
        <v>#NAME?</v>
      </c>
      <c r="AW444" s="318" t="e">
        <f ca="1">0.0001*BicubicInterpolation('Drag Coef Table'!$B$4:$L$28,AV444,AC444)</f>
        <v>#NAME?</v>
      </c>
      <c r="AX444" s="319" t="e">
        <f t="shared" ca="1" si="388"/>
        <v>#NAME?</v>
      </c>
      <c r="AY444" s="318" t="e">
        <f t="shared" ca="1" si="389"/>
        <v>#NAME?</v>
      </c>
      <c r="AZ444" s="320" t="e">
        <f t="shared" ca="1" si="390"/>
        <v>#NAME?</v>
      </c>
      <c r="BA444" s="321" t="e">
        <f t="shared" ca="1" si="391"/>
        <v>#NAME?</v>
      </c>
      <c r="BB444" s="322" t="e">
        <f t="shared" ca="1" si="392"/>
        <v>#NAME?</v>
      </c>
      <c r="BC444" s="323">
        <v>75.196700000000007</v>
      </c>
      <c r="BD444" s="324" t="e">
        <f t="shared" ca="1" si="393"/>
        <v>#NAME?</v>
      </c>
      <c r="BE444" s="325" t="e">
        <f t="shared" ca="1" si="394"/>
        <v>#NAME?</v>
      </c>
      <c r="BF444" s="324" t="e">
        <f ca="1">BicubicInterpolation('TSFC Eff Table'!$B$4:$E$69,2,BB444)</f>
        <v>#NAME?</v>
      </c>
      <c r="BG444" s="326" t="e">
        <f t="shared" ca="1" si="395"/>
        <v>#NAME?</v>
      </c>
      <c r="BH444" s="694" t="e">
        <f ca="1">IF( S444="LRCINOP",   (1+(0.03/10)*Z444*(1+0.2*AC444^2) )*BicubicInterpolation( 'LRC INOP FF'!$C$4:$AA$21, Y444, U444 )-200, IF(S444 ="HOLDINGINOP", (1+(0.03/10)*Z444*(1+0.2*AC444^2) )*BicubicInterpolation( 'Holding INOP FF'!$C$4:$J$13,  Y444,  U444)/1.05-200,   BA444*BG444))</f>
        <v>#NAME?</v>
      </c>
      <c r="BI444" s="344" t="e">
        <f t="shared" ca="1" si="354"/>
        <v>#NAME?</v>
      </c>
      <c r="BJ444" s="322" t="e">
        <f t="shared" ca="1" si="396"/>
        <v>#NAME?</v>
      </c>
      <c r="BK444" s="338" t="e">
        <f t="shared" ca="1" si="355"/>
        <v>#NAME?</v>
      </c>
      <c r="BL444" s="327" t="e">
        <f t="shared" ca="1" si="397"/>
        <v>#NAME?</v>
      </c>
      <c r="BM444" s="328">
        <f t="shared" si="398"/>
        <v>200</v>
      </c>
      <c r="BN444" s="329" t="e">
        <f t="shared" ca="1" si="399"/>
        <v>#NAME?</v>
      </c>
      <c r="BO444" s="344" t="e">
        <f t="shared" ca="1" si="356"/>
        <v>#NAME?</v>
      </c>
      <c r="BP444" s="320" t="e">
        <f t="shared" ca="1" si="400"/>
        <v>#NAME?</v>
      </c>
      <c r="BQ444" s="344" t="e">
        <f t="shared" ca="1" si="357"/>
        <v>#NAME?</v>
      </c>
      <c r="BR444" s="347" t="e">
        <f t="shared" ca="1" si="358"/>
        <v>#NAME?</v>
      </c>
      <c r="BS444" s="326" t="e">
        <f t="shared" ca="1" si="401"/>
        <v>#NAME?</v>
      </c>
      <c r="BT444" s="437" t="e">
        <f t="shared" ca="1" si="371"/>
        <v>#NAME?</v>
      </c>
      <c r="BU444" s="437" t="e">
        <f t="shared" ca="1" si="372"/>
        <v>#NAME?</v>
      </c>
      <c r="BV444" s="441" t="e">
        <f t="shared" ca="1" si="373"/>
        <v>#NAME?</v>
      </c>
      <c r="BW444" s="442" t="e">
        <f t="shared" ca="1" si="374"/>
        <v>#NAME?</v>
      </c>
      <c r="BX444" s="470" t="e">
        <f t="shared" ca="1" si="347"/>
        <v>#NAME?</v>
      </c>
      <c r="BY444" s="484" t="e">
        <f t="shared" ca="1" si="359"/>
        <v>#NAME?</v>
      </c>
    </row>
    <row r="445" spans="9:77" ht="17.75" customHeight="1" x14ac:dyDescent="0.2">
      <c r="I445" s="366">
        <v>361</v>
      </c>
      <c r="J445" s="414">
        <f t="shared" si="360"/>
        <v>41705.963194445263</v>
      </c>
      <c r="K445" s="435" t="e">
        <f t="shared" ca="1" si="361"/>
        <v>#NAME?</v>
      </c>
      <c r="L445" s="435" t="e">
        <f t="shared" ca="1" si="348"/>
        <v>#NAME?</v>
      </c>
      <c r="M445" s="664" t="e">
        <f t="shared" ca="1" si="402"/>
        <v>#NAME?</v>
      </c>
      <c r="N445" s="664" t="e">
        <f t="shared" ca="1" si="403"/>
        <v>#NAME?</v>
      </c>
      <c r="O445" s="140" t="e">
        <f t="shared" ca="1" si="349"/>
        <v>#NAME?</v>
      </c>
      <c r="P445" s="352" t="e">
        <f t="shared" ca="1" si="362"/>
        <v>#NAME?</v>
      </c>
      <c r="Q445" s="665" t="e">
        <f t="shared" ca="1" si="342"/>
        <v>#NAME?</v>
      </c>
      <c r="R445" s="352" t="e">
        <f t="shared" ca="1" si="375"/>
        <v>#NAME?</v>
      </c>
      <c r="S445" s="662" t="e">
        <f t="shared" ca="1" si="350"/>
        <v>#NAME?</v>
      </c>
      <c r="T445" s="443" t="e">
        <f t="shared" ca="1" si="343"/>
        <v>#NAME?</v>
      </c>
      <c r="U445" s="369" t="e">
        <f t="shared" ca="1" si="344"/>
        <v>#NAME?</v>
      </c>
      <c r="V445" s="454" t="e">
        <f t="shared" ca="1" si="351"/>
        <v>#NAME?</v>
      </c>
      <c r="W445" s="457">
        <f t="shared" si="352"/>
        <v>1000</v>
      </c>
      <c r="X445" s="463" t="e">
        <f t="shared" ca="1" si="353"/>
        <v>#NAME?</v>
      </c>
      <c r="Y445" s="455" t="e">
        <f t="shared" ca="1" si="363"/>
        <v>#NAME?</v>
      </c>
      <c r="Z445" s="699">
        <f t="shared" si="345"/>
        <v>8.5</v>
      </c>
      <c r="AA445" s="355" t="str">
        <f t="shared" si="346"/>
        <v>ON</v>
      </c>
      <c r="AB445" s="357">
        <f t="shared" si="376"/>
        <v>1.4999999999999999E-2</v>
      </c>
      <c r="AC445" s="356" t="e">
        <f ca="1">IF(  Y444=0,0,IF(OR(S445="KCAS",S445="INOP",S445="MEFE"),   ( (5*( (   (((1+0.2*(T445/661.4786)^2)^3.5 -1)  )/( (1-6.8755856*10^-6 *100*Y445)^5.2558797) +1)^(2/7) -1) )^0.5),IF(S445="MACH",T445, IF(S445="LRC",BicubicInterpolation( 'LRC Mach'!$C$4:$AL$21, Y445,U445),  IF(S445="MRC",BicubicInterpolation( 'MRC Mach'!$C$3:$T$18, Y445,U445),  IF(S445="M0.84",0.84,  IF(S445="CI52",BicubicInterpolation('CI=52 Mach'!$C$3:$T$18, Y445,U445),  IF(S445="HOLDING",BicubicInterpolation(  'Holding Mach'!$C$4:$M$13, Y445,U445),                         IF(S445="LRCINOP", BicubicInterpolation('LRC INOP Mach'!$C$4:$AA$21,Y445,U445), IF(S445="HOLDINGINOP",  BicubicInterpolation('Holding INOP Mach'!$N$4:$U$13,Y445,U445),         "XXX" )))))))   )))</f>
        <v>#NAME?</v>
      </c>
      <c r="AD445" s="313" t="e">
        <f t="shared" ca="1" si="377"/>
        <v>#NAME?</v>
      </c>
      <c r="AE445" s="314" t="e">
        <f t="shared" ca="1" si="364"/>
        <v>#NAME?</v>
      </c>
      <c r="AF445" s="313" t="e">
        <f t="shared" ca="1" si="378"/>
        <v>#NAME?</v>
      </c>
      <c r="AG445" s="314" t="e">
        <f t="shared" ca="1" si="365"/>
        <v>#NAME?</v>
      </c>
      <c r="AH445" s="313" t="e">
        <f t="shared" ca="1" si="379"/>
        <v>#NAME?</v>
      </c>
      <c r="AI445" s="314" t="e">
        <f t="shared" ca="1" si="366"/>
        <v>#NAME?</v>
      </c>
      <c r="AJ445" s="315" t="e">
        <f t="shared" ca="1" si="367"/>
        <v>#NAME?</v>
      </c>
      <c r="AK445" s="568" t="e">
        <f t="shared" ca="1" si="380"/>
        <v>#NAME?</v>
      </c>
      <c r="AL445" s="313" t="e">
        <f t="shared" ca="1" si="381"/>
        <v>#NAME?</v>
      </c>
      <c r="AM445" s="313" t="e">
        <f t="shared" ca="1" si="368"/>
        <v>#NAME?</v>
      </c>
      <c r="AN445" s="313" t="e">
        <f t="shared" ca="1" si="369"/>
        <v>#NAME?</v>
      </c>
      <c r="AO445" s="316" t="e">
        <f t="shared" ca="1" si="382"/>
        <v>#NAME?</v>
      </c>
      <c r="AP445" s="313" t="e">
        <f t="shared" ca="1" si="383"/>
        <v>#NAME?</v>
      </c>
      <c r="AQ445" s="314" t="e">
        <f t="shared" ca="1" si="370"/>
        <v>#NAME?</v>
      </c>
      <c r="AR445" s="315" t="e">
        <f t="shared" ca="1" si="384"/>
        <v>#NAME?</v>
      </c>
      <c r="AS445" s="316" t="e">
        <f t="shared" ca="1" si="385"/>
        <v>#NAME?</v>
      </c>
      <c r="AT445" s="315" t="e">
        <f t="shared" ca="1" si="386"/>
        <v>#NAME?</v>
      </c>
      <c r="AU445" s="317">
        <v>427.8</v>
      </c>
      <c r="AV445" s="315" t="e">
        <f t="shared" ca="1" si="387"/>
        <v>#NAME?</v>
      </c>
      <c r="AW445" s="318" t="e">
        <f ca="1">0.0001*BicubicInterpolation('Drag Coef Table'!$B$4:$L$28,AV445,AC445)</f>
        <v>#NAME?</v>
      </c>
      <c r="AX445" s="319" t="e">
        <f t="shared" ca="1" si="388"/>
        <v>#NAME?</v>
      </c>
      <c r="AY445" s="318" t="e">
        <f t="shared" ca="1" si="389"/>
        <v>#NAME?</v>
      </c>
      <c r="AZ445" s="320" t="e">
        <f t="shared" ca="1" si="390"/>
        <v>#NAME?</v>
      </c>
      <c r="BA445" s="321" t="e">
        <f t="shared" ca="1" si="391"/>
        <v>#NAME?</v>
      </c>
      <c r="BB445" s="322" t="e">
        <f t="shared" ca="1" si="392"/>
        <v>#NAME?</v>
      </c>
      <c r="BC445" s="323">
        <v>75.196700000000007</v>
      </c>
      <c r="BD445" s="324" t="e">
        <f t="shared" ca="1" si="393"/>
        <v>#NAME?</v>
      </c>
      <c r="BE445" s="325" t="e">
        <f t="shared" ca="1" si="394"/>
        <v>#NAME?</v>
      </c>
      <c r="BF445" s="324" t="e">
        <f ca="1">BicubicInterpolation('TSFC Eff Table'!$B$4:$E$69,2,BB445)</f>
        <v>#NAME?</v>
      </c>
      <c r="BG445" s="326" t="e">
        <f t="shared" ca="1" si="395"/>
        <v>#NAME?</v>
      </c>
      <c r="BH445" s="694" t="e">
        <f ca="1">IF( S445="LRCINOP",   (1+(0.03/10)*Z445*(1+0.2*AC445^2) )*BicubicInterpolation( 'LRC INOP FF'!$C$4:$AA$21, Y445, U445 )-200, IF(S445 ="HOLDINGINOP", (1+(0.03/10)*Z445*(1+0.2*AC445^2) )*BicubicInterpolation( 'Holding INOP FF'!$C$4:$J$13,  Y445,  U445)/1.05-200,   BA445*BG445))</f>
        <v>#NAME?</v>
      </c>
      <c r="BI445" s="344" t="e">
        <f t="shared" ca="1" si="354"/>
        <v>#NAME?</v>
      </c>
      <c r="BJ445" s="322" t="e">
        <f t="shared" ca="1" si="396"/>
        <v>#NAME?</v>
      </c>
      <c r="BK445" s="338" t="e">
        <f t="shared" ca="1" si="355"/>
        <v>#NAME?</v>
      </c>
      <c r="BL445" s="327" t="e">
        <f t="shared" ca="1" si="397"/>
        <v>#NAME?</v>
      </c>
      <c r="BM445" s="328">
        <f t="shared" si="398"/>
        <v>200</v>
      </c>
      <c r="BN445" s="329" t="e">
        <f t="shared" ca="1" si="399"/>
        <v>#NAME?</v>
      </c>
      <c r="BO445" s="344" t="e">
        <f t="shared" ca="1" si="356"/>
        <v>#NAME?</v>
      </c>
      <c r="BP445" s="320" t="e">
        <f t="shared" ca="1" si="400"/>
        <v>#NAME?</v>
      </c>
      <c r="BQ445" s="344" t="e">
        <f t="shared" ca="1" si="357"/>
        <v>#NAME?</v>
      </c>
      <c r="BR445" s="347" t="e">
        <f t="shared" ca="1" si="358"/>
        <v>#NAME?</v>
      </c>
      <c r="BS445" s="326" t="e">
        <f t="shared" ca="1" si="401"/>
        <v>#NAME?</v>
      </c>
      <c r="BT445" s="437" t="e">
        <f t="shared" ca="1" si="371"/>
        <v>#NAME?</v>
      </c>
      <c r="BU445" s="437" t="e">
        <f t="shared" ca="1" si="372"/>
        <v>#NAME?</v>
      </c>
      <c r="BV445" s="441" t="e">
        <f t="shared" ca="1" si="373"/>
        <v>#NAME?</v>
      </c>
      <c r="BW445" s="442" t="e">
        <f t="shared" ca="1" si="374"/>
        <v>#NAME?</v>
      </c>
      <c r="BX445" s="470" t="e">
        <f t="shared" ca="1" si="347"/>
        <v>#NAME?</v>
      </c>
      <c r="BY445" s="484" t="e">
        <f t="shared" ca="1" si="359"/>
        <v>#NAME?</v>
      </c>
    </row>
    <row r="446" spans="9:77" ht="17.75" customHeight="1" x14ac:dyDescent="0.2">
      <c r="I446" s="366">
        <v>362</v>
      </c>
      <c r="J446" s="414">
        <f t="shared" si="360"/>
        <v>41705.96388888971</v>
      </c>
      <c r="K446" s="435" t="e">
        <f t="shared" ca="1" si="361"/>
        <v>#NAME?</v>
      </c>
      <c r="L446" s="435" t="e">
        <f t="shared" ca="1" si="348"/>
        <v>#NAME?</v>
      </c>
      <c r="M446" s="664" t="e">
        <f t="shared" ca="1" si="402"/>
        <v>#NAME?</v>
      </c>
      <c r="N446" s="664" t="e">
        <f t="shared" ca="1" si="403"/>
        <v>#NAME?</v>
      </c>
      <c r="O446" s="140" t="e">
        <f t="shared" ca="1" si="349"/>
        <v>#NAME?</v>
      </c>
      <c r="P446" s="352" t="e">
        <f t="shared" ca="1" si="362"/>
        <v>#NAME?</v>
      </c>
      <c r="Q446" s="665" t="e">
        <f t="shared" ca="1" si="342"/>
        <v>#NAME?</v>
      </c>
      <c r="R446" s="352" t="e">
        <f t="shared" ca="1" si="375"/>
        <v>#NAME?</v>
      </c>
      <c r="S446" s="662" t="e">
        <f t="shared" ca="1" si="350"/>
        <v>#NAME?</v>
      </c>
      <c r="T446" s="443" t="e">
        <f t="shared" ca="1" si="343"/>
        <v>#NAME?</v>
      </c>
      <c r="U446" s="369" t="e">
        <f t="shared" ca="1" si="344"/>
        <v>#NAME?</v>
      </c>
      <c r="V446" s="454" t="e">
        <f t="shared" ca="1" si="351"/>
        <v>#NAME?</v>
      </c>
      <c r="W446" s="457">
        <f t="shared" si="352"/>
        <v>1000</v>
      </c>
      <c r="X446" s="463" t="e">
        <f t="shared" ca="1" si="353"/>
        <v>#NAME?</v>
      </c>
      <c r="Y446" s="455" t="e">
        <f t="shared" ca="1" si="363"/>
        <v>#NAME?</v>
      </c>
      <c r="Z446" s="699">
        <f t="shared" si="345"/>
        <v>8.5</v>
      </c>
      <c r="AA446" s="355" t="str">
        <f t="shared" si="346"/>
        <v>ON</v>
      </c>
      <c r="AB446" s="357">
        <f t="shared" si="376"/>
        <v>1.4999999999999999E-2</v>
      </c>
      <c r="AC446" s="356" t="e">
        <f ca="1">IF(  Y445=0,0,IF(OR(S446="KCAS",S446="INOP",S446="MEFE"),   ( (5*( (   (((1+0.2*(T446/661.4786)^2)^3.5 -1)  )/( (1-6.8755856*10^-6 *100*Y446)^5.2558797) +1)^(2/7) -1) )^0.5),IF(S446="MACH",T446, IF(S446="LRC",BicubicInterpolation( 'LRC Mach'!$C$4:$AL$21, Y446,U446),  IF(S446="MRC",BicubicInterpolation( 'MRC Mach'!$C$3:$T$18, Y446,U446),  IF(S446="M0.84",0.84,  IF(S446="CI52",BicubicInterpolation('CI=52 Mach'!$C$3:$T$18, Y446,U446),  IF(S446="HOLDING",BicubicInterpolation(  'Holding Mach'!$C$4:$M$13, Y446,U446),                         IF(S446="LRCINOP", BicubicInterpolation('LRC INOP Mach'!$C$4:$AA$21,Y446,U446), IF(S446="HOLDINGINOP",  BicubicInterpolation('Holding INOP Mach'!$N$4:$U$13,Y446,U446),         "XXX" )))))))   )))</f>
        <v>#NAME?</v>
      </c>
      <c r="AD446" s="313" t="e">
        <f t="shared" ca="1" si="377"/>
        <v>#NAME?</v>
      </c>
      <c r="AE446" s="314" t="e">
        <f t="shared" ca="1" si="364"/>
        <v>#NAME?</v>
      </c>
      <c r="AF446" s="313" t="e">
        <f t="shared" ca="1" si="378"/>
        <v>#NAME?</v>
      </c>
      <c r="AG446" s="314" t="e">
        <f t="shared" ca="1" si="365"/>
        <v>#NAME?</v>
      </c>
      <c r="AH446" s="313" t="e">
        <f t="shared" ca="1" si="379"/>
        <v>#NAME?</v>
      </c>
      <c r="AI446" s="314" t="e">
        <f t="shared" ca="1" si="366"/>
        <v>#NAME?</v>
      </c>
      <c r="AJ446" s="315" t="e">
        <f t="shared" ca="1" si="367"/>
        <v>#NAME?</v>
      </c>
      <c r="AK446" s="568" t="e">
        <f t="shared" ca="1" si="380"/>
        <v>#NAME?</v>
      </c>
      <c r="AL446" s="313" t="e">
        <f t="shared" ca="1" si="381"/>
        <v>#NAME?</v>
      </c>
      <c r="AM446" s="313" t="e">
        <f t="shared" ca="1" si="368"/>
        <v>#NAME?</v>
      </c>
      <c r="AN446" s="313" t="e">
        <f t="shared" ca="1" si="369"/>
        <v>#NAME?</v>
      </c>
      <c r="AO446" s="316" t="e">
        <f t="shared" ca="1" si="382"/>
        <v>#NAME?</v>
      </c>
      <c r="AP446" s="313" t="e">
        <f t="shared" ca="1" si="383"/>
        <v>#NAME?</v>
      </c>
      <c r="AQ446" s="314" t="e">
        <f t="shared" ca="1" si="370"/>
        <v>#NAME?</v>
      </c>
      <c r="AR446" s="315" t="e">
        <f t="shared" ca="1" si="384"/>
        <v>#NAME?</v>
      </c>
      <c r="AS446" s="316" t="e">
        <f t="shared" ca="1" si="385"/>
        <v>#NAME?</v>
      </c>
      <c r="AT446" s="315" t="e">
        <f t="shared" ca="1" si="386"/>
        <v>#NAME?</v>
      </c>
      <c r="AU446" s="317">
        <v>427.8</v>
      </c>
      <c r="AV446" s="315" t="e">
        <f t="shared" ca="1" si="387"/>
        <v>#NAME?</v>
      </c>
      <c r="AW446" s="318" t="e">
        <f ca="1">0.0001*BicubicInterpolation('Drag Coef Table'!$B$4:$L$28,AV446,AC446)</f>
        <v>#NAME?</v>
      </c>
      <c r="AX446" s="319" t="e">
        <f t="shared" ca="1" si="388"/>
        <v>#NAME?</v>
      </c>
      <c r="AY446" s="318" t="e">
        <f t="shared" ca="1" si="389"/>
        <v>#NAME?</v>
      </c>
      <c r="AZ446" s="320" t="e">
        <f t="shared" ca="1" si="390"/>
        <v>#NAME?</v>
      </c>
      <c r="BA446" s="321" t="e">
        <f t="shared" ca="1" si="391"/>
        <v>#NAME?</v>
      </c>
      <c r="BB446" s="322" t="e">
        <f t="shared" ca="1" si="392"/>
        <v>#NAME?</v>
      </c>
      <c r="BC446" s="323">
        <v>75.196700000000007</v>
      </c>
      <c r="BD446" s="324" t="e">
        <f t="shared" ca="1" si="393"/>
        <v>#NAME?</v>
      </c>
      <c r="BE446" s="325" t="e">
        <f t="shared" ca="1" si="394"/>
        <v>#NAME?</v>
      </c>
      <c r="BF446" s="324" t="e">
        <f ca="1">BicubicInterpolation('TSFC Eff Table'!$B$4:$E$69,2,BB446)</f>
        <v>#NAME?</v>
      </c>
      <c r="BG446" s="326" t="e">
        <f t="shared" ca="1" si="395"/>
        <v>#NAME?</v>
      </c>
      <c r="BH446" s="694" t="e">
        <f ca="1">IF( S446="LRCINOP",   (1+(0.03/10)*Z446*(1+0.2*AC446^2) )*BicubicInterpolation( 'LRC INOP FF'!$C$4:$AA$21, Y446, U446 )-200, IF(S446 ="HOLDINGINOP", (1+(0.03/10)*Z446*(1+0.2*AC446^2) )*BicubicInterpolation( 'Holding INOP FF'!$C$4:$J$13,  Y446,  U446)/1.05-200,   BA446*BG446))</f>
        <v>#NAME?</v>
      </c>
      <c r="BI446" s="344" t="e">
        <f t="shared" ca="1" si="354"/>
        <v>#NAME?</v>
      </c>
      <c r="BJ446" s="322" t="e">
        <f t="shared" ca="1" si="396"/>
        <v>#NAME?</v>
      </c>
      <c r="BK446" s="338" t="e">
        <f t="shared" ca="1" si="355"/>
        <v>#NAME?</v>
      </c>
      <c r="BL446" s="327" t="e">
        <f t="shared" ca="1" si="397"/>
        <v>#NAME?</v>
      </c>
      <c r="BM446" s="328">
        <f t="shared" si="398"/>
        <v>200</v>
      </c>
      <c r="BN446" s="329" t="e">
        <f t="shared" ca="1" si="399"/>
        <v>#NAME?</v>
      </c>
      <c r="BO446" s="344" t="e">
        <f t="shared" ca="1" si="356"/>
        <v>#NAME?</v>
      </c>
      <c r="BP446" s="320" t="e">
        <f t="shared" ca="1" si="400"/>
        <v>#NAME?</v>
      </c>
      <c r="BQ446" s="344" t="e">
        <f t="shared" ca="1" si="357"/>
        <v>#NAME?</v>
      </c>
      <c r="BR446" s="347" t="e">
        <f t="shared" ca="1" si="358"/>
        <v>#NAME?</v>
      </c>
      <c r="BS446" s="326" t="e">
        <f t="shared" ca="1" si="401"/>
        <v>#NAME?</v>
      </c>
      <c r="BT446" s="437" t="e">
        <f t="shared" ca="1" si="371"/>
        <v>#NAME?</v>
      </c>
      <c r="BU446" s="437" t="e">
        <f t="shared" ca="1" si="372"/>
        <v>#NAME?</v>
      </c>
      <c r="BV446" s="441" t="e">
        <f t="shared" ca="1" si="373"/>
        <v>#NAME?</v>
      </c>
      <c r="BW446" s="442" t="e">
        <f t="shared" ca="1" si="374"/>
        <v>#NAME?</v>
      </c>
      <c r="BX446" s="470" t="e">
        <f t="shared" ca="1" si="347"/>
        <v>#NAME?</v>
      </c>
      <c r="BY446" s="484" t="e">
        <f t="shared" ca="1" si="359"/>
        <v>#NAME?</v>
      </c>
    </row>
    <row r="447" spans="9:77" ht="17.75" customHeight="1" x14ac:dyDescent="0.2">
      <c r="I447" s="366">
        <v>363</v>
      </c>
      <c r="J447" s="414">
        <f t="shared" si="360"/>
        <v>41705.964583334156</v>
      </c>
      <c r="K447" s="435" t="e">
        <f t="shared" ca="1" si="361"/>
        <v>#NAME?</v>
      </c>
      <c r="L447" s="435" t="e">
        <f t="shared" ca="1" si="348"/>
        <v>#NAME?</v>
      </c>
      <c r="M447" s="664" t="e">
        <f t="shared" ca="1" si="402"/>
        <v>#NAME?</v>
      </c>
      <c r="N447" s="664" t="e">
        <f t="shared" ca="1" si="403"/>
        <v>#NAME?</v>
      </c>
      <c r="O447" s="140" t="e">
        <f t="shared" ca="1" si="349"/>
        <v>#NAME?</v>
      </c>
      <c r="P447" s="352" t="e">
        <f t="shared" ca="1" si="362"/>
        <v>#NAME?</v>
      </c>
      <c r="Q447" s="665" t="e">
        <f t="shared" ca="1" si="342"/>
        <v>#NAME?</v>
      </c>
      <c r="R447" s="352" t="e">
        <f t="shared" ca="1" si="375"/>
        <v>#NAME?</v>
      </c>
      <c r="S447" s="662" t="e">
        <f t="shared" ca="1" si="350"/>
        <v>#NAME?</v>
      </c>
      <c r="T447" s="443" t="e">
        <f t="shared" ca="1" si="343"/>
        <v>#NAME?</v>
      </c>
      <c r="U447" s="369" t="e">
        <f t="shared" ca="1" si="344"/>
        <v>#NAME?</v>
      </c>
      <c r="V447" s="454" t="e">
        <f t="shared" ca="1" si="351"/>
        <v>#NAME?</v>
      </c>
      <c r="W447" s="457">
        <f t="shared" si="352"/>
        <v>1000</v>
      </c>
      <c r="X447" s="463" t="e">
        <f t="shared" ca="1" si="353"/>
        <v>#NAME?</v>
      </c>
      <c r="Y447" s="455" t="e">
        <f t="shared" ca="1" si="363"/>
        <v>#NAME?</v>
      </c>
      <c r="Z447" s="699">
        <f t="shared" si="345"/>
        <v>8.5</v>
      </c>
      <c r="AA447" s="355" t="str">
        <f t="shared" si="346"/>
        <v>ON</v>
      </c>
      <c r="AB447" s="357">
        <f t="shared" si="376"/>
        <v>1.4999999999999999E-2</v>
      </c>
      <c r="AC447" s="356" t="e">
        <f ca="1">IF(  Y446=0,0,IF(OR(S447="KCAS",S447="INOP",S447="MEFE"),   ( (5*( (   (((1+0.2*(T447/661.4786)^2)^3.5 -1)  )/( (1-6.8755856*10^-6 *100*Y447)^5.2558797) +1)^(2/7) -1) )^0.5),IF(S447="MACH",T447, IF(S447="LRC",BicubicInterpolation( 'LRC Mach'!$C$4:$AL$21, Y447,U447),  IF(S447="MRC",BicubicInterpolation( 'MRC Mach'!$C$3:$T$18, Y447,U447),  IF(S447="M0.84",0.84,  IF(S447="CI52",BicubicInterpolation('CI=52 Mach'!$C$3:$T$18, Y447,U447),  IF(S447="HOLDING",BicubicInterpolation(  'Holding Mach'!$C$4:$M$13, Y447,U447),                         IF(S447="LRCINOP", BicubicInterpolation('LRC INOP Mach'!$C$4:$AA$21,Y447,U447), IF(S447="HOLDINGINOP",  BicubicInterpolation('Holding INOP Mach'!$N$4:$U$13,Y447,U447),         "XXX" )))))))   )))</f>
        <v>#NAME?</v>
      </c>
      <c r="AD447" s="313" t="e">
        <f t="shared" ca="1" si="377"/>
        <v>#NAME?</v>
      </c>
      <c r="AE447" s="314" t="e">
        <f t="shared" ca="1" si="364"/>
        <v>#NAME?</v>
      </c>
      <c r="AF447" s="313" t="e">
        <f t="shared" ca="1" si="378"/>
        <v>#NAME?</v>
      </c>
      <c r="AG447" s="314" t="e">
        <f t="shared" ca="1" si="365"/>
        <v>#NAME?</v>
      </c>
      <c r="AH447" s="313" t="e">
        <f t="shared" ca="1" si="379"/>
        <v>#NAME?</v>
      </c>
      <c r="AI447" s="314" t="e">
        <f t="shared" ca="1" si="366"/>
        <v>#NAME?</v>
      </c>
      <c r="AJ447" s="315" t="e">
        <f t="shared" ca="1" si="367"/>
        <v>#NAME?</v>
      </c>
      <c r="AK447" s="568" t="e">
        <f t="shared" ca="1" si="380"/>
        <v>#NAME?</v>
      </c>
      <c r="AL447" s="313" t="e">
        <f t="shared" ca="1" si="381"/>
        <v>#NAME?</v>
      </c>
      <c r="AM447" s="313" t="e">
        <f t="shared" ca="1" si="368"/>
        <v>#NAME?</v>
      </c>
      <c r="AN447" s="313" t="e">
        <f t="shared" ca="1" si="369"/>
        <v>#NAME?</v>
      </c>
      <c r="AO447" s="316" t="e">
        <f t="shared" ca="1" si="382"/>
        <v>#NAME?</v>
      </c>
      <c r="AP447" s="313" t="e">
        <f t="shared" ca="1" si="383"/>
        <v>#NAME?</v>
      </c>
      <c r="AQ447" s="314" t="e">
        <f t="shared" ca="1" si="370"/>
        <v>#NAME?</v>
      </c>
      <c r="AR447" s="315" t="e">
        <f t="shared" ca="1" si="384"/>
        <v>#NAME?</v>
      </c>
      <c r="AS447" s="316" t="e">
        <f t="shared" ca="1" si="385"/>
        <v>#NAME?</v>
      </c>
      <c r="AT447" s="315" t="e">
        <f t="shared" ca="1" si="386"/>
        <v>#NAME?</v>
      </c>
      <c r="AU447" s="317">
        <v>427.8</v>
      </c>
      <c r="AV447" s="315" t="e">
        <f t="shared" ca="1" si="387"/>
        <v>#NAME?</v>
      </c>
      <c r="AW447" s="318" t="e">
        <f ca="1">0.0001*BicubicInterpolation('Drag Coef Table'!$B$4:$L$28,AV447,AC447)</f>
        <v>#NAME?</v>
      </c>
      <c r="AX447" s="319" t="e">
        <f t="shared" ca="1" si="388"/>
        <v>#NAME?</v>
      </c>
      <c r="AY447" s="318" t="e">
        <f t="shared" ca="1" si="389"/>
        <v>#NAME?</v>
      </c>
      <c r="AZ447" s="320" t="e">
        <f t="shared" ca="1" si="390"/>
        <v>#NAME?</v>
      </c>
      <c r="BA447" s="321" t="e">
        <f t="shared" ca="1" si="391"/>
        <v>#NAME?</v>
      </c>
      <c r="BB447" s="322" t="e">
        <f t="shared" ca="1" si="392"/>
        <v>#NAME?</v>
      </c>
      <c r="BC447" s="323">
        <v>75.196700000000007</v>
      </c>
      <c r="BD447" s="324" t="e">
        <f t="shared" ca="1" si="393"/>
        <v>#NAME?</v>
      </c>
      <c r="BE447" s="325" t="e">
        <f t="shared" ca="1" si="394"/>
        <v>#NAME?</v>
      </c>
      <c r="BF447" s="324" t="e">
        <f ca="1">BicubicInterpolation('TSFC Eff Table'!$B$4:$E$69,2,BB447)</f>
        <v>#NAME?</v>
      </c>
      <c r="BG447" s="326" t="e">
        <f t="shared" ca="1" si="395"/>
        <v>#NAME?</v>
      </c>
      <c r="BH447" s="694" t="e">
        <f ca="1">IF( S447="LRCINOP",   (1+(0.03/10)*Z447*(1+0.2*AC447^2) )*BicubicInterpolation( 'LRC INOP FF'!$C$4:$AA$21, Y447, U447 )-200, IF(S447 ="HOLDINGINOP", (1+(0.03/10)*Z447*(1+0.2*AC447^2) )*BicubicInterpolation( 'Holding INOP FF'!$C$4:$J$13,  Y447,  U447)/1.05-200,   BA447*BG447))</f>
        <v>#NAME?</v>
      </c>
      <c r="BI447" s="344" t="e">
        <f t="shared" ca="1" si="354"/>
        <v>#NAME?</v>
      </c>
      <c r="BJ447" s="322" t="e">
        <f t="shared" ca="1" si="396"/>
        <v>#NAME?</v>
      </c>
      <c r="BK447" s="338" t="e">
        <f t="shared" ca="1" si="355"/>
        <v>#NAME?</v>
      </c>
      <c r="BL447" s="327" t="e">
        <f t="shared" ca="1" si="397"/>
        <v>#NAME?</v>
      </c>
      <c r="BM447" s="328">
        <f t="shared" si="398"/>
        <v>200</v>
      </c>
      <c r="BN447" s="329" t="e">
        <f t="shared" ca="1" si="399"/>
        <v>#NAME?</v>
      </c>
      <c r="BO447" s="344" t="e">
        <f t="shared" ca="1" si="356"/>
        <v>#NAME?</v>
      </c>
      <c r="BP447" s="320" t="e">
        <f t="shared" ca="1" si="400"/>
        <v>#NAME?</v>
      </c>
      <c r="BQ447" s="344" t="e">
        <f t="shared" ca="1" si="357"/>
        <v>#NAME?</v>
      </c>
      <c r="BR447" s="347" t="e">
        <f t="shared" ca="1" si="358"/>
        <v>#NAME?</v>
      </c>
      <c r="BS447" s="326" t="e">
        <f t="shared" ca="1" si="401"/>
        <v>#NAME?</v>
      </c>
      <c r="BT447" s="437" t="e">
        <f t="shared" ca="1" si="371"/>
        <v>#NAME?</v>
      </c>
      <c r="BU447" s="437" t="e">
        <f t="shared" ca="1" si="372"/>
        <v>#NAME?</v>
      </c>
      <c r="BV447" s="441" t="e">
        <f t="shared" ca="1" si="373"/>
        <v>#NAME?</v>
      </c>
      <c r="BW447" s="442" t="e">
        <f t="shared" ca="1" si="374"/>
        <v>#NAME?</v>
      </c>
      <c r="BX447" s="470" t="e">
        <f t="shared" ca="1" si="347"/>
        <v>#NAME?</v>
      </c>
      <c r="BY447" s="484" t="e">
        <f t="shared" ca="1" si="359"/>
        <v>#NAME?</v>
      </c>
    </row>
    <row r="448" spans="9:77" ht="17.75" customHeight="1" x14ac:dyDescent="0.2">
      <c r="I448" s="366">
        <v>364</v>
      </c>
      <c r="J448" s="414">
        <f t="shared" si="360"/>
        <v>41705.965277778603</v>
      </c>
      <c r="K448" s="435" t="e">
        <f t="shared" ca="1" si="361"/>
        <v>#NAME?</v>
      </c>
      <c r="L448" s="435" t="e">
        <f t="shared" ca="1" si="348"/>
        <v>#NAME?</v>
      </c>
      <c r="M448" s="664" t="e">
        <f t="shared" ca="1" si="402"/>
        <v>#NAME?</v>
      </c>
      <c r="N448" s="664" t="e">
        <f t="shared" ca="1" si="403"/>
        <v>#NAME?</v>
      </c>
      <c r="O448" s="140" t="e">
        <f t="shared" ca="1" si="349"/>
        <v>#NAME?</v>
      </c>
      <c r="P448" s="352" t="e">
        <f t="shared" ca="1" si="362"/>
        <v>#NAME?</v>
      </c>
      <c r="Q448" s="665" t="e">
        <f t="shared" ca="1" si="342"/>
        <v>#NAME?</v>
      </c>
      <c r="R448" s="352" t="e">
        <f t="shared" ca="1" si="375"/>
        <v>#NAME?</v>
      </c>
      <c r="S448" s="662" t="e">
        <f t="shared" ca="1" si="350"/>
        <v>#NAME?</v>
      </c>
      <c r="T448" s="443" t="e">
        <f t="shared" ca="1" si="343"/>
        <v>#NAME?</v>
      </c>
      <c r="U448" s="369" t="e">
        <f t="shared" ca="1" si="344"/>
        <v>#NAME?</v>
      </c>
      <c r="V448" s="454" t="e">
        <f t="shared" ca="1" si="351"/>
        <v>#NAME?</v>
      </c>
      <c r="W448" s="457">
        <f t="shared" si="352"/>
        <v>1000</v>
      </c>
      <c r="X448" s="463" t="e">
        <f t="shared" ca="1" si="353"/>
        <v>#NAME?</v>
      </c>
      <c r="Y448" s="455" t="e">
        <f t="shared" ca="1" si="363"/>
        <v>#NAME?</v>
      </c>
      <c r="Z448" s="699">
        <f t="shared" si="345"/>
        <v>8.5</v>
      </c>
      <c r="AA448" s="355" t="str">
        <f t="shared" si="346"/>
        <v>ON</v>
      </c>
      <c r="AB448" s="357">
        <f t="shared" si="376"/>
        <v>1.4999999999999999E-2</v>
      </c>
      <c r="AC448" s="356" t="e">
        <f ca="1">IF(  Y447=0,0,IF(OR(S448="KCAS",S448="INOP",S448="MEFE"),   ( (5*( (   (((1+0.2*(T448/661.4786)^2)^3.5 -1)  )/( (1-6.8755856*10^-6 *100*Y448)^5.2558797) +1)^(2/7) -1) )^0.5),IF(S448="MACH",T448, IF(S448="LRC",BicubicInterpolation( 'LRC Mach'!$C$4:$AL$21, Y448,U448),  IF(S448="MRC",BicubicInterpolation( 'MRC Mach'!$C$3:$T$18, Y448,U448),  IF(S448="M0.84",0.84,  IF(S448="CI52",BicubicInterpolation('CI=52 Mach'!$C$3:$T$18, Y448,U448),  IF(S448="HOLDING",BicubicInterpolation(  'Holding Mach'!$C$4:$M$13, Y448,U448),                         IF(S448="LRCINOP", BicubicInterpolation('LRC INOP Mach'!$C$4:$AA$21,Y448,U448), IF(S448="HOLDINGINOP",  BicubicInterpolation('Holding INOP Mach'!$N$4:$U$13,Y448,U448),         "XXX" )))))))   )))</f>
        <v>#NAME?</v>
      </c>
      <c r="AD448" s="313" t="e">
        <f t="shared" ca="1" si="377"/>
        <v>#NAME?</v>
      </c>
      <c r="AE448" s="314" t="e">
        <f t="shared" ca="1" si="364"/>
        <v>#NAME?</v>
      </c>
      <c r="AF448" s="313" t="e">
        <f t="shared" ca="1" si="378"/>
        <v>#NAME?</v>
      </c>
      <c r="AG448" s="314" t="e">
        <f t="shared" ca="1" si="365"/>
        <v>#NAME?</v>
      </c>
      <c r="AH448" s="313" t="e">
        <f t="shared" ca="1" si="379"/>
        <v>#NAME?</v>
      </c>
      <c r="AI448" s="314" t="e">
        <f t="shared" ca="1" si="366"/>
        <v>#NAME?</v>
      </c>
      <c r="AJ448" s="315" t="e">
        <f t="shared" ca="1" si="367"/>
        <v>#NAME?</v>
      </c>
      <c r="AK448" s="568" t="e">
        <f t="shared" ca="1" si="380"/>
        <v>#NAME?</v>
      </c>
      <c r="AL448" s="313" t="e">
        <f t="shared" ca="1" si="381"/>
        <v>#NAME?</v>
      </c>
      <c r="AM448" s="313" t="e">
        <f t="shared" ca="1" si="368"/>
        <v>#NAME?</v>
      </c>
      <c r="AN448" s="313" t="e">
        <f t="shared" ca="1" si="369"/>
        <v>#NAME?</v>
      </c>
      <c r="AO448" s="316" t="e">
        <f t="shared" ca="1" si="382"/>
        <v>#NAME?</v>
      </c>
      <c r="AP448" s="313" t="e">
        <f t="shared" ca="1" si="383"/>
        <v>#NAME?</v>
      </c>
      <c r="AQ448" s="314" t="e">
        <f t="shared" ca="1" si="370"/>
        <v>#NAME?</v>
      </c>
      <c r="AR448" s="315" t="e">
        <f t="shared" ca="1" si="384"/>
        <v>#NAME?</v>
      </c>
      <c r="AS448" s="316" t="e">
        <f t="shared" ca="1" si="385"/>
        <v>#NAME?</v>
      </c>
      <c r="AT448" s="315" t="e">
        <f t="shared" ca="1" si="386"/>
        <v>#NAME?</v>
      </c>
      <c r="AU448" s="317">
        <v>427.8</v>
      </c>
      <c r="AV448" s="315" t="e">
        <f t="shared" ca="1" si="387"/>
        <v>#NAME?</v>
      </c>
      <c r="AW448" s="318" t="e">
        <f ca="1">0.0001*BicubicInterpolation('Drag Coef Table'!$B$4:$L$28,AV448,AC448)</f>
        <v>#NAME?</v>
      </c>
      <c r="AX448" s="319" t="e">
        <f t="shared" ca="1" si="388"/>
        <v>#NAME?</v>
      </c>
      <c r="AY448" s="318" t="e">
        <f t="shared" ca="1" si="389"/>
        <v>#NAME?</v>
      </c>
      <c r="AZ448" s="320" t="e">
        <f t="shared" ca="1" si="390"/>
        <v>#NAME?</v>
      </c>
      <c r="BA448" s="321" t="e">
        <f t="shared" ca="1" si="391"/>
        <v>#NAME?</v>
      </c>
      <c r="BB448" s="322" t="e">
        <f t="shared" ca="1" si="392"/>
        <v>#NAME?</v>
      </c>
      <c r="BC448" s="323">
        <v>75.196700000000007</v>
      </c>
      <c r="BD448" s="324" t="e">
        <f t="shared" ca="1" si="393"/>
        <v>#NAME?</v>
      </c>
      <c r="BE448" s="325" t="e">
        <f t="shared" ca="1" si="394"/>
        <v>#NAME?</v>
      </c>
      <c r="BF448" s="324" t="e">
        <f ca="1">BicubicInterpolation('TSFC Eff Table'!$B$4:$E$69,2,BB448)</f>
        <v>#NAME?</v>
      </c>
      <c r="BG448" s="326" t="e">
        <f t="shared" ca="1" si="395"/>
        <v>#NAME?</v>
      </c>
      <c r="BH448" s="694" t="e">
        <f ca="1">IF( S448="LRCINOP",   (1+(0.03/10)*Z448*(1+0.2*AC448^2) )*BicubicInterpolation( 'LRC INOP FF'!$C$4:$AA$21, Y448, U448 )-200, IF(S448 ="HOLDINGINOP", (1+(0.03/10)*Z448*(1+0.2*AC448^2) )*BicubicInterpolation( 'Holding INOP FF'!$C$4:$J$13,  Y448,  U448)/1.05-200,   BA448*BG448))</f>
        <v>#NAME?</v>
      </c>
      <c r="BI448" s="344" t="e">
        <f t="shared" ca="1" si="354"/>
        <v>#NAME?</v>
      </c>
      <c r="BJ448" s="322" t="e">
        <f t="shared" ca="1" si="396"/>
        <v>#NAME?</v>
      </c>
      <c r="BK448" s="338" t="e">
        <f t="shared" ca="1" si="355"/>
        <v>#NAME?</v>
      </c>
      <c r="BL448" s="327" t="e">
        <f t="shared" ca="1" si="397"/>
        <v>#NAME?</v>
      </c>
      <c r="BM448" s="328">
        <f t="shared" si="398"/>
        <v>200</v>
      </c>
      <c r="BN448" s="329" t="e">
        <f t="shared" ca="1" si="399"/>
        <v>#NAME?</v>
      </c>
      <c r="BO448" s="344" t="e">
        <f t="shared" ca="1" si="356"/>
        <v>#NAME?</v>
      </c>
      <c r="BP448" s="320" t="e">
        <f t="shared" ca="1" si="400"/>
        <v>#NAME?</v>
      </c>
      <c r="BQ448" s="344" t="e">
        <f t="shared" ca="1" si="357"/>
        <v>#NAME?</v>
      </c>
      <c r="BR448" s="347" t="e">
        <f t="shared" ca="1" si="358"/>
        <v>#NAME?</v>
      </c>
      <c r="BS448" s="326" t="e">
        <f t="shared" ca="1" si="401"/>
        <v>#NAME?</v>
      </c>
      <c r="BT448" s="437" t="e">
        <f t="shared" ca="1" si="371"/>
        <v>#NAME?</v>
      </c>
      <c r="BU448" s="437" t="e">
        <f t="shared" ca="1" si="372"/>
        <v>#NAME?</v>
      </c>
      <c r="BV448" s="441" t="e">
        <f t="shared" ca="1" si="373"/>
        <v>#NAME?</v>
      </c>
      <c r="BW448" s="442" t="e">
        <f t="shared" ca="1" si="374"/>
        <v>#NAME?</v>
      </c>
      <c r="BX448" s="470" t="e">
        <f t="shared" ca="1" si="347"/>
        <v>#NAME?</v>
      </c>
      <c r="BY448" s="484" t="e">
        <f t="shared" ca="1" si="359"/>
        <v>#NAME?</v>
      </c>
    </row>
    <row r="449" spans="9:77" ht="17.75" customHeight="1" x14ac:dyDescent="0.2">
      <c r="I449" s="366">
        <v>365</v>
      </c>
      <c r="J449" s="414">
        <f t="shared" si="360"/>
        <v>41705.96597222305</v>
      </c>
      <c r="K449" s="435" t="e">
        <f t="shared" ca="1" si="361"/>
        <v>#NAME?</v>
      </c>
      <c r="L449" s="435" t="e">
        <f t="shared" ca="1" si="348"/>
        <v>#NAME?</v>
      </c>
      <c r="M449" s="664" t="e">
        <f t="shared" ca="1" si="402"/>
        <v>#NAME?</v>
      </c>
      <c r="N449" s="664" t="e">
        <f t="shared" ca="1" si="403"/>
        <v>#NAME?</v>
      </c>
      <c r="O449" s="140" t="e">
        <f t="shared" ca="1" si="349"/>
        <v>#NAME?</v>
      </c>
      <c r="P449" s="352" t="e">
        <f t="shared" ca="1" si="362"/>
        <v>#NAME?</v>
      </c>
      <c r="Q449" s="665" t="e">
        <f t="shared" ca="1" si="342"/>
        <v>#NAME?</v>
      </c>
      <c r="R449" s="352" t="e">
        <f t="shared" ca="1" si="375"/>
        <v>#NAME?</v>
      </c>
      <c r="S449" s="662" t="e">
        <f t="shared" ca="1" si="350"/>
        <v>#NAME?</v>
      </c>
      <c r="T449" s="443" t="e">
        <f t="shared" ca="1" si="343"/>
        <v>#NAME?</v>
      </c>
      <c r="U449" s="369" t="e">
        <f t="shared" ca="1" si="344"/>
        <v>#NAME?</v>
      </c>
      <c r="V449" s="454" t="e">
        <f t="shared" ca="1" si="351"/>
        <v>#NAME?</v>
      </c>
      <c r="W449" s="457">
        <f t="shared" si="352"/>
        <v>1000</v>
      </c>
      <c r="X449" s="463" t="e">
        <f t="shared" ca="1" si="353"/>
        <v>#NAME?</v>
      </c>
      <c r="Y449" s="455" t="e">
        <f t="shared" ca="1" si="363"/>
        <v>#NAME?</v>
      </c>
      <c r="Z449" s="699">
        <f t="shared" si="345"/>
        <v>8.5</v>
      </c>
      <c r="AA449" s="355" t="str">
        <f t="shared" si="346"/>
        <v>ON</v>
      </c>
      <c r="AB449" s="357">
        <f t="shared" si="376"/>
        <v>1.4999999999999999E-2</v>
      </c>
      <c r="AC449" s="356" t="e">
        <f ca="1">IF(  Y448=0,0,IF(OR(S449="KCAS",S449="INOP",S449="MEFE"),   ( (5*( (   (((1+0.2*(T449/661.4786)^2)^3.5 -1)  )/( (1-6.8755856*10^-6 *100*Y449)^5.2558797) +1)^(2/7) -1) )^0.5),IF(S449="MACH",T449, IF(S449="LRC",BicubicInterpolation( 'LRC Mach'!$C$4:$AL$21, Y449,U449),  IF(S449="MRC",BicubicInterpolation( 'MRC Mach'!$C$3:$T$18, Y449,U449),  IF(S449="M0.84",0.84,  IF(S449="CI52",BicubicInterpolation('CI=52 Mach'!$C$3:$T$18, Y449,U449),  IF(S449="HOLDING",BicubicInterpolation(  'Holding Mach'!$C$4:$M$13, Y449,U449),                         IF(S449="LRCINOP", BicubicInterpolation('LRC INOP Mach'!$C$4:$AA$21,Y449,U449), IF(S449="HOLDINGINOP",  BicubicInterpolation('Holding INOP Mach'!$N$4:$U$13,Y449,U449),         "XXX" )))))))   )))</f>
        <v>#NAME?</v>
      </c>
      <c r="AD449" s="313" t="e">
        <f t="shared" ca="1" si="377"/>
        <v>#NAME?</v>
      </c>
      <c r="AE449" s="314" t="e">
        <f t="shared" ca="1" si="364"/>
        <v>#NAME?</v>
      </c>
      <c r="AF449" s="313" t="e">
        <f t="shared" ca="1" si="378"/>
        <v>#NAME?</v>
      </c>
      <c r="AG449" s="314" t="e">
        <f t="shared" ca="1" si="365"/>
        <v>#NAME?</v>
      </c>
      <c r="AH449" s="313" t="e">
        <f t="shared" ca="1" si="379"/>
        <v>#NAME?</v>
      </c>
      <c r="AI449" s="314" t="e">
        <f t="shared" ca="1" si="366"/>
        <v>#NAME?</v>
      </c>
      <c r="AJ449" s="315" t="e">
        <f t="shared" ca="1" si="367"/>
        <v>#NAME?</v>
      </c>
      <c r="AK449" s="568" t="e">
        <f t="shared" ca="1" si="380"/>
        <v>#NAME?</v>
      </c>
      <c r="AL449" s="313" t="e">
        <f t="shared" ca="1" si="381"/>
        <v>#NAME?</v>
      </c>
      <c r="AM449" s="313" t="e">
        <f t="shared" ca="1" si="368"/>
        <v>#NAME?</v>
      </c>
      <c r="AN449" s="313" t="e">
        <f t="shared" ca="1" si="369"/>
        <v>#NAME?</v>
      </c>
      <c r="AO449" s="316" t="e">
        <f t="shared" ca="1" si="382"/>
        <v>#NAME?</v>
      </c>
      <c r="AP449" s="313" t="e">
        <f t="shared" ca="1" si="383"/>
        <v>#NAME?</v>
      </c>
      <c r="AQ449" s="314" t="e">
        <f t="shared" ca="1" si="370"/>
        <v>#NAME?</v>
      </c>
      <c r="AR449" s="315" t="e">
        <f t="shared" ca="1" si="384"/>
        <v>#NAME?</v>
      </c>
      <c r="AS449" s="316" t="e">
        <f t="shared" ca="1" si="385"/>
        <v>#NAME?</v>
      </c>
      <c r="AT449" s="315" t="e">
        <f t="shared" ca="1" si="386"/>
        <v>#NAME?</v>
      </c>
      <c r="AU449" s="317">
        <v>427.8</v>
      </c>
      <c r="AV449" s="315" t="e">
        <f t="shared" ca="1" si="387"/>
        <v>#NAME?</v>
      </c>
      <c r="AW449" s="318" t="e">
        <f ca="1">0.0001*BicubicInterpolation('Drag Coef Table'!$B$4:$L$28,AV449,AC449)</f>
        <v>#NAME?</v>
      </c>
      <c r="AX449" s="319" t="e">
        <f t="shared" ca="1" si="388"/>
        <v>#NAME?</v>
      </c>
      <c r="AY449" s="318" t="e">
        <f t="shared" ca="1" si="389"/>
        <v>#NAME?</v>
      </c>
      <c r="AZ449" s="320" t="e">
        <f t="shared" ca="1" si="390"/>
        <v>#NAME?</v>
      </c>
      <c r="BA449" s="321" t="e">
        <f t="shared" ca="1" si="391"/>
        <v>#NAME?</v>
      </c>
      <c r="BB449" s="322" t="e">
        <f t="shared" ca="1" si="392"/>
        <v>#NAME?</v>
      </c>
      <c r="BC449" s="323">
        <v>75.196700000000007</v>
      </c>
      <c r="BD449" s="324" t="e">
        <f t="shared" ca="1" si="393"/>
        <v>#NAME?</v>
      </c>
      <c r="BE449" s="325" t="e">
        <f t="shared" ca="1" si="394"/>
        <v>#NAME?</v>
      </c>
      <c r="BF449" s="324" t="e">
        <f ca="1">BicubicInterpolation('TSFC Eff Table'!$B$4:$E$69,2,BB449)</f>
        <v>#NAME?</v>
      </c>
      <c r="BG449" s="326" t="e">
        <f t="shared" ca="1" si="395"/>
        <v>#NAME?</v>
      </c>
      <c r="BH449" s="694" t="e">
        <f ca="1">IF( S449="LRCINOP",   (1+(0.03/10)*Z449*(1+0.2*AC449^2) )*BicubicInterpolation( 'LRC INOP FF'!$C$4:$AA$21, Y449, U449 )-200, IF(S449 ="HOLDINGINOP", (1+(0.03/10)*Z449*(1+0.2*AC449^2) )*BicubicInterpolation( 'Holding INOP FF'!$C$4:$J$13,  Y449,  U449)/1.05-200,   BA449*BG449))</f>
        <v>#NAME?</v>
      </c>
      <c r="BI449" s="344" t="e">
        <f t="shared" ca="1" si="354"/>
        <v>#NAME?</v>
      </c>
      <c r="BJ449" s="322" t="e">
        <f t="shared" ca="1" si="396"/>
        <v>#NAME?</v>
      </c>
      <c r="BK449" s="338" t="e">
        <f t="shared" ca="1" si="355"/>
        <v>#NAME?</v>
      </c>
      <c r="BL449" s="327" t="e">
        <f t="shared" ca="1" si="397"/>
        <v>#NAME?</v>
      </c>
      <c r="BM449" s="328">
        <f t="shared" si="398"/>
        <v>200</v>
      </c>
      <c r="BN449" s="329" t="e">
        <f t="shared" ca="1" si="399"/>
        <v>#NAME?</v>
      </c>
      <c r="BO449" s="344" t="e">
        <f t="shared" ca="1" si="356"/>
        <v>#NAME?</v>
      </c>
      <c r="BP449" s="320" t="e">
        <f t="shared" ca="1" si="400"/>
        <v>#NAME?</v>
      </c>
      <c r="BQ449" s="344" t="e">
        <f t="shared" ca="1" si="357"/>
        <v>#NAME?</v>
      </c>
      <c r="BR449" s="347" t="e">
        <f t="shared" ca="1" si="358"/>
        <v>#NAME?</v>
      </c>
      <c r="BS449" s="326" t="e">
        <f t="shared" ca="1" si="401"/>
        <v>#NAME?</v>
      </c>
      <c r="BT449" s="437" t="e">
        <f t="shared" ca="1" si="371"/>
        <v>#NAME?</v>
      </c>
      <c r="BU449" s="437" t="e">
        <f t="shared" ca="1" si="372"/>
        <v>#NAME?</v>
      </c>
      <c r="BV449" s="441" t="e">
        <f t="shared" ca="1" si="373"/>
        <v>#NAME?</v>
      </c>
      <c r="BW449" s="442" t="e">
        <f t="shared" ca="1" si="374"/>
        <v>#NAME?</v>
      </c>
      <c r="BX449" s="470" t="e">
        <f t="shared" ca="1" si="347"/>
        <v>#NAME?</v>
      </c>
      <c r="BY449" s="484" t="e">
        <f t="shared" ca="1" si="359"/>
        <v>#NAME?</v>
      </c>
    </row>
    <row r="450" spans="9:77" ht="17.75" customHeight="1" x14ac:dyDescent="0.2">
      <c r="I450" s="366">
        <v>366</v>
      </c>
      <c r="J450" s="414">
        <f t="shared" si="360"/>
        <v>41705.966666667497</v>
      </c>
      <c r="K450" s="435" t="e">
        <f t="shared" ca="1" si="361"/>
        <v>#NAME?</v>
      </c>
      <c r="L450" s="435" t="e">
        <f t="shared" ca="1" si="348"/>
        <v>#NAME?</v>
      </c>
      <c r="M450" s="664" t="e">
        <f t="shared" ca="1" si="402"/>
        <v>#NAME?</v>
      </c>
      <c r="N450" s="664" t="e">
        <f t="shared" ca="1" si="403"/>
        <v>#NAME?</v>
      </c>
      <c r="O450" s="140" t="e">
        <f t="shared" ca="1" si="349"/>
        <v>#NAME?</v>
      </c>
      <c r="P450" s="352" t="e">
        <f t="shared" ca="1" si="362"/>
        <v>#NAME?</v>
      </c>
      <c r="Q450" s="665" t="e">
        <f t="shared" ca="1" si="342"/>
        <v>#NAME?</v>
      </c>
      <c r="R450" s="352" t="e">
        <f t="shared" ca="1" si="375"/>
        <v>#NAME?</v>
      </c>
      <c r="S450" s="662" t="e">
        <f t="shared" ca="1" si="350"/>
        <v>#NAME?</v>
      </c>
      <c r="T450" s="443" t="e">
        <f t="shared" ca="1" si="343"/>
        <v>#NAME?</v>
      </c>
      <c r="U450" s="369" t="e">
        <f t="shared" ca="1" si="344"/>
        <v>#NAME?</v>
      </c>
      <c r="V450" s="454" t="e">
        <f t="shared" ca="1" si="351"/>
        <v>#NAME?</v>
      </c>
      <c r="W450" s="457">
        <f t="shared" si="352"/>
        <v>1000</v>
      </c>
      <c r="X450" s="463" t="e">
        <f t="shared" ca="1" si="353"/>
        <v>#NAME?</v>
      </c>
      <c r="Y450" s="455" t="e">
        <f t="shared" ca="1" si="363"/>
        <v>#NAME?</v>
      </c>
      <c r="Z450" s="699">
        <f t="shared" si="345"/>
        <v>8.5</v>
      </c>
      <c r="AA450" s="355" t="str">
        <f t="shared" si="346"/>
        <v>ON</v>
      </c>
      <c r="AB450" s="357">
        <f t="shared" si="376"/>
        <v>1.4999999999999999E-2</v>
      </c>
      <c r="AC450" s="356" t="e">
        <f ca="1">IF(  Y449=0,0,IF(OR(S450="KCAS",S450="INOP",S450="MEFE"),   ( (5*( (   (((1+0.2*(T450/661.4786)^2)^3.5 -1)  )/( (1-6.8755856*10^-6 *100*Y450)^5.2558797) +1)^(2/7) -1) )^0.5),IF(S450="MACH",T450, IF(S450="LRC",BicubicInterpolation( 'LRC Mach'!$C$4:$AL$21, Y450,U450),  IF(S450="MRC",BicubicInterpolation( 'MRC Mach'!$C$3:$T$18, Y450,U450),  IF(S450="M0.84",0.84,  IF(S450="CI52",BicubicInterpolation('CI=52 Mach'!$C$3:$T$18, Y450,U450),  IF(S450="HOLDING",BicubicInterpolation(  'Holding Mach'!$C$4:$M$13, Y450,U450),                         IF(S450="LRCINOP", BicubicInterpolation('LRC INOP Mach'!$C$4:$AA$21,Y450,U450), IF(S450="HOLDINGINOP",  BicubicInterpolation('Holding INOP Mach'!$N$4:$U$13,Y450,U450),         "XXX" )))))))   )))</f>
        <v>#NAME?</v>
      </c>
      <c r="AD450" s="313" t="e">
        <f t="shared" ca="1" si="377"/>
        <v>#NAME?</v>
      </c>
      <c r="AE450" s="314" t="e">
        <f t="shared" ca="1" si="364"/>
        <v>#NAME?</v>
      </c>
      <c r="AF450" s="313" t="e">
        <f t="shared" ca="1" si="378"/>
        <v>#NAME?</v>
      </c>
      <c r="AG450" s="314" t="e">
        <f t="shared" ca="1" si="365"/>
        <v>#NAME?</v>
      </c>
      <c r="AH450" s="313" t="e">
        <f t="shared" ca="1" si="379"/>
        <v>#NAME?</v>
      </c>
      <c r="AI450" s="314" t="e">
        <f t="shared" ca="1" si="366"/>
        <v>#NAME?</v>
      </c>
      <c r="AJ450" s="315" t="e">
        <f t="shared" ca="1" si="367"/>
        <v>#NAME?</v>
      </c>
      <c r="AK450" s="568" t="e">
        <f t="shared" ca="1" si="380"/>
        <v>#NAME?</v>
      </c>
      <c r="AL450" s="313" t="e">
        <f t="shared" ca="1" si="381"/>
        <v>#NAME?</v>
      </c>
      <c r="AM450" s="313" t="e">
        <f t="shared" ca="1" si="368"/>
        <v>#NAME?</v>
      </c>
      <c r="AN450" s="313" t="e">
        <f t="shared" ca="1" si="369"/>
        <v>#NAME?</v>
      </c>
      <c r="AO450" s="316" t="e">
        <f t="shared" ca="1" si="382"/>
        <v>#NAME?</v>
      </c>
      <c r="AP450" s="313" t="e">
        <f t="shared" ca="1" si="383"/>
        <v>#NAME?</v>
      </c>
      <c r="AQ450" s="314" t="e">
        <f t="shared" ca="1" si="370"/>
        <v>#NAME?</v>
      </c>
      <c r="AR450" s="315" t="e">
        <f t="shared" ca="1" si="384"/>
        <v>#NAME?</v>
      </c>
      <c r="AS450" s="316" t="e">
        <f t="shared" ca="1" si="385"/>
        <v>#NAME?</v>
      </c>
      <c r="AT450" s="315" t="e">
        <f t="shared" ca="1" si="386"/>
        <v>#NAME?</v>
      </c>
      <c r="AU450" s="317">
        <v>427.8</v>
      </c>
      <c r="AV450" s="315" t="e">
        <f t="shared" ca="1" si="387"/>
        <v>#NAME?</v>
      </c>
      <c r="AW450" s="318" t="e">
        <f ca="1">0.0001*BicubicInterpolation('Drag Coef Table'!$B$4:$L$28,AV450,AC450)</f>
        <v>#NAME?</v>
      </c>
      <c r="AX450" s="319" t="e">
        <f t="shared" ca="1" si="388"/>
        <v>#NAME?</v>
      </c>
      <c r="AY450" s="318" t="e">
        <f t="shared" ca="1" si="389"/>
        <v>#NAME?</v>
      </c>
      <c r="AZ450" s="320" t="e">
        <f t="shared" ca="1" si="390"/>
        <v>#NAME?</v>
      </c>
      <c r="BA450" s="321" t="e">
        <f t="shared" ca="1" si="391"/>
        <v>#NAME?</v>
      </c>
      <c r="BB450" s="322" t="e">
        <f t="shared" ca="1" si="392"/>
        <v>#NAME?</v>
      </c>
      <c r="BC450" s="323">
        <v>75.196700000000007</v>
      </c>
      <c r="BD450" s="324" t="e">
        <f t="shared" ca="1" si="393"/>
        <v>#NAME?</v>
      </c>
      <c r="BE450" s="325" t="e">
        <f t="shared" ca="1" si="394"/>
        <v>#NAME?</v>
      </c>
      <c r="BF450" s="324" t="e">
        <f ca="1">BicubicInterpolation('TSFC Eff Table'!$B$4:$E$69,2,BB450)</f>
        <v>#NAME?</v>
      </c>
      <c r="BG450" s="326" t="e">
        <f t="shared" ca="1" si="395"/>
        <v>#NAME?</v>
      </c>
      <c r="BH450" s="694" t="e">
        <f ca="1">IF( S450="LRCINOP",   (1+(0.03/10)*Z450*(1+0.2*AC450^2) )*BicubicInterpolation( 'LRC INOP FF'!$C$4:$AA$21, Y450, U450 )-200, IF(S450 ="HOLDINGINOP", (1+(0.03/10)*Z450*(1+0.2*AC450^2) )*BicubicInterpolation( 'Holding INOP FF'!$C$4:$J$13,  Y450,  U450)/1.05-200,   BA450*BG450))</f>
        <v>#NAME?</v>
      </c>
      <c r="BI450" s="344" t="e">
        <f t="shared" ca="1" si="354"/>
        <v>#NAME?</v>
      </c>
      <c r="BJ450" s="322" t="e">
        <f t="shared" ca="1" si="396"/>
        <v>#NAME?</v>
      </c>
      <c r="BK450" s="338" t="e">
        <f t="shared" ca="1" si="355"/>
        <v>#NAME?</v>
      </c>
      <c r="BL450" s="327" t="e">
        <f t="shared" ca="1" si="397"/>
        <v>#NAME?</v>
      </c>
      <c r="BM450" s="328">
        <f t="shared" si="398"/>
        <v>200</v>
      </c>
      <c r="BN450" s="329" t="e">
        <f t="shared" ca="1" si="399"/>
        <v>#NAME?</v>
      </c>
      <c r="BO450" s="344" t="e">
        <f t="shared" ca="1" si="356"/>
        <v>#NAME?</v>
      </c>
      <c r="BP450" s="320" t="e">
        <f t="shared" ca="1" si="400"/>
        <v>#NAME?</v>
      </c>
      <c r="BQ450" s="344" t="e">
        <f t="shared" ca="1" si="357"/>
        <v>#NAME?</v>
      </c>
      <c r="BR450" s="347" t="e">
        <f t="shared" ca="1" si="358"/>
        <v>#NAME?</v>
      </c>
      <c r="BS450" s="326" t="e">
        <f t="shared" ca="1" si="401"/>
        <v>#NAME?</v>
      </c>
      <c r="BT450" s="437" t="e">
        <f t="shared" ca="1" si="371"/>
        <v>#NAME?</v>
      </c>
      <c r="BU450" s="437" t="e">
        <f t="shared" ca="1" si="372"/>
        <v>#NAME?</v>
      </c>
      <c r="BV450" s="441" t="e">
        <f t="shared" ca="1" si="373"/>
        <v>#NAME?</v>
      </c>
      <c r="BW450" s="442" t="e">
        <f t="shared" ca="1" si="374"/>
        <v>#NAME?</v>
      </c>
      <c r="BX450" s="470" t="e">
        <f t="shared" ca="1" si="347"/>
        <v>#NAME?</v>
      </c>
      <c r="BY450" s="484" t="e">
        <f t="shared" ca="1" si="359"/>
        <v>#NAME?</v>
      </c>
    </row>
    <row r="451" spans="9:77" ht="17.75" customHeight="1" x14ac:dyDescent="0.2">
      <c r="I451" s="366">
        <v>367</v>
      </c>
      <c r="J451" s="414">
        <f t="shared" si="360"/>
        <v>41705.967361111943</v>
      </c>
      <c r="K451" s="435" t="e">
        <f t="shared" ca="1" si="361"/>
        <v>#NAME?</v>
      </c>
      <c r="L451" s="435" t="e">
        <f t="shared" ca="1" si="348"/>
        <v>#NAME?</v>
      </c>
      <c r="M451" s="664" t="e">
        <f t="shared" ca="1" si="402"/>
        <v>#NAME?</v>
      </c>
      <c r="N451" s="664" t="e">
        <f t="shared" ca="1" si="403"/>
        <v>#NAME?</v>
      </c>
      <c r="O451" s="140" t="e">
        <f t="shared" ca="1" si="349"/>
        <v>#NAME?</v>
      </c>
      <c r="P451" s="352" t="e">
        <f t="shared" ca="1" si="362"/>
        <v>#NAME?</v>
      </c>
      <c r="Q451" s="665" t="e">
        <f t="shared" ca="1" si="342"/>
        <v>#NAME?</v>
      </c>
      <c r="R451" s="352" t="e">
        <f t="shared" ca="1" si="375"/>
        <v>#NAME?</v>
      </c>
      <c r="S451" s="662" t="e">
        <f t="shared" ca="1" si="350"/>
        <v>#NAME?</v>
      </c>
      <c r="T451" s="443" t="e">
        <f t="shared" ca="1" si="343"/>
        <v>#NAME?</v>
      </c>
      <c r="U451" s="369" t="e">
        <f t="shared" ca="1" si="344"/>
        <v>#NAME?</v>
      </c>
      <c r="V451" s="454" t="e">
        <f t="shared" ca="1" si="351"/>
        <v>#NAME?</v>
      </c>
      <c r="W451" s="457">
        <f t="shared" si="352"/>
        <v>1000</v>
      </c>
      <c r="X451" s="463" t="e">
        <f t="shared" ca="1" si="353"/>
        <v>#NAME?</v>
      </c>
      <c r="Y451" s="455" t="e">
        <f t="shared" ca="1" si="363"/>
        <v>#NAME?</v>
      </c>
      <c r="Z451" s="699">
        <f t="shared" si="345"/>
        <v>8.5</v>
      </c>
      <c r="AA451" s="355" t="str">
        <f t="shared" si="346"/>
        <v>ON</v>
      </c>
      <c r="AB451" s="357">
        <f t="shared" si="376"/>
        <v>1.4999999999999999E-2</v>
      </c>
      <c r="AC451" s="356" t="e">
        <f ca="1">IF(  Y450=0,0,IF(OR(S451="KCAS",S451="INOP",S451="MEFE"),   ( (5*( (   (((1+0.2*(T451/661.4786)^2)^3.5 -1)  )/( (1-6.8755856*10^-6 *100*Y451)^5.2558797) +1)^(2/7) -1) )^0.5),IF(S451="MACH",T451, IF(S451="LRC",BicubicInterpolation( 'LRC Mach'!$C$4:$AL$21, Y451,U451),  IF(S451="MRC",BicubicInterpolation( 'MRC Mach'!$C$3:$T$18, Y451,U451),  IF(S451="M0.84",0.84,  IF(S451="CI52",BicubicInterpolation('CI=52 Mach'!$C$3:$T$18, Y451,U451),  IF(S451="HOLDING",BicubicInterpolation(  'Holding Mach'!$C$4:$M$13, Y451,U451),                         IF(S451="LRCINOP", BicubicInterpolation('LRC INOP Mach'!$C$4:$AA$21,Y451,U451), IF(S451="HOLDINGINOP",  BicubicInterpolation('Holding INOP Mach'!$N$4:$U$13,Y451,U451),         "XXX" )))))))   )))</f>
        <v>#NAME?</v>
      </c>
      <c r="AD451" s="313" t="e">
        <f t="shared" ca="1" si="377"/>
        <v>#NAME?</v>
      </c>
      <c r="AE451" s="314" t="e">
        <f t="shared" ca="1" si="364"/>
        <v>#NAME?</v>
      </c>
      <c r="AF451" s="313" t="e">
        <f t="shared" ca="1" si="378"/>
        <v>#NAME?</v>
      </c>
      <c r="AG451" s="314" t="e">
        <f t="shared" ca="1" si="365"/>
        <v>#NAME?</v>
      </c>
      <c r="AH451" s="313" t="e">
        <f t="shared" ca="1" si="379"/>
        <v>#NAME?</v>
      </c>
      <c r="AI451" s="314" t="e">
        <f t="shared" ca="1" si="366"/>
        <v>#NAME?</v>
      </c>
      <c r="AJ451" s="315" t="e">
        <f t="shared" ca="1" si="367"/>
        <v>#NAME?</v>
      </c>
      <c r="AK451" s="568" t="e">
        <f t="shared" ca="1" si="380"/>
        <v>#NAME?</v>
      </c>
      <c r="AL451" s="313" t="e">
        <f t="shared" ca="1" si="381"/>
        <v>#NAME?</v>
      </c>
      <c r="AM451" s="313" t="e">
        <f t="shared" ca="1" si="368"/>
        <v>#NAME?</v>
      </c>
      <c r="AN451" s="313" t="e">
        <f t="shared" ca="1" si="369"/>
        <v>#NAME?</v>
      </c>
      <c r="AO451" s="316" t="e">
        <f t="shared" ca="1" si="382"/>
        <v>#NAME?</v>
      </c>
      <c r="AP451" s="313" t="e">
        <f t="shared" ca="1" si="383"/>
        <v>#NAME?</v>
      </c>
      <c r="AQ451" s="314" t="e">
        <f t="shared" ca="1" si="370"/>
        <v>#NAME?</v>
      </c>
      <c r="AR451" s="315" t="e">
        <f t="shared" ca="1" si="384"/>
        <v>#NAME?</v>
      </c>
      <c r="AS451" s="316" t="e">
        <f t="shared" ca="1" si="385"/>
        <v>#NAME?</v>
      </c>
      <c r="AT451" s="315" t="e">
        <f t="shared" ca="1" si="386"/>
        <v>#NAME?</v>
      </c>
      <c r="AU451" s="317">
        <v>427.8</v>
      </c>
      <c r="AV451" s="315" t="e">
        <f t="shared" ca="1" si="387"/>
        <v>#NAME?</v>
      </c>
      <c r="AW451" s="318" t="e">
        <f ca="1">0.0001*BicubicInterpolation('Drag Coef Table'!$B$4:$L$28,AV451,AC451)</f>
        <v>#NAME?</v>
      </c>
      <c r="AX451" s="319" t="e">
        <f t="shared" ca="1" si="388"/>
        <v>#NAME?</v>
      </c>
      <c r="AY451" s="318" t="e">
        <f t="shared" ca="1" si="389"/>
        <v>#NAME?</v>
      </c>
      <c r="AZ451" s="320" t="e">
        <f t="shared" ca="1" si="390"/>
        <v>#NAME?</v>
      </c>
      <c r="BA451" s="321" t="e">
        <f t="shared" ca="1" si="391"/>
        <v>#NAME?</v>
      </c>
      <c r="BB451" s="322" t="e">
        <f t="shared" ca="1" si="392"/>
        <v>#NAME?</v>
      </c>
      <c r="BC451" s="323">
        <v>75.196700000000007</v>
      </c>
      <c r="BD451" s="324" t="e">
        <f t="shared" ca="1" si="393"/>
        <v>#NAME?</v>
      </c>
      <c r="BE451" s="325" t="e">
        <f t="shared" ca="1" si="394"/>
        <v>#NAME?</v>
      </c>
      <c r="BF451" s="324" t="e">
        <f ca="1">BicubicInterpolation('TSFC Eff Table'!$B$4:$E$69,2,BB451)</f>
        <v>#NAME?</v>
      </c>
      <c r="BG451" s="326" t="e">
        <f t="shared" ca="1" si="395"/>
        <v>#NAME?</v>
      </c>
      <c r="BH451" s="694" t="e">
        <f ca="1">IF( S451="LRCINOP",   (1+(0.03/10)*Z451*(1+0.2*AC451^2) )*BicubicInterpolation( 'LRC INOP FF'!$C$4:$AA$21, Y451, U451 )-200, IF(S451 ="HOLDINGINOP", (1+(0.03/10)*Z451*(1+0.2*AC451^2) )*BicubicInterpolation( 'Holding INOP FF'!$C$4:$J$13,  Y451,  U451)/1.05-200,   BA451*BG451))</f>
        <v>#NAME?</v>
      </c>
      <c r="BI451" s="344" t="e">
        <f t="shared" ca="1" si="354"/>
        <v>#NAME?</v>
      </c>
      <c r="BJ451" s="322" t="e">
        <f t="shared" ca="1" si="396"/>
        <v>#NAME?</v>
      </c>
      <c r="BK451" s="338" t="e">
        <f t="shared" ca="1" si="355"/>
        <v>#NAME?</v>
      </c>
      <c r="BL451" s="327" t="e">
        <f t="shared" ca="1" si="397"/>
        <v>#NAME?</v>
      </c>
      <c r="BM451" s="328">
        <f t="shared" si="398"/>
        <v>200</v>
      </c>
      <c r="BN451" s="329" t="e">
        <f t="shared" ca="1" si="399"/>
        <v>#NAME?</v>
      </c>
      <c r="BO451" s="344" t="e">
        <f t="shared" ca="1" si="356"/>
        <v>#NAME?</v>
      </c>
      <c r="BP451" s="320" t="e">
        <f t="shared" ca="1" si="400"/>
        <v>#NAME?</v>
      </c>
      <c r="BQ451" s="344" t="e">
        <f t="shared" ca="1" si="357"/>
        <v>#NAME?</v>
      </c>
      <c r="BR451" s="347" t="e">
        <f t="shared" ca="1" si="358"/>
        <v>#NAME?</v>
      </c>
      <c r="BS451" s="326" t="e">
        <f t="shared" ca="1" si="401"/>
        <v>#NAME?</v>
      </c>
      <c r="BT451" s="437" t="e">
        <f t="shared" ca="1" si="371"/>
        <v>#NAME?</v>
      </c>
      <c r="BU451" s="437" t="e">
        <f t="shared" ca="1" si="372"/>
        <v>#NAME?</v>
      </c>
      <c r="BV451" s="441" t="e">
        <f t="shared" ca="1" si="373"/>
        <v>#NAME?</v>
      </c>
      <c r="BW451" s="442" t="e">
        <f t="shared" ca="1" si="374"/>
        <v>#NAME?</v>
      </c>
      <c r="BX451" s="470" t="e">
        <f t="shared" ca="1" si="347"/>
        <v>#NAME?</v>
      </c>
      <c r="BY451" s="484" t="e">
        <f t="shared" ca="1" si="359"/>
        <v>#NAME?</v>
      </c>
    </row>
    <row r="452" spans="9:77" ht="17.75" customHeight="1" x14ac:dyDescent="0.2">
      <c r="I452" s="366">
        <v>368</v>
      </c>
      <c r="J452" s="414">
        <f t="shared" si="360"/>
        <v>41705.96805555639</v>
      </c>
      <c r="K452" s="435" t="e">
        <f t="shared" ca="1" si="361"/>
        <v>#NAME?</v>
      </c>
      <c r="L452" s="435" t="e">
        <f t="shared" ca="1" si="348"/>
        <v>#NAME?</v>
      </c>
      <c r="M452" s="664" t="e">
        <f t="shared" ca="1" si="402"/>
        <v>#NAME?</v>
      </c>
      <c r="N452" s="664" t="e">
        <f t="shared" ca="1" si="403"/>
        <v>#NAME?</v>
      </c>
      <c r="O452" s="140" t="e">
        <f t="shared" ca="1" si="349"/>
        <v>#NAME?</v>
      </c>
      <c r="P452" s="352" t="e">
        <f t="shared" ca="1" si="362"/>
        <v>#NAME?</v>
      </c>
      <c r="Q452" s="665" t="e">
        <f t="shared" ca="1" si="342"/>
        <v>#NAME?</v>
      </c>
      <c r="R452" s="352" t="e">
        <f t="shared" ca="1" si="375"/>
        <v>#NAME?</v>
      </c>
      <c r="S452" s="662" t="e">
        <f t="shared" ca="1" si="350"/>
        <v>#NAME?</v>
      </c>
      <c r="T452" s="443" t="e">
        <f t="shared" ca="1" si="343"/>
        <v>#NAME?</v>
      </c>
      <c r="U452" s="369" t="e">
        <f t="shared" ca="1" si="344"/>
        <v>#NAME?</v>
      </c>
      <c r="V452" s="454" t="e">
        <f t="shared" ca="1" si="351"/>
        <v>#NAME?</v>
      </c>
      <c r="W452" s="457">
        <f t="shared" si="352"/>
        <v>1000</v>
      </c>
      <c r="X452" s="463" t="e">
        <f t="shared" ca="1" si="353"/>
        <v>#NAME?</v>
      </c>
      <c r="Y452" s="455" t="e">
        <f t="shared" ca="1" si="363"/>
        <v>#NAME?</v>
      </c>
      <c r="Z452" s="699">
        <f t="shared" si="345"/>
        <v>8.5</v>
      </c>
      <c r="AA452" s="355" t="str">
        <f t="shared" si="346"/>
        <v>ON</v>
      </c>
      <c r="AB452" s="357">
        <f t="shared" si="376"/>
        <v>1.4999999999999999E-2</v>
      </c>
      <c r="AC452" s="356" t="e">
        <f ca="1">IF(  Y451=0,0,IF(OR(S452="KCAS",S452="INOP",S452="MEFE"),   ( (5*( (   (((1+0.2*(T452/661.4786)^2)^3.5 -1)  )/( (1-6.8755856*10^-6 *100*Y452)^5.2558797) +1)^(2/7) -1) )^0.5),IF(S452="MACH",T452, IF(S452="LRC",BicubicInterpolation( 'LRC Mach'!$C$4:$AL$21, Y452,U452),  IF(S452="MRC",BicubicInterpolation( 'MRC Mach'!$C$3:$T$18, Y452,U452),  IF(S452="M0.84",0.84,  IF(S452="CI52",BicubicInterpolation('CI=52 Mach'!$C$3:$T$18, Y452,U452),  IF(S452="HOLDING",BicubicInterpolation(  'Holding Mach'!$C$4:$M$13, Y452,U452),                         IF(S452="LRCINOP", BicubicInterpolation('LRC INOP Mach'!$C$4:$AA$21,Y452,U452), IF(S452="HOLDINGINOP",  BicubicInterpolation('Holding INOP Mach'!$N$4:$U$13,Y452,U452),         "XXX" )))))))   )))</f>
        <v>#NAME?</v>
      </c>
      <c r="AD452" s="313" t="e">
        <f t="shared" ca="1" si="377"/>
        <v>#NAME?</v>
      </c>
      <c r="AE452" s="314" t="e">
        <f t="shared" ca="1" si="364"/>
        <v>#NAME?</v>
      </c>
      <c r="AF452" s="313" t="e">
        <f t="shared" ca="1" si="378"/>
        <v>#NAME?</v>
      </c>
      <c r="AG452" s="314" t="e">
        <f t="shared" ca="1" si="365"/>
        <v>#NAME?</v>
      </c>
      <c r="AH452" s="313" t="e">
        <f t="shared" ca="1" si="379"/>
        <v>#NAME?</v>
      </c>
      <c r="AI452" s="314" t="e">
        <f t="shared" ca="1" si="366"/>
        <v>#NAME?</v>
      </c>
      <c r="AJ452" s="315" t="e">
        <f t="shared" ca="1" si="367"/>
        <v>#NAME?</v>
      </c>
      <c r="AK452" s="568" t="e">
        <f t="shared" ca="1" si="380"/>
        <v>#NAME?</v>
      </c>
      <c r="AL452" s="313" t="e">
        <f t="shared" ca="1" si="381"/>
        <v>#NAME?</v>
      </c>
      <c r="AM452" s="313" t="e">
        <f t="shared" ca="1" si="368"/>
        <v>#NAME?</v>
      </c>
      <c r="AN452" s="313" t="e">
        <f t="shared" ca="1" si="369"/>
        <v>#NAME?</v>
      </c>
      <c r="AO452" s="316" t="e">
        <f t="shared" ca="1" si="382"/>
        <v>#NAME?</v>
      </c>
      <c r="AP452" s="313" t="e">
        <f t="shared" ca="1" si="383"/>
        <v>#NAME?</v>
      </c>
      <c r="AQ452" s="314" t="e">
        <f t="shared" ca="1" si="370"/>
        <v>#NAME?</v>
      </c>
      <c r="AR452" s="315" t="e">
        <f t="shared" ca="1" si="384"/>
        <v>#NAME?</v>
      </c>
      <c r="AS452" s="316" t="e">
        <f t="shared" ca="1" si="385"/>
        <v>#NAME?</v>
      </c>
      <c r="AT452" s="315" t="e">
        <f t="shared" ca="1" si="386"/>
        <v>#NAME?</v>
      </c>
      <c r="AU452" s="317">
        <v>427.8</v>
      </c>
      <c r="AV452" s="315" t="e">
        <f t="shared" ca="1" si="387"/>
        <v>#NAME?</v>
      </c>
      <c r="AW452" s="318" t="e">
        <f ca="1">0.0001*BicubicInterpolation('Drag Coef Table'!$B$4:$L$28,AV452,AC452)</f>
        <v>#NAME?</v>
      </c>
      <c r="AX452" s="319" t="e">
        <f t="shared" ca="1" si="388"/>
        <v>#NAME?</v>
      </c>
      <c r="AY452" s="318" t="e">
        <f t="shared" ca="1" si="389"/>
        <v>#NAME?</v>
      </c>
      <c r="AZ452" s="320" t="e">
        <f t="shared" ca="1" si="390"/>
        <v>#NAME?</v>
      </c>
      <c r="BA452" s="321" t="e">
        <f t="shared" ca="1" si="391"/>
        <v>#NAME?</v>
      </c>
      <c r="BB452" s="322" t="e">
        <f t="shared" ca="1" si="392"/>
        <v>#NAME?</v>
      </c>
      <c r="BC452" s="323">
        <v>75.196700000000007</v>
      </c>
      <c r="BD452" s="324" t="e">
        <f t="shared" ca="1" si="393"/>
        <v>#NAME?</v>
      </c>
      <c r="BE452" s="325" t="e">
        <f t="shared" ca="1" si="394"/>
        <v>#NAME?</v>
      </c>
      <c r="BF452" s="324" t="e">
        <f ca="1">BicubicInterpolation('TSFC Eff Table'!$B$4:$E$69,2,BB452)</f>
        <v>#NAME?</v>
      </c>
      <c r="BG452" s="326" t="e">
        <f t="shared" ca="1" si="395"/>
        <v>#NAME?</v>
      </c>
      <c r="BH452" s="694" t="e">
        <f ca="1">IF( S452="LRCINOP",   (1+(0.03/10)*Z452*(1+0.2*AC452^2) )*BicubicInterpolation( 'LRC INOP FF'!$C$4:$AA$21, Y452, U452 )-200, IF(S452 ="HOLDINGINOP", (1+(0.03/10)*Z452*(1+0.2*AC452^2) )*BicubicInterpolation( 'Holding INOP FF'!$C$4:$J$13,  Y452,  U452)/1.05-200,   BA452*BG452))</f>
        <v>#NAME?</v>
      </c>
      <c r="BI452" s="344" t="e">
        <f t="shared" ca="1" si="354"/>
        <v>#NAME?</v>
      </c>
      <c r="BJ452" s="322" t="e">
        <f t="shared" ca="1" si="396"/>
        <v>#NAME?</v>
      </c>
      <c r="BK452" s="338" t="e">
        <f t="shared" ca="1" si="355"/>
        <v>#NAME?</v>
      </c>
      <c r="BL452" s="327" t="e">
        <f t="shared" ca="1" si="397"/>
        <v>#NAME?</v>
      </c>
      <c r="BM452" s="328">
        <f t="shared" si="398"/>
        <v>200</v>
      </c>
      <c r="BN452" s="329" t="e">
        <f t="shared" ca="1" si="399"/>
        <v>#NAME?</v>
      </c>
      <c r="BO452" s="344" t="e">
        <f t="shared" ca="1" si="356"/>
        <v>#NAME?</v>
      </c>
      <c r="BP452" s="320" t="e">
        <f t="shared" ca="1" si="400"/>
        <v>#NAME?</v>
      </c>
      <c r="BQ452" s="344" t="e">
        <f t="shared" ca="1" si="357"/>
        <v>#NAME?</v>
      </c>
      <c r="BR452" s="347" t="e">
        <f t="shared" ca="1" si="358"/>
        <v>#NAME?</v>
      </c>
      <c r="BS452" s="326" t="e">
        <f t="shared" ca="1" si="401"/>
        <v>#NAME?</v>
      </c>
      <c r="BT452" s="437" t="e">
        <f t="shared" ca="1" si="371"/>
        <v>#NAME?</v>
      </c>
      <c r="BU452" s="437" t="e">
        <f t="shared" ca="1" si="372"/>
        <v>#NAME?</v>
      </c>
      <c r="BV452" s="441" t="e">
        <f t="shared" ca="1" si="373"/>
        <v>#NAME?</v>
      </c>
      <c r="BW452" s="442" t="e">
        <f t="shared" ca="1" si="374"/>
        <v>#NAME?</v>
      </c>
      <c r="BX452" s="470" t="e">
        <f t="shared" ca="1" si="347"/>
        <v>#NAME?</v>
      </c>
      <c r="BY452" s="484" t="e">
        <f t="shared" ca="1" si="359"/>
        <v>#NAME?</v>
      </c>
    </row>
    <row r="453" spans="9:77" ht="17.75" customHeight="1" x14ac:dyDescent="0.2">
      <c r="I453" s="366">
        <v>369</v>
      </c>
      <c r="J453" s="414">
        <f t="shared" si="360"/>
        <v>41705.968750000837</v>
      </c>
      <c r="K453" s="435" t="e">
        <f t="shared" ca="1" si="361"/>
        <v>#NAME?</v>
      </c>
      <c r="L453" s="435" t="e">
        <f t="shared" ca="1" si="348"/>
        <v>#NAME?</v>
      </c>
      <c r="M453" s="664" t="e">
        <f t="shared" ca="1" si="402"/>
        <v>#NAME?</v>
      </c>
      <c r="N453" s="664" t="e">
        <f t="shared" ca="1" si="403"/>
        <v>#NAME?</v>
      </c>
      <c r="O453" s="140" t="e">
        <f t="shared" ca="1" si="349"/>
        <v>#NAME?</v>
      </c>
      <c r="P453" s="352" t="e">
        <f t="shared" ca="1" si="362"/>
        <v>#NAME?</v>
      </c>
      <c r="Q453" s="665" t="e">
        <f t="shared" ref="Q453:Q516" ca="1" si="404">IF(S453="MEFE",  0,    IF(S453="INOP",    $C$36*AQ453/0.2243,     IF(V453&lt;Y452,             IF(OR(S453="KCAS",S453="HOLDING",S453="HOLDINGINOP",S453="LRCINOP"),   $C$32,    (1+$C$30*ABS(X453)/1000)*BN453  ),      IF(V453&gt;Y452,   BN453*(1+$C$29*W453/1000),   IF(AND($C$34=1, OR(S453="HOLDING", S453="HOLDINGINOP")  ),1.05,1)*BN453    ))))</f>
        <v>#NAME?</v>
      </c>
      <c r="R453" s="352" t="e">
        <f t="shared" ca="1" si="375"/>
        <v>#NAME?</v>
      </c>
      <c r="S453" s="662" t="e">
        <f t="shared" ca="1" si="350"/>
        <v>#NAME?</v>
      </c>
      <c r="T453" s="443" t="e">
        <f t="shared" ca="1" si="343"/>
        <v>#NAME?</v>
      </c>
      <c r="U453" s="369" t="e">
        <f t="shared" ca="1" si="344"/>
        <v>#NAME?</v>
      </c>
      <c r="V453" s="454" t="e">
        <f t="shared" ca="1" si="351"/>
        <v>#NAME?</v>
      </c>
      <c r="W453" s="457">
        <f t="shared" si="352"/>
        <v>1000</v>
      </c>
      <c r="X453" s="463" t="e">
        <f t="shared" ca="1" si="353"/>
        <v>#NAME?</v>
      </c>
      <c r="Y453" s="455" t="e">
        <f t="shared" ca="1" si="363"/>
        <v>#NAME?</v>
      </c>
      <c r="Z453" s="699">
        <f t="shared" si="345"/>
        <v>8.5</v>
      </c>
      <c r="AA453" s="355" t="str">
        <f t="shared" si="346"/>
        <v>ON</v>
      </c>
      <c r="AB453" s="357">
        <f t="shared" si="376"/>
        <v>1.4999999999999999E-2</v>
      </c>
      <c r="AC453" s="356" t="e">
        <f ca="1">IF(  Y452=0,0,IF(OR(S453="KCAS",S453="INOP",S453="MEFE"),   ( (5*( (   (((1+0.2*(T453/661.4786)^2)^3.5 -1)  )/( (1-6.8755856*10^-6 *100*Y453)^5.2558797) +1)^(2/7) -1) )^0.5),IF(S453="MACH",T453, IF(S453="LRC",BicubicInterpolation( 'LRC Mach'!$C$4:$AL$21, Y453,U453),  IF(S453="MRC",BicubicInterpolation( 'MRC Mach'!$C$3:$T$18, Y453,U453),  IF(S453="M0.84",0.84,  IF(S453="CI52",BicubicInterpolation('CI=52 Mach'!$C$3:$T$18, Y453,U453),  IF(S453="HOLDING",BicubicInterpolation(  'Holding Mach'!$C$4:$M$13, Y453,U453),                         IF(S453="LRCINOP", BicubicInterpolation('LRC INOP Mach'!$C$4:$AA$21,Y453,U453), IF(S453="HOLDINGINOP",  BicubicInterpolation('Holding INOP Mach'!$N$4:$U$13,Y453,U453),         "XXX" )))))))   )))</f>
        <v>#NAME?</v>
      </c>
      <c r="AD453" s="313" t="e">
        <f t="shared" ca="1" si="377"/>
        <v>#NAME?</v>
      </c>
      <c r="AE453" s="314" t="e">
        <f t="shared" ca="1" si="364"/>
        <v>#NAME?</v>
      </c>
      <c r="AF453" s="313" t="e">
        <f t="shared" ca="1" si="378"/>
        <v>#NAME?</v>
      </c>
      <c r="AG453" s="314" t="e">
        <f t="shared" ca="1" si="365"/>
        <v>#NAME?</v>
      </c>
      <c r="AH453" s="313" t="e">
        <f t="shared" ca="1" si="379"/>
        <v>#NAME?</v>
      </c>
      <c r="AI453" s="314" t="e">
        <f t="shared" ca="1" si="366"/>
        <v>#NAME?</v>
      </c>
      <c r="AJ453" s="315" t="e">
        <f t="shared" ca="1" si="367"/>
        <v>#NAME?</v>
      </c>
      <c r="AK453" s="568" t="e">
        <f t="shared" ca="1" si="380"/>
        <v>#NAME?</v>
      </c>
      <c r="AL453" s="313" t="e">
        <f t="shared" ca="1" si="381"/>
        <v>#NAME?</v>
      </c>
      <c r="AM453" s="313" t="e">
        <f t="shared" ca="1" si="368"/>
        <v>#NAME?</v>
      </c>
      <c r="AN453" s="313" t="e">
        <f t="shared" ca="1" si="369"/>
        <v>#NAME?</v>
      </c>
      <c r="AO453" s="316" t="e">
        <f t="shared" ca="1" si="382"/>
        <v>#NAME?</v>
      </c>
      <c r="AP453" s="313" t="e">
        <f t="shared" ca="1" si="383"/>
        <v>#NAME?</v>
      </c>
      <c r="AQ453" s="314" t="e">
        <f t="shared" ca="1" si="370"/>
        <v>#NAME?</v>
      </c>
      <c r="AR453" s="315" t="e">
        <f t="shared" ca="1" si="384"/>
        <v>#NAME?</v>
      </c>
      <c r="AS453" s="316" t="e">
        <f t="shared" ca="1" si="385"/>
        <v>#NAME?</v>
      </c>
      <c r="AT453" s="315" t="e">
        <f t="shared" ca="1" si="386"/>
        <v>#NAME?</v>
      </c>
      <c r="AU453" s="317">
        <v>427.8</v>
      </c>
      <c r="AV453" s="315" t="e">
        <f t="shared" ca="1" si="387"/>
        <v>#NAME?</v>
      </c>
      <c r="AW453" s="318" t="e">
        <f ca="1">0.0001*BicubicInterpolation('Drag Coef Table'!$B$4:$L$28,AV453,AC453)</f>
        <v>#NAME?</v>
      </c>
      <c r="AX453" s="319" t="e">
        <f t="shared" ca="1" si="388"/>
        <v>#NAME?</v>
      </c>
      <c r="AY453" s="318" t="e">
        <f t="shared" ca="1" si="389"/>
        <v>#NAME?</v>
      </c>
      <c r="AZ453" s="320" t="e">
        <f t="shared" ca="1" si="390"/>
        <v>#NAME?</v>
      </c>
      <c r="BA453" s="321" t="e">
        <f t="shared" ca="1" si="391"/>
        <v>#NAME?</v>
      </c>
      <c r="BB453" s="322" t="e">
        <f t="shared" ca="1" si="392"/>
        <v>#NAME?</v>
      </c>
      <c r="BC453" s="323">
        <v>75.196700000000007</v>
      </c>
      <c r="BD453" s="324" t="e">
        <f t="shared" ca="1" si="393"/>
        <v>#NAME?</v>
      </c>
      <c r="BE453" s="325" t="e">
        <f t="shared" ca="1" si="394"/>
        <v>#NAME?</v>
      </c>
      <c r="BF453" s="324" t="e">
        <f ca="1">BicubicInterpolation('TSFC Eff Table'!$B$4:$E$69,2,BB453)</f>
        <v>#NAME?</v>
      </c>
      <c r="BG453" s="326" t="e">
        <f t="shared" ca="1" si="395"/>
        <v>#NAME?</v>
      </c>
      <c r="BH453" s="694" t="e">
        <f ca="1">IF( S453="LRCINOP",   (1+(0.03/10)*Z453*(1+0.2*AC453^2) )*BicubicInterpolation( 'LRC INOP FF'!$C$4:$AA$21, Y453, U453 )-200, IF(S453 ="HOLDINGINOP", (1+(0.03/10)*Z453*(1+0.2*AC453^2) )*BicubicInterpolation( 'Holding INOP FF'!$C$4:$J$13,  Y453,  U453)/1.05-200,   BA453*BG453))</f>
        <v>#NAME?</v>
      </c>
      <c r="BI453" s="344" t="e">
        <f t="shared" ca="1" si="354"/>
        <v>#NAME?</v>
      </c>
      <c r="BJ453" s="322" t="e">
        <f t="shared" ca="1" si="396"/>
        <v>#NAME?</v>
      </c>
      <c r="BK453" s="338" t="e">
        <f t="shared" ca="1" si="355"/>
        <v>#NAME?</v>
      </c>
      <c r="BL453" s="327" t="e">
        <f t="shared" ca="1" si="397"/>
        <v>#NAME?</v>
      </c>
      <c r="BM453" s="328">
        <f t="shared" si="398"/>
        <v>200</v>
      </c>
      <c r="BN453" s="329" t="e">
        <f t="shared" ca="1" si="399"/>
        <v>#NAME?</v>
      </c>
      <c r="BO453" s="344" t="e">
        <f t="shared" ca="1" si="356"/>
        <v>#NAME?</v>
      </c>
      <c r="BP453" s="320" t="e">
        <f t="shared" ca="1" si="400"/>
        <v>#NAME?</v>
      </c>
      <c r="BQ453" s="344" t="e">
        <f t="shared" ca="1" si="357"/>
        <v>#NAME?</v>
      </c>
      <c r="BR453" s="347" t="e">
        <f t="shared" ca="1" si="358"/>
        <v>#NAME?</v>
      </c>
      <c r="BS453" s="326" t="e">
        <f t="shared" ca="1" si="401"/>
        <v>#NAME?</v>
      </c>
      <c r="BT453" s="437" t="e">
        <f t="shared" ca="1" si="371"/>
        <v>#NAME?</v>
      </c>
      <c r="BU453" s="437" t="e">
        <f t="shared" ca="1" si="372"/>
        <v>#NAME?</v>
      </c>
      <c r="BV453" s="441" t="e">
        <f t="shared" ca="1" si="373"/>
        <v>#NAME?</v>
      </c>
      <c r="BW453" s="442" t="e">
        <f t="shared" ca="1" si="374"/>
        <v>#NAME?</v>
      </c>
      <c r="BX453" s="470" t="e">
        <f t="shared" ca="1" si="347"/>
        <v>#NAME?</v>
      </c>
      <c r="BY453" s="484" t="e">
        <f t="shared" ca="1" si="359"/>
        <v>#NAME?</v>
      </c>
    </row>
    <row r="454" spans="9:77" ht="17.75" customHeight="1" x14ac:dyDescent="0.2">
      <c r="I454" s="366">
        <v>370</v>
      </c>
      <c r="J454" s="414">
        <f t="shared" si="360"/>
        <v>41705.969444445283</v>
      </c>
      <c r="K454" s="435" t="e">
        <f t="shared" ca="1" si="361"/>
        <v>#NAME?</v>
      </c>
      <c r="L454" s="435" t="e">
        <f t="shared" ca="1" si="348"/>
        <v>#NAME?</v>
      </c>
      <c r="M454" s="664" t="e">
        <f t="shared" ca="1" si="402"/>
        <v>#NAME?</v>
      </c>
      <c r="N454" s="664" t="e">
        <f t="shared" ca="1" si="403"/>
        <v>#NAME?</v>
      </c>
      <c r="O454" s="140" t="e">
        <f t="shared" ca="1" si="349"/>
        <v>#NAME?</v>
      </c>
      <c r="P454" s="352" t="e">
        <f t="shared" ca="1" si="362"/>
        <v>#NAME?</v>
      </c>
      <c r="Q454" s="665" t="e">
        <f t="shared" ca="1" si="404"/>
        <v>#NAME?</v>
      </c>
      <c r="R454" s="352" t="e">
        <f t="shared" ca="1" si="375"/>
        <v>#NAME?</v>
      </c>
      <c r="S454" s="662" t="e">
        <f t="shared" ca="1" si="350"/>
        <v>#NAME?</v>
      </c>
      <c r="T454" s="443" t="e">
        <f t="shared" ca="1" si="343"/>
        <v>#NAME?</v>
      </c>
      <c r="U454" s="369" t="e">
        <f t="shared" ca="1" si="344"/>
        <v>#NAME?</v>
      </c>
      <c r="V454" s="454" t="e">
        <f t="shared" ca="1" si="351"/>
        <v>#NAME?</v>
      </c>
      <c r="W454" s="457">
        <f t="shared" si="352"/>
        <v>1000</v>
      </c>
      <c r="X454" s="463" t="e">
        <f t="shared" ca="1" si="353"/>
        <v>#NAME?</v>
      </c>
      <c r="Y454" s="455" t="e">
        <f t="shared" ca="1" si="363"/>
        <v>#NAME?</v>
      </c>
      <c r="Z454" s="699">
        <f t="shared" si="345"/>
        <v>8.5</v>
      </c>
      <c r="AA454" s="355" t="str">
        <f t="shared" si="346"/>
        <v>ON</v>
      </c>
      <c r="AB454" s="357">
        <f t="shared" si="376"/>
        <v>1.4999999999999999E-2</v>
      </c>
      <c r="AC454" s="356" t="e">
        <f ca="1">IF(  Y453=0,0,IF(OR(S454="KCAS",S454="INOP",S454="MEFE"),   ( (5*( (   (((1+0.2*(T454/661.4786)^2)^3.5 -1)  )/( (1-6.8755856*10^-6 *100*Y454)^5.2558797) +1)^(2/7) -1) )^0.5),IF(S454="MACH",T454, IF(S454="LRC",BicubicInterpolation( 'LRC Mach'!$C$4:$AL$21, Y454,U454),  IF(S454="MRC",BicubicInterpolation( 'MRC Mach'!$C$3:$T$18, Y454,U454),  IF(S454="M0.84",0.84,  IF(S454="CI52",BicubicInterpolation('CI=52 Mach'!$C$3:$T$18, Y454,U454),  IF(S454="HOLDING",BicubicInterpolation(  'Holding Mach'!$C$4:$M$13, Y454,U454),                         IF(S454="LRCINOP", BicubicInterpolation('LRC INOP Mach'!$C$4:$AA$21,Y454,U454), IF(S454="HOLDINGINOP",  BicubicInterpolation('Holding INOP Mach'!$N$4:$U$13,Y454,U454),         "XXX" )))))))   )))</f>
        <v>#NAME?</v>
      </c>
      <c r="AD454" s="313" t="e">
        <f t="shared" ca="1" si="377"/>
        <v>#NAME?</v>
      </c>
      <c r="AE454" s="314" t="e">
        <f t="shared" ca="1" si="364"/>
        <v>#NAME?</v>
      </c>
      <c r="AF454" s="313" t="e">
        <f t="shared" ca="1" si="378"/>
        <v>#NAME?</v>
      </c>
      <c r="AG454" s="314" t="e">
        <f t="shared" ca="1" si="365"/>
        <v>#NAME?</v>
      </c>
      <c r="AH454" s="313" t="e">
        <f t="shared" ca="1" si="379"/>
        <v>#NAME?</v>
      </c>
      <c r="AI454" s="314" t="e">
        <f t="shared" ca="1" si="366"/>
        <v>#NAME?</v>
      </c>
      <c r="AJ454" s="315" t="e">
        <f t="shared" ca="1" si="367"/>
        <v>#NAME?</v>
      </c>
      <c r="AK454" s="568" t="e">
        <f t="shared" ca="1" si="380"/>
        <v>#NAME?</v>
      </c>
      <c r="AL454" s="313" t="e">
        <f t="shared" ca="1" si="381"/>
        <v>#NAME?</v>
      </c>
      <c r="AM454" s="313" t="e">
        <f t="shared" ca="1" si="368"/>
        <v>#NAME?</v>
      </c>
      <c r="AN454" s="313" t="e">
        <f t="shared" ca="1" si="369"/>
        <v>#NAME?</v>
      </c>
      <c r="AO454" s="316" t="e">
        <f t="shared" ca="1" si="382"/>
        <v>#NAME?</v>
      </c>
      <c r="AP454" s="313" t="e">
        <f t="shared" ca="1" si="383"/>
        <v>#NAME?</v>
      </c>
      <c r="AQ454" s="314" t="e">
        <f t="shared" ca="1" si="370"/>
        <v>#NAME?</v>
      </c>
      <c r="AR454" s="315" t="e">
        <f t="shared" ca="1" si="384"/>
        <v>#NAME?</v>
      </c>
      <c r="AS454" s="316" t="e">
        <f t="shared" ca="1" si="385"/>
        <v>#NAME?</v>
      </c>
      <c r="AT454" s="315" t="e">
        <f t="shared" ca="1" si="386"/>
        <v>#NAME?</v>
      </c>
      <c r="AU454" s="317">
        <v>427.8</v>
      </c>
      <c r="AV454" s="315" t="e">
        <f t="shared" ca="1" si="387"/>
        <v>#NAME?</v>
      </c>
      <c r="AW454" s="318" t="e">
        <f ca="1">0.0001*BicubicInterpolation('Drag Coef Table'!$B$4:$L$28,AV454,AC454)</f>
        <v>#NAME?</v>
      </c>
      <c r="AX454" s="319" t="e">
        <f t="shared" ca="1" si="388"/>
        <v>#NAME?</v>
      </c>
      <c r="AY454" s="318" t="e">
        <f t="shared" ca="1" si="389"/>
        <v>#NAME?</v>
      </c>
      <c r="AZ454" s="320" t="e">
        <f t="shared" ca="1" si="390"/>
        <v>#NAME?</v>
      </c>
      <c r="BA454" s="321" t="e">
        <f t="shared" ca="1" si="391"/>
        <v>#NAME?</v>
      </c>
      <c r="BB454" s="322" t="e">
        <f t="shared" ca="1" si="392"/>
        <v>#NAME?</v>
      </c>
      <c r="BC454" s="323">
        <v>75.196700000000007</v>
      </c>
      <c r="BD454" s="324" t="e">
        <f t="shared" ca="1" si="393"/>
        <v>#NAME?</v>
      </c>
      <c r="BE454" s="325" t="e">
        <f t="shared" ca="1" si="394"/>
        <v>#NAME?</v>
      </c>
      <c r="BF454" s="324" t="e">
        <f ca="1">BicubicInterpolation('TSFC Eff Table'!$B$4:$E$69,2,BB454)</f>
        <v>#NAME?</v>
      </c>
      <c r="BG454" s="326" t="e">
        <f t="shared" ca="1" si="395"/>
        <v>#NAME?</v>
      </c>
      <c r="BH454" s="694" t="e">
        <f ca="1">IF( S454="LRCINOP",   (1+(0.03/10)*Z454*(1+0.2*AC454^2) )*BicubicInterpolation( 'LRC INOP FF'!$C$4:$AA$21, Y454, U454 )-200, IF(S454 ="HOLDINGINOP", (1+(0.03/10)*Z454*(1+0.2*AC454^2) )*BicubicInterpolation( 'Holding INOP FF'!$C$4:$J$13,  Y454,  U454)/1.05-200,   BA454*BG454))</f>
        <v>#NAME?</v>
      </c>
      <c r="BI454" s="344" t="e">
        <f t="shared" ca="1" si="354"/>
        <v>#NAME?</v>
      </c>
      <c r="BJ454" s="322" t="e">
        <f t="shared" ca="1" si="396"/>
        <v>#NAME?</v>
      </c>
      <c r="BK454" s="338" t="e">
        <f t="shared" ca="1" si="355"/>
        <v>#NAME?</v>
      </c>
      <c r="BL454" s="327" t="e">
        <f t="shared" ca="1" si="397"/>
        <v>#NAME?</v>
      </c>
      <c r="BM454" s="328">
        <f t="shared" si="398"/>
        <v>200</v>
      </c>
      <c r="BN454" s="329" t="e">
        <f t="shared" ca="1" si="399"/>
        <v>#NAME?</v>
      </c>
      <c r="BO454" s="344" t="e">
        <f t="shared" ca="1" si="356"/>
        <v>#NAME?</v>
      </c>
      <c r="BP454" s="320" t="e">
        <f t="shared" ca="1" si="400"/>
        <v>#NAME?</v>
      </c>
      <c r="BQ454" s="344" t="e">
        <f t="shared" ca="1" si="357"/>
        <v>#NAME?</v>
      </c>
      <c r="BR454" s="347" t="e">
        <f t="shared" ca="1" si="358"/>
        <v>#NAME?</v>
      </c>
      <c r="BS454" s="326" t="e">
        <f t="shared" ca="1" si="401"/>
        <v>#NAME?</v>
      </c>
      <c r="BT454" s="437" t="e">
        <f t="shared" ca="1" si="371"/>
        <v>#NAME?</v>
      </c>
      <c r="BU454" s="437" t="e">
        <f t="shared" ca="1" si="372"/>
        <v>#NAME?</v>
      </c>
      <c r="BV454" s="441" t="e">
        <f t="shared" ca="1" si="373"/>
        <v>#NAME?</v>
      </c>
      <c r="BW454" s="442" t="e">
        <f t="shared" ca="1" si="374"/>
        <v>#NAME?</v>
      </c>
      <c r="BX454" s="470" t="e">
        <f t="shared" ca="1" si="347"/>
        <v>#NAME?</v>
      </c>
      <c r="BY454" s="484" t="e">
        <f t="shared" ca="1" si="359"/>
        <v>#NAME?</v>
      </c>
    </row>
    <row r="455" spans="9:77" ht="17.75" customHeight="1" x14ac:dyDescent="0.2">
      <c r="I455" s="366">
        <v>371</v>
      </c>
      <c r="J455" s="414">
        <f t="shared" si="360"/>
        <v>41705.97013888973</v>
      </c>
      <c r="K455" s="435" t="e">
        <f t="shared" ca="1" si="361"/>
        <v>#NAME?</v>
      </c>
      <c r="L455" s="435" t="e">
        <f t="shared" ca="1" si="348"/>
        <v>#NAME?</v>
      </c>
      <c r="M455" s="664" t="e">
        <f t="shared" ca="1" si="402"/>
        <v>#NAME?</v>
      </c>
      <c r="N455" s="664" t="e">
        <f t="shared" ca="1" si="403"/>
        <v>#NAME?</v>
      </c>
      <c r="O455" s="140" t="e">
        <f t="shared" ca="1" si="349"/>
        <v>#NAME?</v>
      </c>
      <c r="P455" s="352" t="e">
        <f t="shared" ca="1" si="362"/>
        <v>#NAME?</v>
      </c>
      <c r="Q455" s="665" t="e">
        <f t="shared" ca="1" si="404"/>
        <v>#NAME?</v>
      </c>
      <c r="R455" s="352" t="e">
        <f t="shared" ca="1" si="375"/>
        <v>#NAME?</v>
      </c>
      <c r="S455" s="662" t="e">
        <f t="shared" ca="1" si="350"/>
        <v>#NAME?</v>
      </c>
      <c r="T455" s="443" t="e">
        <f t="shared" ca="1" si="343"/>
        <v>#NAME?</v>
      </c>
      <c r="U455" s="369" t="e">
        <f t="shared" ca="1" si="344"/>
        <v>#NAME?</v>
      </c>
      <c r="V455" s="454" t="e">
        <f t="shared" ca="1" si="351"/>
        <v>#NAME?</v>
      </c>
      <c r="W455" s="457">
        <f t="shared" si="352"/>
        <v>1000</v>
      </c>
      <c r="X455" s="463" t="e">
        <f t="shared" ca="1" si="353"/>
        <v>#NAME?</v>
      </c>
      <c r="Y455" s="455" t="e">
        <f t="shared" ca="1" si="363"/>
        <v>#NAME?</v>
      </c>
      <c r="Z455" s="699">
        <f t="shared" si="345"/>
        <v>8.5</v>
      </c>
      <c r="AA455" s="355" t="str">
        <f t="shared" si="346"/>
        <v>ON</v>
      </c>
      <c r="AB455" s="357">
        <f t="shared" si="376"/>
        <v>1.4999999999999999E-2</v>
      </c>
      <c r="AC455" s="356" t="e">
        <f ca="1">IF(  Y454=0,0,IF(OR(S455="KCAS",S455="INOP",S455="MEFE"),   ( (5*( (   (((1+0.2*(T455/661.4786)^2)^3.5 -1)  )/( (1-6.8755856*10^-6 *100*Y455)^5.2558797) +1)^(2/7) -1) )^0.5),IF(S455="MACH",T455, IF(S455="LRC",BicubicInterpolation( 'LRC Mach'!$C$4:$AL$21, Y455,U455),  IF(S455="MRC",BicubicInterpolation( 'MRC Mach'!$C$3:$T$18, Y455,U455),  IF(S455="M0.84",0.84,  IF(S455="CI52",BicubicInterpolation('CI=52 Mach'!$C$3:$T$18, Y455,U455),  IF(S455="HOLDING",BicubicInterpolation(  'Holding Mach'!$C$4:$M$13, Y455,U455),                         IF(S455="LRCINOP", BicubicInterpolation('LRC INOP Mach'!$C$4:$AA$21,Y455,U455), IF(S455="HOLDINGINOP",  BicubicInterpolation('Holding INOP Mach'!$N$4:$U$13,Y455,U455),         "XXX" )))))))   )))</f>
        <v>#NAME?</v>
      </c>
      <c r="AD455" s="313" t="e">
        <f t="shared" ca="1" si="377"/>
        <v>#NAME?</v>
      </c>
      <c r="AE455" s="314" t="e">
        <f t="shared" ca="1" si="364"/>
        <v>#NAME?</v>
      </c>
      <c r="AF455" s="313" t="e">
        <f t="shared" ca="1" si="378"/>
        <v>#NAME?</v>
      </c>
      <c r="AG455" s="314" t="e">
        <f t="shared" ca="1" si="365"/>
        <v>#NAME?</v>
      </c>
      <c r="AH455" s="313" t="e">
        <f t="shared" ca="1" si="379"/>
        <v>#NAME?</v>
      </c>
      <c r="AI455" s="314" t="e">
        <f t="shared" ca="1" si="366"/>
        <v>#NAME?</v>
      </c>
      <c r="AJ455" s="315" t="e">
        <f t="shared" ca="1" si="367"/>
        <v>#NAME?</v>
      </c>
      <c r="AK455" s="568" t="e">
        <f t="shared" ca="1" si="380"/>
        <v>#NAME?</v>
      </c>
      <c r="AL455" s="313" t="e">
        <f t="shared" ca="1" si="381"/>
        <v>#NAME?</v>
      </c>
      <c r="AM455" s="313" t="e">
        <f t="shared" ca="1" si="368"/>
        <v>#NAME?</v>
      </c>
      <c r="AN455" s="313" t="e">
        <f t="shared" ca="1" si="369"/>
        <v>#NAME?</v>
      </c>
      <c r="AO455" s="316" t="e">
        <f t="shared" ca="1" si="382"/>
        <v>#NAME?</v>
      </c>
      <c r="AP455" s="313" t="e">
        <f t="shared" ca="1" si="383"/>
        <v>#NAME?</v>
      </c>
      <c r="AQ455" s="314" t="e">
        <f t="shared" ca="1" si="370"/>
        <v>#NAME?</v>
      </c>
      <c r="AR455" s="315" t="e">
        <f t="shared" ca="1" si="384"/>
        <v>#NAME?</v>
      </c>
      <c r="AS455" s="316" t="e">
        <f t="shared" ca="1" si="385"/>
        <v>#NAME?</v>
      </c>
      <c r="AT455" s="315" t="e">
        <f t="shared" ca="1" si="386"/>
        <v>#NAME?</v>
      </c>
      <c r="AU455" s="317">
        <v>427.8</v>
      </c>
      <c r="AV455" s="315" t="e">
        <f t="shared" ca="1" si="387"/>
        <v>#NAME?</v>
      </c>
      <c r="AW455" s="318" t="e">
        <f ca="1">0.0001*BicubicInterpolation('Drag Coef Table'!$B$4:$L$28,AV455,AC455)</f>
        <v>#NAME?</v>
      </c>
      <c r="AX455" s="319" t="e">
        <f t="shared" ca="1" si="388"/>
        <v>#NAME?</v>
      </c>
      <c r="AY455" s="318" t="e">
        <f t="shared" ca="1" si="389"/>
        <v>#NAME?</v>
      </c>
      <c r="AZ455" s="320" t="e">
        <f t="shared" ca="1" si="390"/>
        <v>#NAME?</v>
      </c>
      <c r="BA455" s="321" t="e">
        <f t="shared" ca="1" si="391"/>
        <v>#NAME?</v>
      </c>
      <c r="BB455" s="322" t="e">
        <f t="shared" ca="1" si="392"/>
        <v>#NAME?</v>
      </c>
      <c r="BC455" s="323">
        <v>75.196700000000007</v>
      </c>
      <c r="BD455" s="324" t="e">
        <f t="shared" ca="1" si="393"/>
        <v>#NAME?</v>
      </c>
      <c r="BE455" s="325" t="e">
        <f t="shared" ca="1" si="394"/>
        <v>#NAME?</v>
      </c>
      <c r="BF455" s="324" t="e">
        <f ca="1">BicubicInterpolation('TSFC Eff Table'!$B$4:$E$69,2,BB455)</f>
        <v>#NAME?</v>
      </c>
      <c r="BG455" s="326" t="e">
        <f t="shared" ca="1" si="395"/>
        <v>#NAME?</v>
      </c>
      <c r="BH455" s="694" t="e">
        <f ca="1">IF( S455="LRCINOP",   (1+(0.03/10)*Z455*(1+0.2*AC455^2) )*BicubicInterpolation( 'LRC INOP FF'!$C$4:$AA$21, Y455, U455 )-200, IF(S455 ="HOLDINGINOP", (1+(0.03/10)*Z455*(1+0.2*AC455^2) )*BicubicInterpolation( 'Holding INOP FF'!$C$4:$J$13,  Y455,  U455)/1.05-200,   BA455*BG455))</f>
        <v>#NAME?</v>
      </c>
      <c r="BI455" s="344" t="e">
        <f t="shared" ca="1" si="354"/>
        <v>#NAME?</v>
      </c>
      <c r="BJ455" s="322" t="e">
        <f t="shared" ca="1" si="396"/>
        <v>#NAME?</v>
      </c>
      <c r="BK455" s="338" t="e">
        <f t="shared" ca="1" si="355"/>
        <v>#NAME?</v>
      </c>
      <c r="BL455" s="327" t="e">
        <f t="shared" ca="1" si="397"/>
        <v>#NAME?</v>
      </c>
      <c r="BM455" s="328">
        <f t="shared" si="398"/>
        <v>200</v>
      </c>
      <c r="BN455" s="329" t="e">
        <f t="shared" ca="1" si="399"/>
        <v>#NAME?</v>
      </c>
      <c r="BO455" s="344" t="e">
        <f t="shared" ca="1" si="356"/>
        <v>#NAME?</v>
      </c>
      <c r="BP455" s="320" t="e">
        <f t="shared" ca="1" si="400"/>
        <v>#NAME?</v>
      </c>
      <c r="BQ455" s="344" t="e">
        <f t="shared" ca="1" si="357"/>
        <v>#NAME?</v>
      </c>
      <c r="BR455" s="347" t="e">
        <f t="shared" ca="1" si="358"/>
        <v>#NAME?</v>
      </c>
      <c r="BS455" s="326" t="e">
        <f t="shared" ca="1" si="401"/>
        <v>#NAME?</v>
      </c>
      <c r="BT455" s="437" t="e">
        <f t="shared" ca="1" si="371"/>
        <v>#NAME?</v>
      </c>
      <c r="BU455" s="437" t="e">
        <f t="shared" ca="1" si="372"/>
        <v>#NAME?</v>
      </c>
      <c r="BV455" s="441" t="e">
        <f t="shared" ca="1" si="373"/>
        <v>#NAME?</v>
      </c>
      <c r="BW455" s="442" t="e">
        <f t="shared" ca="1" si="374"/>
        <v>#NAME?</v>
      </c>
      <c r="BX455" s="470" t="e">
        <f t="shared" ca="1" si="347"/>
        <v>#NAME?</v>
      </c>
      <c r="BY455" s="484" t="e">
        <f t="shared" ca="1" si="359"/>
        <v>#NAME?</v>
      </c>
    </row>
    <row r="456" spans="9:77" ht="17.75" customHeight="1" x14ac:dyDescent="0.2">
      <c r="I456" s="366">
        <v>372</v>
      </c>
      <c r="J456" s="414">
        <f t="shared" si="360"/>
        <v>41705.970833334177</v>
      </c>
      <c r="K456" s="435" t="e">
        <f t="shared" ca="1" si="361"/>
        <v>#NAME?</v>
      </c>
      <c r="L456" s="435" t="e">
        <f t="shared" ca="1" si="348"/>
        <v>#NAME?</v>
      </c>
      <c r="M456" s="664" t="e">
        <f t="shared" ca="1" si="402"/>
        <v>#NAME?</v>
      </c>
      <c r="N456" s="664" t="e">
        <f t="shared" ca="1" si="403"/>
        <v>#NAME?</v>
      </c>
      <c r="O456" s="140" t="e">
        <f t="shared" ca="1" si="349"/>
        <v>#NAME?</v>
      </c>
      <c r="P456" s="352" t="e">
        <f t="shared" ca="1" si="362"/>
        <v>#NAME?</v>
      </c>
      <c r="Q456" s="665" t="e">
        <f t="shared" ca="1" si="404"/>
        <v>#NAME?</v>
      </c>
      <c r="R456" s="352" t="e">
        <f t="shared" ca="1" si="375"/>
        <v>#NAME?</v>
      </c>
      <c r="S456" s="662" t="e">
        <f t="shared" ca="1" si="350"/>
        <v>#NAME?</v>
      </c>
      <c r="T456" s="443" t="e">
        <f t="shared" ca="1" si="343"/>
        <v>#NAME?</v>
      </c>
      <c r="U456" s="369" t="e">
        <f t="shared" ca="1" si="344"/>
        <v>#NAME?</v>
      </c>
      <c r="V456" s="454" t="e">
        <f t="shared" ca="1" si="351"/>
        <v>#NAME?</v>
      </c>
      <c r="W456" s="457">
        <f t="shared" si="352"/>
        <v>1000</v>
      </c>
      <c r="X456" s="463" t="e">
        <f t="shared" ca="1" si="353"/>
        <v>#NAME?</v>
      </c>
      <c r="Y456" s="455" t="e">
        <f t="shared" ca="1" si="363"/>
        <v>#NAME?</v>
      </c>
      <c r="Z456" s="699">
        <f t="shared" si="345"/>
        <v>8.5</v>
      </c>
      <c r="AA456" s="355" t="str">
        <f t="shared" si="346"/>
        <v>ON</v>
      </c>
      <c r="AB456" s="357">
        <f t="shared" si="376"/>
        <v>1.4999999999999999E-2</v>
      </c>
      <c r="AC456" s="356" t="e">
        <f ca="1">IF(  Y455=0,0,IF(OR(S456="KCAS",S456="INOP",S456="MEFE"),   ( (5*( (   (((1+0.2*(T456/661.4786)^2)^3.5 -1)  )/( (1-6.8755856*10^-6 *100*Y456)^5.2558797) +1)^(2/7) -1) )^0.5),IF(S456="MACH",T456, IF(S456="LRC",BicubicInterpolation( 'LRC Mach'!$C$4:$AL$21, Y456,U456),  IF(S456="MRC",BicubicInterpolation( 'MRC Mach'!$C$3:$T$18, Y456,U456),  IF(S456="M0.84",0.84,  IF(S456="CI52",BicubicInterpolation('CI=52 Mach'!$C$3:$T$18, Y456,U456),  IF(S456="HOLDING",BicubicInterpolation(  'Holding Mach'!$C$4:$M$13, Y456,U456),                         IF(S456="LRCINOP", BicubicInterpolation('LRC INOP Mach'!$C$4:$AA$21,Y456,U456), IF(S456="HOLDINGINOP",  BicubicInterpolation('Holding INOP Mach'!$N$4:$U$13,Y456,U456),         "XXX" )))))))   )))</f>
        <v>#NAME?</v>
      </c>
      <c r="AD456" s="313" t="e">
        <f t="shared" ca="1" si="377"/>
        <v>#NAME?</v>
      </c>
      <c r="AE456" s="314" t="e">
        <f t="shared" ca="1" si="364"/>
        <v>#NAME?</v>
      </c>
      <c r="AF456" s="313" t="e">
        <f t="shared" ca="1" si="378"/>
        <v>#NAME?</v>
      </c>
      <c r="AG456" s="314" t="e">
        <f t="shared" ca="1" si="365"/>
        <v>#NAME?</v>
      </c>
      <c r="AH456" s="313" t="e">
        <f t="shared" ca="1" si="379"/>
        <v>#NAME?</v>
      </c>
      <c r="AI456" s="314" t="e">
        <f t="shared" ca="1" si="366"/>
        <v>#NAME?</v>
      </c>
      <c r="AJ456" s="315" t="e">
        <f t="shared" ca="1" si="367"/>
        <v>#NAME?</v>
      </c>
      <c r="AK456" s="568" t="e">
        <f t="shared" ca="1" si="380"/>
        <v>#NAME?</v>
      </c>
      <c r="AL456" s="313" t="e">
        <f t="shared" ca="1" si="381"/>
        <v>#NAME?</v>
      </c>
      <c r="AM456" s="313" t="e">
        <f t="shared" ca="1" si="368"/>
        <v>#NAME?</v>
      </c>
      <c r="AN456" s="313" t="e">
        <f t="shared" ca="1" si="369"/>
        <v>#NAME?</v>
      </c>
      <c r="AO456" s="316" t="e">
        <f t="shared" ca="1" si="382"/>
        <v>#NAME?</v>
      </c>
      <c r="AP456" s="313" t="e">
        <f t="shared" ca="1" si="383"/>
        <v>#NAME?</v>
      </c>
      <c r="AQ456" s="314" t="e">
        <f t="shared" ca="1" si="370"/>
        <v>#NAME?</v>
      </c>
      <c r="AR456" s="315" t="e">
        <f t="shared" ca="1" si="384"/>
        <v>#NAME?</v>
      </c>
      <c r="AS456" s="316" t="e">
        <f t="shared" ca="1" si="385"/>
        <v>#NAME?</v>
      </c>
      <c r="AT456" s="315" t="e">
        <f t="shared" ca="1" si="386"/>
        <v>#NAME?</v>
      </c>
      <c r="AU456" s="317">
        <v>427.8</v>
      </c>
      <c r="AV456" s="315" t="e">
        <f t="shared" ca="1" si="387"/>
        <v>#NAME?</v>
      </c>
      <c r="AW456" s="318" t="e">
        <f ca="1">0.0001*BicubicInterpolation('Drag Coef Table'!$B$4:$L$28,AV456,AC456)</f>
        <v>#NAME?</v>
      </c>
      <c r="AX456" s="319" t="e">
        <f t="shared" ca="1" si="388"/>
        <v>#NAME?</v>
      </c>
      <c r="AY456" s="318" t="e">
        <f t="shared" ca="1" si="389"/>
        <v>#NAME?</v>
      </c>
      <c r="AZ456" s="320" t="e">
        <f t="shared" ca="1" si="390"/>
        <v>#NAME?</v>
      </c>
      <c r="BA456" s="321" t="e">
        <f t="shared" ca="1" si="391"/>
        <v>#NAME?</v>
      </c>
      <c r="BB456" s="322" t="e">
        <f t="shared" ca="1" si="392"/>
        <v>#NAME?</v>
      </c>
      <c r="BC456" s="323">
        <v>75.196700000000007</v>
      </c>
      <c r="BD456" s="324" t="e">
        <f t="shared" ca="1" si="393"/>
        <v>#NAME?</v>
      </c>
      <c r="BE456" s="325" t="e">
        <f t="shared" ca="1" si="394"/>
        <v>#NAME?</v>
      </c>
      <c r="BF456" s="324" t="e">
        <f ca="1">BicubicInterpolation('TSFC Eff Table'!$B$4:$E$69,2,BB456)</f>
        <v>#NAME?</v>
      </c>
      <c r="BG456" s="326" t="e">
        <f t="shared" ca="1" si="395"/>
        <v>#NAME?</v>
      </c>
      <c r="BH456" s="694" t="e">
        <f ca="1">IF( S456="LRCINOP",   (1+(0.03/10)*Z456*(1+0.2*AC456^2) )*BicubicInterpolation( 'LRC INOP FF'!$C$4:$AA$21, Y456, U456 )-200, IF(S456 ="HOLDINGINOP", (1+(0.03/10)*Z456*(1+0.2*AC456^2) )*BicubicInterpolation( 'Holding INOP FF'!$C$4:$J$13,  Y456,  U456)/1.05-200,   BA456*BG456))</f>
        <v>#NAME?</v>
      </c>
      <c r="BI456" s="344" t="e">
        <f t="shared" ca="1" si="354"/>
        <v>#NAME?</v>
      </c>
      <c r="BJ456" s="322" t="e">
        <f t="shared" ca="1" si="396"/>
        <v>#NAME?</v>
      </c>
      <c r="BK456" s="338" t="e">
        <f t="shared" ca="1" si="355"/>
        <v>#NAME?</v>
      </c>
      <c r="BL456" s="327" t="e">
        <f t="shared" ca="1" si="397"/>
        <v>#NAME?</v>
      </c>
      <c r="BM456" s="328">
        <f t="shared" si="398"/>
        <v>200</v>
      </c>
      <c r="BN456" s="329" t="e">
        <f t="shared" ca="1" si="399"/>
        <v>#NAME?</v>
      </c>
      <c r="BO456" s="344" t="e">
        <f t="shared" ca="1" si="356"/>
        <v>#NAME?</v>
      </c>
      <c r="BP456" s="320" t="e">
        <f t="shared" ca="1" si="400"/>
        <v>#NAME?</v>
      </c>
      <c r="BQ456" s="344" t="e">
        <f t="shared" ca="1" si="357"/>
        <v>#NAME?</v>
      </c>
      <c r="BR456" s="347" t="e">
        <f t="shared" ca="1" si="358"/>
        <v>#NAME?</v>
      </c>
      <c r="BS456" s="326" t="e">
        <f t="shared" ca="1" si="401"/>
        <v>#NAME?</v>
      </c>
      <c r="BT456" s="437" t="e">
        <f t="shared" ca="1" si="371"/>
        <v>#NAME?</v>
      </c>
      <c r="BU456" s="437" t="e">
        <f t="shared" ca="1" si="372"/>
        <v>#NAME?</v>
      </c>
      <c r="BV456" s="441" t="e">
        <f t="shared" ca="1" si="373"/>
        <v>#NAME?</v>
      </c>
      <c r="BW456" s="442" t="e">
        <f t="shared" ca="1" si="374"/>
        <v>#NAME?</v>
      </c>
      <c r="BX456" s="470" t="e">
        <f t="shared" ca="1" si="347"/>
        <v>#NAME?</v>
      </c>
      <c r="BY456" s="484" t="e">
        <f t="shared" ca="1" si="359"/>
        <v>#NAME?</v>
      </c>
    </row>
    <row r="457" spans="9:77" ht="17.75" customHeight="1" x14ac:dyDescent="0.2">
      <c r="I457" s="366">
        <v>373</v>
      </c>
      <c r="J457" s="414">
        <f t="shared" si="360"/>
        <v>41705.971527778624</v>
      </c>
      <c r="K457" s="435" t="e">
        <f t="shared" ca="1" si="361"/>
        <v>#NAME?</v>
      </c>
      <c r="L457" s="435" t="e">
        <f t="shared" ca="1" si="348"/>
        <v>#NAME?</v>
      </c>
      <c r="M457" s="664" t="e">
        <f t="shared" ca="1" si="402"/>
        <v>#NAME?</v>
      </c>
      <c r="N457" s="664" t="e">
        <f t="shared" ca="1" si="403"/>
        <v>#NAME?</v>
      </c>
      <c r="O457" s="140" t="e">
        <f t="shared" ca="1" si="349"/>
        <v>#NAME?</v>
      </c>
      <c r="P457" s="352" t="e">
        <f t="shared" ca="1" si="362"/>
        <v>#NAME?</v>
      </c>
      <c r="Q457" s="665" t="e">
        <f t="shared" ca="1" si="404"/>
        <v>#NAME?</v>
      </c>
      <c r="R457" s="352" t="e">
        <f t="shared" ca="1" si="375"/>
        <v>#NAME?</v>
      </c>
      <c r="S457" s="662" t="e">
        <f t="shared" ca="1" si="350"/>
        <v>#NAME?</v>
      </c>
      <c r="T457" s="443" t="e">
        <f t="shared" ca="1" si="343"/>
        <v>#NAME?</v>
      </c>
      <c r="U457" s="369" t="e">
        <f t="shared" ca="1" si="344"/>
        <v>#NAME?</v>
      </c>
      <c r="V457" s="454" t="e">
        <f t="shared" ca="1" si="351"/>
        <v>#NAME?</v>
      </c>
      <c r="W457" s="457">
        <f t="shared" si="352"/>
        <v>1000</v>
      </c>
      <c r="X457" s="463" t="e">
        <f t="shared" ca="1" si="353"/>
        <v>#NAME?</v>
      </c>
      <c r="Y457" s="455" t="e">
        <f t="shared" ca="1" si="363"/>
        <v>#NAME?</v>
      </c>
      <c r="Z457" s="699">
        <f t="shared" si="345"/>
        <v>8.5</v>
      </c>
      <c r="AA457" s="355" t="str">
        <f t="shared" si="346"/>
        <v>ON</v>
      </c>
      <c r="AB457" s="357">
        <f t="shared" si="376"/>
        <v>1.4999999999999999E-2</v>
      </c>
      <c r="AC457" s="356" t="e">
        <f ca="1">IF(  Y456=0,0,IF(OR(S457="KCAS",S457="INOP",S457="MEFE"),   ( (5*( (   (((1+0.2*(T457/661.4786)^2)^3.5 -1)  )/( (1-6.8755856*10^-6 *100*Y457)^5.2558797) +1)^(2/7) -1) )^0.5),IF(S457="MACH",T457, IF(S457="LRC",BicubicInterpolation( 'LRC Mach'!$C$4:$AL$21, Y457,U457),  IF(S457="MRC",BicubicInterpolation( 'MRC Mach'!$C$3:$T$18, Y457,U457),  IF(S457="M0.84",0.84,  IF(S457="CI52",BicubicInterpolation('CI=52 Mach'!$C$3:$T$18, Y457,U457),  IF(S457="HOLDING",BicubicInterpolation(  'Holding Mach'!$C$4:$M$13, Y457,U457),                         IF(S457="LRCINOP", BicubicInterpolation('LRC INOP Mach'!$C$4:$AA$21,Y457,U457), IF(S457="HOLDINGINOP",  BicubicInterpolation('Holding INOP Mach'!$N$4:$U$13,Y457,U457),         "XXX" )))))))   )))</f>
        <v>#NAME?</v>
      </c>
      <c r="AD457" s="313" t="e">
        <f t="shared" ca="1" si="377"/>
        <v>#NAME?</v>
      </c>
      <c r="AE457" s="314" t="e">
        <f t="shared" ca="1" si="364"/>
        <v>#NAME?</v>
      </c>
      <c r="AF457" s="313" t="e">
        <f t="shared" ca="1" si="378"/>
        <v>#NAME?</v>
      </c>
      <c r="AG457" s="314" t="e">
        <f t="shared" ca="1" si="365"/>
        <v>#NAME?</v>
      </c>
      <c r="AH457" s="313" t="e">
        <f t="shared" ca="1" si="379"/>
        <v>#NAME?</v>
      </c>
      <c r="AI457" s="314" t="e">
        <f t="shared" ca="1" si="366"/>
        <v>#NAME?</v>
      </c>
      <c r="AJ457" s="315" t="e">
        <f t="shared" ca="1" si="367"/>
        <v>#NAME?</v>
      </c>
      <c r="AK457" s="568" t="e">
        <f t="shared" ca="1" si="380"/>
        <v>#NAME?</v>
      </c>
      <c r="AL457" s="313" t="e">
        <f t="shared" ca="1" si="381"/>
        <v>#NAME?</v>
      </c>
      <c r="AM457" s="313" t="e">
        <f t="shared" ca="1" si="368"/>
        <v>#NAME?</v>
      </c>
      <c r="AN457" s="313" t="e">
        <f t="shared" ca="1" si="369"/>
        <v>#NAME?</v>
      </c>
      <c r="AO457" s="316" t="e">
        <f t="shared" ca="1" si="382"/>
        <v>#NAME?</v>
      </c>
      <c r="AP457" s="313" t="e">
        <f t="shared" ca="1" si="383"/>
        <v>#NAME?</v>
      </c>
      <c r="AQ457" s="314" t="e">
        <f t="shared" ca="1" si="370"/>
        <v>#NAME?</v>
      </c>
      <c r="AR457" s="315" t="e">
        <f t="shared" ca="1" si="384"/>
        <v>#NAME?</v>
      </c>
      <c r="AS457" s="316" t="e">
        <f t="shared" ca="1" si="385"/>
        <v>#NAME?</v>
      </c>
      <c r="AT457" s="315" t="e">
        <f t="shared" ca="1" si="386"/>
        <v>#NAME?</v>
      </c>
      <c r="AU457" s="317">
        <v>427.8</v>
      </c>
      <c r="AV457" s="315" t="e">
        <f t="shared" ca="1" si="387"/>
        <v>#NAME?</v>
      </c>
      <c r="AW457" s="318" t="e">
        <f ca="1">0.0001*BicubicInterpolation('Drag Coef Table'!$B$4:$L$28,AV457,AC457)</f>
        <v>#NAME?</v>
      </c>
      <c r="AX457" s="319" t="e">
        <f t="shared" ca="1" si="388"/>
        <v>#NAME?</v>
      </c>
      <c r="AY457" s="318" t="e">
        <f t="shared" ca="1" si="389"/>
        <v>#NAME?</v>
      </c>
      <c r="AZ457" s="320" t="e">
        <f t="shared" ca="1" si="390"/>
        <v>#NAME?</v>
      </c>
      <c r="BA457" s="321" t="e">
        <f t="shared" ca="1" si="391"/>
        <v>#NAME?</v>
      </c>
      <c r="BB457" s="322" t="e">
        <f t="shared" ca="1" si="392"/>
        <v>#NAME?</v>
      </c>
      <c r="BC457" s="323">
        <v>75.196700000000007</v>
      </c>
      <c r="BD457" s="324" t="e">
        <f t="shared" ca="1" si="393"/>
        <v>#NAME?</v>
      </c>
      <c r="BE457" s="325" t="e">
        <f t="shared" ca="1" si="394"/>
        <v>#NAME?</v>
      </c>
      <c r="BF457" s="324" t="e">
        <f ca="1">BicubicInterpolation('TSFC Eff Table'!$B$4:$E$69,2,BB457)</f>
        <v>#NAME?</v>
      </c>
      <c r="BG457" s="326" t="e">
        <f t="shared" ca="1" si="395"/>
        <v>#NAME?</v>
      </c>
      <c r="BH457" s="694" t="e">
        <f ca="1">IF( S457="LRCINOP",   (1+(0.03/10)*Z457*(1+0.2*AC457^2) )*BicubicInterpolation( 'LRC INOP FF'!$C$4:$AA$21, Y457, U457 )-200, IF(S457 ="HOLDINGINOP", (1+(0.03/10)*Z457*(1+0.2*AC457^2) )*BicubicInterpolation( 'Holding INOP FF'!$C$4:$J$13,  Y457,  U457)/1.05-200,   BA457*BG457))</f>
        <v>#NAME?</v>
      </c>
      <c r="BI457" s="344" t="e">
        <f t="shared" ca="1" si="354"/>
        <v>#NAME?</v>
      </c>
      <c r="BJ457" s="322" t="e">
        <f t="shared" ca="1" si="396"/>
        <v>#NAME?</v>
      </c>
      <c r="BK457" s="338" t="e">
        <f t="shared" ca="1" si="355"/>
        <v>#NAME?</v>
      </c>
      <c r="BL457" s="327" t="e">
        <f t="shared" ca="1" si="397"/>
        <v>#NAME?</v>
      </c>
      <c r="BM457" s="328">
        <f t="shared" si="398"/>
        <v>200</v>
      </c>
      <c r="BN457" s="329" t="e">
        <f t="shared" ca="1" si="399"/>
        <v>#NAME?</v>
      </c>
      <c r="BO457" s="344" t="e">
        <f t="shared" ca="1" si="356"/>
        <v>#NAME?</v>
      </c>
      <c r="BP457" s="320" t="e">
        <f t="shared" ca="1" si="400"/>
        <v>#NAME?</v>
      </c>
      <c r="BQ457" s="344" t="e">
        <f t="shared" ca="1" si="357"/>
        <v>#NAME?</v>
      </c>
      <c r="BR457" s="347" t="e">
        <f t="shared" ca="1" si="358"/>
        <v>#NAME?</v>
      </c>
      <c r="BS457" s="326" t="e">
        <f t="shared" ca="1" si="401"/>
        <v>#NAME?</v>
      </c>
      <c r="BT457" s="437" t="e">
        <f t="shared" ca="1" si="371"/>
        <v>#NAME?</v>
      </c>
      <c r="BU457" s="437" t="e">
        <f t="shared" ca="1" si="372"/>
        <v>#NAME?</v>
      </c>
      <c r="BV457" s="441" t="e">
        <f t="shared" ca="1" si="373"/>
        <v>#NAME?</v>
      </c>
      <c r="BW457" s="442" t="e">
        <f t="shared" ca="1" si="374"/>
        <v>#NAME?</v>
      </c>
      <c r="BX457" s="470" t="e">
        <f t="shared" ca="1" si="347"/>
        <v>#NAME?</v>
      </c>
      <c r="BY457" s="484" t="e">
        <f t="shared" ca="1" si="359"/>
        <v>#NAME?</v>
      </c>
    </row>
    <row r="458" spans="9:77" ht="17.75" customHeight="1" x14ac:dyDescent="0.2">
      <c r="I458" s="366">
        <v>374</v>
      </c>
      <c r="J458" s="414">
        <f t="shared" si="360"/>
        <v>41705.97222222307</v>
      </c>
      <c r="K458" s="435" t="e">
        <f t="shared" ca="1" si="361"/>
        <v>#NAME?</v>
      </c>
      <c r="L458" s="435" t="e">
        <f t="shared" ca="1" si="348"/>
        <v>#NAME?</v>
      </c>
      <c r="M458" s="664" t="e">
        <f t="shared" ca="1" si="402"/>
        <v>#NAME?</v>
      </c>
      <c r="N458" s="664" t="e">
        <f t="shared" ca="1" si="403"/>
        <v>#NAME?</v>
      </c>
      <c r="O458" s="140" t="e">
        <f t="shared" ca="1" si="349"/>
        <v>#NAME?</v>
      </c>
      <c r="P458" s="352" t="e">
        <f t="shared" ca="1" si="362"/>
        <v>#NAME?</v>
      </c>
      <c r="Q458" s="665" t="e">
        <f t="shared" ca="1" si="404"/>
        <v>#NAME?</v>
      </c>
      <c r="R458" s="352" t="e">
        <f t="shared" ca="1" si="375"/>
        <v>#NAME?</v>
      </c>
      <c r="S458" s="662" t="e">
        <f t="shared" ca="1" si="350"/>
        <v>#NAME?</v>
      </c>
      <c r="T458" s="443" t="e">
        <f t="shared" ca="1" si="343"/>
        <v>#NAME?</v>
      </c>
      <c r="U458" s="369" t="e">
        <f t="shared" ca="1" si="344"/>
        <v>#NAME?</v>
      </c>
      <c r="V458" s="454" t="e">
        <f t="shared" ca="1" si="351"/>
        <v>#NAME?</v>
      </c>
      <c r="W458" s="457">
        <f t="shared" si="352"/>
        <v>1000</v>
      </c>
      <c r="X458" s="463" t="e">
        <f t="shared" ca="1" si="353"/>
        <v>#NAME?</v>
      </c>
      <c r="Y458" s="455" t="e">
        <f t="shared" ca="1" si="363"/>
        <v>#NAME?</v>
      </c>
      <c r="Z458" s="699">
        <f t="shared" si="345"/>
        <v>8.5</v>
      </c>
      <c r="AA458" s="355" t="str">
        <f t="shared" si="346"/>
        <v>ON</v>
      </c>
      <c r="AB458" s="357">
        <f t="shared" si="376"/>
        <v>1.4999999999999999E-2</v>
      </c>
      <c r="AC458" s="356" t="e">
        <f ca="1">IF(  Y457=0,0,IF(OR(S458="KCAS",S458="INOP",S458="MEFE"),   ( (5*( (   (((1+0.2*(T458/661.4786)^2)^3.5 -1)  )/( (1-6.8755856*10^-6 *100*Y458)^5.2558797) +1)^(2/7) -1) )^0.5),IF(S458="MACH",T458, IF(S458="LRC",BicubicInterpolation( 'LRC Mach'!$C$4:$AL$21, Y458,U458),  IF(S458="MRC",BicubicInterpolation( 'MRC Mach'!$C$3:$T$18, Y458,U458),  IF(S458="M0.84",0.84,  IF(S458="CI52",BicubicInterpolation('CI=52 Mach'!$C$3:$T$18, Y458,U458),  IF(S458="HOLDING",BicubicInterpolation(  'Holding Mach'!$C$4:$M$13, Y458,U458),                         IF(S458="LRCINOP", BicubicInterpolation('LRC INOP Mach'!$C$4:$AA$21,Y458,U458), IF(S458="HOLDINGINOP",  BicubicInterpolation('Holding INOP Mach'!$N$4:$U$13,Y458,U458),         "XXX" )))))))   )))</f>
        <v>#NAME?</v>
      </c>
      <c r="AD458" s="313" t="e">
        <f t="shared" ca="1" si="377"/>
        <v>#NAME?</v>
      </c>
      <c r="AE458" s="314" t="e">
        <f t="shared" ca="1" si="364"/>
        <v>#NAME?</v>
      </c>
      <c r="AF458" s="313" t="e">
        <f t="shared" ca="1" si="378"/>
        <v>#NAME?</v>
      </c>
      <c r="AG458" s="314" t="e">
        <f t="shared" ca="1" si="365"/>
        <v>#NAME?</v>
      </c>
      <c r="AH458" s="313" t="e">
        <f t="shared" ca="1" si="379"/>
        <v>#NAME?</v>
      </c>
      <c r="AI458" s="314" t="e">
        <f t="shared" ca="1" si="366"/>
        <v>#NAME?</v>
      </c>
      <c r="AJ458" s="315" t="e">
        <f t="shared" ca="1" si="367"/>
        <v>#NAME?</v>
      </c>
      <c r="AK458" s="568" t="e">
        <f t="shared" ca="1" si="380"/>
        <v>#NAME?</v>
      </c>
      <c r="AL458" s="313" t="e">
        <f t="shared" ca="1" si="381"/>
        <v>#NAME?</v>
      </c>
      <c r="AM458" s="313" t="e">
        <f t="shared" ca="1" si="368"/>
        <v>#NAME?</v>
      </c>
      <c r="AN458" s="313" t="e">
        <f t="shared" ca="1" si="369"/>
        <v>#NAME?</v>
      </c>
      <c r="AO458" s="316" t="e">
        <f t="shared" ca="1" si="382"/>
        <v>#NAME?</v>
      </c>
      <c r="AP458" s="313" t="e">
        <f t="shared" ca="1" si="383"/>
        <v>#NAME?</v>
      </c>
      <c r="AQ458" s="314" t="e">
        <f t="shared" ca="1" si="370"/>
        <v>#NAME?</v>
      </c>
      <c r="AR458" s="315" t="e">
        <f t="shared" ca="1" si="384"/>
        <v>#NAME?</v>
      </c>
      <c r="AS458" s="316" t="e">
        <f t="shared" ca="1" si="385"/>
        <v>#NAME?</v>
      </c>
      <c r="AT458" s="315" t="e">
        <f t="shared" ca="1" si="386"/>
        <v>#NAME?</v>
      </c>
      <c r="AU458" s="317">
        <v>427.8</v>
      </c>
      <c r="AV458" s="315" t="e">
        <f t="shared" ca="1" si="387"/>
        <v>#NAME?</v>
      </c>
      <c r="AW458" s="318" t="e">
        <f ca="1">0.0001*BicubicInterpolation('Drag Coef Table'!$B$4:$L$28,AV458,AC458)</f>
        <v>#NAME?</v>
      </c>
      <c r="AX458" s="319" t="e">
        <f t="shared" ca="1" si="388"/>
        <v>#NAME?</v>
      </c>
      <c r="AY458" s="318" t="e">
        <f t="shared" ca="1" si="389"/>
        <v>#NAME?</v>
      </c>
      <c r="AZ458" s="320" t="e">
        <f t="shared" ca="1" si="390"/>
        <v>#NAME?</v>
      </c>
      <c r="BA458" s="321" t="e">
        <f t="shared" ca="1" si="391"/>
        <v>#NAME?</v>
      </c>
      <c r="BB458" s="322" t="e">
        <f t="shared" ca="1" si="392"/>
        <v>#NAME?</v>
      </c>
      <c r="BC458" s="323">
        <v>75.196700000000007</v>
      </c>
      <c r="BD458" s="324" t="e">
        <f t="shared" ca="1" si="393"/>
        <v>#NAME?</v>
      </c>
      <c r="BE458" s="325" t="e">
        <f t="shared" ca="1" si="394"/>
        <v>#NAME?</v>
      </c>
      <c r="BF458" s="324" t="e">
        <f ca="1">BicubicInterpolation('TSFC Eff Table'!$B$4:$E$69,2,BB458)</f>
        <v>#NAME?</v>
      </c>
      <c r="BG458" s="326" t="e">
        <f t="shared" ca="1" si="395"/>
        <v>#NAME?</v>
      </c>
      <c r="BH458" s="694" t="e">
        <f ca="1">IF( S458="LRCINOP",   (1+(0.03/10)*Z458*(1+0.2*AC458^2) )*BicubicInterpolation( 'LRC INOP FF'!$C$4:$AA$21, Y458, U458 )-200, IF(S458 ="HOLDINGINOP", (1+(0.03/10)*Z458*(1+0.2*AC458^2) )*BicubicInterpolation( 'Holding INOP FF'!$C$4:$J$13,  Y458,  U458)/1.05-200,   BA458*BG458))</f>
        <v>#NAME?</v>
      </c>
      <c r="BI458" s="344" t="e">
        <f t="shared" ca="1" si="354"/>
        <v>#NAME?</v>
      </c>
      <c r="BJ458" s="322" t="e">
        <f t="shared" ca="1" si="396"/>
        <v>#NAME?</v>
      </c>
      <c r="BK458" s="338" t="e">
        <f t="shared" ca="1" si="355"/>
        <v>#NAME?</v>
      </c>
      <c r="BL458" s="327" t="e">
        <f t="shared" ca="1" si="397"/>
        <v>#NAME?</v>
      </c>
      <c r="BM458" s="328">
        <f t="shared" si="398"/>
        <v>200</v>
      </c>
      <c r="BN458" s="329" t="e">
        <f t="shared" ca="1" si="399"/>
        <v>#NAME?</v>
      </c>
      <c r="BO458" s="344" t="e">
        <f t="shared" ca="1" si="356"/>
        <v>#NAME?</v>
      </c>
      <c r="BP458" s="320" t="e">
        <f t="shared" ca="1" si="400"/>
        <v>#NAME?</v>
      </c>
      <c r="BQ458" s="344" t="e">
        <f t="shared" ca="1" si="357"/>
        <v>#NAME?</v>
      </c>
      <c r="BR458" s="347" t="e">
        <f t="shared" ca="1" si="358"/>
        <v>#NAME?</v>
      </c>
      <c r="BS458" s="326" t="e">
        <f t="shared" ca="1" si="401"/>
        <v>#NAME?</v>
      </c>
      <c r="BT458" s="437" t="e">
        <f t="shared" ca="1" si="371"/>
        <v>#NAME?</v>
      </c>
      <c r="BU458" s="437" t="e">
        <f t="shared" ca="1" si="372"/>
        <v>#NAME?</v>
      </c>
      <c r="BV458" s="441" t="e">
        <f t="shared" ca="1" si="373"/>
        <v>#NAME?</v>
      </c>
      <c r="BW458" s="442" t="e">
        <f t="shared" ca="1" si="374"/>
        <v>#NAME?</v>
      </c>
      <c r="BX458" s="470" t="e">
        <f t="shared" ca="1" si="347"/>
        <v>#NAME?</v>
      </c>
      <c r="BY458" s="484" t="e">
        <f t="shared" ca="1" si="359"/>
        <v>#NAME?</v>
      </c>
    </row>
    <row r="459" spans="9:77" ht="17.75" customHeight="1" x14ac:dyDescent="0.2">
      <c r="I459" s="366">
        <v>375</v>
      </c>
      <c r="J459" s="414">
        <f t="shared" si="360"/>
        <v>41705.972916667517</v>
      </c>
      <c r="K459" s="435" t="e">
        <f t="shared" ca="1" si="361"/>
        <v>#NAME?</v>
      </c>
      <c r="L459" s="435" t="e">
        <f t="shared" ca="1" si="348"/>
        <v>#NAME?</v>
      </c>
      <c r="M459" s="664" t="e">
        <f t="shared" ca="1" si="402"/>
        <v>#NAME?</v>
      </c>
      <c r="N459" s="664" t="e">
        <f t="shared" ca="1" si="403"/>
        <v>#NAME?</v>
      </c>
      <c r="O459" s="140" t="e">
        <f t="shared" ca="1" si="349"/>
        <v>#NAME?</v>
      </c>
      <c r="P459" s="352" t="e">
        <f t="shared" ca="1" si="362"/>
        <v>#NAME?</v>
      </c>
      <c r="Q459" s="665" t="e">
        <f t="shared" ca="1" si="404"/>
        <v>#NAME?</v>
      </c>
      <c r="R459" s="352" t="e">
        <f t="shared" ca="1" si="375"/>
        <v>#NAME?</v>
      </c>
      <c r="S459" s="662" t="e">
        <f t="shared" ca="1" si="350"/>
        <v>#NAME?</v>
      </c>
      <c r="T459" s="443" t="e">
        <f t="shared" ca="1" si="343"/>
        <v>#NAME?</v>
      </c>
      <c r="U459" s="369" t="e">
        <f t="shared" ca="1" si="344"/>
        <v>#NAME?</v>
      </c>
      <c r="V459" s="454" t="e">
        <f t="shared" ca="1" si="351"/>
        <v>#NAME?</v>
      </c>
      <c r="W459" s="457">
        <f t="shared" si="352"/>
        <v>1000</v>
      </c>
      <c r="X459" s="463" t="e">
        <f t="shared" ca="1" si="353"/>
        <v>#NAME?</v>
      </c>
      <c r="Y459" s="455" t="e">
        <f t="shared" ca="1" si="363"/>
        <v>#NAME?</v>
      </c>
      <c r="Z459" s="699">
        <f t="shared" si="345"/>
        <v>8.5</v>
      </c>
      <c r="AA459" s="355" t="str">
        <f t="shared" si="346"/>
        <v>ON</v>
      </c>
      <c r="AB459" s="357">
        <f t="shared" si="376"/>
        <v>1.4999999999999999E-2</v>
      </c>
      <c r="AC459" s="356" t="e">
        <f ca="1">IF(  Y458=0,0,IF(OR(S459="KCAS",S459="INOP",S459="MEFE"),   ( (5*( (   (((1+0.2*(T459/661.4786)^2)^3.5 -1)  )/( (1-6.8755856*10^-6 *100*Y459)^5.2558797) +1)^(2/7) -1) )^0.5),IF(S459="MACH",T459, IF(S459="LRC",BicubicInterpolation( 'LRC Mach'!$C$4:$AL$21, Y459,U459),  IF(S459="MRC",BicubicInterpolation( 'MRC Mach'!$C$3:$T$18, Y459,U459),  IF(S459="M0.84",0.84,  IF(S459="CI52",BicubicInterpolation('CI=52 Mach'!$C$3:$T$18, Y459,U459),  IF(S459="HOLDING",BicubicInterpolation(  'Holding Mach'!$C$4:$M$13, Y459,U459),                         IF(S459="LRCINOP", BicubicInterpolation('LRC INOP Mach'!$C$4:$AA$21,Y459,U459), IF(S459="HOLDINGINOP",  BicubicInterpolation('Holding INOP Mach'!$N$4:$U$13,Y459,U459),         "XXX" )))))))   )))</f>
        <v>#NAME?</v>
      </c>
      <c r="AD459" s="313" t="e">
        <f t="shared" ca="1" si="377"/>
        <v>#NAME?</v>
      </c>
      <c r="AE459" s="314" t="e">
        <f t="shared" ca="1" si="364"/>
        <v>#NAME?</v>
      </c>
      <c r="AF459" s="313" t="e">
        <f t="shared" ca="1" si="378"/>
        <v>#NAME?</v>
      </c>
      <c r="AG459" s="314" t="e">
        <f t="shared" ca="1" si="365"/>
        <v>#NAME?</v>
      </c>
      <c r="AH459" s="313" t="e">
        <f t="shared" ca="1" si="379"/>
        <v>#NAME?</v>
      </c>
      <c r="AI459" s="314" t="e">
        <f t="shared" ca="1" si="366"/>
        <v>#NAME?</v>
      </c>
      <c r="AJ459" s="315" t="e">
        <f t="shared" ca="1" si="367"/>
        <v>#NAME?</v>
      </c>
      <c r="AK459" s="568" t="e">
        <f t="shared" ca="1" si="380"/>
        <v>#NAME?</v>
      </c>
      <c r="AL459" s="313" t="e">
        <f t="shared" ca="1" si="381"/>
        <v>#NAME?</v>
      </c>
      <c r="AM459" s="313" t="e">
        <f t="shared" ca="1" si="368"/>
        <v>#NAME?</v>
      </c>
      <c r="AN459" s="313" t="e">
        <f t="shared" ca="1" si="369"/>
        <v>#NAME?</v>
      </c>
      <c r="AO459" s="316" t="e">
        <f t="shared" ca="1" si="382"/>
        <v>#NAME?</v>
      </c>
      <c r="AP459" s="313" t="e">
        <f t="shared" ca="1" si="383"/>
        <v>#NAME?</v>
      </c>
      <c r="AQ459" s="314" t="e">
        <f t="shared" ca="1" si="370"/>
        <v>#NAME?</v>
      </c>
      <c r="AR459" s="315" t="e">
        <f t="shared" ca="1" si="384"/>
        <v>#NAME?</v>
      </c>
      <c r="AS459" s="316" t="e">
        <f t="shared" ca="1" si="385"/>
        <v>#NAME?</v>
      </c>
      <c r="AT459" s="315" t="e">
        <f t="shared" ca="1" si="386"/>
        <v>#NAME?</v>
      </c>
      <c r="AU459" s="317">
        <v>427.8</v>
      </c>
      <c r="AV459" s="315" t="e">
        <f t="shared" ca="1" si="387"/>
        <v>#NAME?</v>
      </c>
      <c r="AW459" s="318" t="e">
        <f ca="1">0.0001*BicubicInterpolation('Drag Coef Table'!$B$4:$L$28,AV459,AC459)</f>
        <v>#NAME?</v>
      </c>
      <c r="AX459" s="319" t="e">
        <f t="shared" ca="1" si="388"/>
        <v>#NAME?</v>
      </c>
      <c r="AY459" s="318" t="e">
        <f t="shared" ca="1" si="389"/>
        <v>#NAME?</v>
      </c>
      <c r="AZ459" s="320" t="e">
        <f t="shared" ca="1" si="390"/>
        <v>#NAME?</v>
      </c>
      <c r="BA459" s="321" t="e">
        <f t="shared" ca="1" si="391"/>
        <v>#NAME?</v>
      </c>
      <c r="BB459" s="322" t="e">
        <f t="shared" ca="1" si="392"/>
        <v>#NAME?</v>
      </c>
      <c r="BC459" s="323">
        <v>75.196700000000007</v>
      </c>
      <c r="BD459" s="324" t="e">
        <f t="shared" ca="1" si="393"/>
        <v>#NAME?</v>
      </c>
      <c r="BE459" s="325" t="e">
        <f t="shared" ca="1" si="394"/>
        <v>#NAME?</v>
      </c>
      <c r="BF459" s="324" t="e">
        <f ca="1">BicubicInterpolation('TSFC Eff Table'!$B$4:$E$69,2,BB459)</f>
        <v>#NAME?</v>
      </c>
      <c r="BG459" s="326" t="e">
        <f t="shared" ca="1" si="395"/>
        <v>#NAME?</v>
      </c>
      <c r="BH459" s="694" t="e">
        <f ca="1">IF( S459="LRCINOP",   (1+(0.03/10)*Z459*(1+0.2*AC459^2) )*BicubicInterpolation( 'LRC INOP FF'!$C$4:$AA$21, Y459, U459 )-200, IF(S459 ="HOLDINGINOP", (1+(0.03/10)*Z459*(1+0.2*AC459^2) )*BicubicInterpolation( 'Holding INOP FF'!$C$4:$J$13,  Y459,  U459)/1.05-200,   BA459*BG459))</f>
        <v>#NAME?</v>
      </c>
      <c r="BI459" s="344" t="e">
        <f t="shared" ca="1" si="354"/>
        <v>#NAME?</v>
      </c>
      <c r="BJ459" s="322" t="e">
        <f t="shared" ca="1" si="396"/>
        <v>#NAME?</v>
      </c>
      <c r="BK459" s="338" t="e">
        <f t="shared" ca="1" si="355"/>
        <v>#NAME?</v>
      </c>
      <c r="BL459" s="327" t="e">
        <f t="shared" ca="1" si="397"/>
        <v>#NAME?</v>
      </c>
      <c r="BM459" s="328">
        <f t="shared" si="398"/>
        <v>200</v>
      </c>
      <c r="BN459" s="329" t="e">
        <f t="shared" ca="1" si="399"/>
        <v>#NAME?</v>
      </c>
      <c r="BO459" s="344" t="e">
        <f t="shared" ca="1" si="356"/>
        <v>#NAME?</v>
      </c>
      <c r="BP459" s="320" t="e">
        <f t="shared" ca="1" si="400"/>
        <v>#NAME?</v>
      </c>
      <c r="BQ459" s="344" t="e">
        <f t="shared" ca="1" si="357"/>
        <v>#NAME?</v>
      </c>
      <c r="BR459" s="347" t="e">
        <f t="shared" ca="1" si="358"/>
        <v>#NAME?</v>
      </c>
      <c r="BS459" s="326" t="e">
        <f t="shared" ca="1" si="401"/>
        <v>#NAME?</v>
      </c>
      <c r="BT459" s="437" t="e">
        <f t="shared" ca="1" si="371"/>
        <v>#NAME?</v>
      </c>
      <c r="BU459" s="437" t="e">
        <f t="shared" ca="1" si="372"/>
        <v>#NAME?</v>
      </c>
      <c r="BV459" s="441" t="e">
        <f t="shared" ca="1" si="373"/>
        <v>#NAME?</v>
      </c>
      <c r="BW459" s="442" t="e">
        <f t="shared" ca="1" si="374"/>
        <v>#NAME?</v>
      </c>
      <c r="BX459" s="470" t="e">
        <f t="shared" ca="1" si="347"/>
        <v>#NAME?</v>
      </c>
      <c r="BY459" s="484" t="e">
        <f t="shared" ca="1" si="359"/>
        <v>#NAME?</v>
      </c>
    </row>
    <row r="460" spans="9:77" ht="17.75" customHeight="1" x14ac:dyDescent="0.2">
      <c r="I460" s="366">
        <v>376</v>
      </c>
      <c r="J460" s="414">
        <f t="shared" si="360"/>
        <v>41705.973611111964</v>
      </c>
      <c r="K460" s="435" t="e">
        <f t="shared" ca="1" si="361"/>
        <v>#NAME?</v>
      </c>
      <c r="L460" s="435" t="e">
        <f t="shared" ca="1" si="348"/>
        <v>#NAME?</v>
      </c>
      <c r="M460" s="664" t="e">
        <f t="shared" ca="1" si="402"/>
        <v>#NAME?</v>
      </c>
      <c r="N460" s="664" t="e">
        <f t="shared" ca="1" si="403"/>
        <v>#NAME?</v>
      </c>
      <c r="O460" s="140" t="e">
        <f t="shared" ca="1" si="349"/>
        <v>#NAME?</v>
      </c>
      <c r="P460" s="352" t="e">
        <f t="shared" ca="1" si="362"/>
        <v>#NAME?</v>
      </c>
      <c r="Q460" s="665" t="e">
        <f t="shared" ca="1" si="404"/>
        <v>#NAME?</v>
      </c>
      <c r="R460" s="352" t="e">
        <f t="shared" ca="1" si="375"/>
        <v>#NAME?</v>
      </c>
      <c r="S460" s="662" t="e">
        <f t="shared" ca="1" si="350"/>
        <v>#NAME?</v>
      </c>
      <c r="T460" s="443" t="e">
        <f t="shared" ca="1" si="343"/>
        <v>#NAME?</v>
      </c>
      <c r="U460" s="369" t="e">
        <f t="shared" ca="1" si="344"/>
        <v>#NAME?</v>
      </c>
      <c r="V460" s="454" t="e">
        <f t="shared" ca="1" si="351"/>
        <v>#NAME?</v>
      </c>
      <c r="W460" s="457">
        <f t="shared" si="352"/>
        <v>1000</v>
      </c>
      <c r="X460" s="463" t="e">
        <f t="shared" ca="1" si="353"/>
        <v>#NAME?</v>
      </c>
      <c r="Y460" s="455" t="e">
        <f t="shared" ca="1" si="363"/>
        <v>#NAME?</v>
      </c>
      <c r="Z460" s="699">
        <f t="shared" si="345"/>
        <v>8.5</v>
      </c>
      <c r="AA460" s="355" t="str">
        <f t="shared" si="346"/>
        <v>ON</v>
      </c>
      <c r="AB460" s="357">
        <f t="shared" si="376"/>
        <v>1.4999999999999999E-2</v>
      </c>
      <c r="AC460" s="356" t="e">
        <f ca="1">IF(  Y459=0,0,IF(OR(S460="KCAS",S460="INOP",S460="MEFE"),   ( (5*( (   (((1+0.2*(T460/661.4786)^2)^3.5 -1)  )/( (1-6.8755856*10^-6 *100*Y460)^5.2558797) +1)^(2/7) -1) )^0.5),IF(S460="MACH",T460, IF(S460="LRC",BicubicInterpolation( 'LRC Mach'!$C$4:$AL$21, Y460,U460),  IF(S460="MRC",BicubicInterpolation( 'MRC Mach'!$C$3:$T$18, Y460,U460),  IF(S460="M0.84",0.84,  IF(S460="CI52",BicubicInterpolation('CI=52 Mach'!$C$3:$T$18, Y460,U460),  IF(S460="HOLDING",BicubicInterpolation(  'Holding Mach'!$C$4:$M$13, Y460,U460),                         IF(S460="LRCINOP", BicubicInterpolation('LRC INOP Mach'!$C$4:$AA$21,Y460,U460), IF(S460="HOLDINGINOP",  BicubicInterpolation('Holding INOP Mach'!$N$4:$U$13,Y460,U460),         "XXX" )))))))   )))</f>
        <v>#NAME?</v>
      </c>
      <c r="AD460" s="313" t="e">
        <f t="shared" ca="1" si="377"/>
        <v>#NAME?</v>
      </c>
      <c r="AE460" s="314" t="e">
        <f t="shared" ca="1" si="364"/>
        <v>#NAME?</v>
      </c>
      <c r="AF460" s="313" t="e">
        <f t="shared" ca="1" si="378"/>
        <v>#NAME?</v>
      </c>
      <c r="AG460" s="314" t="e">
        <f t="shared" ca="1" si="365"/>
        <v>#NAME?</v>
      </c>
      <c r="AH460" s="313" t="e">
        <f t="shared" ca="1" si="379"/>
        <v>#NAME?</v>
      </c>
      <c r="AI460" s="314" t="e">
        <f t="shared" ca="1" si="366"/>
        <v>#NAME?</v>
      </c>
      <c r="AJ460" s="315" t="e">
        <f t="shared" ca="1" si="367"/>
        <v>#NAME?</v>
      </c>
      <c r="AK460" s="568" t="e">
        <f t="shared" ca="1" si="380"/>
        <v>#NAME?</v>
      </c>
      <c r="AL460" s="313" t="e">
        <f t="shared" ca="1" si="381"/>
        <v>#NAME?</v>
      </c>
      <c r="AM460" s="313" t="e">
        <f t="shared" ca="1" si="368"/>
        <v>#NAME?</v>
      </c>
      <c r="AN460" s="313" t="e">
        <f t="shared" ca="1" si="369"/>
        <v>#NAME?</v>
      </c>
      <c r="AO460" s="316" t="e">
        <f t="shared" ca="1" si="382"/>
        <v>#NAME?</v>
      </c>
      <c r="AP460" s="313" t="e">
        <f t="shared" ca="1" si="383"/>
        <v>#NAME?</v>
      </c>
      <c r="AQ460" s="314" t="e">
        <f t="shared" ca="1" si="370"/>
        <v>#NAME?</v>
      </c>
      <c r="AR460" s="315" t="e">
        <f t="shared" ca="1" si="384"/>
        <v>#NAME?</v>
      </c>
      <c r="AS460" s="316" t="e">
        <f t="shared" ca="1" si="385"/>
        <v>#NAME?</v>
      </c>
      <c r="AT460" s="315" t="e">
        <f t="shared" ca="1" si="386"/>
        <v>#NAME?</v>
      </c>
      <c r="AU460" s="317">
        <v>427.8</v>
      </c>
      <c r="AV460" s="315" t="e">
        <f t="shared" ca="1" si="387"/>
        <v>#NAME?</v>
      </c>
      <c r="AW460" s="318" t="e">
        <f ca="1">0.0001*BicubicInterpolation('Drag Coef Table'!$B$4:$L$28,AV460,AC460)</f>
        <v>#NAME?</v>
      </c>
      <c r="AX460" s="319" t="e">
        <f t="shared" ca="1" si="388"/>
        <v>#NAME?</v>
      </c>
      <c r="AY460" s="318" t="e">
        <f t="shared" ca="1" si="389"/>
        <v>#NAME?</v>
      </c>
      <c r="AZ460" s="320" t="e">
        <f t="shared" ca="1" si="390"/>
        <v>#NAME?</v>
      </c>
      <c r="BA460" s="321" t="e">
        <f t="shared" ca="1" si="391"/>
        <v>#NAME?</v>
      </c>
      <c r="BB460" s="322" t="e">
        <f t="shared" ca="1" si="392"/>
        <v>#NAME?</v>
      </c>
      <c r="BC460" s="323">
        <v>75.196700000000007</v>
      </c>
      <c r="BD460" s="324" t="e">
        <f t="shared" ca="1" si="393"/>
        <v>#NAME?</v>
      </c>
      <c r="BE460" s="325" t="e">
        <f t="shared" ca="1" si="394"/>
        <v>#NAME?</v>
      </c>
      <c r="BF460" s="324" t="e">
        <f ca="1">BicubicInterpolation('TSFC Eff Table'!$B$4:$E$69,2,BB460)</f>
        <v>#NAME?</v>
      </c>
      <c r="BG460" s="326" t="e">
        <f t="shared" ca="1" si="395"/>
        <v>#NAME?</v>
      </c>
      <c r="BH460" s="694" t="e">
        <f ca="1">IF( S460="LRCINOP",   (1+(0.03/10)*Z460*(1+0.2*AC460^2) )*BicubicInterpolation( 'LRC INOP FF'!$C$4:$AA$21, Y460, U460 )-200, IF(S460 ="HOLDINGINOP", (1+(0.03/10)*Z460*(1+0.2*AC460^2) )*BicubicInterpolation( 'Holding INOP FF'!$C$4:$J$13,  Y460,  U460)/1.05-200,   BA460*BG460))</f>
        <v>#NAME?</v>
      </c>
      <c r="BI460" s="344" t="e">
        <f t="shared" ca="1" si="354"/>
        <v>#NAME?</v>
      </c>
      <c r="BJ460" s="322" t="e">
        <f t="shared" ca="1" si="396"/>
        <v>#NAME?</v>
      </c>
      <c r="BK460" s="338" t="e">
        <f t="shared" ca="1" si="355"/>
        <v>#NAME?</v>
      </c>
      <c r="BL460" s="327" t="e">
        <f t="shared" ca="1" si="397"/>
        <v>#NAME?</v>
      </c>
      <c r="BM460" s="328">
        <f t="shared" si="398"/>
        <v>200</v>
      </c>
      <c r="BN460" s="329" t="e">
        <f t="shared" ca="1" si="399"/>
        <v>#NAME?</v>
      </c>
      <c r="BO460" s="344" t="e">
        <f t="shared" ca="1" si="356"/>
        <v>#NAME?</v>
      </c>
      <c r="BP460" s="320" t="e">
        <f t="shared" ca="1" si="400"/>
        <v>#NAME?</v>
      </c>
      <c r="BQ460" s="344" t="e">
        <f t="shared" ca="1" si="357"/>
        <v>#NAME?</v>
      </c>
      <c r="BR460" s="347" t="e">
        <f t="shared" ca="1" si="358"/>
        <v>#NAME?</v>
      </c>
      <c r="BS460" s="326" t="e">
        <f t="shared" ca="1" si="401"/>
        <v>#NAME?</v>
      </c>
      <c r="BT460" s="437" t="e">
        <f t="shared" ca="1" si="371"/>
        <v>#NAME?</v>
      </c>
      <c r="BU460" s="437" t="e">
        <f t="shared" ca="1" si="372"/>
        <v>#NAME?</v>
      </c>
      <c r="BV460" s="441" t="e">
        <f t="shared" ca="1" si="373"/>
        <v>#NAME?</v>
      </c>
      <c r="BW460" s="442" t="e">
        <f t="shared" ca="1" si="374"/>
        <v>#NAME?</v>
      </c>
      <c r="BX460" s="470" t="e">
        <f t="shared" ca="1" si="347"/>
        <v>#NAME?</v>
      </c>
      <c r="BY460" s="484" t="e">
        <f t="shared" ca="1" si="359"/>
        <v>#NAME?</v>
      </c>
    </row>
    <row r="461" spans="9:77" ht="17.75" customHeight="1" x14ac:dyDescent="0.2">
      <c r="I461" s="366">
        <v>377</v>
      </c>
      <c r="J461" s="414">
        <f t="shared" si="360"/>
        <v>41705.97430555641</v>
      </c>
      <c r="K461" s="435" t="e">
        <f t="shared" ca="1" si="361"/>
        <v>#NAME?</v>
      </c>
      <c r="L461" s="435" t="e">
        <f t="shared" ca="1" si="348"/>
        <v>#NAME?</v>
      </c>
      <c r="M461" s="664" t="e">
        <f t="shared" ca="1" si="402"/>
        <v>#NAME?</v>
      </c>
      <c r="N461" s="664" t="e">
        <f t="shared" ca="1" si="403"/>
        <v>#NAME?</v>
      </c>
      <c r="O461" s="140" t="e">
        <f t="shared" ca="1" si="349"/>
        <v>#NAME?</v>
      </c>
      <c r="P461" s="352" t="e">
        <f t="shared" ca="1" si="362"/>
        <v>#NAME?</v>
      </c>
      <c r="Q461" s="665" t="e">
        <f t="shared" ca="1" si="404"/>
        <v>#NAME?</v>
      </c>
      <c r="R461" s="352" t="e">
        <f t="shared" ca="1" si="375"/>
        <v>#NAME?</v>
      </c>
      <c r="S461" s="662" t="e">
        <f t="shared" ca="1" si="350"/>
        <v>#NAME?</v>
      </c>
      <c r="T461" s="443" t="e">
        <f t="shared" ca="1" si="343"/>
        <v>#NAME?</v>
      </c>
      <c r="U461" s="369" t="e">
        <f t="shared" ca="1" si="344"/>
        <v>#NAME?</v>
      </c>
      <c r="V461" s="454" t="e">
        <f t="shared" ca="1" si="351"/>
        <v>#NAME?</v>
      </c>
      <c r="W461" s="457">
        <f t="shared" si="352"/>
        <v>1000</v>
      </c>
      <c r="X461" s="463" t="e">
        <f t="shared" ca="1" si="353"/>
        <v>#NAME?</v>
      </c>
      <c r="Y461" s="455" t="e">
        <f t="shared" ca="1" si="363"/>
        <v>#NAME?</v>
      </c>
      <c r="Z461" s="699">
        <f t="shared" si="345"/>
        <v>8.5</v>
      </c>
      <c r="AA461" s="355" t="str">
        <f t="shared" si="346"/>
        <v>ON</v>
      </c>
      <c r="AB461" s="357">
        <f t="shared" si="376"/>
        <v>1.4999999999999999E-2</v>
      </c>
      <c r="AC461" s="356" t="e">
        <f ca="1">IF(  Y460=0,0,IF(OR(S461="KCAS",S461="INOP",S461="MEFE"),   ( (5*( (   (((1+0.2*(T461/661.4786)^2)^3.5 -1)  )/( (1-6.8755856*10^-6 *100*Y461)^5.2558797) +1)^(2/7) -1) )^0.5),IF(S461="MACH",T461, IF(S461="LRC",BicubicInterpolation( 'LRC Mach'!$C$4:$AL$21, Y461,U461),  IF(S461="MRC",BicubicInterpolation( 'MRC Mach'!$C$3:$T$18, Y461,U461),  IF(S461="M0.84",0.84,  IF(S461="CI52",BicubicInterpolation('CI=52 Mach'!$C$3:$T$18, Y461,U461),  IF(S461="HOLDING",BicubicInterpolation(  'Holding Mach'!$C$4:$M$13, Y461,U461),                         IF(S461="LRCINOP", BicubicInterpolation('LRC INOP Mach'!$C$4:$AA$21,Y461,U461), IF(S461="HOLDINGINOP",  BicubicInterpolation('Holding INOP Mach'!$N$4:$U$13,Y461,U461),         "XXX" )))))))   )))</f>
        <v>#NAME?</v>
      </c>
      <c r="AD461" s="313" t="e">
        <f t="shared" ca="1" si="377"/>
        <v>#NAME?</v>
      </c>
      <c r="AE461" s="314" t="e">
        <f t="shared" ca="1" si="364"/>
        <v>#NAME?</v>
      </c>
      <c r="AF461" s="313" t="e">
        <f t="shared" ca="1" si="378"/>
        <v>#NAME?</v>
      </c>
      <c r="AG461" s="314" t="e">
        <f t="shared" ca="1" si="365"/>
        <v>#NAME?</v>
      </c>
      <c r="AH461" s="313" t="e">
        <f t="shared" ca="1" si="379"/>
        <v>#NAME?</v>
      </c>
      <c r="AI461" s="314" t="e">
        <f t="shared" ca="1" si="366"/>
        <v>#NAME?</v>
      </c>
      <c r="AJ461" s="315" t="e">
        <f t="shared" ca="1" si="367"/>
        <v>#NAME?</v>
      </c>
      <c r="AK461" s="568" t="e">
        <f t="shared" ca="1" si="380"/>
        <v>#NAME?</v>
      </c>
      <c r="AL461" s="313" t="e">
        <f t="shared" ca="1" si="381"/>
        <v>#NAME?</v>
      </c>
      <c r="AM461" s="313" t="e">
        <f t="shared" ca="1" si="368"/>
        <v>#NAME?</v>
      </c>
      <c r="AN461" s="313" t="e">
        <f t="shared" ca="1" si="369"/>
        <v>#NAME?</v>
      </c>
      <c r="AO461" s="316" t="e">
        <f t="shared" ca="1" si="382"/>
        <v>#NAME?</v>
      </c>
      <c r="AP461" s="313" t="e">
        <f t="shared" ca="1" si="383"/>
        <v>#NAME?</v>
      </c>
      <c r="AQ461" s="314" t="e">
        <f t="shared" ca="1" si="370"/>
        <v>#NAME?</v>
      </c>
      <c r="AR461" s="315" t="e">
        <f t="shared" ca="1" si="384"/>
        <v>#NAME?</v>
      </c>
      <c r="AS461" s="316" t="e">
        <f t="shared" ca="1" si="385"/>
        <v>#NAME?</v>
      </c>
      <c r="AT461" s="315" t="e">
        <f t="shared" ca="1" si="386"/>
        <v>#NAME?</v>
      </c>
      <c r="AU461" s="317">
        <v>427.8</v>
      </c>
      <c r="AV461" s="315" t="e">
        <f t="shared" ca="1" si="387"/>
        <v>#NAME?</v>
      </c>
      <c r="AW461" s="318" t="e">
        <f ca="1">0.0001*BicubicInterpolation('Drag Coef Table'!$B$4:$L$28,AV461,AC461)</f>
        <v>#NAME?</v>
      </c>
      <c r="AX461" s="319" t="e">
        <f t="shared" ca="1" si="388"/>
        <v>#NAME?</v>
      </c>
      <c r="AY461" s="318" t="e">
        <f t="shared" ca="1" si="389"/>
        <v>#NAME?</v>
      </c>
      <c r="AZ461" s="320" t="e">
        <f t="shared" ca="1" si="390"/>
        <v>#NAME?</v>
      </c>
      <c r="BA461" s="321" t="e">
        <f t="shared" ca="1" si="391"/>
        <v>#NAME?</v>
      </c>
      <c r="BB461" s="322" t="e">
        <f t="shared" ca="1" si="392"/>
        <v>#NAME?</v>
      </c>
      <c r="BC461" s="323">
        <v>75.196700000000007</v>
      </c>
      <c r="BD461" s="324" t="e">
        <f t="shared" ca="1" si="393"/>
        <v>#NAME?</v>
      </c>
      <c r="BE461" s="325" t="e">
        <f t="shared" ca="1" si="394"/>
        <v>#NAME?</v>
      </c>
      <c r="BF461" s="324" t="e">
        <f ca="1">BicubicInterpolation('TSFC Eff Table'!$B$4:$E$69,2,BB461)</f>
        <v>#NAME?</v>
      </c>
      <c r="BG461" s="326" t="e">
        <f t="shared" ca="1" si="395"/>
        <v>#NAME?</v>
      </c>
      <c r="BH461" s="694" t="e">
        <f ca="1">IF( S461="LRCINOP",   (1+(0.03/10)*Z461*(1+0.2*AC461^2) )*BicubicInterpolation( 'LRC INOP FF'!$C$4:$AA$21, Y461, U461 )-200, IF(S461 ="HOLDINGINOP", (1+(0.03/10)*Z461*(1+0.2*AC461^2) )*BicubicInterpolation( 'Holding INOP FF'!$C$4:$J$13,  Y461,  U461)/1.05-200,   BA461*BG461))</f>
        <v>#NAME?</v>
      </c>
      <c r="BI461" s="344" t="e">
        <f t="shared" ca="1" si="354"/>
        <v>#NAME?</v>
      </c>
      <c r="BJ461" s="322" t="e">
        <f t="shared" ca="1" si="396"/>
        <v>#NAME?</v>
      </c>
      <c r="BK461" s="338" t="e">
        <f t="shared" ca="1" si="355"/>
        <v>#NAME?</v>
      </c>
      <c r="BL461" s="327" t="e">
        <f t="shared" ca="1" si="397"/>
        <v>#NAME?</v>
      </c>
      <c r="BM461" s="328">
        <f t="shared" si="398"/>
        <v>200</v>
      </c>
      <c r="BN461" s="329" t="e">
        <f t="shared" ca="1" si="399"/>
        <v>#NAME?</v>
      </c>
      <c r="BO461" s="344" t="e">
        <f t="shared" ca="1" si="356"/>
        <v>#NAME?</v>
      </c>
      <c r="BP461" s="320" t="e">
        <f t="shared" ca="1" si="400"/>
        <v>#NAME?</v>
      </c>
      <c r="BQ461" s="344" t="e">
        <f t="shared" ca="1" si="357"/>
        <v>#NAME?</v>
      </c>
      <c r="BR461" s="347" t="e">
        <f t="shared" ca="1" si="358"/>
        <v>#NAME?</v>
      </c>
      <c r="BS461" s="326" t="e">
        <f t="shared" ca="1" si="401"/>
        <v>#NAME?</v>
      </c>
      <c r="BT461" s="437" t="e">
        <f t="shared" ca="1" si="371"/>
        <v>#NAME?</v>
      </c>
      <c r="BU461" s="437" t="e">
        <f t="shared" ca="1" si="372"/>
        <v>#NAME?</v>
      </c>
      <c r="BV461" s="441" t="e">
        <f t="shared" ca="1" si="373"/>
        <v>#NAME?</v>
      </c>
      <c r="BW461" s="442" t="e">
        <f t="shared" ca="1" si="374"/>
        <v>#NAME?</v>
      </c>
      <c r="BX461" s="470" t="e">
        <f t="shared" ca="1" si="347"/>
        <v>#NAME?</v>
      </c>
      <c r="BY461" s="484" t="e">
        <f t="shared" ca="1" si="359"/>
        <v>#NAME?</v>
      </c>
    </row>
    <row r="462" spans="9:77" ht="17.75" customHeight="1" x14ac:dyDescent="0.2">
      <c r="I462" s="366">
        <v>378</v>
      </c>
      <c r="J462" s="414">
        <f t="shared" si="360"/>
        <v>41705.975000000857</v>
      </c>
      <c r="K462" s="435" t="e">
        <f t="shared" ca="1" si="361"/>
        <v>#NAME?</v>
      </c>
      <c r="L462" s="435" t="e">
        <f t="shared" ca="1" si="348"/>
        <v>#NAME?</v>
      </c>
      <c r="M462" s="664" t="e">
        <f t="shared" ca="1" si="402"/>
        <v>#NAME?</v>
      </c>
      <c r="N462" s="664" t="e">
        <f t="shared" ca="1" si="403"/>
        <v>#NAME?</v>
      </c>
      <c r="O462" s="140" t="e">
        <f t="shared" ca="1" si="349"/>
        <v>#NAME?</v>
      </c>
      <c r="P462" s="352" t="e">
        <f t="shared" ca="1" si="362"/>
        <v>#NAME?</v>
      </c>
      <c r="Q462" s="665" t="e">
        <f t="shared" ca="1" si="404"/>
        <v>#NAME?</v>
      </c>
      <c r="R462" s="352" t="e">
        <f t="shared" ca="1" si="375"/>
        <v>#NAME?</v>
      </c>
      <c r="S462" s="662" t="e">
        <f t="shared" ca="1" si="350"/>
        <v>#NAME?</v>
      </c>
      <c r="T462" s="443" t="e">
        <f t="shared" ca="1" si="343"/>
        <v>#NAME?</v>
      </c>
      <c r="U462" s="369" t="e">
        <f t="shared" ca="1" si="344"/>
        <v>#NAME?</v>
      </c>
      <c r="V462" s="454" t="e">
        <f t="shared" ca="1" si="351"/>
        <v>#NAME?</v>
      </c>
      <c r="W462" s="457">
        <f t="shared" si="352"/>
        <v>1000</v>
      </c>
      <c r="X462" s="463" t="e">
        <f t="shared" ca="1" si="353"/>
        <v>#NAME?</v>
      </c>
      <c r="Y462" s="455" t="e">
        <f t="shared" ca="1" si="363"/>
        <v>#NAME?</v>
      </c>
      <c r="Z462" s="699">
        <f t="shared" si="345"/>
        <v>8.5</v>
      </c>
      <c r="AA462" s="355" t="str">
        <f t="shared" si="346"/>
        <v>ON</v>
      </c>
      <c r="AB462" s="357">
        <f t="shared" si="376"/>
        <v>1.4999999999999999E-2</v>
      </c>
      <c r="AC462" s="356" t="e">
        <f ca="1">IF(  Y461=0,0,IF(OR(S462="KCAS",S462="INOP",S462="MEFE"),   ( (5*( (   (((1+0.2*(T462/661.4786)^2)^3.5 -1)  )/( (1-6.8755856*10^-6 *100*Y462)^5.2558797) +1)^(2/7) -1) )^0.5),IF(S462="MACH",T462, IF(S462="LRC",BicubicInterpolation( 'LRC Mach'!$C$4:$AL$21, Y462,U462),  IF(S462="MRC",BicubicInterpolation( 'MRC Mach'!$C$3:$T$18, Y462,U462),  IF(S462="M0.84",0.84,  IF(S462="CI52",BicubicInterpolation('CI=52 Mach'!$C$3:$T$18, Y462,U462),  IF(S462="HOLDING",BicubicInterpolation(  'Holding Mach'!$C$4:$M$13, Y462,U462),                         IF(S462="LRCINOP", BicubicInterpolation('LRC INOP Mach'!$C$4:$AA$21,Y462,U462), IF(S462="HOLDINGINOP",  BicubicInterpolation('Holding INOP Mach'!$N$4:$U$13,Y462,U462),         "XXX" )))))))   )))</f>
        <v>#NAME?</v>
      </c>
      <c r="AD462" s="313" t="e">
        <f t="shared" ca="1" si="377"/>
        <v>#NAME?</v>
      </c>
      <c r="AE462" s="314" t="e">
        <f t="shared" ca="1" si="364"/>
        <v>#NAME?</v>
      </c>
      <c r="AF462" s="313" t="e">
        <f t="shared" ca="1" si="378"/>
        <v>#NAME?</v>
      </c>
      <c r="AG462" s="314" t="e">
        <f t="shared" ca="1" si="365"/>
        <v>#NAME?</v>
      </c>
      <c r="AH462" s="313" t="e">
        <f t="shared" ca="1" si="379"/>
        <v>#NAME?</v>
      </c>
      <c r="AI462" s="314" t="e">
        <f t="shared" ca="1" si="366"/>
        <v>#NAME?</v>
      </c>
      <c r="AJ462" s="315" t="e">
        <f t="shared" ca="1" si="367"/>
        <v>#NAME?</v>
      </c>
      <c r="AK462" s="568" t="e">
        <f t="shared" ca="1" si="380"/>
        <v>#NAME?</v>
      </c>
      <c r="AL462" s="313" t="e">
        <f t="shared" ca="1" si="381"/>
        <v>#NAME?</v>
      </c>
      <c r="AM462" s="313" t="e">
        <f t="shared" ca="1" si="368"/>
        <v>#NAME?</v>
      </c>
      <c r="AN462" s="313" t="e">
        <f t="shared" ca="1" si="369"/>
        <v>#NAME?</v>
      </c>
      <c r="AO462" s="316" t="e">
        <f t="shared" ca="1" si="382"/>
        <v>#NAME?</v>
      </c>
      <c r="AP462" s="313" t="e">
        <f t="shared" ca="1" si="383"/>
        <v>#NAME?</v>
      </c>
      <c r="AQ462" s="314" t="e">
        <f t="shared" ca="1" si="370"/>
        <v>#NAME?</v>
      </c>
      <c r="AR462" s="315" t="e">
        <f t="shared" ca="1" si="384"/>
        <v>#NAME?</v>
      </c>
      <c r="AS462" s="316" t="e">
        <f t="shared" ca="1" si="385"/>
        <v>#NAME?</v>
      </c>
      <c r="AT462" s="315" t="e">
        <f t="shared" ca="1" si="386"/>
        <v>#NAME?</v>
      </c>
      <c r="AU462" s="317">
        <v>427.8</v>
      </c>
      <c r="AV462" s="315" t="e">
        <f t="shared" ca="1" si="387"/>
        <v>#NAME?</v>
      </c>
      <c r="AW462" s="318" t="e">
        <f ca="1">0.0001*BicubicInterpolation('Drag Coef Table'!$B$4:$L$28,AV462,AC462)</f>
        <v>#NAME?</v>
      </c>
      <c r="AX462" s="319" t="e">
        <f t="shared" ca="1" si="388"/>
        <v>#NAME?</v>
      </c>
      <c r="AY462" s="318" t="e">
        <f t="shared" ca="1" si="389"/>
        <v>#NAME?</v>
      </c>
      <c r="AZ462" s="320" t="e">
        <f t="shared" ca="1" si="390"/>
        <v>#NAME?</v>
      </c>
      <c r="BA462" s="321" t="e">
        <f t="shared" ca="1" si="391"/>
        <v>#NAME?</v>
      </c>
      <c r="BB462" s="322" t="e">
        <f t="shared" ca="1" si="392"/>
        <v>#NAME?</v>
      </c>
      <c r="BC462" s="323">
        <v>75.196700000000007</v>
      </c>
      <c r="BD462" s="324" t="e">
        <f t="shared" ca="1" si="393"/>
        <v>#NAME?</v>
      </c>
      <c r="BE462" s="325" t="e">
        <f t="shared" ca="1" si="394"/>
        <v>#NAME?</v>
      </c>
      <c r="BF462" s="324" t="e">
        <f ca="1">BicubicInterpolation('TSFC Eff Table'!$B$4:$E$69,2,BB462)</f>
        <v>#NAME?</v>
      </c>
      <c r="BG462" s="326" t="e">
        <f t="shared" ca="1" si="395"/>
        <v>#NAME?</v>
      </c>
      <c r="BH462" s="694" t="e">
        <f ca="1">IF( S462="LRCINOP",   (1+(0.03/10)*Z462*(1+0.2*AC462^2) )*BicubicInterpolation( 'LRC INOP FF'!$C$4:$AA$21, Y462, U462 )-200, IF(S462 ="HOLDINGINOP", (1+(0.03/10)*Z462*(1+0.2*AC462^2) )*BicubicInterpolation( 'Holding INOP FF'!$C$4:$J$13,  Y462,  U462)/1.05-200,   BA462*BG462))</f>
        <v>#NAME?</v>
      </c>
      <c r="BI462" s="344" t="e">
        <f t="shared" ca="1" si="354"/>
        <v>#NAME?</v>
      </c>
      <c r="BJ462" s="322" t="e">
        <f t="shared" ca="1" si="396"/>
        <v>#NAME?</v>
      </c>
      <c r="BK462" s="338" t="e">
        <f t="shared" ca="1" si="355"/>
        <v>#NAME?</v>
      </c>
      <c r="BL462" s="327" t="e">
        <f t="shared" ca="1" si="397"/>
        <v>#NAME?</v>
      </c>
      <c r="BM462" s="328">
        <f t="shared" si="398"/>
        <v>200</v>
      </c>
      <c r="BN462" s="329" t="e">
        <f t="shared" ca="1" si="399"/>
        <v>#NAME?</v>
      </c>
      <c r="BO462" s="344" t="e">
        <f t="shared" ca="1" si="356"/>
        <v>#NAME?</v>
      </c>
      <c r="BP462" s="320" t="e">
        <f t="shared" ca="1" si="400"/>
        <v>#NAME?</v>
      </c>
      <c r="BQ462" s="344" t="e">
        <f t="shared" ca="1" si="357"/>
        <v>#NAME?</v>
      </c>
      <c r="BR462" s="347" t="e">
        <f t="shared" ca="1" si="358"/>
        <v>#NAME?</v>
      </c>
      <c r="BS462" s="326" t="e">
        <f t="shared" ca="1" si="401"/>
        <v>#NAME?</v>
      </c>
      <c r="BT462" s="437" t="e">
        <f t="shared" ca="1" si="371"/>
        <v>#NAME?</v>
      </c>
      <c r="BU462" s="437" t="e">
        <f t="shared" ca="1" si="372"/>
        <v>#NAME?</v>
      </c>
      <c r="BV462" s="441" t="e">
        <f t="shared" ca="1" si="373"/>
        <v>#NAME?</v>
      </c>
      <c r="BW462" s="442" t="e">
        <f t="shared" ca="1" si="374"/>
        <v>#NAME?</v>
      </c>
      <c r="BX462" s="470" t="e">
        <f t="shared" ca="1" si="347"/>
        <v>#NAME?</v>
      </c>
      <c r="BY462" s="484" t="e">
        <f t="shared" ca="1" si="359"/>
        <v>#NAME?</v>
      </c>
    </row>
    <row r="463" spans="9:77" ht="17.75" customHeight="1" x14ac:dyDescent="0.2">
      <c r="I463" s="366">
        <v>379</v>
      </c>
      <c r="J463" s="414">
        <f t="shared" si="360"/>
        <v>41705.975694445304</v>
      </c>
      <c r="K463" s="435" t="e">
        <f t="shared" ca="1" si="361"/>
        <v>#NAME?</v>
      </c>
      <c r="L463" s="435" t="e">
        <f t="shared" ca="1" si="348"/>
        <v>#NAME?</v>
      </c>
      <c r="M463" s="664" t="e">
        <f t="shared" ca="1" si="402"/>
        <v>#NAME?</v>
      </c>
      <c r="N463" s="664" t="e">
        <f t="shared" ca="1" si="403"/>
        <v>#NAME?</v>
      </c>
      <c r="O463" s="140" t="e">
        <f t="shared" ca="1" si="349"/>
        <v>#NAME?</v>
      </c>
      <c r="P463" s="352" t="e">
        <f t="shared" ca="1" si="362"/>
        <v>#NAME?</v>
      </c>
      <c r="Q463" s="665" t="e">
        <f t="shared" ca="1" si="404"/>
        <v>#NAME?</v>
      </c>
      <c r="R463" s="352" t="e">
        <f t="shared" ca="1" si="375"/>
        <v>#NAME?</v>
      </c>
      <c r="S463" s="662" t="e">
        <f t="shared" ca="1" si="350"/>
        <v>#NAME?</v>
      </c>
      <c r="T463" s="443" t="e">
        <f t="shared" ca="1" si="343"/>
        <v>#NAME?</v>
      </c>
      <c r="U463" s="369" t="e">
        <f t="shared" ca="1" si="344"/>
        <v>#NAME?</v>
      </c>
      <c r="V463" s="454" t="e">
        <f t="shared" ca="1" si="351"/>
        <v>#NAME?</v>
      </c>
      <c r="W463" s="457">
        <f t="shared" si="352"/>
        <v>1000</v>
      </c>
      <c r="X463" s="463" t="e">
        <f t="shared" ca="1" si="353"/>
        <v>#NAME?</v>
      </c>
      <c r="Y463" s="455" t="e">
        <f t="shared" ca="1" si="363"/>
        <v>#NAME?</v>
      </c>
      <c r="Z463" s="699">
        <f t="shared" si="345"/>
        <v>8.5</v>
      </c>
      <c r="AA463" s="355" t="str">
        <f t="shared" si="346"/>
        <v>ON</v>
      </c>
      <c r="AB463" s="357">
        <f t="shared" si="376"/>
        <v>1.4999999999999999E-2</v>
      </c>
      <c r="AC463" s="356" t="e">
        <f ca="1">IF(  Y462=0,0,IF(OR(S463="KCAS",S463="INOP",S463="MEFE"),   ( (5*( (   (((1+0.2*(T463/661.4786)^2)^3.5 -1)  )/( (1-6.8755856*10^-6 *100*Y463)^5.2558797) +1)^(2/7) -1) )^0.5),IF(S463="MACH",T463, IF(S463="LRC",BicubicInterpolation( 'LRC Mach'!$C$4:$AL$21, Y463,U463),  IF(S463="MRC",BicubicInterpolation( 'MRC Mach'!$C$3:$T$18, Y463,U463),  IF(S463="M0.84",0.84,  IF(S463="CI52",BicubicInterpolation('CI=52 Mach'!$C$3:$T$18, Y463,U463),  IF(S463="HOLDING",BicubicInterpolation(  'Holding Mach'!$C$4:$M$13, Y463,U463),                         IF(S463="LRCINOP", BicubicInterpolation('LRC INOP Mach'!$C$4:$AA$21,Y463,U463), IF(S463="HOLDINGINOP",  BicubicInterpolation('Holding INOP Mach'!$N$4:$U$13,Y463,U463),         "XXX" )))))))   )))</f>
        <v>#NAME?</v>
      </c>
      <c r="AD463" s="313" t="e">
        <f t="shared" ca="1" si="377"/>
        <v>#NAME?</v>
      </c>
      <c r="AE463" s="314" t="e">
        <f t="shared" ca="1" si="364"/>
        <v>#NAME?</v>
      </c>
      <c r="AF463" s="313" t="e">
        <f t="shared" ca="1" si="378"/>
        <v>#NAME?</v>
      </c>
      <c r="AG463" s="314" t="e">
        <f t="shared" ca="1" si="365"/>
        <v>#NAME?</v>
      </c>
      <c r="AH463" s="313" t="e">
        <f t="shared" ca="1" si="379"/>
        <v>#NAME?</v>
      </c>
      <c r="AI463" s="314" t="e">
        <f t="shared" ca="1" si="366"/>
        <v>#NAME?</v>
      </c>
      <c r="AJ463" s="315" t="e">
        <f t="shared" ca="1" si="367"/>
        <v>#NAME?</v>
      </c>
      <c r="AK463" s="568" t="e">
        <f t="shared" ca="1" si="380"/>
        <v>#NAME?</v>
      </c>
      <c r="AL463" s="313" t="e">
        <f t="shared" ca="1" si="381"/>
        <v>#NAME?</v>
      </c>
      <c r="AM463" s="313" t="e">
        <f t="shared" ca="1" si="368"/>
        <v>#NAME?</v>
      </c>
      <c r="AN463" s="313" t="e">
        <f t="shared" ca="1" si="369"/>
        <v>#NAME?</v>
      </c>
      <c r="AO463" s="316" t="e">
        <f t="shared" ca="1" si="382"/>
        <v>#NAME?</v>
      </c>
      <c r="AP463" s="313" t="e">
        <f t="shared" ca="1" si="383"/>
        <v>#NAME?</v>
      </c>
      <c r="AQ463" s="314" t="e">
        <f t="shared" ca="1" si="370"/>
        <v>#NAME?</v>
      </c>
      <c r="AR463" s="315" t="e">
        <f t="shared" ca="1" si="384"/>
        <v>#NAME?</v>
      </c>
      <c r="AS463" s="316" t="e">
        <f t="shared" ca="1" si="385"/>
        <v>#NAME?</v>
      </c>
      <c r="AT463" s="315" t="e">
        <f t="shared" ca="1" si="386"/>
        <v>#NAME?</v>
      </c>
      <c r="AU463" s="317">
        <v>427.8</v>
      </c>
      <c r="AV463" s="315" t="e">
        <f t="shared" ca="1" si="387"/>
        <v>#NAME?</v>
      </c>
      <c r="AW463" s="318" t="e">
        <f ca="1">0.0001*BicubicInterpolation('Drag Coef Table'!$B$4:$L$28,AV463,AC463)</f>
        <v>#NAME?</v>
      </c>
      <c r="AX463" s="319" t="e">
        <f t="shared" ca="1" si="388"/>
        <v>#NAME?</v>
      </c>
      <c r="AY463" s="318" t="e">
        <f t="shared" ca="1" si="389"/>
        <v>#NAME?</v>
      </c>
      <c r="AZ463" s="320" t="e">
        <f t="shared" ca="1" si="390"/>
        <v>#NAME?</v>
      </c>
      <c r="BA463" s="321" t="e">
        <f t="shared" ca="1" si="391"/>
        <v>#NAME?</v>
      </c>
      <c r="BB463" s="322" t="e">
        <f t="shared" ca="1" si="392"/>
        <v>#NAME?</v>
      </c>
      <c r="BC463" s="323">
        <v>75.196700000000007</v>
      </c>
      <c r="BD463" s="324" t="e">
        <f t="shared" ca="1" si="393"/>
        <v>#NAME?</v>
      </c>
      <c r="BE463" s="325" t="e">
        <f t="shared" ca="1" si="394"/>
        <v>#NAME?</v>
      </c>
      <c r="BF463" s="324" t="e">
        <f ca="1">BicubicInterpolation('TSFC Eff Table'!$B$4:$E$69,2,BB463)</f>
        <v>#NAME?</v>
      </c>
      <c r="BG463" s="326" t="e">
        <f t="shared" ca="1" si="395"/>
        <v>#NAME?</v>
      </c>
      <c r="BH463" s="694" t="e">
        <f ca="1">IF( S463="LRCINOP",   (1+(0.03/10)*Z463*(1+0.2*AC463^2) )*BicubicInterpolation( 'LRC INOP FF'!$C$4:$AA$21, Y463, U463 )-200, IF(S463 ="HOLDINGINOP", (1+(0.03/10)*Z463*(1+0.2*AC463^2) )*BicubicInterpolation( 'Holding INOP FF'!$C$4:$J$13,  Y463,  U463)/1.05-200,   BA463*BG463))</f>
        <v>#NAME?</v>
      </c>
      <c r="BI463" s="344" t="e">
        <f t="shared" ca="1" si="354"/>
        <v>#NAME?</v>
      </c>
      <c r="BJ463" s="322" t="e">
        <f t="shared" ca="1" si="396"/>
        <v>#NAME?</v>
      </c>
      <c r="BK463" s="338" t="e">
        <f t="shared" ca="1" si="355"/>
        <v>#NAME?</v>
      </c>
      <c r="BL463" s="327" t="e">
        <f t="shared" ca="1" si="397"/>
        <v>#NAME?</v>
      </c>
      <c r="BM463" s="328">
        <f t="shared" si="398"/>
        <v>200</v>
      </c>
      <c r="BN463" s="329" t="e">
        <f t="shared" ca="1" si="399"/>
        <v>#NAME?</v>
      </c>
      <c r="BO463" s="344" t="e">
        <f t="shared" ca="1" si="356"/>
        <v>#NAME?</v>
      </c>
      <c r="BP463" s="320" t="e">
        <f t="shared" ca="1" si="400"/>
        <v>#NAME?</v>
      </c>
      <c r="BQ463" s="344" t="e">
        <f t="shared" ca="1" si="357"/>
        <v>#NAME?</v>
      </c>
      <c r="BR463" s="347" t="e">
        <f t="shared" ca="1" si="358"/>
        <v>#NAME?</v>
      </c>
      <c r="BS463" s="326" t="e">
        <f t="shared" ca="1" si="401"/>
        <v>#NAME?</v>
      </c>
      <c r="BT463" s="437" t="e">
        <f t="shared" ca="1" si="371"/>
        <v>#NAME?</v>
      </c>
      <c r="BU463" s="437" t="e">
        <f t="shared" ca="1" si="372"/>
        <v>#NAME?</v>
      </c>
      <c r="BV463" s="441" t="e">
        <f t="shared" ca="1" si="373"/>
        <v>#NAME?</v>
      </c>
      <c r="BW463" s="442" t="e">
        <f t="shared" ca="1" si="374"/>
        <v>#NAME?</v>
      </c>
      <c r="BX463" s="470" t="e">
        <f t="shared" ca="1" si="347"/>
        <v>#NAME?</v>
      </c>
      <c r="BY463" s="484" t="e">
        <f t="shared" ca="1" si="359"/>
        <v>#NAME?</v>
      </c>
    </row>
    <row r="464" spans="9:77" ht="17.75" customHeight="1" x14ac:dyDescent="0.2">
      <c r="I464" s="366">
        <v>380</v>
      </c>
      <c r="J464" s="414">
        <f t="shared" si="360"/>
        <v>41705.976388889751</v>
      </c>
      <c r="K464" s="435" t="e">
        <f t="shared" ca="1" si="361"/>
        <v>#NAME?</v>
      </c>
      <c r="L464" s="435" t="e">
        <f t="shared" ca="1" si="348"/>
        <v>#NAME?</v>
      </c>
      <c r="M464" s="664" t="e">
        <f t="shared" ca="1" si="402"/>
        <v>#NAME?</v>
      </c>
      <c r="N464" s="664" t="e">
        <f t="shared" ca="1" si="403"/>
        <v>#NAME?</v>
      </c>
      <c r="O464" s="140" t="e">
        <f t="shared" ca="1" si="349"/>
        <v>#NAME?</v>
      </c>
      <c r="P464" s="352" t="e">
        <f t="shared" ca="1" si="362"/>
        <v>#NAME?</v>
      </c>
      <c r="Q464" s="665" t="e">
        <f t="shared" ca="1" si="404"/>
        <v>#NAME?</v>
      </c>
      <c r="R464" s="352" t="e">
        <f t="shared" ca="1" si="375"/>
        <v>#NAME?</v>
      </c>
      <c r="S464" s="662" t="e">
        <f t="shared" ca="1" si="350"/>
        <v>#NAME?</v>
      </c>
      <c r="T464" s="443" t="e">
        <f t="shared" ca="1" si="343"/>
        <v>#NAME?</v>
      </c>
      <c r="U464" s="369" t="e">
        <f t="shared" ca="1" si="344"/>
        <v>#NAME?</v>
      </c>
      <c r="V464" s="454" t="e">
        <f t="shared" ca="1" si="351"/>
        <v>#NAME?</v>
      </c>
      <c r="W464" s="457">
        <f t="shared" si="352"/>
        <v>1000</v>
      </c>
      <c r="X464" s="463" t="e">
        <f t="shared" ca="1" si="353"/>
        <v>#NAME?</v>
      </c>
      <c r="Y464" s="455" t="e">
        <f t="shared" ca="1" si="363"/>
        <v>#NAME?</v>
      </c>
      <c r="Z464" s="699">
        <f t="shared" si="345"/>
        <v>8.5</v>
      </c>
      <c r="AA464" s="355" t="str">
        <f t="shared" si="346"/>
        <v>ON</v>
      </c>
      <c r="AB464" s="357">
        <f t="shared" si="376"/>
        <v>1.4999999999999999E-2</v>
      </c>
      <c r="AC464" s="356" t="e">
        <f ca="1">IF(  Y463=0,0,IF(OR(S464="KCAS",S464="INOP",S464="MEFE"),   ( (5*( (   (((1+0.2*(T464/661.4786)^2)^3.5 -1)  )/( (1-6.8755856*10^-6 *100*Y464)^5.2558797) +1)^(2/7) -1) )^0.5),IF(S464="MACH",T464, IF(S464="LRC",BicubicInterpolation( 'LRC Mach'!$C$4:$AL$21, Y464,U464),  IF(S464="MRC",BicubicInterpolation( 'MRC Mach'!$C$3:$T$18, Y464,U464),  IF(S464="M0.84",0.84,  IF(S464="CI52",BicubicInterpolation('CI=52 Mach'!$C$3:$T$18, Y464,U464),  IF(S464="HOLDING",BicubicInterpolation(  'Holding Mach'!$C$4:$M$13, Y464,U464),                         IF(S464="LRCINOP", BicubicInterpolation('LRC INOP Mach'!$C$4:$AA$21,Y464,U464), IF(S464="HOLDINGINOP",  BicubicInterpolation('Holding INOP Mach'!$N$4:$U$13,Y464,U464),         "XXX" )))))))   )))</f>
        <v>#NAME?</v>
      </c>
      <c r="AD464" s="313" t="e">
        <f t="shared" ca="1" si="377"/>
        <v>#NAME?</v>
      </c>
      <c r="AE464" s="314" t="e">
        <f t="shared" ca="1" si="364"/>
        <v>#NAME?</v>
      </c>
      <c r="AF464" s="313" t="e">
        <f t="shared" ca="1" si="378"/>
        <v>#NAME?</v>
      </c>
      <c r="AG464" s="314" t="e">
        <f t="shared" ca="1" si="365"/>
        <v>#NAME?</v>
      </c>
      <c r="AH464" s="313" t="e">
        <f t="shared" ca="1" si="379"/>
        <v>#NAME?</v>
      </c>
      <c r="AI464" s="314" t="e">
        <f t="shared" ca="1" si="366"/>
        <v>#NAME?</v>
      </c>
      <c r="AJ464" s="315" t="e">
        <f t="shared" ca="1" si="367"/>
        <v>#NAME?</v>
      </c>
      <c r="AK464" s="568" t="e">
        <f t="shared" ca="1" si="380"/>
        <v>#NAME?</v>
      </c>
      <c r="AL464" s="313" t="e">
        <f t="shared" ca="1" si="381"/>
        <v>#NAME?</v>
      </c>
      <c r="AM464" s="313" t="e">
        <f t="shared" ca="1" si="368"/>
        <v>#NAME?</v>
      </c>
      <c r="AN464" s="313" t="e">
        <f t="shared" ca="1" si="369"/>
        <v>#NAME?</v>
      </c>
      <c r="AO464" s="316" t="e">
        <f t="shared" ca="1" si="382"/>
        <v>#NAME?</v>
      </c>
      <c r="AP464" s="313" t="e">
        <f t="shared" ca="1" si="383"/>
        <v>#NAME?</v>
      </c>
      <c r="AQ464" s="314" t="e">
        <f t="shared" ca="1" si="370"/>
        <v>#NAME?</v>
      </c>
      <c r="AR464" s="315" t="e">
        <f t="shared" ca="1" si="384"/>
        <v>#NAME?</v>
      </c>
      <c r="AS464" s="316" t="e">
        <f t="shared" ca="1" si="385"/>
        <v>#NAME?</v>
      </c>
      <c r="AT464" s="315" t="e">
        <f t="shared" ca="1" si="386"/>
        <v>#NAME?</v>
      </c>
      <c r="AU464" s="317">
        <v>427.8</v>
      </c>
      <c r="AV464" s="315" t="e">
        <f t="shared" ca="1" si="387"/>
        <v>#NAME?</v>
      </c>
      <c r="AW464" s="318" t="e">
        <f ca="1">0.0001*BicubicInterpolation('Drag Coef Table'!$B$4:$L$28,AV464,AC464)</f>
        <v>#NAME?</v>
      </c>
      <c r="AX464" s="319" t="e">
        <f t="shared" ca="1" si="388"/>
        <v>#NAME?</v>
      </c>
      <c r="AY464" s="318" t="e">
        <f t="shared" ca="1" si="389"/>
        <v>#NAME?</v>
      </c>
      <c r="AZ464" s="320" t="e">
        <f t="shared" ca="1" si="390"/>
        <v>#NAME?</v>
      </c>
      <c r="BA464" s="321" t="e">
        <f t="shared" ca="1" si="391"/>
        <v>#NAME?</v>
      </c>
      <c r="BB464" s="322" t="e">
        <f t="shared" ca="1" si="392"/>
        <v>#NAME?</v>
      </c>
      <c r="BC464" s="323">
        <v>75.196700000000007</v>
      </c>
      <c r="BD464" s="324" t="e">
        <f t="shared" ca="1" si="393"/>
        <v>#NAME?</v>
      </c>
      <c r="BE464" s="325" t="e">
        <f t="shared" ca="1" si="394"/>
        <v>#NAME?</v>
      </c>
      <c r="BF464" s="324" t="e">
        <f ca="1">BicubicInterpolation('TSFC Eff Table'!$B$4:$E$69,2,BB464)</f>
        <v>#NAME?</v>
      </c>
      <c r="BG464" s="326" t="e">
        <f t="shared" ca="1" si="395"/>
        <v>#NAME?</v>
      </c>
      <c r="BH464" s="694" t="e">
        <f ca="1">IF( S464="LRCINOP",   (1+(0.03/10)*Z464*(1+0.2*AC464^2) )*BicubicInterpolation( 'LRC INOP FF'!$C$4:$AA$21, Y464, U464 )-200, IF(S464 ="HOLDINGINOP", (1+(0.03/10)*Z464*(1+0.2*AC464^2) )*BicubicInterpolation( 'Holding INOP FF'!$C$4:$J$13,  Y464,  U464)/1.05-200,   BA464*BG464))</f>
        <v>#NAME?</v>
      </c>
      <c r="BI464" s="344" t="e">
        <f t="shared" ca="1" si="354"/>
        <v>#NAME?</v>
      </c>
      <c r="BJ464" s="322" t="e">
        <f t="shared" ca="1" si="396"/>
        <v>#NAME?</v>
      </c>
      <c r="BK464" s="338" t="e">
        <f t="shared" ca="1" si="355"/>
        <v>#NAME?</v>
      </c>
      <c r="BL464" s="327" t="e">
        <f t="shared" ca="1" si="397"/>
        <v>#NAME?</v>
      </c>
      <c r="BM464" s="328">
        <f t="shared" si="398"/>
        <v>200</v>
      </c>
      <c r="BN464" s="329" t="e">
        <f t="shared" ca="1" si="399"/>
        <v>#NAME?</v>
      </c>
      <c r="BO464" s="344" t="e">
        <f t="shared" ca="1" si="356"/>
        <v>#NAME?</v>
      </c>
      <c r="BP464" s="320" t="e">
        <f t="shared" ca="1" si="400"/>
        <v>#NAME?</v>
      </c>
      <c r="BQ464" s="344" t="e">
        <f t="shared" ca="1" si="357"/>
        <v>#NAME?</v>
      </c>
      <c r="BR464" s="347" t="e">
        <f t="shared" ca="1" si="358"/>
        <v>#NAME?</v>
      </c>
      <c r="BS464" s="326" t="e">
        <f t="shared" ca="1" si="401"/>
        <v>#NAME?</v>
      </c>
      <c r="BT464" s="437" t="e">
        <f t="shared" ca="1" si="371"/>
        <v>#NAME?</v>
      </c>
      <c r="BU464" s="437" t="e">
        <f t="shared" ca="1" si="372"/>
        <v>#NAME?</v>
      </c>
      <c r="BV464" s="441" t="e">
        <f t="shared" ca="1" si="373"/>
        <v>#NAME?</v>
      </c>
      <c r="BW464" s="442" t="e">
        <f t="shared" ca="1" si="374"/>
        <v>#NAME?</v>
      </c>
      <c r="BX464" s="470" t="e">
        <f t="shared" ca="1" si="347"/>
        <v>#NAME?</v>
      </c>
      <c r="BY464" s="484" t="e">
        <f t="shared" ca="1" si="359"/>
        <v>#NAME?</v>
      </c>
    </row>
    <row r="465" spans="9:77" ht="17.75" customHeight="1" x14ac:dyDescent="0.2">
      <c r="I465" s="366">
        <v>381</v>
      </c>
      <c r="J465" s="414">
        <f t="shared" si="360"/>
        <v>41705.977083334197</v>
      </c>
      <c r="K465" s="435" t="e">
        <f t="shared" ca="1" si="361"/>
        <v>#NAME?</v>
      </c>
      <c r="L465" s="435" t="e">
        <f t="shared" ca="1" si="348"/>
        <v>#NAME?</v>
      </c>
      <c r="M465" s="664" t="e">
        <f t="shared" ca="1" si="402"/>
        <v>#NAME?</v>
      </c>
      <c r="N465" s="664" t="e">
        <f t="shared" ca="1" si="403"/>
        <v>#NAME?</v>
      </c>
      <c r="O465" s="140" t="e">
        <f t="shared" ca="1" si="349"/>
        <v>#NAME?</v>
      </c>
      <c r="P465" s="352" t="e">
        <f t="shared" ca="1" si="362"/>
        <v>#NAME?</v>
      </c>
      <c r="Q465" s="665" t="e">
        <f t="shared" ca="1" si="404"/>
        <v>#NAME?</v>
      </c>
      <c r="R465" s="352" t="e">
        <f t="shared" ca="1" si="375"/>
        <v>#NAME?</v>
      </c>
      <c r="S465" s="662" t="e">
        <f t="shared" ca="1" si="350"/>
        <v>#NAME?</v>
      </c>
      <c r="T465" s="443" t="e">
        <f t="shared" ca="1" si="343"/>
        <v>#NAME?</v>
      </c>
      <c r="U465" s="369" t="e">
        <f t="shared" ca="1" si="344"/>
        <v>#NAME?</v>
      </c>
      <c r="V465" s="454" t="e">
        <f t="shared" ca="1" si="351"/>
        <v>#NAME?</v>
      </c>
      <c r="W465" s="457">
        <f t="shared" si="352"/>
        <v>1000</v>
      </c>
      <c r="X465" s="463" t="e">
        <f t="shared" ca="1" si="353"/>
        <v>#NAME?</v>
      </c>
      <c r="Y465" s="455" t="e">
        <f t="shared" ca="1" si="363"/>
        <v>#NAME?</v>
      </c>
      <c r="Z465" s="699">
        <f t="shared" si="345"/>
        <v>8.5</v>
      </c>
      <c r="AA465" s="355" t="str">
        <f t="shared" si="346"/>
        <v>ON</v>
      </c>
      <c r="AB465" s="357">
        <f t="shared" si="376"/>
        <v>1.4999999999999999E-2</v>
      </c>
      <c r="AC465" s="356" t="e">
        <f ca="1">IF(  Y464=0,0,IF(OR(S465="KCAS",S465="INOP",S465="MEFE"),   ( (5*( (   (((1+0.2*(T465/661.4786)^2)^3.5 -1)  )/( (1-6.8755856*10^-6 *100*Y465)^5.2558797) +1)^(2/7) -1) )^0.5),IF(S465="MACH",T465, IF(S465="LRC",BicubicInterpolation( 'LRC Mach'!$C$4:$AL$21, Y465,U465),  IF(S465="MRC",BicubicInterpolation( 'MRC Mach'!$C$3:$T$18, Y465,U465),  IF(S465="M0.84",0.84,  IF(S465="CI52",BicubicInterpolation('CI=52 Mach'!$C$3:$T$18, Y465,U465),  IF(S465="HOLDING",BicubicInterpolation(  'Holding Mach'!$C$4:$M$13, Y465,U465),                         IF(S465="LRCINOP", BicubicInterpolation('LRC INOP Mach'!$C$4:$AA$21,Y465,U465), IF(S465="HOLDINGINOP",  BicubicInterpolation('Holding INOP Mach'!$N$4:$U$13,Y465,U465),         "XXX" )))))))   )))</f>
        <v>#NAME?</v>
      </c>
      <c r="AD465" s="313" t="e">
        <f t="shared" ca="1" si="377"/>
        <v>#NAME?</v>
      </c>
      <c r="AE465" s="314" t="e">
        <f t="shared" ca="1" si="364"/>
        <v>#NAME?</v>
      </c>
      <c r="AF465" s="313" t="e">
        <f t="shared" ca="1" si="378"/>
        <v>#NAME?</v>
      </c>
      <c r="AG465" s="314" t="e">
        <f t="shared" ca="1" si="365"/>
        <v>#NAME?</v>
      </c>
      <c r="AH465" s="313" t="e">
        <f t="shared" ca="1" si="379"/>
        <v>#NAME?</v>
      </c>
      <c r="AI465" s="314" t="e">
        <f t="shared" ca="1" si="366"/>
        <v>#NAME?</v>
      </c>
      <c r="AJ465" s="315" t="e">
        <f t="shared" ca="1" si="367"/>
        <v>#NAME?</v>
      </c>
      <c r="AK465" s="568" t="e">
        <f t="shared" ca="1" si="380"/>
        <v>#NAME?</v>
      </c>
      <c r="AL465" s="313" t="e">
        <f t="shared" ca="1" si="381"/>
        <v>#NAME?</v>
      </c>
      <c r="AM465" s="313" t="e">
        <f t="shared" ca="1" si="368"/>
        <v>#NAME?</v>
      </c>
      <c r="AN465" s="313" t="e">
        <f t="shared" ca="1" si="369"/>
        <v>#NAME?</v>
      </c>
      <c r="AO465" s="316" t="e">
        <f t="shared" ca="1" si="382"/>
        <v>#NAME?</v>
      </c>
      <c r="AP465" s="313" t="e">
        <f t="shared" ca="1" si="383"/>
        <v>#NAME?</v>
      </c>
      <c r="AQ465" s="314" t="e">
        <f t="shared" ca="1" si="370"/>
        <v>#NAME?</v>
      </c>
      <c r="AR465" s="315" t="e">
        <f t="shared" ca="1" si="384"/>
        <v>#NAME?</v>
      </c>
      <c r="AS465" s="316" t="e">
        <f t="shared" ca="1" si="385"/>
        <v>#NAME?</v>
      </c>
      <c r="AT465" s="315" t="e">
        <f t="shared" ca="1" si="386"/>
        <v>#NAME?</v>
      </c>
      <c r="AU465" s="317">
        <v>427.8</v>
      </c>
      <c r="AV465" s="315" t="e">
        <f t="shared" ca="1" si="387"/>
        <v>#NAME?</v>
      </c>
      <c r="AW465" s="318" t="e">
        <f ca="1">0.0001*BicubicInterpolation('Drag Coef Table'!$B$4:$L$28,AV465,AC465)</f>
        <v>#NAME?</v>
      </c>
      <c r="AX465" s="319" t="e">
        <f t="shared" ca="1" si="388"/>
        <v>#NAME?</v>
      </c>
      <c r="AY465" s="318" t="e">
        <f t="shared" ca="1" si="389"/>
        <v>#NAME?</v>
      </c>
      <c r="AZ465" s="320" t="e">
        <f t="shared" ca="1" si="390"/>
        <v>#NAME?</v>
      </c>
      <c r="BA465" s="321" t="e">
        <f t="shared" ca="1" si="391"/>
        <v>#NAME?</v>
      </c>
      <c r="BB465" s="322" t="e">
        <f t="shared" ca="1" si="392"/>
        <v>#NAME?</v>
      </c>
      <c r="BC465" s="323">
        <v>75.196700000000007</v>
      </c>
      <c r="BD465" s="324" t="e">
        <f t="shared" ca="1" si="393"/>
        <v>#NAME?</v>
      </c>
      <c r="BE465" s="325" t="e">
        <f t="shared" ca="1" si="394"/>
        <v>#NAME?</v>
      </c>
      <c r="BF465" s="324" t="e">
        <f ca="1">BicubicInterpolation('TSFC Eff Table'!$B$4:$E$69,2,BB465)</f>
        <v>#NAME?</v>
      </c>
      <c r="BG465" s="326" t="e">
        <f t="shared" ca="1" si="395"/>
        <v>#NAME?</v>
      </c>
      <c r="BH465" s="694" t="e">
        <f ca="1">IF( S465="LRCINOP",   (1+(0.03/10)*Z465*(1+0.2*AC465^2) )*BicubicInterpolation( 'LRC INOP FF'!$C$4:$AA$21, Y465, U465 )-200, IF(S465 ="HOLDINGINOP", (1+(0.03/10)*Z465*(1+0.2*AC465^2) )*BicubicInterpolation( 'Holding INOP FF'!$C$4:$J$13,  Y465,  U465)/1.05-200,   BA465*BG465))</f>
        <v>#NAME?</v>
      </c>
      <c r="BI465" s="344" t="e">
        <f t="shared" ca="1" si="354"/>
        <v>#NAME?</v>
      </c>
      <c r="BJ465" s="322" t="e">
        <f t="shared" ca="1" si="396"/>
        <v>#NAME?</v>
      </c>
      <c r="BK465" s="338" t="e">
        <f t="shared" ca="1" si="355"/>
        <v>#NAME?</v>
      </c>
      <c r="BL465" s="327" t="e">
        <f t="shared" ca="1" si="397"/>
        <v>#NAME?</v>
      </c>
      <c r="BM465" s="328">
        <f t="shared" si="398"/>
        <v>200</v>
      </c>
      <c r="BN465" s="329" t="e">
        <f t="shared" ca="1" si="399"/>
        <v>#NAME?</v>
      </c>
      <c r="BO465" s="344" t="e">
        <f t="shared" ca="1" si="356"/>
        <v>#NAME?</v>
      </c>
      <c r="BP465" s="320" t="e">
        <f t="shared" ca="1" si="400"/>
        <v>#NAME?</v>
      </c>
      <c r="BQ465" s="344" t="e">
        <f t="shared" ca="1" si="357"/>
        <v>#NAME?</v>
      </c>
      <c r="BR465" s="347" t="e">
        <f t="shared" ca="1" si="358"/>
        <v>#NAME?</v>
      </c>
      <c r="BS465" s="326" t="e">
        <f t="shared" ca="1" si="401"/>
        <v>#NAME?</v>
      </c>
      <c r="BT465" s="437" t="e">
        <f t="shared" ca="1" si="371"/>
        <v>#NAME?</v>
      </c>
      <c r="BU465" s="437" t="e">
        <f t="shared" ca="1" si="372"/>
        <v>#NAME?</v>
      </c>
      <c r="BV465" s="441" t="e">
        <f t="shared" ca="1" si="373"/>
        <v>#NAME?</v>
      </c>
      <c r="BW465" s="442" t="e">
        <f t="shared" ca="1" si="374"/>
        <v>#NAME?</v>
      </c>
      <c r="BX465" s="470" t="e">
        <f t="shared" ca="1" si="347"/>
        <v>#NAME?</v>
      </c>
      <c r="BY465" s="484" t="e">
        <f t="shared" ca="1" si="359"/>
        <v>#NAME?</v>
      </c>
    </row>
    <row r="466" spans="9:77" ht="17.75" customHeight="1" x14ac:dyDescent="0.2">
      <c r="I466" s="366">
        <v>382</v>
      </c>
      <c r="J466" s="414">
        <f t="shared" si="360"/>
        <v>41705.977777778644</v>
      </c>
      <c r="K466" s="435" t="e">
        <f t="shared" ca="1" si="361"/>
        <v>#NAME?</v>
      </c>
      <c r="L466" s="435" t="e">
        <f t="shared" ca="1" si="348"/>
        <v>#NAME?</v>
      </c>
      <c r="M466" s="664" t="e">
        <f t="shared" ca="1" si="402"/>
        <v>#NAME?</v>
      </c>
      <c r="N466" s="664" t="e">
        <f t="shared" ca="1" si="403"/>
        <v>#NAME?</v>
      </c>
      <c r="O466" s="140" t="e">
        <f t="shared" ca="1" si="349"/>
        <v>#NAME?</v>
      </c>
      <c r="P466" s="352" t="e">
        <f t="shared" ca="1" si="362"/>
        <v>#NAME?</v>
      </c>
      <c r="Q466" s="665" t="e">
        <f t="shared" ca="1" si="404"/>
        <v>#NAME?</v>
      </c>
      <c r="R466" s="352" t="e">
        <f t="shared" ca="1" si="375"/>
        <v>#NAME?</v>
      </c>
      <c r="S466" s="662" t="e">
        <f t="shared" ca="1" si="350"/>
        <v>#NAME?</v>
      </c>
      <c r="T466" s="443" t="e">
        <f t="shared" ca="1" si="343"/>
        <v>#NAME?</v>
      </c>
      <c r="U466" s="369" t="e">
        <f t="shared" ca="1" si="344"/>
        <v>#NAME?</v>
      </c>
      <c r="V466" s="454" t="e">
        <f t="shared" ca="1" si="351"/>
        <v>#NAME?</v>
      </c>
      <c r="W466" s="457">
        <f t="shared" si="352"/>
        <v>1000</v>
      </c>
      <c r="X466" s="463" t="e">
        <f t="shared" ca="1" si="353"/>
        <v>#NAME?</v>
      </c>
      <c r="Y466" s="455" t="e">
        <f t="shared" ca="1" si="363"/>
        <v>#NAME?</v>
      </c>
      <c r="Z466" s="699">
        <f t="shared" si="345"/>
        <v>8.5</v>
      </c>
      <c r="AA466" s="355" t="str">
        <f t="shared" si="346"/>
        <v>ON</v>
      </c>
      <c r="AB466" s="357">
        <f t="shared" si="376"/>
        <v>1.4999999999999999E-2</v>
      </c>
      <c r="AC466" s="356" t="e">
        <f ca="1">IF(  Y465=0,0,IF(OR(S466="KCAS",S466="INOP",S466="MEFE"),   ( (5*( (   (((1+0.2*(T466/661.4786)^2)^3.5 -1)  )/( (1-6.8755856*10^-6 *100*Y466)^5.2558797) +1)^(2/7) -1) )^0.5),IF(S466="MACH",T466, IF(S466="LRC",BicubicInterpolation( 'LRC Mach'!$C$4:$AL$21, Y466,U466),  IF(S466="MRC",BicubicInterpolation( 'MRC Mach'!$C$3:$T$18, Y466,U466),  IF(S466="M0.84",0.84,  IF(S466="CI52",BicubicInterpolation('CI=52 Mach'!$C$3:$T$18, Y466,U466),  IF(S466="HOLDING",BicubicInterpolation(  'Holding Mach'!$C$4:$M$13, Y466,U466),                         IF(S466="LRCINOP", BicubicInterpolation('LRC INOP Mach'!$C$4:$AA$21,Y466,U466), IF(S466="HOLDINGINOP",  BicubicInterpolation('Holding INOP Mach'!$N$4:$U$13,Y466,U466),         "XXX" )))))))   )))</f>
        <v>#NAME?</v>
      </c>
      <c r="AD466" s="313" t="e">
        <f t="shared" ca="1" si="377"/>
        <v>#NAME?</v>
      </c>
      <c r="AE466" s="314" t="e">
        <f t="shared" ca="1" si="364"/>
        <v>#NAME?</v>
      </c>
      <c r="AF466" s="313" t="e">
        <f t="shared" ca="1" si="378"/>
        <v>#NAME?</v>
      </c>
      <c r="AG466" s="314" t="e">
        <f t="shared" ca="1" si="365"/>
        <v>#NAME?</v>
      </c>
      <c r="AH466" s="313" t="e">
        <f t="shared" ca="1" si="379"/>
        <v>#NAME?</v>
      </c>
      <c r="AI466" s="314" t="e">
        <f t="shared" ca="1" si="366"/>
        <v>#NAME?</v>
      </c>
      <c r="AJ466" s="315" t="e">
        <f t="shared" ca="1" si="367"/>
        <v>#NAME?</v>
      </c>
      <c r="AK466" s="568" t="e">
        <f t="shared" ca="1" si="380"/>
        <v>#NAME?</v>
      </c>
      <c r="AL466" s="313" t="e">
        <f t="shared" ca="1" si="381"/>
        <v>#NAME?</v>
      </c>
      <c r="AM466" s="313" t="e">
        <f t="shared" ca="1" si="368"/>
        <v>#NAME?</v>
      </c>
      <c r="AN466" s="313" t="e">
        <f t="shared" ca="1" si="369"/>
        <v>#NAME?</v>
      </c>
      <c r="AO466" s="316" t="e">
        <f t="shared" ca="1" si="382"/>
        <v>#NAME?</v>
      </c>
      <c r="AP466" s="313" t="e">
        <f t="shared" ca="1" si="383"/>
        <v>#NAME?</v>
      </c>
      <c r="AQ466" s="314" t="e">
        <f t="shared" ca="1" si="370"/>
        <v>#NAME?</v>
      </c>
      <c r="AR466" s="315" t="e">
        <f t="shared" ca="1" si="384"/>
        <v>#NAME?</v>
      </c>
      <c r="AS466" s="316" t="e">
        <f t="shared" ca="1" si="385"/>
        <v>#NAME?</v>
      </c>
      <c r="AT466" s="315" t="e">
        <f t="shared" ca="1" si="386"/>
        <v>#NAME?</v>
      </c>
      <c r="AU466" s="317">
        <v>427.8</v>
      </c>
      <c r="AV466" s="315" t="e">
        <f t="shared" ca="1" si="387"/>
        <v>#NAME?</v>
      </c>
      <c r="AW466" s="318" t="e">
        <f ca="1">0.0001*BicubicInterpolation('Drag Coef Table'!$B$4:$L$28,AV466,AC466)</f>
        <v>#NAME?</v>
      </c>
      <c r="AX466" s="319" t="e">
        <f t="shared" ca="1" si="388"/>
        <v>#NAME?</v>
      </c>
      <c r="AY466" s="318" t="e">
        <f t="shared" ca="1" si="389"/>
        <v>#NAME?</v>
      </c>
      <c r="AZ466" s="320" t="e">
        <f t="shared" ca="1" si="390"/>
        <v>#NAME?</v>
      </c>
      <c r="BA466" s="321" t="e">
        <f t="shared" ca="1" si="391"/>
        <v>#NAME?</v>
      </c>
      <c r="BB466" s="322" t="e">
        <f t="shared" ca="1" si="392"/>
        <v>#NAME?</v>
      </c>
      <c r="BC466" s="323">
        <v>75.196700000000007</v>
      </c>
      <c r="BD466" s="324" t="e">
        <f t="shared" ca="1" si="393"/>
        <v>#NAME?</v>
      </c>
      <c r="BE466" s="325" t="e">
        <f t="shared" ca="1" si="394"/>
        <v>#NAME?</v>
      </c>
      <c r="BF466" s="324" t="e">
        <f ca="1">BicubicInterpolation('TSFC Eff Table'!$B$4:$E$69,2,BB466)</f>
        <v>#NAME?</v>
      </c>
      <c r="BG466" s="326" t="e">
        <f t="shared" ca="1" si="395"/>
        <v>#NAME?</v>
      </c>
      <c r="BH466" s="694" t="e">
        <f ca="1">IF( S466="LRCINOP",   (1+(0.03/10)*Z466*(1+0.2*AC466^2) )*BicubicInterpolation( 'LRC INOP FF'!$C$4:$AA$21, Y466, U466 )-200, IF(S466 ="HOLDINGINOP", (1+(0.03/10)*Z466*(1+0.2*AC466^2) )*BicubicInterpolation( 'Holding INOP FF'!$C$4:$J$13,  Y466,  U466)/1.05-200,   BA466*BG466))</f>
        <v>#NAME?</v>
      </c>
      <c r="BI466" s="344" t="e">
        <f t="shared" ca="1" si="354"/>
        <v>#NAME?</v>
      </c>
      <c r="BJ466" s="322" t="e">
        <f t="shared" ca="1" si="396"/>
        <v>#NAME?</v>
      </c>
      <c r="BK466" s="338" t="e">
        <f t="shared" ca="1" si="355"/>
        <v>#NAME?</v>
      </c>
      <c r="BL466" s="327" t="e">
        <f t="shared" ca="1" si="397"/>
        <v>#NAME?</v>
      </c>
      <c r="BM466" s="328">
        <f t="shared" si="398"/>
        <v>200</v>
      </c>
      <c r="BN466" s="329" t="e">
        <f t="shared" ca="1" si="399"/>
        <v>#NAME?</v>
      </c>
      <c r="BO466" s="344" t="e">
        <f t="shared" ca="1" si="356"/>
        <v>#NAME?</v>
      </c>
      <c r="BP466" s="320" t="e">
        <f t="shared" ca="1" si="400"/>
        <v>#NAME?</v>
      </c>
      <c r="BQ466" s="344" t="e">
        <f t="shared" ca="1" si="357"/>
        <v>#NAME?</v>
      </c>
      <c r="BR466" s="347" t="e">
        <f t="shared" ca="1" si="358"/>
        <v>#NAME?</v>
      </c>
      <c r="BS466" s="326" t="e">
        <f t="shared" ca="1" si="401"/>
        <v>#NAME?</v>
      </c>
      <c r="BT466" s="437" t="e">
        <f t="shared" ca="1" si="371"/>
        <v>#NAME?</v>
      </c>
      <c r="BU466" s="437" t="e">
        <f t="shared" ca="1" si="372"/>
        <v>#NAME?</v>
      </c>
      <c r="BV466" s="441" t="e">
        <f t="shared" ca="1" si="373"/>
        <v>#NAME?</v>
      </c>
      <c r="BW466" s="442" t="e">
        <f t="shared" ca="1" si="374"/>
        <v>#NAME?</v>
      </c>
      <c r="BX466" s="470" t="e">
        <f t="shared" ca="1" si="347"/>
        <v>#NAME?</v>
      </c>
      <c r="BY466" s="484" t="e">
        <f t="shared" ca="1" si="359"/>
        <v>#NAME?</v>
      </c>
    </row>
    <row r="467" spans="9:77" ht="17.75" customHeight="1" x14ac:dyDescent="0.2">
      <c r="I467" s="366">
        <v>383</v>
      </c>
      <c r="J467" s="414">
        <f t="shared" si="360"/>
        <v>41705.978472223091</v>
      </c>
      <c r="K467" s="435" t="e">
        <f t="shared" ca="1" si="361"/>
        <v>#NAME?</v>
      </c>
      <c r="L467" s="435" t="e">
        <f t="shared" ca="1" si="348"/>
        <v>#NAME?</v>
      </c>
      <c r="M467" s="664" t="e">
        <f t="shared" ca="1" si="402"/>
        <v>#NAME?</v>
      </c>
      <c r="N467" s="664" t="e">
        <f t="shared" ca="1" si="403"/>
        <v>#NAME?</v>
      </c>
      <c r="O467" s="140" t="e">
        <f t="shared" ca="1" si="349"/>
        <v>#NAME?</v>
      </c>
      <c r="P467" s="352" t="e">
        <f t="shared" ca="1" si="362"/>
        <v>#NAME?</v>
      </c>
      <c r="Q467" s="665" t="e">
        <f t="shared" ca="1" si="404"/>
        <v>#NAME?</v>
      </c>
      <c r="R467" s="352" t="e">
        <f t="shared" ca="1" si="375"/>
        <v>#NAME?</v>
      </c>
      <c r="S467" s="662" t="e">
        <f t="shared" ca="1" si="350"/>
        <v>#NAME?</v>
      </c>
      <c r="T467" s="443" t="e">
        <f t="shared" ca="1" si="343"/>
        <v>#NAME?</v>
      </c>
      <c r="U467" s="369" t="e">
        <f t="shared" ca="1" si="344"/>
        <v>#NAME?</v>
      </c>
      <c r="V467" s="454" t="e">
        <f t="shared" ca="1" si="351"/>
        <v>#NAME?</v>
      </c>
      <c r="W467" s="457">
        <f t="shared" si="352"/>
        <v>1000</v>
      </c>
      <c r="X467" s="463" t="e">
        <f t="shared" ca="1" si="353"/>
        <v>#NAME?</v>
      </c>
      <c r="Y467" s="455" t="e">
        <f t="shared" ca="1" si="363"/>
        <v>#NAME?</v>
      </c>
      <c r="Z467" s="699">
        <f t="shared" si="345"/>
        <v>8.5</v>
      </c>
      <c r="AA467" s="355" t="str">
        <f t="shared" si="346"/>
        <v>ON</v>
      </c>
      <c r="AB467" s="357">
        <f t="shared" si="376"/>
        <v>1.4999999999999999E-2</v>
      </c>
      <c r="AC467" s="356" t="e">
        <f ca="1">IF(  Y466=0,0,IF(OR(S467="KCAS",S467="INOP",S467="MEFE"),   ( (5*( (   (((1+0.2*(T467/661.4786)^2)^3.5 -1)  )/( (1-6.8755856*10^-6 *100*Y467)^5.2558797) +1)^(2/7) -1) )^0.5),IF(S467="MACH",T467, IF(S467="LRC",BicubicInterpolation( 'LRC Mach'!$C$4:$AL$21, Y467,U467),  IF(S467="MRC",BicubicInterpolation( 'MRC Mach'!$C$3:$T$18, Y467,U467),  IF(S467="M0.84",0.84,  IF(S467="CI52",BicubicInterpolation('CI=52 Mach'!$C$3:$T$18, Y467,U467),  IF(S467="HOLDING",BicubicInterpolation(  'Holding Mach'!$C$4:$M$13, Y467,U467),                         IF(S467="LRCINOP", BicubicInterpolation('LRC INOP Mach'!$C$4:$AA$21,Y467,U467), IF(S467="HOLDINGINOP",  BicubicInterpolation('Holding INOP Mach'!$N$4:$U$13,Y467,U467),         "XXX" )))))))   )))</f>
        <v>#NAME?</v>
      </c>
      <c r="AD467" s="313" t="e">
        <f t="shared" ca="1" si="377"/>
        <v>#NAME?</v>
      </c>
      <c r="AE467" s="314" t="e">
        <f t="shared" ca="1" si="364"/>
        <v>#NAME?</v>
      </c>
      <c r="AF467" s="313" t="e">
        <f t="shared" ca="1" si="378"/>
        <v>#NAME?</v>
      </c>
      <c r="AG467" s="314" t="e">
        <f t="shared" ca="1" si="365"/>
        <v>#NAME?</v>
      </c>
      <c r="AH467" s="313" t="e">
        <f t="shared" ca="1" si="379"/>
        <v>#NAME?</v>
      </c>
      <c r="AI467" s="314" t="e">
        <f t="shared" ca="1" si="366"/>
        <v>#NAME?</v>
      </c>
      <c r="AJ467" s="315" t="e">
        <f t="shared" ca="1" si="367"/>
        <v>#NAME?</v>
      </c>
      <c r="AK467" s="568" t="e">
        <f t="shared" ca="1" si="380"/>
        <v>#NAME?</v>
      </c>
      <c r="AL467" s="313" t="e">
        <f t="shared" ca="1" si="381"/>
        <v>#NAME?</v>
      </c>
      <c r="AM467" s="313" t="e">
        <f t="shared" ca="1" si="368"/>
        <v>#NAME?</v>
      </c>
      <c r="AN467" s="313" t="e">
        <f t="shared" ca="1" si="369"/>
        <v>#NAME?</v>
      </c>
      <c r="AO467" s="316" t="e">
        <f t="shared" ca="1" si="382"/>
        <v>#NAME?</v>
      </c>
      <c r="AP467" s="313" t="e">
        <f t="shared" ca="1" si="383"/>
        <v>#NAME?</v>
      </c>
      <c r="AQ467" s="314" t="e">
        <f t="shared" ca="1" si="370"/>
        <v>#NAME?</v>
      </c>
      <c r="AR467" s="315" t="e">
        <f t="shared" ca="1" si="384"/>
        <v>#NAME?</v>
      </c>
      <c r="AS467" s="316" t="e">
        <f t="shared" ca="1" si="385"/>
        <v>#NAME?</v>
      </c>
      <c r="AT467" s="315" t="e">
        <f t="shared" ca="1" si="386"/>
        <v>#NAME?</v>
      </c>
      <c r="AU467" s="317">
        <v>427.8</v>
      </c>
      <c r="AV467" s="315" t="e">
        <f t="shared" ca="1" si="387"/>
        <v>#NAME?</v>
      </c>
      <c r="AW467" s="318" t="e">
        <f ca="1">0.0001*BicubicInterpolation('Drag Coef Table'!$B$4:$L$28,AV467,AC467)</f>
        <v>#NAME?</v>
      </c>
      <c r="AX467" s="319" t="e">
        <f t="shared" ca="1" si="388"/>
        <v>#NAME?</v>
      </c>
      <c r="AY467" s="318" t="e">
        <f t="shared" ca="1" si="389"/>
        <v>#NAME?</v>
      </c>
      <c r="AZ467" s="320" t="e">
        <f t="shared" ca="1" si="390"/>
        <v>#NAME?</v>
      </c>
      <c r="BA467" s="321" t="e">
        <f t="shared" ca="1" si="391"/>
        <v>#NAME?</v>
      </c>
      <c r="BB467" s="322" t="e">
        <f t="shared" ca="1" si="392"/>
        <v>#NAME?</v>
      </c>
      <c r="BC467" s="323">
        <v>75.196700000000007</v>
      </c>
      <c r="BD467" s="324" t="e">
        <f t="shared" ca="1" si="393"/>
        <v>#NAME?</v>
      </c>
      <c r="BE467" s="325" t="e">
        <f t="shared" ca="1" si="394"/>
        <v>#NAME?</v>
      </c>
      <c r="BF467" s="324" t="e">
        <f ca="1">BicubicInterpolation('TSFC Eff Table'!$B$4:$E$69,2,BB467)</f>
        <v>#NAME?</v>
      </c>
      <c r="BG467" s="326" t="e">
        <f t="shared" ca="1" si="395"/>
        <v>#NAME?</v>
      </c>
      <c r="BH467" s="694" t="e">
        <f ca="1">IF( S467="LRCINOP",   (1+(0.03/10)*Z467*(1+0.2*AC467^2) )*BicubicInterpolation( 'LRC INOP FF'!$C$4:$AA$21, Y467, U467 )-200, IF(S467 ="HOLDINGINOP", (1+(0.03/10)*Z467*(1+0.2*AC467^2) )*BicubicInterpolation( 'Holding INOP FF'!$C$4:$J$13,  Y467,  U467)/1.05-200,   BA467*BG467))</f>
        <v>#NAME?</v>
      </c>
      <c r="BI467" s="344" t="e">
        <f t="shared" ca="1" si="354"/>
        <v>#NAME?</v>
      </c>
      <c r="BJ467" s="322" t="e">
        <f t="shared" ca="1" si="396"/>
        <v>#NAME?</v>
      </c>
      <c r="BK467" s="338" t="e">
        <f t="shared" ca="1" si="355"/>
        <v>#NAME?</v>
      </c>
      <c r="BL467" s="327" t="e">
        <f t="shared" ca="1" si="397"/>
        <v>#NAME?</v>
      </c>
      <c r="BM467" s="328">
        <f t="shared" si="398"/>
        <v>200</v>
      </c>
      <c r="BN467" s="329" t="e">
        <f t="shared" ca="1" si="399"/>
        <v>#NAME?</v>
      </c>
      <c r="BO467" s="344" t="e">
        <f t="shared" ca="1" si="356"/>
        <v>#NAME?</v>
      </c>
      <c r="BP467" s="320" t="e">
        <f t="shared" ca="1" si="400"/>
        <v>#NAME?</v>
      </c>
      <c r="BQ467" s="344" t="e">
        <f t="shared" ca="1" si="357"/>
        <v>#NAME?</v>
      </c>
      <c r="BR467" s="347" t="e">
        <f t="shared" ca="1" si="358"/>
        <v>#NAME?</v>
      </c>
      <c r="BS467" s="326" t="e">
        <f t="shared" ca="1" si="401"/>
        <v>#NAME?</v>
      </c>
      <c r="BT467" s="437" t="e">
        <f t="shared" ca="1" si="371"/>
        <v>#NAME?</v>
      </c>
      <c r="BU467" s="437" t="e">
        <f t="shared" ca="1" si="372"/>
        <v>#NAME?</v>
      </c>
      <c r="BV467" s="441" t="e">
        <f t="shared" ca="1" si="373"/>
        <v>#NAME?</v>
      </c>
      <c r="BW467" s="442" t="e">
        <f t="shared" ca="1" si="374"/>
        <v>#NAME?</v>
      </c>
      <c r="BX467" s="470" t="e">
        <f t="shared" ca="1" si="347"/>
        <v>#NAME?</v>
      </c>
      <c r="BY467" s="484" t="e">
        <f t="shared" ca="1" si="359"/>
        <v>#NAME?</v>
      </c>
    </row>
    <row r="468" spans="9:77" ht="17.75" customHeight="1" x14ac:dyDescent="0.2">
      <c r="I468" s="366">
        <v>384</v>
      </c>
      <c r="J468" s="414">
        <f t="shared" si="360"/>
        <v>41705.979166667537</v>
      </c>
      <c r="K468" s="435" t="e">
        <f t="shared" ca="1" si="361"/>
        <v>#NAME?</v>
      </c>
      <c r="L468" s="435" t="e">
        <f t="shared" ca="1" si="348"/>
        <v>#NAME?</v>
      </c>
      <c r="M468" s="664" t="e">
        <f t="shared" ca="1" si="402"/>
        <v>#NAME?</v>
      </c>
      <c r="N468" s="664" t="e">
        <f t="shared" ca="1" si="403"/>
        <v>#NAME?</v>
      </c>
      <c r="O468" s="140" t="e">
        <f t="shared" ca="1" si="349"/>
        <v>#NAME?</v>
      </c>
      <c r="P468" s="352" t="e">
        <f t="shared" ca="1" si="362"/>
        <v>#NAME?</v>
      </c>
      <c r="Q468" s="665" t="e">
        <f t="shared" ca="1" si="404"/>
        <v>#NAME?</v>
      </c>
      <c r="R468" s="352" t="e">
        <f t="shared" ca="1" si="375"/>
        <v>#NAME?</v>
      </c>
      <c r="S468" s="662" t="e">
        <f t="shared" ca="1" si="350"/>
        <v>#NAME?</v>
      </c>
      <c r="T468" s="443" t="e">
        <f t="shared" ca="1" si="343"/>
        <v>#NAME?</v>
      </c>
      <c r="U468" s="369" t="e">
        <f t="shared" ca="1" si="344"/>
        <v>#NAME?</v>
      </c>
      <c r="V468" s="454" t="e">
        <f t="shared" ca="1" si="351"/>
        <v>#NAME?</v>
      </c>
      <c r="W468" s="457">
        <f t="shared" si="352"/>
        <v>1000</v>
      </c>
      <c r="X468" s="463" t="e">
        <f t="shared" ca="1" si="353"/>
        <v>#NAME?</v>
      </c>
      <c r="Y468" s="455" t="e">
        <f t="shared" ca="1" si="363"/>
        <v>#NAME?</v>
      </c>
      <c r="Z468" s="699">
        <f t="shared" si="345"/>
        <v>8.5</v>
      </c>
      <c r="AA468" s="355" t="str">
        <f t="shared" si="346"/>
        <v>ON</v>
      </c>
      <c r="AB468" s="357">
        <f t="shared" si="376"/>
        <v>1.4999999999999999E-2</v>
      </c>
      <c r="AC468" s="356" t="e">
        <f ca="1">IF(  Y467=0,0,IF(OR(S468="KCAS",S468="INOP",S468="MEFE"),   ( (5*( (   (((1+0.2*(T468/661.4786)^2)^3.5 -1)  )/( (1-6.8755856*10^-6 *100*Y468)^5.2558797) +1)^(2/7) -1) )^0.5),IF(S468="MACH",T468, IF(S468="LRC",BicubicInterpolation( 'LRC Mach'!$C$4:$AL$21, Y468,U468),  IF(S468="MRC",BicubicInterpolation( 'MRC Mach'!$C$3:$T$18, Y468,U468),  IF(S468="M0.84",0.84,  IF(S468="CI52",BicubicInterpolation('CI=52 Mach'!$C$3:$T$18, Y468,U468),  IF(S468="HOLDING",BicubicInterpolation(  'Holding Mach'!$C$4:$M$13, Y468,U468),                         IF(S468="LRCINOP", BicubicInterpolation('LRC INOP Mach'!$C$4:$AA$21,Y468,U468), IF(S468="HOLDINGINOP",  BicubicInterpolation('Holding INOP Mach'!$N$4:$U$13,Y468,U468),         "XXX" )))))))   )))</f>
        <v>#NAME?</v>
      </c>
      <c r="AD468" s="313" t="e">
        <f t="shared" ca="1" si="377"/>
        <v>#NAME?</v>
      </c>
      <c r="AE468" s="314" t="e">
        <f t="shared" ca="1" si="364"/>
        <v>#NAME?</v>
      </c>
      <c r="AF468" s="313" t="e">
        <f t="shared" ca="1" si="378"/>
        <v>#NAME?</v>
      </c>
      <c r="AG468" s="314" t="e">
        <f t="shared" ca="1" si="365"/>
        <v>#NAME?</v>
      </c>
      <c r="AH468" s="313" t="e">
        <f t="shared" ca="1" si="379"/>
        <v>#NAME?</v>
      </c>
      <c r="AI468" s="314" t="e">
        <f t="shared" ca="1" si="366"/>
        <v>#NAME?</v>
      </c>
      <c r="AJ468" s="315" t="e">
        <f t="shared" ca="1" si="367"/>
        <v>#NAME?</v>
      </c>
      <c r="AK468" s="568" t="e">
        <f t="shared" ca="1" si="380"/>
        <v>#NAME?</v>
      </c>
      <c r="AL468" s="313" t="e">
        <f t="shared" ca="1" si="381"/>
        <v>#NAME?</v>
      </c>
      <c r="AM468" s="313" t="e">
        <f t="shared" ca="1" si="368"/>
        <v>#NAME?</v>
      </c>
      <c r="AN468" s="313" t="e">
        <f t="shared" ca="1" si="369"/>
        <v>#NAME?</v>
      </c>
      <c r="AO468" s="316" t="e">
        <f t="shared" ca="1" si="382"/>
        <v>#NAME?</v>
      </c>
      <c r="AP468" s="313" t="e">
        <f t="shared" ca="1" si="383"/>
        <v>#NAME?</v>
      </c>
      <c r="AQ468" s="314" t="e">
        <f t="shared" ca="1" si="370"/>
        <v>#NAME?</v>
      </c>
      <c r="AR468" s="315" t="e">
        <f t="shared" ca="1" si="384"/>
        <v>#NAME?</v>
      </c>
      <c r="AS468" s="316" t="e">
        <f t="shared" ca="1" si="385"/>
        <v>#NAME?</v>
      </c>
      <c r="AT468" s="315" t="e">
        <f t="shared" ca="1" si="386"/>
        <v>#NAME?</v>
      </c>
      <c r="AU468" s="317">
        <v>427.8</v>
      </c>
      <c r="AV468" s="315" t="e">
        <f t="shared" ca="1" si="387"/>
        <v>#NAME?</v>
      </c>
      <c r="AW468" s="318" t="e">
        <f ca="1">0.0001*BicubicInterpolation('Drag Coef Table'!$B$4:$L$28,AV468,AC468)</f>
        <v>#NAME?</v>
      </c>
      <c r="AX468" s="319" t="e">
        <f t="shared" ca="1" si="388"/>
        <v>#NAME?</v>
      </c>
      <c r="AY468" s="318" t="e">
        <f t="shared" ca="1" si="389"/>
        <v>#NAME?</v>
      </c>
      <c r="AZ468" s="320" t="e">
        <f t="shared" ca="1" si="390"/>
        <v>#NAME?</v>
      </c>
      <c r="BA468" s="321" t="e">
        <f t="shared" ca="1" si="391"/>
        <v>#NAME?</v>
      </c>
      <c r="BB468" s="322" t="e">
        <f t="shared" ca="1" si="392"/>
        <v>#NAME?</v>
      </c>
      <c r="BC468" s="323">
        <v>75.196700000000007</v>
      </c>
      <c r="BD468" s="324" t="e">
        <f t="shared" ca="1" si="393"/>
        <v>#NAME?</v>
      </c>
      <c r="BE468" s="325" t="e">
        <f t="shared" ca="1" si="394"/>
        <v>#NAME?</v>
      </c>
      <c r="BF468" s="324" t="e">
        <f ca="1">BicubicInterpolation('TSFC Eff Table'!$B$4:$E$69,2,BB468)</f>
        <v>#NAME?</v>
      </c>
      <c r="BG468" s="326" t="e">
        <f t="shared" ca="1" si="395"/>
        <v>#NAME?</v>
      </c>
      <c r="BH468" s="694" t="e">
        <f ca="1">IF( S468="LRCINOP",   (1+(0.03/10)*Z468*(1+0.2*AC468^2) )*BicubicInterpolation( 'LRC INOP FF'!$C$4:$AA$21, Y468, U468 )-200, IF(S468 ="HOLDINGINOP", (1+(0.03/10)*Z468*(1+0.2*AC468^2) )*BicubicInterpolation( 'Holding INOP FF'!$C$4:$J$13,  Y468,  U468)/1.05-200,   BA468*BG468))</f>
        <v>#NAME?</v>
      </c>
      <c r="BI468" s="344" t="e">
        <f t="shared" ca="1" si="354"/>
        <v>#NAME?</v>
      </c>
      <c r="BJ468" s="322" t="e">
        <f t="shared" ca="1" si="396"/>
        <v>#NAME?</v>
      </c>
      <c r="BK468" s="338" t="e">
        <f t="shared" ca="1" si="355"/>
        <v>#NAME?</v>
      </c>
      <c r="BL468" s="327" t="e">
        <f t="shared" ca="1" si="397"/>
        <v>#NAME?</v>
      </c>
      <c r="BM468" s="328">
        <f t="shared" si="398"/>
        <v>200</v>
      </c>
      <c r="BN468" s="329" t="e">
        <f t="shared" ca="1" si="399"/>
        <v>#NAME?</v>
      </c>
      <c r="BO468" s="344" t="e">
        <f t="shared" ca="1" si="356"/>
        <v>#NAME?</v>
      </c>
      <c r="BP468" s="320" t="e">
        <f t="shared" ca="1" si="400"/>
        <v>#NAME?</v>
      </c>
      <c r="BQ468" s="344" t="e">
        <f t="shared" ca="1" si="357"/>
        <v>#NAME?</v>
      </c>
      <c r="BR468" s="347" t="e">
        <f t="shared" ca="1" si="358"/>
        <v>#NAME?</v>
      </c>
      <c r="BS468" s="326" t="e">
        <f t="shared" ca="1" si="401"/>
        <v>#NAME?</v>
      </c>
      <c r="BT468" s="437" t="e">
        <f t="shared" ca="1" si="371"/>
        <v>#NAME?</v>
      </c>
      <c r="BU468" s="437" t="e">
        <f t="shared" ca="1" si="372"/>
        <v>#NAME?</v>
      </c>
      <c r="BV468" s="441" t="e">
        <f t="shared" ca="1" si="373"/>
        <v>#NAME?</v>
      </c>
      <c r="BW468" s="442" t="e">
        <f t="shared" ca="1" si="374"/>
        <v>#NAME?</v>
      </c>
      <c r="BX468" s="470" t="e">
        <f t="shared" ca="1" si="347"/>
        <v>#NAME?</v>
      </c>
      <c r="BY468" s="484" t="e">
        <f t="shared" ca="1" si="359"/>
        <v>#NAME?</v>
      </c>
    </row>
    <row r="469" spans="9:77" ht="17.75" customHeight="1" x14ac:dyDescent="0.2">
      <c r="I469" s="366">
        <v>385</v>
      </c>
      <c r="J469" s="414">
        <f t="shared" si="360"/>
        <v>41705.979861111984</v>
      </c>
      <c r="K469" s="435" t="e">
        <f t="shared" ca="1" si="361"/>
        <v>#NAME?</v>
      </c>
      <c r="L469" s="435" t="e">
        <f t="shared" ca="1" si="348"/>
        <v>#NAME?</v>
      </c>
      <c r="M469" s="664" t="e">
        <f t="shared" ca="1" si="402"/>
        <v>#NAME?</v>
      </c>
      <c r="N469" s="664" t="e">
        <f t="shared" ca="1" si="403"/>
        <v>#NAME?</v>
      </c>
      <c r="O469" s="140" t="e">
        <f t="shared" ca="1" si="349"/>
        <v>#NAME?</v>
      </c>
      <c r="P469" s="352" t="e">
        <f t="shared" ca="1" si="362"/>
        <v>#NAME?</v>
      </c>
      <c r="Q469" s="665" t="e">
        <f t="shared" ca="1" si="404"/>
        <v>#NAME?</v>
      </c>
      <c r="R469" s="352" t="e">
        <f t="shared" ca="1" si="375"/>
        <v>#NAME?</v>
      </c>
      <c r="S469" s="662" t="e">
        <f t="shared" ca="1" si="350"/>
        <v>#NAME?</v>
      </c>
      <c r="T469" s="443" t="e">
        <f t="shared" ref="T469:T532" ca="1" si="405">IF(AND(S469="MEFE",  S468="MEFE"), MAX(T468+$C$43,$C$39), IF(AND(S468="INOP",S469="MEFE"),  MAX(T468+$C$38,$C$39), IF(AND(S469="INOP",S468="INOP"), MAX(T468+$C$38,$C$39),IF(S469="INOP", AO468,IF($J469&lt;$C$12,$C$6,IF($J469&lt;$C$18,$C$14,$C$20))))))</f>
        <v>#NAME?</v>
      </c>
      <c r="U469" s="369" t="e">
        <f t="shared" ref="U469:U532" ca="1" si="406">P469</f>
        <v>#NAME?</v>
      </c>
      <c r="V469" s="454" t="e">
        <f t="shared" ca="1" si="351"/>
        <v>#NAME?</v>
      </c>
      <c r="W469" s="457">
        <f t="shared" si="352"/>
        <v>1000</v>
      </c>
      <c r="X469" s="463" t="e">
        <f t="shared" ca="1" si="353"/>
        <v>#NAME?</v>
      </c>
      <c r="Y469" s="455" t="e">
        <f t="shared" ca="1" si="363"/>
        <v>#NAME?</v>
      </c>
      <c r="Z469" s="699">
        <f t="shared" ref="Z469:Z532" si="407">IF(I469&gt;$M$83-1,$C$22,IF(I469&gt;$K$83-1,$C$16,$C$8))</f>
        <v>8.5</v>
      </c>
      <c r="AA469" s="355" t="str">
        <f t="shared" ref="AA469:AA532" si="408">IF(I469&lt;$K$83,$C$9, IF( I469&lt;$L$83, $C$17,$C$23))</f>
        <v>ON</v>
      </c>
      <c r="AB469" s="357">
        <f t="shared" si="376"/>
        <v>1.4999999999999999E-2</v>
      </c>
      <c r="AC469" s="356" t="e">
        <f ca="1">IF(  Y468=0,0,IF(OR(S469="KCAS",S469="INOP",S469="MEFE"),   ( (5*( (   (((1+0.2*(T469/661.4786)^2)^3.5 -1)  )/( (1-6.8755856*10^-6 *100*Y469)^5.2558797) +1)^(2/7) -1) )^0.5),IF(S469="MACH",T469, IF(S469="LRC",BicubicInterpolation( 'LRC Mach'!$C$4:$AL$21, Y469,U469),  IF(S469="MRC",BicubicInterpolation( 'MRC Mach'!$C$3:$T$18, Y469,U469),  IF(S469="M0.84",0.84,  IF(S469="CI52",BicubicInterpolation('CI=52 Mach'!$C$3:$T$18, Y469,U469),  IF(S469="HOLDING",BicubicInterpolation(  'Holding Mach'!$C$4:$M$13, Y469,U469),                         IF(S469="LRCINOP", BicubicInterpolation('LRC INOP Mach'!$C$4:$AA$21,Y469,U469), IF(S469="HOLDINGINOP",  BicubicInterpolation('Holding INOP Mach'!$N$4:$U$13,Y469,U469),         "XXX" )))))))   )))</f>
        <v>#NAME?</v>
      </c>
      <c r="AD469" s="313" t="e">
        <f t="shared" ca="1" si="377"/>
        <v>#NAME?</v>
      </c>
      <c r="AE469" s="314" t="e">
        <f t="shared" ca="1" si="364"/>
        <v>#NAME?</v>
      </c>
      <c r="AF469" s="313" t="e">
        <f t="shared" ca="1" si="378"/>
        <v>#NAME?</v>
      </c>
      <c r="AG469" s="314" t="e">
        <f t="shared" ca="1" si="365"/>
        <v>#NAME?</v>
      </c>
      <c r="AH469" s="313" t="e">
        <f t="shared" ca="1" si="379"/>
        <v>#NAME?</v>
      </c>
      <c r="AI469" s="314" t="e">
        <f t="shared" ca="1" si="366"/>
        <v>#NAME?</v>
      </c>
      <c r="AJ469" s="315" t="e">
        <f t="shared" ca="1" si="367"/>
        <v>#NAME?</v>
      </c>
      <c r="AK469" s="568" t="e">
        <f t="shared" ca="1" si="380"/>
        <v>#NAME?</v>
      </c>
      <c r="AL469" s="313" t="e">
        <f t="shared" ca="1" si="381"/>
        <v>#NAME?</v>
      </c>
      <c r="AM469" s="313" t="e">
        <f t="shared" ca="1" si="368"/>
        <v>#NAME?</v>
      </c>
      <c r="AN469" s="313" t="e">
        <f t="shared" ca="1" si="369"/>
        <v>#NAME?</v>
      </c>
      <c r="AO469" s="316" t="e">
        <f t="shared" ca="1" si="382"/>
        <v>#NAME?</v>
      </c>
      <c r="AP469" s="313" t="e">
        <f t="shared" ca="1" si="383"/>
        <v>#NAME?</v>
      </c>
      <c r="AQ469" s="314" t="e">
        <f t="shared" ca="1" si="370"/>
        <v>#NAME?</v>
      </c>
      <c r="AR469" s="315" t="e">
        <f t="shared" ca="1" si="384"/>
        <v>#NAME?</v>
      </c>
      <c r="AS469" s="316" t="e">
        <f t="shared" ca="1" si="385"/>
        <v>#NAME?</v>
      </c>
      <c r="AT469" s="315" t="e">
        <f t="shared" ca="1" si="386"/>
        <v>#NAME?</v>
      </c>
      <c r="AU469" s="317">
        <v>427.8</v>
      </c>
      <c r="AV469" s="315" t="e">
        <f t="shared" ca="1" si="387"/>
        <v>#NAME?</v>
      </c>
      <c r="AW469" s="318" t="e">
        <f ca="1">0.0001*BicubicInterpolation('Drag Coef Table'!$B$4:$L$28,AV469,AC469)</f>
        <v>#NAME?</v>
      </c>
      <c r="AX469" s="319" t="e">
        <f t="shared" ca="1" si="388"/>
        <v>#NAME?</v>
      </c>
      <c r="AY469" s="318" t="e">
        <f t="shared" ca="1" si="389"/>
        <v>#NAME?</v>
      </c>
      <c r="AZ469" s="320" t="e">
        <f t="shared" ca="1" si="390"/>
        <v>#NAME?</v>
      </c>
      <c r="BA469" s="321" t="e">
        <f t="shared" ca="1" si="391"/>
        <v>#NAME?</v>
      </c>
      <c r="BB469" s="322" t="e">
        <f t="shared" ca="1" si="392"/>
        <v>#NAME?</v>
      </c>
      <c r="BC469" s="323">
        <v>75.196700000000007</v>
      </c>
      <c r="BD469" s="324" t="e">
        <f t="shared" ca="1" si="393"/>
        <v>#NAME?</v>
      </c>
      <c r="BE469" s="325" t="e">
        <f t="shared" ca="1" si="394"/>
        <v>#NAME?</v>
      </c>
      <c r="BF469" s="324" t="e">
        <f ca="1">BicubicInterpolation('TSFC Eff Table'!$B$4:$E$69,2,BB469)</f>
        <v>#NAME?</v>
      </c>
      <c r="BG469" s="326" t="e">
        <f t="shared" ca="1" si="395"/>
        <v>#NAME?</v>
      </c>
      <c r="BH469" s="694" t="e">
        <f ca="1">IF( S469="LRCINOP",   (1+(0.03/10)*Z469*(1+0.2*AC469^2) )*BicubicInterpolation( 'LRC INOP FF'!$C$4:$AA$21, Y469, U469 )-200, IF(S469 ="HOLDINGINOP", (1+(0.03/10)*Z469*(1+0.2*AC469^2) )*BicubicInterpolation( 'Holding INOP FF'!$C$4:$J$13,  Y469,  U469)/1.05-200,   BA469*BG469))</f>
        <v>#NAME?</v>
      </c>
      <c r="BI469" s="344" t="e">
        <f t="shared" ca="1" si="354"/>
        <v>#NAME?</v>
      </c>
      <c r="BJ469" s="322" t="e">
        <f t="shared" ca="1" si="396"/>
        <v>#NAME?</v>
      </c>
      <c r="BK469" s="338" t="e">
        <f t="shared" ca="1" si="355"/>
        <v>#NAME?</v>
      </c>
      <c r="BL469" s="327" t="e">
        <f t="shared" ca="1" si="397"/>
        <v>#NAME?</v>
      </c>
      <c r="BM469" s="328">
        <f t="shared" si="398"/>
        <v>200</v>
      </c>
      <c r="BN469" s="329" t="e">
        <f t="shared" ca="1" si="399"/>
        <v>#NAME?</v>
      </c>
      <c r="BO469" s="344" t="e">
        <f t="shared" ca="1" si="356"/>
        <v>#NAME?</v>
      </c>
      <c r="BP469" s="320" t="e">
        <f t="shared" ca="1" si="400"/>
        <v>#NAME?</v>
      </c>
      <c r="BQ469" s="344" t="e">
        <f t="shared" ca="1" si="357"/>
        <v>#NAME?</v>
      </c>
      <c r="BR469" s="347" t="e">
        <f t="shared" ca="1" si="358"/>
        <v>#NAME?</v>
      </c>
      <c r="BS469" s="326" t="e">
        <f t="shared" ca="1" si="401"/>
        <v>#NAME?</v>
      </c>
      <c r="BT469" s="437" t="e">
        <f t="shared" ca="1" si="371"/>
        <v>#NAME?</v>
      </c>
      <c r="BU469" s="437" t="e">
        <f t="shared" ca="1" si="372"/>
        <v>#NAME?</v>
      </c>
      <c r="BV469" s="441" t="e">
        <f t="shared" ca="1" si="373"/>
        <v>#NAME?</v>
      </c>
      <c r="BW469" s="442" t="e">
        <f t="shared" ca="1" si="374"/>
        <v>#NAME?</v>
      </c>
      <c r="BX469" s="470" t="e">
        <f t="shared" ref="BX469:BX532" ca="1" si="409">IF(Y469=0,I469,"")</f>
        <v>#NAME?</v>
      </c>
      <c r="BY469" s="484" t="e">
        <f t="shared" ca="1" si="359"/>
        <v>#NAME?</v>
      </c>
    </row>
    <row r="470" spans="9:77" ht="17.75" customHeight="1" x14ac:dyDescent="0.2">
      <c r="I470" s="366">
        <v>386</v>
      </c>
      <c r="J470" s="414">
        <f t="shared" si="360"/>
        <v>41705.980555556431</v>
      </c>
      <c r="K470" s="435" t="e">
        <f t="shared" ca="1" si="361"/>
        <v>#NAME?</v>
      </c>
      <c r="L470" s="435" t="e">
        <f t="shared" ref="L470:L500" ca="1" si="410">IF(N470=0,0,Q470*(1+$C$79)/60)</f>
        <v>#NAME?</v>
      </c>
      <c r="M470" s="664" t="e">
        <f t="shared" ca="1" si="402"/>
        <v>#NAME?</v>
      </c>
      <c r="N470" s="664" t="e">
        <f t="shared" ca="1" si="403"/>
        <v>#NAME?</v>
      </c>
      <c r="O470" s="140" t="e">
        <f t="shared" ref="O470:O533" ca="1" si="411">M470+N470</f>
        <v>#NAME?</v>
      </c>
      <c r="P470" s="352" t="e">
        <f t="shared" ca="1" si="362"/>
        <v>#NAME?</v>
      </c>
      <c r="Q470" s="665" t="e">
        <f t="shared" ca="1" si="404"/>
        <v>#NAME?</v>
      </c>
      <c r="R470" s="352" t="e">
        <f t="shared" ca="1" si="375"/>
        <v>#NAME?</v>
      </c>
      <c r="S470" s="662" t="e">
        <f t="shared" ref="S470:S533" ca="1" si="412">IF(O470=0, "MEFE",IF(AND(  NOT(S469="LRCINOP"),NOT(S469="HOLDINGINOP"),  N470=0), "INOP",IF(I470&gt;$M$83-1,$C$19,IF(I470&gt;$K$83-1,$C$13,$C$5))))</f>
        <v>#NAME?</v>
      </c>
      <c r="T470" s="443" t="e">
        <f t="shared" ca="1" si="405"/>
        <v>#NAME?</v>
      </c>
      <c r="U470" s="369" t="e">
        <f t="shared" ca="1" si="406"/>
        <v>#NAME?</v>
      </c>
      <c r="V470" s="454" t="e">
        <f t="shared" ref="V470:V533" ca="1" si="413">IF(S469="MEFE",0,IF(AND(S469="INOP", T470=$C$39 ), MIN($C$40,V469 ),IF(J469&lt;$C$12,$C$7,IF(J469&lt;$C$18,$C$15,$C$21))))</f>
        <v>#NAME?</v>
      </c>
      <c r="W470" s="457">
        <f t="shared" ref="W470:W533" si="414">$C$27</f>
        <v>1000</v>
      </c>
      <c r="X470" s="463" t="e">
        <f t="shared" ref="X470:X533" ca="1" si="415">IF(   Y469=0,  0,   IF(S470="INOP", $C$41, IF(S470="MEFE", $C$42,IF(OR(S470="KCAS",S470="HOLDING"), $C$31,$C$28 ) ))             )</f>
        <v>#NAME?</v>
      </c>
      <c r="Y470" s="455" t="e">
        <f t="shared" ca="1" si="363"/>
        <v>#NAME?</v>
      </c>
      <c r="Z470" s="699">
        <f t="shared" si="407"/>
        <v>8.5</v>
      </c>
      <c r="AA470" s="355" t="str">
        <f t="shared" si="408"/>
        <v>ON</v>
      </c>
      <c r="AB470" s="357">
        <f t="shared" si="376"/>
        <v>1.4999999999999999E-2</v>
      </c>
      <c r="AC470" s="356" t="e">
        <f ca="1">IF(  Y469=0,0,IF(OR(S470="KCAS",S470="INOP",S470="MEFE"),   ( (5*( (   (((1+0.2*(T470/661.4786)^2)^3.5 -1)  )/( (1-6.8755856*10^-6 *100*Y470)^5.2558797) +1)^(2/7) -1) )^0.5),IF(S470="MACH",T470, IF(S470="LRC",BicubicInterpolation( 'LRC Mach'!$C$4:$AL$21, Y470,U470),  IF(S470="MRC",BicubicInterpolation( 'MRC Mach'!$C$3:$T$18, Y470,U470),  IF(S470="M0.84",0.84,  IF(S470="CI52",BicubicInterpolation('CI=52 Mach'!$C$3:$T$18, Y470,U470),  IF(S470="HOLDING",BicubicInterpolation(  'Holding Mach'!$C$4:$M$13, Y470,U470),                         IF(S470="LRCINOP", BicubicInterpolation('LRC INOP Mach'!$C$4:$AA$21,Y470,U470), IF(S470="HOLDINGINOP",  BicubicInterpolation('Holding INOP Mach'!$N$4:$U$13,Y470,U470),         "XXX" )))))))   )))</f>
        <v>#NAME?</v>
      </c>
      <c r="AD470" s="313" t="e">
        <f t="shared" ca="1" si="377"/>
        <v>#NAME?</v>
      </c>
      <c r="AE470" s="314" t="e">
        <f t="shared" ca="1" si="364"/>
        <v>#NAME?</v>
      </c>
      <c r="AF470" s="313" t="e">
        <f t="shared" ca="1" si="378"/>
        <v>#NAME?</v>
      </c>
      <c r="AG470" s="314" t="e">
        <f t="shared" ca="1" si="365"/>
        <v>#NAME?</v>
      </c>
      <c r="AH470" s="313" t="e">
        <f t="shared" ca="1" si="379"/>
        <v>#NAME?</v>
      </c>
      <c r="AI470" s="314" t="e">
        <f t="shared" ca="1" si="366"/>
        <v>#NAME?</v>
      </c>
      <c r="AJ470" s="315" t="e">
        <f t="shared" ca="1" si="367"/>
        <v>#NAME?</v>
      </c>
      <c r="AK470" s="568" t="e">
        <f t="shared" ca="1" si="380"/>
        <v>#NAME?</v>
      </c>
      <c r="AL470" s="313" t="e">
        <f t="shared" ca="1" si="381"/>
        <v>#NAME?</v>
      </c>
      <c r="AM470" s="313" t="e">
        <f t="shared" ca="1" si="368"/>
        <v>#NAME?</v>
      </c>
      <c r="AN470" s="313" t="e">
        <f t="shared" ca="1" si="369"/>
        <v>#NAME?</v>
      </c>
      <c r="AO470" s="316" t="e">
        <f t="shared" ca="1" si="382"/>
        <v>#NAME?</v>
      </c>
      <c r="AP470" s="313" t="e">
        <f t="shared" ca="1" si="383"/>
        <v>#NAME?</v>
      </c>
      <c r="AQ470" s="314" t="e">
        <f t="shared" ca="1" si="370"/>
        <v>#NAME?</v>
      </c>
      <c r="AR470" s="315" t="e">
        <f t="shared" ca="1" si="384"/>
        <v>#NAME?</v>
      </c>
      <c r="AS470" s="316" t="e">
        <f t="shared" ca="1" si="385"/>
        <v>#NAME?</v>
      </c>
      <c r="AT470" s="315" t="e">
        <f t="shared" ca="1" si="386"/>
        <v>#NAME?</v>
      </c>
      <c r="AU470" s="317">
        <v>427.8</v>
      </c>
      <c r="AV470" s="315" t="e">
        <f t="shared" ca="1" si="387"/>
        <v>#NAME?</v>
      </c>
      <c r="AW470" s="318" t="e">
        <f ca="1">0.0001*BicubicInterpolation('Drag Coef Table'!$B$4:$L$28,AV470,AC470)</f>
        <v>#NAME?</v>
      </c>
      <c r="AX470" s="319" t="e">
        <f t="shared" ca="1" si="388"/>
        <v>#NAME?</v>
      </c>
      <c r="AY470" s="318" t="e">
        <f t="shared" ca="1" si="389"/>
        <v>#NAME?</v>
      </c>
      <c r="AZ470" s="320" t="e">
        <f t="shared" ca="1" si="390"/>
        <v>#NAME?</v>
      </c>
      <c r="BA470" s="321" t="e">
        <f t="shared" ca="1" si="391"/>
        <v>#NAME?</v>
      </c>
      <c r="BB470" s="322" t="e">
        <f t="shared" ca="1" si="392"/>
        <v>#NAME?</v>
      </c>
      <c r="BC470" s="323">
        <v>75.196700000000007</v>
      </c>
      <c r="BD470" s="324" t="e">
        <f t="shared" ca="1" si="393"/>
        <v>#NAME?</v>
      </c>
      <c r="BE470" s="325" t="e">
        <f t="shared" ca="1" si="394"/>
        <v>#NAME?</v>
      </c>
      <c r="BF470" s="324" t="e">
        <f ca="1">BicubicInterpolation('TSFC Eff Table'!$B$4:$E$69,2,BB470)</f>
        <v>#NAME?</v>
      </c>
      <c r="BG470" s="326" t="e">
        <f t="shared" ca="1" si="395"/>
        <v>#NAME?</v>
      </c>
      <c r="BH470" s="694" t="e">
        <f ca="1">IF( S470="LRCINOP",   (1+(0.03/10)*Z470*(1+0.2*AC470^2) )*BicubicInterpolation( 'LRC INOP FF'!$C$4:$AA$21, Y470, U470 )-200, IF(S470 ="HOLDINGINOP", (1+(0.03/10)*Z470*(1+0.2*AC470^2) )*BicubicInterpolation( 'Holding INOP FF'!$C$4:$J$13,  Y470,  U470)/1.05-200,   BA470*BG470))</f>
        <v>#NAME?</v>
      </c>
      <c r="BI470" s="344" t="e">
        <f t="shared" ref="BI470:BI533" ca="1" si="416">IF( OR( S470="LRCINOP", S470 ="HOLDINGINOP"),BH470, BH470/2)</f>
        <v>#NAME?</v>
      </c>
      <c r="BJ470" s="322" t="e">
        <f t="shared" ca="1" si="396"/>
        <v>#NAME?</v>
      </c>
      <c r="BK470" s="338" t="e">
        <f t="shared" ref="BK470:BK533" ca="1" si="417">IF( OR( S470="LRCINOP", S470 ="HOLDINGINOP"),BJ470, 2*BJ470)</f>
        <v>#NAME?</v>
      </c>
      <c r="BL470" s="327" t="e">
        <f t="shared" ca="1" si="397"/>
        <v>#NAME?</v>
      </c>
      <c r="BM470" s="328">
        <f t="shared" si="398"/>
        <v>200</v>
      </c>
      <c r="BN470" s="329" t="e">
        <f t="shared" ca="1" si="399"/>
        <v>#NAME?</v>
      </c>
      <c r="BO470" s="344" t="e">
        <f t="shared" ref="BO470:BO533" ca="1" si="418">IF( OR( S470="LRCINOP", S470 ="HOLDINGINOP"), BN470, 2*BN470)</f>
        <v>#NAME?</v>
      </c>
      <c r="BP470" s="320" t="e">
        <f t="shared" ca="1" si="400"/>
        <v>#NAME?</v>
      </c>
      <c r="BQ470" s="344" t="e">
        <f t="shared" ref="BQ470:BQ533" ca="1" si="419">BN470*(1+$C$25)</f>
        <v>#NAME?</v>
      </c>
      <c r="BR470" s="347" t="e">
        <f t="shared" ref="BR470:BR533" ca="1" si="420">BO470*(1+$C$25)</f>
        <v>#NAME?</v>
      </c>
      <c r="BS470" s="326" t="e">
        <f t="shared" ca="1" si="401"/>
        <v>#NAME?</v>
      </c>
      <c r="BT470" s="437" t="e">
        <f t="shared" ca="1" si="371"/>
        <v>#NAME?</v>
      </c>
      <c r="BU470" s="437" t="e">
        <f t="shared" ca="1" si="372"/>
        <v>#NAME?</v>
      </c>
      <c r="BV470" s="441" t="e">
        <f t="shared" ca="1" si="373"/>
        <v>#NAME?</v>
      </c>
      <c r="BW470" s="442" t="e">
        <f t="shared" ca="1" si="374"/>
        <v>#NAME?</v>
      </c>
      <c r="BX470" s="470" t="e">
        <f t="shared" ca="1" si="409"/>
        <v>#NAME?</v>
      </c>
      <c r="BY470" s="484" t="e">
        <f t="shared" ref="BY470:BY533" ca="1" si="421">100*O470</f>
        <v>#NAME?</v>
      </c>
    </row>
    <row r="471" spans="9:77" ht="17.75" customHeight="1" x14ac:dyDescent="0.2">
      <c r="I471" s="366">
        <v>387</v>
      </c>
      <c r="J471" s="414">
        <f t="shared" ref="J471:J534" si="422">J470+1/1440</f>
        <v>41705.981250000877</v>
      </c>
      <c r="K471" s="435" t="e">
        <f t="shared" ref="K471:K534" ca="1" si="423">IF(M471=0,0,Q471*(1+$C$78)/60)</f>
        <v>#NAME?</v>
      </c>
      <c r="L471" s="435" t="e">
        <f t="shared" ca="1" si="410"/>
        <v>#NAME?</v>
      </c>
      <c r="M471" s="664" t="e">
        <f t="shared" ca="1" si="402"/>
        <v>#NAME?</v>
      </c>
      <c r="N471" s="664" t="e">
        <f t="shared" ca="1" si="403"/>
        <v>#NAME?</v>
      </c>
      <c r="O471" s="140" t="e">
        <f t="shared" ca="1" si="411"/>
        <v>#NAME?</v>
      </c>
      <c r="P471" s="352" t="e">
        <f t="shared" ref="P471:P534" ca="1" si="424">MAX(O471+$C$24,$C$24)</f>
        <v>#NAME?</v>
      </c>
      <c r="Q471" s="665" t="e">
        <f t="shared" ca="1" si="404"/>
        <v>#NAME?</v>
      </c>
      <c r="R471" s="352" t="e">
        <f t="shared" ca="1" si="375"/>
        <v>#NAME?</v>
      </c>
      <c r="S471" s="662" t="e">
        <f t="shared" ca="1" si="412"/>
        <v>#NAME?</v>
      </c>
      <c r="T471" s="443" t="e">
        <f t="shared" ca="1" si="405"/>
        <v>#NAME?</v>
      </c>
      <c r="U471" s="369" t="e">
        <f t="shared" ca="1" si="406"/>
        <v>#NAME?</v>
      </c>
      <c r="V471" s="454" t="e">
        <f t="shared" ca="1" si="413"/>
        <v>#NAME?</v>
      </c>
      <c r="W471" s="457">
        <f t="shared" si="414"/>
        <v>1000</v>
      </c>
      <c r="X471" s="463" t="e">
        <f t="shared" ca="1" si="415"/>
        <v>#NAME?</v>
      </c>
      <c r="Y471" s="455" t="e">
        <f t="shared" ref="Y471:Y534" ca="1" si="425">Y470   +   IF(   V471=Y470,   0,   IF(V471-Y470&lt;0, MAX(V471-Y470,X471/100), IF(    V471-Y470&gt;0,    MIN(V471-Y470, W471/100 ))))</f>
        <v>#NAME?</v>
      </c>
      <c r="Z471" s="699">
        <f t="shared" si="407"/>
        <v>8.5</v>
      </c>
      <c r="AA471" s="355" t="str">
        <f t="shared" si="408"/>
        <v>ON</v>
      </c>
      <c r="AB471" s="357">
        <f t="shared" si="376"/>
        <v>1.4999999999999999E-2</v>
      </c>
      <c r="AC471" s="356" t="e">
        <f ca="1">IF(  Y470=0,0,IF(OR(S471="KCAS",S471="INOP",S471="MEFE"),   ( (5*( (   (((1+0.2*(T471/661.4786)^2)^3.5 -1)  )/( (1-6.8755856*10^-6 *100*Y471)^5.2558797) +1)^(2/7) -1) )^0.5),IF(S471="MACH",T471, IF(S471="LRC",BicubicInterpolation( 'LRC Mach'!$C$4:$AL$21, Y471,U471),  IF(S471="MRC",BicubicInterpolation( 'MRC Mach'!$C$3:$T$18, Y471,U471),  IF(S471="M0.84",0.84,  IF(S471="CI52",BicubicInterpolation('CI=52 Mach'!$C$3:$T$18, Y471,U471),  IF(S471="HOLDING",BicubicInterpolation(  'Holding Mach'!$C$4:$M$13, Y471,U471),                         IF(S471="LRCINOP", BicubicInterpolation('LRC INOP Mach'!$C$4:$AA$21,Y471,U471), IF(S471="HOLDINGINOP",  BicubicInterpolation('Holding INOP Mach'!$N$4:$U$13,Y471,U471),         "XXX" )))))))   )))</f>
        <v>#NAME?</v>
      </c>
      <c r="AD471" s="313" t="e">
        <f t="shared" ca="1" si="377"/>
        <v>#NAME?</v>
      </c>
      <c r="AE471" s="314" t="e">
        <f t="shared" ref="AE471:AE534" ca="1" si="426">AD471/288.15</f>
        <v>#NAME?</v>
      </c>
      <c r="AF471" s="313" t="e">
        <f t="shared" ca="1" si="378"/>
        <v>#NAME?</v>
      </c>
      <c r="AG471" s="314" t="e">
        <f t="shared" ref="AG471:AG534" ca="1" si="427">AF471/288.15</f>
        <v>#NAME?</v>
      </c>
      <c r="AH471" s="313" t="e">
        <f t="shared" ca="1" si="379"/>
        <v>#NAME?</v>
      </c>
      <c r="AI471" s="314" t="e">
        <f t="shared" ref="AI471:AI534" ca="1" si="428">AH471/288.15</f>
        <v>#NAME?</v>
      </c>
      <c r="AJ471" s="315" t="e">
        <f t="shared" ref="AJ471:AJ534" ca="1" si="429">AI471^0.68</f>
        <v>#NAME?</v>
      </c>
      <c r="AK471" s="568" t="e">
        <f t="shared" ca="1" si="380"/>
        <v>#NAME?</v>
      </c>
      <c r="AL471" s="313" t="e">
        <f t="shared" ca="1" si="381"/>
        <v>#NAME?</v>
      </c>
      <c r="AM471" s="313" t="e">
        <f t="shared" ref="AM471:AM534" ca="1" si="430">AL471*0.5144444</f>
        <v>#NAME?</v>
      </c>
      <c r="AN471" s="313" t="e">
        <f t="shared" ref="AN471:AN534" ca="1" si="431">AN470+AVERAGE(AL470:AL471)/60</f>
        <v>#NAME?</v>
      </c>
      <c r="AO471" s="316" t="e">
        <f t="shared" ca="1" si="382"/>
        <v>#NAME?</v>
      </c>
      <c r="AP471" s="313" t="e">
        <f t="shared" ca="1" si="383"/>
        <v>#NAME?</v>
      </c>
      <c r="AQ471" s="314" t="e">
        <f t="shared" ref="AQ471:AQ534" ca="1" si="432">AP471/1013.25</f>
        <v>#NAME?</v>
      </c>
      <c r="AR471" s="315" t="e">
        <f t="shared" ca="1" si="384"/>
        <v>#NAME?</v>
      </c>
      <c r="AS471" s="316" t="e">
        <f t="shared" ca="1" si="385"/>
        <v>#NAME?</v>
      </c>
      <c r="AT471" s="315" t="e">
        <f t="shared" ca="1" si="386"/>
        <v>#NAME?</v>
      </c>
      <c r="AU471" s="317">
        <v>427.8</v>
      </c>
      <c r="AV471" s="315" t="e">
        <f t="shared" ca="1" si="387"/>
        <v>#NAME?</v>
      </c>
      <c r="AW471" s="318" t="e">
        <f ca="1">0.0001*BicubicInterpolation('Drag Coef Table'!$B$4:$L$28,AV471,AC471)</f>
        <v>#NAME?</v>
      </c>
      <c r="AX471" s="319" t="e">
        <f t="shared" ca="1" si="388"/>
        <v>#NAME?</v>
      </c>
      <c r="AY471" s="318" t="e">
        <f t="shared" ca="1" si="389"/>
        <v>#NAME?</v>
      </c>
      <c r="AZ471" s="320" t="e">
        <f t="shared" ca="1" si="390"/>
        <v>#NAME?</v>
      </c>
      <c r="BA471" s="321" t="e">
        <f t="shared" ca="1" si="391"/>
        <v>#NAME?</v>
      </c>
      <c r="BB471" s="322" t="e">
        <f t="shared" ca="1" si="392"/>
        <v>#NAME?</v>
      </c>
      <c r="BC471" s="323">
        <v>75.196700000000007</v>
      </c>
      <c r="BD471" s="324" t="e">
        <f t="shared" ca="1" si="393"/>
        <v>#NAME?</v>
      </c>
      <c r="BE471" s="325" t="e">
        <f t="shared" ca="1" si="394"/>
        <v>#NAME?</v>
      </c>
      <c r="BF471" s="324" t="e">
        <f ca="1">BicubicInterpolation('TSFC Eff Table'!$B$4:$E$69,2,BB471)</f>
        <v>#NAME?</v>
      </c>
      <c r="BG471" s="326" t="e">
        <f t="shared" ca="1" si="395"/>
        <v>#NAME?</v>
      </c>
      <c r="BH471" s="694" t="e">
        <f ca="1">IF( S471="LRCINOP",   (1+(0.03/10)*Z471*(1+0.2*AC471^2) )*BicubicInterpolation( 'LRC INOP FF'!$C$4:$AA$21, Y471, U471 )-200, IF(S471 ="HOLDINGINOP", (1+(0.03/10)*Z471*(1+0.2*AC471^2) )*BicubicInterpolation( 'Holding INOP FF'!$C$4:$J$13,  Y471,  U471)/1.05-200,   BA471*BG471))</f>
        <v>#NAME?</v>
      </c>
      <c r="BI471" s="344" t="e">
        <f t="shared" ca="1" si="416"/>
        <v>#NAME?</v>
      </c>
      <c r="BJ471" s="322" t="e">
        <f t="shared" ca="1" si="396"/>
        <v>#NAME?</v>
      </c>
      <c r="BK471" s="338" t="e">
        <f t="shared" ca="1" si="417"/>
        <v>#NAME?</v>
      </c>
      <c r="BL471" s="327" t="e">
        <f t="shared" ca="1" si="397"/>
        <v>#NAME?</v>
      </c>
      <c r="BM471" s="328">
        <f t="shared" si="398"/>
        <v>200</v>
      </c>
      <c r="BN471" s="329" t="e">
        <f t="shared" ca="1" si="399"/>
        <v>#NAME?</v>
      </c>
      <c r="BO471" s="344" t="e">
        <f t="shared" ca="1" si="418"/>
        <v>#NAME?</v>
      </c>
      <c r="BP471" s="320" t="e">
        <f t="shared" ca="1" si="400"/>
        <v>#NAME?</v>
      </c>
      <c r="BQ471" s="344" t="e">
        <f t="shared" ca="1" si="419"/>
        <v>#NAME?</v>
      </c>
      <c r="BR471" s="347" t="e">
        <f t="shared" ca="1" si="420"/>
        <v>#NAME?</v>
      </c>
      <c r="BS471" s="326" t="e">
        <f t="shared" ca="1" si="401"/>
        <v>#NAME?</v>
      </c>
      <c r="BT471" s="437" t="e">
        <f t="shared" ref="BT471:BT534" ca="1" si="433">IF(AND(M471=0,M470&gt;0),I471,"")</f>
        <v>#NAME?</v>
      </c>
      <c r="BU471" s="437" t="e">
        <f t="shared" ref="BU471:BU534" ca="1" si="434">IF(AND(N471=0,N470&gt;0),$I471,"")</f>
        <v>#NAME?</v>
      </c>
      <c r="BV471" s="441" t="e">
        <f t="shared" ref="BV471:BV534" ca="1" si="435">BV470+AC470</f>
        <v>#NAME?</v>
      </c>
      <c r="BW471" s="442" t="e">
        <f t="shared" ref="BW471:BW534" ca="1" si="436">BW470+AL470</f>
        <v>#NAME?</v>
      </c>
      <c r="BX471" s="470" t="e">
        <f t="shared" ca="1" si="409"/>
        <v>#NAME?</v>
      </c>
      <c r="BY471" s="484" t="e">
        <f t="shared" ca="1" si="421"/>
        <v>#NAME?</v>
      </c>
    </row>
    <row r="472" spans="9:77" ht="17.75" customHeight="1" x14ac:dyDescent="0.2">
      <c r="I472" s="366">
        <v>388</v>
      </c>
      <c r="J472" s="414">
        <f t="shared" si="422"/>
        <v>41705.981944445324</v>
      </c>
      <c r="K472" s="435" t="e">
        <f t="shared" ca="1" si="423"/>
        <v>#NAME?</v>
      </c>
      <c r="L472" s="435" t="e">
        <f t="shared" ca="1" si="410"/>
        <v>#NAME?</v>
      </c>
      <c r="M472" s="664" t="e">
        <f t="shared" ca="1" si="402"/>
        <v>#NAME?</v>
      </c>
      <c r="N472" s="664" t="e">
        <f t="shared" ca="1" si="403"/>
        <v>#NAME?</v>
      </c>
      <c r="O472" s="140" t="e">
        <f t="shared" ca="1" si="411"/>
        <v>#NAME?</v>
      </c>
      <c r="P472" s="352" t="e">
        <f t="shared" ca="1" si="424"/>
        <v>#NAME?</v>
      </c>
      <c r="Q472" s="665" t="e">
        <f t="shared" ca="1" si="404"/>
        <v>#NAME?</v>
      </c>
      <c r="R472" s="352" t="e">
        <f t="shared" ca="1" si="375"/>
        <v>#NAME?</v>
      </c>
      <c r="S472" s="662" t="e">
        <f t="shared" ca="1" si="412"/>
        <v>#NAME?</v>
      </c>
      <c r="T472" s="443" t="e">
        <f t="shared" ca="1" si="405"/>
        <v>#NAME?</v>
      </c>
      <c r="U472" s="369" t="e">
        <f t="shared" ca="1" si="406"/>
        <v>#NAME?</v>
      </c>
      <c r="V472" s="454" t="e">
        <f t="shared" ca="1" si="413"/>
        <v>#NAME?</v>
      </c>
      <c r="W472" s="457">
        <f t="shared" si="414"/>
        <v>1000</v>
      </c>
      <c r="X472" s="463" t="e">
        <f t="shared" ca="1" si="415"/>
        <v>#NAME?</v>
      </c>
      <c r="Y472" s="455" t="e">
        <f t="shared" ca="1" si="425"/>
        <v>#NAME?</v>
      </c>
      <c r="Z472" s="699">
        <f t="shared" si="407"/>
        <v>8.5</v>
      </c>
      <c r="AA472" s="355" t="str">
        <f t="shared" si="408"/>
        <v>ON</v>
      </c>
      <c r="AB472" s="357">
        <f t="shared" si="376"/>
        <v>1.4999999999999999E-2</v>
      </c>
      <c r="AC472" s="356" t="e">
        <f ca="1">IF(  Y471=0,0,IF(OR(S472="KCAS",S472="INOP",S472="MEFE"),   ( (5*( (   (((1+0.2*(T472/661.4786)^2)^3.5 -1)  )/( (1-6.8755856*10^-6 *100*Y472)^5.2558797) +1)^(2/7) -1) )^0.5),IF(S472="MACH",T472, IF(S472="LRC",BicubicInterpolation( 'LRC Mach'!$C$4:$AL$21, Y472,U472),  IF(S472="MRC",BicubicInterpolation( 'MRC Mach'!$C$3:$T$18, Y472,U472),  IF(S472="M0.84",0.84,  IF(S472="CI52",BicubicInterpolation('CI=52 Mach'!$C$3:$T$18, Y472,U472),  IF(S472="HOLDING",BicubicInterpolation(  'Holding Mach'!$C$4:$M$13, Y472,U472),                         IF(S472="LRCINOP", BicubicInterpolation('LRC INOP Mach'!$C$4:$AA$21,Y472,U472), IF(S472="HOLDINGINOP",  BicubicInterpolation('Holding INOP Mach'!$N$4:$U$13,Y472,U472),         "XXX" )))))))   )))</f>
        <v>#NAME?</v>
      </c>
      <c r="AD472" s="313" t="e">
        <f t="shared" ca="1" si="377"/>
        <v>#NAME?</v>
      </c>
      <c r="AE472" s="314" t="e">
        <f t="shared" ca="1" si="426"/>
        <v>#NAME?</v>
      </c>
      <c r="AF472" s="313" t="e">
        <f t="shared" ca="1" si="378"/>
        <v>#NAME?</v>
      </c>
      <c r="AG472" s="314" t="e">
        <f t="shared" ca="1" si="427"/>
        <v>#NAME?</v>
      </c>
      <c r="AH472" s="313" t="e">
        <f t="shared" ca="1" si="379"/>
        <v>#NAME?</v>
      </c>
      <c r="AI472" s="314" t="e">
        <f t="shared" ca="1" si="428"/>
        <v>#NAME?</v>
      </c>
      <c r="AJ472" s="315" t="e">
        <f t="shared" ca="1" si="429"/>
        <v>#NAME?</v>
      </c>
      <c r="AK472" s="568" t="e">
        <f t="shared" ca="1" si="380"/>
        <v>#NAME?</v>
      </c>
      <c r="AL472" s="313" t="e">
        <f t="shared" ca="1" si="381"/>
        <v>#NAME?</v>
      </c>
      <c r="AM472" s="313" t="e">
        <f t="shared" ca="1" si="430"/>
        <v>#NAME?</v>
      </c>
      <c r="AN472" s="313" t="e">
        <f t="shared" ca="1" si="431"/>
        <v>#NAME?</v>
      </c>
      <c r="AO472" s="316" t="e">
        <f t="shared" ca="1" si="382"/>
        <v>#NAME?</v>
      </c>
      <c r="AP472" s="313" t="e">
        <f t="shared" ca="1" si="383"/>
        <v>#NAME?</v>
      </c>
      <c r="AQ472" s="314" t="e">
        <f t="shared" ca="1" si="432"/>
        <v>#NAME?</v>
      </c>
      <c r="AR472" s="315" t="e">
        <f t="shared" ca="1" si="384"/>
        <v>#NAME?</v>
      </c>
      <c r="AS472" s="316" t="e">
        <f t="shared" ca="1" si="385"/>
        <v>#NAME?</v>
      </c>
      <c r="AT472" s="315" t="e">
        <f t="shared" ca="1" si="386"/>
        <v>#NAME?</v>
      </c>
      <c r="AU472" s="317">
        <v>427.8</v>
      </c>
      <c r="AV472" s="315" t="e">
        <f t="shared" ca="1" si="387"/>
        <v>#NAME?</v>
      </c>
      <c r="AW472" s="318" t="e">
        <f ca="1">0.0001*BicubicInterpolation('Drag Coef Table'!$B$4:$L$28,AV472,AC472)</f>
        <v>#NAME?</v>
      </c>
      <c r="AX472" s="319" t="e">
        <f t="shared" ca="1" si="388"/>
        <v>#NAME?</v>
      </c>
      <c r="AY472" s="318" t="e">
        <f t="shared" ca="1" si="389"/>
        <v>#NAME?</v>
      </c>
      <c r="AZ472" s="320" t="e">
        <f t="shared" ca="1" si="390"/>
        <v>#NAME?</v>
      </c>
      <c r="BA472" s="321" t="e">
        <f t="shared" ca="1" si="391"/>
        <v>#NAME?</v>
      </c>
      <c r="BB472" s="322" t="e">
        <f t="shared" ca="1" si="392"/>
        <v>#NAME?</v>
      </c>
      <c r="BC472" s="323">
        <v>75.196700000000007</v>
      </c>
      <c r="BD472" s="324" t="e">
        <f t="shared" ca="1" si="393"/>
        <v>#NAME?</v>
      </c>
      <c r="BE472" s="325" t="e">
        <f t="shared" ca="1" si="394"/>
        <v>#NAME?</v>
      </c>
      <c r="BF472" s="324" t="e">
        <f ca="1">BicubicInterpolation('TSFC Eff Table'!$B$4:$E$69,2,BB472)</f>
        <v>#NAME?</v>
      </c>
      <c r="BG472" s="326" t="e">
        <f t="shared" ca="1" si="395"/>
        <v>#NAME?</v>
      </c>
      <c r="BH472" s="694" t="e">
        <f ca="1">IF( S472="LRCINOP",   (1+(0.03/10)*Z472*(1+0.2*AC472^2) )*BicubicInterpolation( 'LRC INOP FF'!$C$4:$AA$21, Y472, U472 )-200, IF(S472 ="HOLDINGINOP", (1+(0.03/10)*Z472*(1+0.2*AC472^2) )*BicubicInterpolation( 'Holding INOP FF'!$C$4:$J$13,  Y472,  U472)/1.05-200,   BA472*BG472))</f>
        <v>#NAME?</v>
      </c>
      <c r="BI472" s="344" t="e">
        <f t="shared" ca="1" si="416"/>
        <v>#NAME?</v>
      </c>
      <c r="BJ472" s="322" t="e">
        <f t="shared" ca="1" si="396"/>
        <v>#NAME?</v>
      </c>
      <c r="BK472" s="338" t="e">
        <f t="shared" ca="1" si="417"/>
        <v>#NAME?</v>
      </c>
      <c r="BL472" s="327" t="e">
        <f t="shared" ca="1" si="397"/>
        <v>#NAME?</v>
      </c>
      <c r="BM472" s="328">
        <f t="shared" si="398"/>
        <v>200</v>
      </c>
      <c r="BN472" s="329" t="e">
        <f t="shared" ca="1" si="399"/>
        <v>#NAME?</v>
      </c>
      <c r="BO472" s="344" t="e">
        <f t="shared" ca="1" si="418"/>
        <v>#NAME?</v>
      </c>
      <c r="BP472" s="320" t="e">
        <f t="shared" ca="1" si="400"/>
        <v>#NAME?</v>
      </c>
      <c r="BQ472" s="344" t="e">
        <f t="shared" ca="1" si="419"/>
        <v>#NAME?</v>
      </c>
      <c r="BR472" s="347" t="e">
        <f t="shared" ca="1" si="420"/>
        <v>#NAME?</v>
      </c>
      <c r="BS472" s="326" t="e">
        <f t="shared" ca="1" si="401"/>
        <v>#NAME?</v>
      </c>
      <c r="BT472" s="437" t="e">
        <f t="shared" ca="1" si="433"/>
        <v>#NAME?</v>
      </c>
      <c r="BU472" s="437" t="e">
        <f t="shared" ca="1" si="434"/>
        <v>#NAME?</v>
      </c>
      <c r="BV472" s="441" t="e">
        <f t="shared" ca="1" si="435"/>
        <v>#NAME?</v>
      </c>
      <c r="BW472" s="442" t="e">
        <f t="shared" ca="1" si="436"/>
        <v>#NAME?</v>
      </c>
      <c r="BX472" s="470" t="e">
        <f t="shared" ca="1" si="409"/>
        <v>#NAME?</v>
      </c>
      <c r="BY472" s="484" t="e">
        <f t="shared" ca="1" si="421"/>
        <v>#NAME?</v>
      </c>
    </row>
    <row r="473" spans="9:77" ht="17.75" customHeight="1" x14ac:dyDescent="0.2">
      <c r="I473" s="366">
        <v>389</v>
      </c>
      <c r="J473" s="414">
        <f t="shared" si="422"/>
        <v>41705.982638889771</v>
      </c>
      <c r="K473" s="435" t="e">
        <f t="shared" ca="1" si="423"/>
        <v>#NAME?</v>
      </c>
      <c r="L473" s="435" t="e">
        <f t="shared" ca="1" si="410"/>
        <v>#NAME?</v>
      </c>
      <c r="M473" s="664" t="e">
        <f t="shared" ca="1" si="402"/>
        <v>#NAME?</v>
      </c>
      <c r="N473" s="664" t="e">
        <f t="shared" ca="1" si="403"/>
        <v>#NAME?</v>
      </c>
      <c r="O473" s="140" t="e">
        <f t="shared" ca="1" si="411"/>
        <v>#NAME?</v>
      </c>
      <c r="P473" s="352" t="e">
        <f t="shared" ca="1" si="424"/>
        <v>#NAME?</v>
      </c>
      <c r="Q473" s="665" t="e">
        <f t="shared" ca="1" si="404"/>
        <v>#NAME?</v>
      </c>
      <c r="R473" s="352" t="e">
        <f t="shared" ca="1" si="375"/>
        <v>#NAME?</v>
      </c>
      <c r="S473" s="662" t="e">
        <f t="shared" ca="1" si="412"/>
        <v>#NAME?</v>
      </c>
      <c r="T473" s="443" t="e">
        <f t="shared" ca="1" si="405"/>
        <v>#NAME?</v>
      </c>
      <c r="U473" s="369" t="e">
        <f t="shared" ca="1" si="406"/>
        <v>#NAME?</v>
      </c>
      <c r="V473" s="454" t="e">
        <f t="shared" ca="1" si="413"/>
        <v>#NAME?</v>
      </c>
      <c r="W473" s="457">
        <f t="shared" si="414"/>
        <v>1000</v>
      </c>
      <c r="X473" s="463" t="e">
        <f t="shared" ca="1" si="415"/>
        <v>#NAME?</v>
      </c>
      <c r="Y473" s="455" t="e">
        <f t="shared" ca="1" si="425"/>
        <v>#NAME?</v>
      </c>
      <c r="Z473" s="699">
        <f t="shared" si="407"/>
        <v>8.5</v>
      </c>
      <c r="AA473" s="355" t="str">
        <f t="shared" si="408"/>
        <v>ON</v>
      </c>
      <c r="AB473" s="357">
        <f t="shared" si="376"/>
        <v>1.4999999999999999E-2</v>
      </c>
      <c r="AC473" s="356" t="e">
        <f ca="1">IF(  Y472=0,0,IF(OR(S473="KCAS",S473="INOP",S473="MEFE"),   ( (5*( (   (((1+0.2*(T473/661.4786)^2)^3.5 -1)  )/( (1-6.8755856*10^-6 *100*Y473)^5.2558797) +1)^(2/7) -1) )^0.5),IF(S473="MACH",T473, IF(S473="LRC",BicubicInterpolation( 'LRC Mach'!$C$4:$AL$21, Y473,U473),  IF(S473="MRC",BicubicInterpolation( 'MRC Mach'!$C$3:$T$18, Y473,U473),  IF(S473="M0.84",0.84,  IF(S473="CI52",BicubicInterpolation('CI=52 Mach'!$C$3:$T$18, Y473,U473),  IF(S473="HOLDING",BicubicInterpolation(  'Holding Mach'!$C$4:$M$13, Y473,U473),                         IF(S473="LRCINOP", BicubicInterpolation('LRC INOP Mach'!$C$4:$AA$21,Y473,U473), IF(S473="HOLDINGINOP",  BicubicInterpolation('Holding INOP Mach'!$N$4:$U$13,Y473,U473),         "XXX" )))))))   )))</f>
        <v>#NAME?</v>
      </c>
      <c r="AD473" s="313" t="e">
        <f t="shared" ca="1" si="377"/>
        <v>#NAME?</v>
      </c>
      <c r="AE473" s="314" t="e">
        <f t="shared" ca="1" si="426"/>
        <v>#NAME?</v>
      </c>
      <c r="AF473" s="313" t="e">
        <f t="shared" ca="1" si="378"/>
        <v>#NAME?</v>
      </c>
      <c r="AG473" s="314" t="e">
        <f t="shared" ca="1" si="427"/>
        <v>#NAME?</v>
      </c>
      <c r="AH473" s="313" t="e">
        <f t="shared" ca="1" si="379"/>
        <v>#NAME?</v>
      </c>
      <c r="AI473" s="314" t="e">
        <f t="shared" ca="1" si="428"/>
        <v>#NAME?</v>
      </c>
      <c r="AJ473" s="315" t="e">
        <f t="shared" ca="1" si="429"/>
        <v>#NAME?</v>
      </c>
      <c r="AK473" s="568" t="e">
        <f t="shared" ca="1" si="380"/>
        <v>#NAME?</v>
      </c>
      <c r="AL473" s="313" t="e">
        <f t="shared" ca="1" si="381"/>
        <v>#NAME?</v>
      </c>
      <c r="AM473" s="313" t="e">
        <f t="shared" ca="1" si="430"/>
        <v>#NAME?</v>
      </c>
      <c r="AN473" s="313" t="e">
        <f t="shared" ca="1" si="431"/>
        <v>#NAME?</v>
      </c>
      <c r="AO473" s="316" t="e">
        <f t="shared" ca="1" si="382"/>
        <v>#NAME?</v>
      </c>
      <c r="AP473" s="313" t="e">
        <f t="shared" ca="1" si="383"/>
        <v>#NAME?</v>
      </c>
      <c r="AQ473" s="314" t="e">
        <f t="shared" ca="1" si="432"/>
        <v>#NAME?</v>
      </c>
      <c r="AR473" s="315" t="e">
        <f t="shared" ca="1" si="384"/>
        <v>#NAME?</v>
      </c>
      <c r="AS473" s="316" t="e">
        <f t="shared" ca="1" si="385"/>
        <v>#NAME?</v>
      </c>
      <c r="AT473" s="315" t="e">
        <f t="shared" ca="1" si="386"/>
        <v>#NAME?</v>
      </c>
      <c r="AU473" s="317">
        <v>427.8</v>
      </c>
      <c r="AV473" s="315" t="e">
        <f t="shared" ca="1" si="387"/>
        <v>#NAME?</v>
      </c>
      <c r="AW473" s="318" t="e">
        <f ca="1">0.0001*BicubicInterpolation('Drag Coef Table'!$B$4:$L$28,AV473,AC473)</f>
        <v>#NAME?</v>
      </c>
      <c r="AX473" s="319" t="e">
        <f t="shared" ca="1" si="388"/>
        <v>#NAME?</v>
      </c>
      <c r="AY473" s="318" t="e">
        <f t="shared" ca="1" si="389"/>
        <v>#NAME?</v>
      </c>
      <c r="AZ473" s="320" t="e">
        <f t="shared" ca="1" si="390"/>
        <v>#NAME?</v>
      </c>
      <c r="BA473" s="321" t="e">
        <f t="shared" ca="1" si="391"/>
        <v>#NAME?</v>
      </c>
      <c r="BB473" s="322" t="e">
        <f t="shared" ca="1" si="392"/>
        <v>#NAME?</v>
      </c>
      <c r="BC473" s="323">
        <v>75.196700000000007</v>
      </c>
      <c r="BD473" s="324" t="e">
        <f t="shared" ca="1" si="393"/>
        <v>#NAME?</v>
      </c>
      <c r="BE473" s="325" t="e">
        <f t="shared" ca="1" si="394"/>
        <v>#NAME?</v>
      </c>
      <c r="BF473" s="324" t="e">
        <f ca="1">BicubicInterpolation('TSFC Eff Table'!$B$4:$E$69,2,BB473)</f>
        <v>#NAME?</v>
      </c>
      <c r="BG473" s="326" t="e">
        <f t="shared" ca="1" si="395"/>
        <v>#NAME?</v>
      </c>
      <c r="BH473" s="694" t="e">
        <f ca="1">IF( S473="LRCINOP",   (1+(0.03/10)*Z473*(1+0.2*AC473^2) )*BicubicInterpolation( 'LRC INOP FF'!$C$4:$AA$21, Y473, U473 )-200, IF(S473 ="HOLDINGINOP", (1+(0.03/10)*Z473*(1+0.2*AC473^2) )*BicubicInterpolation( 'Holding INOP FF'!$C$4:$J$13,  Y473,  U473)/1.05-200,   BA473*BG473))</f>
        <v>#NAME?</v>
      </c>
      <c r="BI473" s="344" t="e">
        <f t="shared" ca="1" si="416"/>
        <v>#NAME?</v>
      </c>
      <c r="BJ473" s="322" t="e">
        <f t="shared" ca="1" si="396"/>
        <v>#NAME?</v>
      </c>
      <c r="BK473" s="338" t="e">
        <f t="shared" ca="1" si="417"/>
        <v>#NAME?</v>
      </c>
      <c r="BL473" s="327" t="e">
        <f t="shared" ca="1" si="397"/>
        <v>#NAME?</v>
      </c>
      <c r="BM473" s="328">
        <f t="shared" si="398"/>
        <v>200</v>
      </c>
      <c r="BN473" s="329" t="e">
        <f t="shared" ca="1" si="399"/>
        <v>#NAME?</v>
      </c>
      <c r="BO473" s="344" t="e">
        <f t="shared" ca="1" si="418"/>
        <v>#NAME?</v>
      </c>
      <c r="BP473" s="320" t="e">
        <f t="shared" ca="1" si="400"/>
        <v>#NAME?</v>
      </c>
      <c r="BQ473" s="344" t="e">
        <f t="shared" ca="1" si="419"/>
        <v>#NAME?</v>
      </c>
      <c r="BR473" s="347" t="e">
        <f t="shared" ca="1" si="420"/>
        <v>#NAME?</v>
      </c>
      <c r="BS473" s="326" t="e">
        <f t="shared" ca="1" si="401"/>
        <v>#NAME?</v>
      </c>
      <c r="BT473" s="437" t="e">
        <f t="shared" ca="1" si="433"/>
        <v>#NAME?</v>
      </c>
      <c r="BU473" s="437" t="e">
        <f t="shared" ca="1" si="434"/>
        <v>#NAME?</v>
      </c>
      <c r="BV473" s="441" t="e">
        <f t="shared" ca="1" si="435"/>
        <v>#NAME?</v>
      </c>
      <c r="BW473" s="442" t="e">
        <f t="shared" ca="1" si="436"/>
        <v>#NAME?</v>
      </c>
      <c r="BX473" s="470" t="e">
        <f t="shared" ca="1" si="409"/>
        <v>#NAME?</v>
      </c>
      <c r="BY473" s="484" t="e">
        <f t="shared" ca="1" si="421"/>
        <v>#NAME?</v>
      </c>
    </row>
    <row r="474" spans="9:77" ht="17.75" customHeight="1" x14ac:dyDescent="0.2">
      <c r="I474" s="366">
        <v>390</v>
      </c>
      <c r="J474" s="414">
        <f t="shared" si="422"/>
        <v>41705.983333334218</v>
      </c>
      <c r="K474" s="435" t="e">
        <f t="shared" ca="1" si="423"/>
        <v>#NAME?</v>
      </c>
      <c r="L474" s="435" t="e">
        <f t="shared" ca="1" si="410"/>
        <v>#NAME?</v>
      </c>
      <c r="M474" s="664" t="e">
        <f t="shared" ca="1" si="402"/>
        <v>#NAME?</v>
      </c>
      <c r="N474" s="664" t="e">
        <f t="shared" ca="1" si="403"/>
        <v>#NAME?</v>
      </c>
      <c r="O474" s="140" t="e">
        <f t="shared" ca="1" si="411"/>
        <v>#NAME?</v>
      </c>
      <c r="P474" s="352" t="e">
        <f t="shared" ca="1" si="424"/>
        <v>#NAME?</v>
      </c>
      <c r="Q474" s="665" t="e">
        <f t="shared" ca="1" si="404"/>
        <v>#NAME?</v>
      </c>
      <c r="R474" s="352" t="e">
        <f t="shared" ca="1" si="375"/>
        <v>#NAME?</v>
      </c>
      <c r="S474" s="662" t="e">
        <f t="shared" ca="1" si="412"/>
        <v>#NAME?</v>
      </c>
      <c r="T474" s="443" t="e">
        <f t="shared" ca="1" si="405"/>
        <v>#NAME?</v>
      </c>
      <c r="U474" s="369" t="e">
        <f t="shared" ca="1" si="406"/>
        <v>#NAME?</v>
      </c>
      <c r="V474" s="454" t="e">
        <f t="shared" ca="1" si="413"/>
        <v>#NAME?</v>
      </c>
      <c r="W474" s="457">
        <f t="shared" si="414"/>
        <v>1000</v>
      </c>
      <c r="X474" s="463" t="e">
        <f t="shared" ca="1" si="415"/>
        <v>#NAME?</v>
      </c>
      <c r="Y474" s="455" t="e">
        <f t="shared" ca="1" si="425"/>
        <v>#NAME?</v>
      </c>
      <c r="Z474" s="699">
        <f t="shared" si="407"/>
        <v>8.5</v>
      </c>
      <c r="AA474" s="355" t="str">
        <f t="shared" si="408"/>
        <v>ON</v>
      </c>
      <c r="AB474" s="357">
        <f t="shared" si="376"/>
        <v>1.4999999999999999E-2</v>
      </c>
      <c r="AC474" s="356" t="e">
        <f ca="1">IF(  Y473=0,0,IF(OR(S474="KCAS",S474="INOP",S474="MEFE"),   ( (5*( (   (((1+0.2*(T474/661.4786)^2)^3.5 -1)  )/( (1-6.8755856*10^-6 *100*Y474)^5.2558797) +1)^(2/7) -1) )^0.5),IF(S474="MACH",T474, IF(S474="LRC",BicubicInterpolation( 'LRC Mach'!$C$4:$AL$21, Y474,U474),  IF(S474="MRC",BicubicInterpolation( 'MRC Mach'!$C$3:$T$18, Y474,U474),  IF(S474="M0.84",0.84,  IF(S474="CI52",BicubicInterpolation('CI=52 Mach'!$C$3:$T$18, Y474,U474),  IF(S474="HOLDING",BicubicInterpolation(  'Holding Mach'!$C$4:$M$13, Y474,U474),                         IF(S474="LRCINOP", BicubicInterpolation('LRC INOP Mach'!$C$4:$AA$21,Y474,U474), IF(S474="HOLDINGINOP",  BicubicInterpolation('Holding INOP Mach'!$N$4:$U$13,Y474,U474),         "XXX" )))))))   )))</f>
        <v>#NAME?</v>
      </c>
      <c r="AD474" s="313" t="e">
        <f t="shared" ca="1" si="377"/>
        <v>#NAME?</v>
      </c>
      <c r="AE474" s="314" t="e">
        <f t="shared" ca="1" si="426"/>
        <v>#NAME?</v>
      </c>
      <c r="AF474" s="313" t="e">
        <f t="shared" ca="1" si="378"/>
        <v>#NAME?</v>
      </c>
      <c r="AG474" s="314" t="e">
        <f t="shared" ca="1" si="427"/>
        <v>#NAME?</v>
      </c>
      <c r="AH474" s="313" t="e">
        <f t="shared" ca="1" si="379"/>
        <v>#NAME?</v>
      </c>
      <c r="AI474" s="314" t="e">
        <f t="shared" ca="1" si="428"/>
        <v>#NAME?</v>
      </c>
      <c r="AJ474" s="315" t="e">
        <f t="shared" ca="1" si="429"/>
        <v>#NAME?</v>
      </c>
      <c r="AK474" s="568" t="e">
        <f t="shared" ca="1" si="380"/>
        <v>#NAME?</v>
      </c>
      <c r="AL474" s="313" t="e">
        <f t="shared" ca="1" si="381"/>
        <v>#NAME?</v>
      </c>
      <c r="AM474" s="313" t="e">
        <f t="shared" ca="1" si="430"/>
        <v>#NAME?</v>
      </c>
      <c r="AN474" s="313" t="e">
        <f t="shared" ca="1" si="431"/>
        <v>#NAME?</v>
      </c>
      <c r="AO474" s="316" t="e">
        <f t="shared" ca="1" si="382"/>
        <v>#NAME?</v>
      </c>
      <c r="AP474" s="313" t="e">
        <f t="shared" ca="1" si="383"/>
        <v>#NAME?</v>
      </c>
      <c r="AQ474" s="314" t="e">
        <f t="shared" ca="1" si="432"/>
        <v>#NAME?</v>
      </c>
      <c r="AR474" s="315" t="e">
        <f t="shared" ca="1" si="384"/>
        <v>#NAME?</v>
      </c>
      <c r="AS474" s="316" t="e">
        <f t="shared" ca="1" si="385"/>
        <v>#NAME?</v>
      </c>
      <c r="AT474" s="315" t="e">
        <f t="shared" ca="1" si="386"/>
        <v>#NAME?</v>
      </c>
      <c r="AU474" s="317">
        <v>427.8</v>
      </c>
      <c r="AV474" s="315" t="e">
        <f t="shared" ca="1" si="387"/>
        <v>#NAME?</v>
      </c>
      <c r="AW474" s="318" t="e">
        <f ca="1">0.0001*BicubicInterpolation('Drag Coef Table'!$B$4:$L$28,AV474,AC474)</f>
        <v>#NAME?</v>
      </c>
      <c r="AX474" s="319" t="e">
        <f t="shared" ca="1" si="388"/>
        <v>#NAME?</v>
      </c>
      <c r="AY474" s="318" t="e">
        <f t="shared" ca="1" si="389"/>
        <v>#NAME?</v>
      </c>
      <c r="AZ474" s="320" t="e">
        <f t="shared" ca="1" si="390"/>
        <v>#NAME?</v>
      </c>
      <c r="BA474" s="321" t="e">
        <f t="shared" ca="1" si="391"/>
        <v>#NAME?</v>
      </c>
      <c r="BB474" s="322" t="e">
        <f t="shared" ca="1" si="392"/>
        <v>#NAME?</v>
      </c>
      <c r="BC474" s="323">
        <v>75.196700000000007</v>
      </c>
      <c r="BD474" s="324" t="e">
        <f t="shared" ca="1" si="393"/>
        <v>#NAME?</v>
      </c>
      <c r="BE474" s="325" t="e">
        <f t="shared" ca="1" si="394"/>
        <v>#NAME?</v>
      </c>
      <c r="BF474" s="324" t="e">
        <f ca="1">BicubicInterpolation('TSFC Eff Table'!$B$4:$E$69,2,BB474)</f>
        <v>#NAME?</v>
      </c>
      <c r="BG474" s="326" t="e">
        <f t="shared" ca="1" si="395"/>
        <v>#NAME?</v>
      </c>
      <c r="BH474" s="694" t="e">
        <f ca="1">IF( S474="LRCINOP",   (1+(0.03/10)*Z474*(1+0.2*AC474^2) )*BicubicInterpolation( 'LRC INOP FF'!$C$4:$AA$21, Y474, U474 )-200, IF(S474 ="HOLDINGINOP", (1+(0.03/10)*Z474*(1+0.2*AC474^2) )*BicubicInterpolation( 'Holding INOP FF'!$C$4:$J$13,  Y474,  U474)/1.05-200,   BA474*BG474))</f>
        <v>#NAME?</v>
      </c>
      <c r="BI474" s="344" t="e">
        <f t="shared" ca="1" si="416"/>
        <v>#NAME?</v>
      </c>
      <c r="BJ474" s="322" t="e">
        <f t="shared" ca="1" si="396"/>
        <v>#NAME?</v>
      </c>
      <c r="BK474" s="338" t="e">
        <f t="shared" ca="1" si="417"/>
        <v>#NAME?</v>
      </c>
      <c r="BL474" s="327" t="e">
        <f t="shared" ca="1" si="397"/>
        <v>#NAME?</v>
      </c>
      <c r="BM474" s="328">
        <f t="shared" si="398"/>
        <v>200</v>
      </c>
      <c r="BN474" s="329" t="e">
        <f t="shared" ca="1" si="399"/>
        <v>#NAME?</v>
      </c>
      <c r="BO474" s="344" t="e">
        <f t="shared" ca="1" si="418"/>
        <v>#NAME?</v>
      </c>
      <c r="BP474" s="320" t="e">
        <f t="shared" ca="1" si="400"/>
        <v>#NAME?</v>
      </c>
      <c r="BQ474" s="344" t="e">
        <f t="shared" ca="1" si="419"/>
        <v>#NAME?</v>
      </c>
      <c r="BR474" s="347" t="e">
        <f t="shared" ca="1" si="420"/>
        <v>#NAME?</v>
      </c>
      <c r="BS474" s="326" t="e">
        <f t="shared" ca="1" si="401"/>
        <v>#NAME?</v>
      </c>
      <c r="BT474" s="437" t="e">
        <f t="shared" ca="1" si="433"/>
        <v>#NAME?</v>
      </c>
      <c r="BU474" s="437" t="e">
        <f t="shared" ca="1" si="434"/>
        <v>#NAME?</v>
      </c>
      <c r="BV474" s="441" t="e">
        <f t="shared" ca="1" si="435"/>
        <v>#NAME?</v>
      </c>
      <c r="BW474" s="442" t="e">
        <f t="shared" ca="1" si="436"/>
        <v>#NAME?</v>
      </c>
      <c r="BX474" s="470" t="e">
        <f t="shared" ca="1" si="409"/>
        <v>#NAME?</v>
      </c>
      <c r="BY474" s="484" t="e">
        <f t="shared" ca="1" si="421"/>
        <v>#NAME?</v>
      </c>
    </row>
    <row r="475" spans="9:77" ht="17.75" customHeight="1" x14ac:dyDescent="0.2">
      <c r="I475" s="366">
        <v>391</v>
      </c>
      <c r="J475" s="414">
        <f t="shared" si="422"/>
        <v>41705.984027778664</v>
      </c>
      <c r="K475" s="435" t="e">
        <f t="shared" ca="1" si="423"/>
        <v>#NAME?</v>
      </c>
      <c r="L475" s="435" t="e">
        <f t="shared" ca="1" si="410"/>
        <v>#NAME?</v>
      </c>
      <c r="M475" s="664" t="e">
        <f t="shared" ca="1" si="402"/>
        <v>#NAME?</v>
      </c>
      <c r="N475" s="664" t="e">
        <f t="shared" ca="1" si="403"/>
        <v>#NAME?</v>
      </c>
      <c r="O475" s="140" t="e">
        <f t="shared" ca="1" si="411"/>
        <v>#NAME?</v>
      </c>
      <c r="P475" s="352" t="e">
        <f t="shared" ca="1" si="424"/>
        <v>#NAME?</v>
      </c>
      <c r="Q475" s="665" t="e">
        <f t="shared" ca="1" si="404"/>
        <v>#NAME?</v>
      </c>
      <c r="R475" s="352" t="e">
        <f t="shared" ca="1" si="375"/>
        <v>#NAME?</v>
      </c>
      <c r="S475" s="662" t="e">
        <f t="shared" ca="1" si="412"/>
        <v>#NAME?</v>
      </c>
      <c r="T475" s="443" t="e">
        <f t="shared" ca="1" si="405"/>
        <v>#NAME?</v>
      </c>
      <c r="U475" s="369" t="e">
        <f t="shared" ca="1" si="406"/>
        <v>#NAME?</v>
      </c>
      <c r="V475" s="454" t="e">
        <f t="shared" ca="1" si="413"/>
        <v>#NAME?</v>
      </c>
      <c r="W475" s="457">
        <f t="shared" si="414"/>
        <v>1000</v>
      </c>
      <c r="X475" s="463" t="e">
        <f t="shared" ca="1" si="415"/>
        <v>#NAME?</v>
      </c>
      <c r="Y475" s="455" t="e">
        <f t="shared" ca="1" si="425"/>
        <v>#NAME?</v>
      </c>
      <c r="Z475" s="699">
        <f t="shared" si="407"/>
        <v>8.5</v>
      </c>
      <c r="AA475" s="355" t="str">
        <f t="shared" si="408"/>
        <v>ON</v>
      </c>
      <c r="AB475" s="357">
        <f t="shared" si="376"/>
        <v>1.4999999999999999E-2</v>
      </c>
      <c r="AC475" s="356" t="e">
        <f ca="1">IF(  Y474=0,0,IF(OR(S475="KCAS",S475="INOP",S475="MEFE"),   ( (5*( (   (((1+0.2*(T475/661.4786)^2)^3.5 -1)  )/( (1-6.8755856*10^-6 *100*Y475)^5.2558797) +1)^(2/7) -1) )^0.5),IF(S475="MACH",T475, IF(S475="LRC",BicubicInterpolation( 'LRC Mach'!$C$4:$AL$21, Y475,U475),  IF(S475="MRC",BicubicInterpolation( 'MRC Mach'!$C$3:$T$18, Y475,U475),  IF(S475="M0.84",0.84,  IF(S475="CI52",BicubicInterpolation('CI=52 Mach'!$C$3:$T$18, Y475,U475),  IF(S475="HOLDING",BicubicInterpolation(  'Holding Mach'!$C$4:$M$13, Y475,U475),                         IF(S475="LRCINOP", BicubicInterpolation('LRC INOP Mach'!$C$4:$AA$21,Y475,U475), IF(S475="HOLDINGINOP",  BicubicInterpolation('Holding INOP Mach'!$N$4:$U$13,Y475,U475),         "XXX" )))))))   )))</f>
        <v>#NAME?</v>
      </c>
      <c r="AD475" s="313" t="e">
        <f t="shared" ca="1" si="377"/>
        <v>#NAME?</v>
      </c>
      <c r="AE475" s="314" t="e">
        <f t="shared" ca="1" si="426"/>
        <v>#NAME?</v>
      </c>
      <c r="AF475" s="313" t="e">
        <f t="shared" ca="1" si="378"/>
        <v>#NAME?</v>
      </c>
      <c r="AG475" s="314" t="e">
        <f t="shared" ca="1" si="427"/>
        <v>#NAME?</v>
      </c>
      <c r="AH475" s="313" t="e">
        <f t="shared" ca="1" si="379"/>
        <v>#NAME?</v>
      </c>
      <c r="AI475" s="314" t="e">
        <f t="shared" ca="1" si="428"/>
        <v>#NAME?</v>
      </c>
      <c r="AJ475" s="315" t="e">
        <f t="shared" ca="1" si="429"/>
        <v>#NAME?</v>
      </c>
      <c r="AK475" s="568" t="e">
        <f t="shared" ca="1" si="380"/>
        <v>#NAME?</v>
      </c>
      <c r="AL475" s="313" t="e">
        <f t="shared" ca="1" si="381"/>
        <v>#NAME?</v>
      </c>
      <c r="AM475" s="313" t="e">
        <f t="shared" ca="1" si="430"/>
        <v>#NAME?</v>
      </c>
      <c r="AN475" s="313" t="e">
        <f t="shared" ca="1" si="431"/>
        <v>#NAME?</v>
      </c>
      <c r="AO475" s="316" t="e">
        <f t="shared" ca="1" si="382"/>
        <v>#NAME?</v>
      </c>
      <c r="AP475" s="313" t="e">
        <f t="shared" ca="1" si="383"/>
        <v>#NAME?</v>
      </c>
      <c r="AQ475" s="314" t="e">
        <f t="shared" ca="1" si="432"/>
        <v>#NAME?</v>
      </c>
      <c r="AR475" s="315" t="e">
        <f t="shared" ca="1" si="384"/>
        <v>#NAME?</v>
      </c>
      <c r="AS475" s="316" t="e">
        <f t="shared" ca="1" si="385"/>
        <v>#NAME?</v>
      </c>
      <c r="AT475" s="315" t="e">
        <f t="shared" ca="1" si="386"/>
        <v>#NAME?</v>
      </c>
      <c r="AU475" s="317">
        <v>427.8</v>
      </c>
      <c r="AV475" s="315" t="e">
        <f t="shared" ca="1" si="387"/>
        <v>#NAME?</v>
      </c>
      <c r="AW475" s="318" t="e">
        <f ca="1">0.0001*BicubicInterpolation('Drag Coef Table'!$B$4:$L$28,AV475,AC475)</f>
        <v>#NAME?</v>
      </c>
      <c r="AX475" s="319" t="e">
        <f t="shared" ca="1" si="388"/>
        <v>#NAME?</v>
      </c>
      <c r="AY475" s="318" t="e">
        <f t="shared" ca="1" si="389"/>
        <v>#NAME?</v>
      </c>
      <c r="AZ475" s="320" t="e">
        <f t="shared" ca="1" si="390"/>
        <v>#NAME?</v>
      </c>
      <c r="BA475" s="321" t="e">
        <f t="shared" ca="1" si="391"/>
        <v>#NAME?</v>
      </c>
      <c r="BB475" s="322" t="e">
        <f t="shared" ca="1" si="392"/>
        <v>#NAME?</v>
      </c>
      <c r="BC475" s="323">
        <v>75.196700000000007</v>
      </c>
      <c r="BD475" s="324" t="e">
        <f t="shared" ca="1" si="393"/>
        <v>#NAME?</v>
      </c>
      <c r="BE475" s="325" t="e">
        <f t="shared" ca="1" si="394"/>
        <v>#NAME?</v>
      </c>
      <c r="BF475" s="324" t="e">
        <f ca="1">BicubicInterpolation('TSFC Eff Table'!$B$4:$E$69,2,BB475)</f>
        <v>#NAME?</v>
      </c>
      <c r="BG475" s="326" t="e">
        <f t="shared" ca="1" si="395"/>
        <v>#NAME?</v>
      </c>
      <c r="BH475" s="694" t="e">
        <f ca="1">IF( S475="LRCINOP",   (1+(0.03/10)*Z475*(1+0.2*AC475^2) )*BicubicInterpolation( 'LRC INOP FF'!$C$4:$AA$21, Y475, U475 )-200, IF(S475 ="HOLDINGINOP", (1+(0.03/10)*Z475*(1+0.2*AC475^2) )*BicubicInterpolation( 'Holding INOP FF'!$C$4:$J$13,  Y475,  U475)/1.05-200,   BA475*BG475))</f>
        <v>#NAME?</v>
      </c>
      <c r="BI475" s="344" t="e">
        <f t="shared" ca="1" si="416"/>
        <v>#NAME?</v>
      </c>
      <c r="BJ475" s="322" t="e">
        <f t="shared" ca="1" si="396"/>
        <v>#NAME?</v>
      </c>
      <c r="BK475" s="338" t="e">
        <f t="shared" ca="1" si="417"/>
        <v>#NAME?</v>
      </c>
      <c r="BL475" s="327" t="e">
        <f t="shared" ca="1" si="397"/>
        <v>#NAME?</v>
      </c>
      <c r="BM475" s="328">
        <f t="shared" si="398"/>
        <v>200</v>
      </c>
      <c r="BN475" s="329" t="e">
        <f t="shared" ca="1" si="399"/>
        <v>#NAME?</v>
      </c>
      <c r="BO475" s="344" t="e">
        <f t="shared" ca="1" si="418"/>
        <v>#NAME?</v>
      </c>
      <c r="BP475" s="320" t="e">
        <f t="shared" ca="1" si="400"/>
        <v>#NAME?</v>
      </c>
      <c r="BQ475" s="344" t="e">
        <f t="shared" ca="1" si="419"/>
        <v>#NAME?</v>
      </c>
      <c r="BR475" s="347" t="e">
        <f t="shared" ca="1" si="420"/>
        <v>#NAME?</v>
      </c>
      <c r="BS475" s="326" t="e">
        <f t="shared" ca="1" si="401"/>
        <v>#NAME?</v>
      </c>
      <c r="BT475" s="437" t="e">
        <f t="shared" ca="1" si="433"/>
        <v>#NAME?</v>
      </c>
      <c r="BU475" s="437" t="e">
        <f t="shared" ca="1" si="434"/>
        <v>#NAME?</v>
      </c>
      <c r="BV475" s="441" t="e">
        <f t="shared" ca="1" si="435"/>
        <v>#NAME?</v>
      </c>
      <c r="BW475" s="442" t="e">
        <f t="shared" ca="1" si="436"/>
        <v>#NAME?</v>
      </c>
      <c r="BX475" s="470" t="e">
        <f t="shared" ca="1" si="409"/>
        <v>#NAME?</v>
      </c>
      <c r="BY475" s="484" t="e">
        <f t="shared" ca="1" si="421"/>
        <v>#NAME?</v>
      </c>
    </row>
    <row r="476" spans="9:77" ht="17.75" customHeight="1" x14ac:dyDescent="0.2">
      <c r="I476" s="366">
        <v>392</v>
      </c>
      <c r="J476" s="414">
        <f t="shared" si="422"/>
        <v>41705.984722223111</v>
      </c>
      <c r="K476" s="435" t="e">
        <f t="shared" ca="1" si="423"/>
        <v>#NAME?</v>
      </c>
      <c r="L476" s="435" t="e">
        <f t="shared" ca="1" si="410"/>
        <v>#NAME?</v>
      </c>
      <c r="M476" s="664" t="e">
        <f t="shared" ca="1" si="402"/>
        <v>#NAME?</v>
      </c>
      <c r="N476" s="664" t="e">
        <f t="shared" ca="1" si="403"/>
        <v>#NAME?</v>
      </c>
      <c r="O476" s="140" t="e">
        <f t="shared" ca="1" si="411"/>
        <v>#NAME?</v>
      </c>
      <c r="P476" s="352" t="e">
        <f t="shared" ca="1" si="424"/>
        <v>#NAME?</v>
      </c>
      <c r="Q476" s="665" t="e">
        <f t="shared" ca="1" si="404"/>
        <v>#NAME?</v>
      </c>
      <c r="R476" s="352" t="e">
        <f t="shared" ca="1" si="375"/>
        <v>#NAME?</v>
      </c>
      <c r="S476" s="662" t="e">
        <f t="shared" ca="1" si="412"/>
        <v>#NAME?</v>
      </c>
      <c r="T476" s="443" t="e">
        <f t="shared" ca="1" si="405"/>
        <v>#NAME?</v>
      </c>
      <c r="U476" s="369" t="e">
        <f t="shared" ca="1" si="406"/>
        <v>#NAME?</v>
      </c>
      <c r="V476" s="454" t="e">
        <f t="shared" ca="1" si="413"/>
        <v>#NAME?</v>
      </c>
      <c r="W476" s="457">
        <f t="shared" si="414"/>
        <v>1000</v>
      </c>
      <c r="X476" s="463" t="e">
        <f t="shared" ca="1" si="415"/>
        <v>#NAME?</v>
      </c>
      <c r="Y476" s="455" t="e">
        <f t="shared" ca="1" si="425"/>
        <v>#NAME?</v>
      </c>
      <c r="Z476" s="699">
        <f t="shared" si="407"/>
        <v>8.5</v>
      </c>
      <c r="AA476" s="355" t="str">
        <f t="shared" si="408"/>
        <v>ON</v>
      </c>
      <c r="AB476" s="357">
        <f t="shared" si="376"/>
        <v>1.4999999999999999E-2</v>
      </c>
      <c r="AC476" s="356" t="e">
        <f ca="1">IF(  Y475=0,0,IF(OR(S476="KCAS",S476="INOP",S476="MEFE"),   ( (5*( (   (((1+0.2*(T476/661.4786)^2)^3.5 -1)  )/( (1-6.8755856*10^-6 *100*Y476)^5.2558797) +1)^(2/7) -1) )^0.5),IF(S476="MACH",T476, IF(S476="LRC",BicubicInterpolation( 'LRC Mach'!$C$4:$AL$21, Y476,U476),  IF(S476="MRC",BicubicInterpolation( 'MRC Mach'!$C$3:$T$18, Y476,U476),  IF(S476="M0.84",0.84,  IF(S476="CI52",BicubicInterpolation('CI=52 Mach'!$C$3:$T$18, Y476,U476),  IF(S476="HOLDING",BicubicInterpolation(  'Holding Mach'!$C$4:$M$13, Y476,U476),                         IF(S476="LRCINOP", BicubicInterpolation('LRC INOP Mach'!$C$4:$AA$21,Y476,U476), IF(S476="HOLDINGINOP",  BicubicInterpolation('Holding INOP Mach'!$N$4:$U$13,Y476,U476),         "XXX" )))))))   )))</f>
        <v>#NAME?</v>
      </c>
      <c r="AD476" s="313" t="e">
        <f t="shared" ca="1" si="377"/>
        <v>#NAME?</v>
      </c>
      <c r="AE476" s="314" t="e">
        <f t="shared" ca="1" si="426"/>
        <v>#NAME?</v>
      </c>
      <c r="AF476" s="313" t="e">
        <f t="shared" ca="1" si="378"/>
        <v>#NAME?</v>
      </c>
      <c r="AG476" s="314" t="e">
        <f t="shared" ca="1" si="427"/>
        <v>#NAME?</v>
      </c>
      <c r="AH476" s="313" t="e">
        <f t="shared" ca="1" si="379"/>
        <v>#NAME?</v>
      </c>
      <c r="AI476" s="314" t="e">
        <f t="shared" ca="1" si="428"/>
        <v>#NAME?</v>
      </c>
      <c r="AJ476" s="315" t="e">
        <f t="shared" ca="1" si="429"/>
        <v>#NAME?</v>
      </c>
      <c r="AK476" s="568" t="e">
        <f t="shared" ca="1" si="380"/>
        <v>#NAME?</v>
      </c>
      <c r="AL476" s="313" t="e">
        <f t="shared" ca="1" si="381"/>
        <v>#NAME?</v>
      </c>
      <c r="AM476" s="313" t="e">
        <f t="shared" ca="1" si="430"/>
        <v>#NAME?</v>
      </c>
      <c r="AN476" s="313" t="e">
        <f t="shared" ca="1" si="431"/>
        <v>#NAME?</v>
      </c>
      <c r="AO476" s="316" t="e">
        <f t="shared" ca="1" si="382"/>
        <v>#NAME?</v>
      </c>
      <c r="AP476" s="313" t="e">
        <f t="shared" ca="1" si="383"/>
        <v>#NAME?</v>
      </c>
      <c r="AQ476" s="314" t="e">
        <f t="shared" ca="1" si="432"/>
        <v>#NAME?</v>
      </c>
      <c r="AR476" s="315" t="e">
        <f t="shared" ca="1" si="384"/>
        <v>#NAME?</v>
      </c>
      <c r="AS476" s="316" t="e">
        <f t="shared" ca="1" si="385"/>
        <v>#NAME?</v>
      </c>
      <c r="AT476" s="315" t="e">
        <f t="shared" ca="1" si="386"/>
        <v>#NAME?</v>
      </c>
      <c r="AU476" s="317">
        <v>427.8</v>
      </c>
      <c r="AV476" s="315" t="e">
        <f t="shared" ca="1" si="387"/>
        <v>#NAME?</v>
      </c>
      <c r="AW476" s="318" t="e">
        <f ca="1">0.0001*BicubicInterpolation('Drag Coef Table'!$B$4:$L$28,AV476,AC476)</f>
        <v>#NAME?</v>
      </c>
      <c r="AX476" s="319" t="e">
        <f t="shared" ca="1" si="388"/>
        <v>#NAME?</v>
      </c>
      <c r="AY476" s="318" t="e">
        <f t="shared" ca="1" si="389"/>
        <v>#NAME?</v>
      </c>
      <c r="AZ476" s="320" t="e">
        <f t="shared" ca="1" si="390"/>
        <v>#NAME?</v>
      </c>
      <c r="BA476" s="321" t="e">
        <f t="shared" ca="1" si="391"/>
        <v>#NAME?</v>
      </c>
      <c r="BB476" s="322" t="e">
        <f t="shared" ca="1" si="392"/>
        <v>#NAME?</v>
      </c>
      <c r="BC476" s="323">
        <v>75.196700000000007</v>
      </c>
      <c r="BD476" s="324" t="e">
        <f t="shared" ca="1" si="393"/>
        <v>#NAME?</v>
      </c>
      <c r="BE476" s="325" t="e">
        <f t="shared" ca="1" si="394"/>
        <v>#NAME?</v>
      </c>
      <c r="BF476" s="324" t="e">
        <f ca="1">BicubicInterpolation('TSFC Eff Table'!$B$4:$E$69,2,BB476)</f>
        <v>#NAME?</v>
      </c>
      <c r="BG476" s="326" t="e">
        <f t="shared" ca="1" si="395"/>
        <v>#NAME?</v>
      </c>
      <c r="BH476" s="694" t="e">
        <f ca="1">IF( S476="LRCINOP",   (1+(0.03/10)*Z476*(1+0.2*AC476^2) )*BicubicInterpolation( 'LRC INOP FF'!$C$4:$AA$21, Y476, U476 )-200, IF(S476 ="HOLDINGINOP", (1+(0.03/10)*Z476*(1+0.2*AC476^2) )*BicubicInterpolation( 'Holding INOP FF'!$C$4:$J$13,  Y476,  U476)/1.05-200,   BA476*BG476))</f>
        <v>#NAME?</v>
      </c>
      <c r="BI476" s="344" t="e">
        <f t="shared" ca="1" si="416"/>
        <v>#NAME?</v>
      </c>
      <c r="BJ476" s="322" t="e">
        <f t="shared" ca="1" si="396"/>
        <v>#NAME?</v>
      </c>
      <c r="BK476" s="338" t="e">
        <f t="shared" ca="1" si="417"/>
        <v>#NAME?</v>
      </c>
      <c r="BL476" s="327" t="e">
        <f t="shared" ca="1" si="397"/>
        <v>#NAME?</v>
      </c>
      <c r="BM476" s="328">
        <f t="shared" si="398"/>
        <v>200</v>
      </c>
      <c r="BN476" s="329" t="e">
        <f t="shared" ca="1" si="399"/>
        <v>#NAME?</v>
      </c>
      <c r="BO476" s="344" t="e">
        <f t="shared" ca="1" si="418"/>
        <v>#NAME?</v>
      </c>
      <c r="BP476" s="320" t="e">
        <f t="shared" ca="1" si="400"/>
        <v>#NAME?</v>
      </c>
      <c r="BQ476" s="344" t="e">
        <f t="shared" ca="1" si="419"/>
        <v>#NAME?</v>
      </c>
      <c r="BR476" s="347" t="e">
        <f t="shared" ca="1" si="420"/>
        <v>#NAME?</v>
      </c>
      <c r="BS476" s="326" t="e">
        <f t="shared" ca="1" si="401"/>
        <v>#NAME?</v>
      </c>
      <c r="BT476" s="437" t="e">
        <f t="shared" ca="1" si="433"/>
        <v>#NAME?</v>
      </c>
      <c r="BU476" s="437" t="e">
        <f t="shared" ca="1" si="434"/>
        <v>#NAME?</v>
      </c>
      <c r="BV476" s="441" t="e">
        <f t="shared" ca="1" si="435"/>
        <v>#NAME?</v>
      </c>
      <c r="BW476" s="442" t="e">
        <f t="shared" ca="1" si="436"/>
        <v>#NAME?</v>
      </c>
      <c r="BX476" s="470" t="e">
        <f t="shared" ca="1" si="409"/>
        <v>#NAME?</v>
      </c>
      <c r="BY476" s="484" t="e">
        <f t="shared" ca="1" si="421"/>
        <v>#NAME?</v>
      </c>
    </row>
    <row r="477" spans="9:77" ht="17.75" customHeight="1" x14ac:dyDescent="0.2">
      <c r="I477" s="366">
        <v>393</v>
      </c>
      <c r="J477" s="414">
        <f t="shared" si="422"/>
        <v>41705.985416667558</v>
      </c>
      <c r="K477" s="435" t="e">
        <f t="shared" ca="1" si="423"/>
        <v>#NAME?</v>
      </c>
      <c r="L477" s="435" t="e">
        <f t="shared" ca="1" si="410"/>
        <v>#NAME?</v>
      </c>
      <c r="M477" s="664" t="e">
        <f t="shared" ca="1" si="402"/>
        <v>#NAME?</v>
      </c>
      <c r="N477" s="664" t="e">
        <f t="shared" ca="1" si="403"/>
        <v>#NAME?</v>
      </c>
      <c r="O477" s="140" t="e">
        <f t="shared" ca="1" si="411"/>
        <v>#NAME?</v>
      </c>
      <c r="P477" s="352" t="e">
        <f t="shared" ca="1" si="424"/>
        <v>#NAME?</v>
      </c>
      <c r="Q477" s="665" t="e">
        <f t="shared" ca="1" si="404"/>
        <v>#NAME?</v>
      </c>
      <c r="R477" s="352" t="e">
        <f t="shared" ca="1" si="375"/>
        <v>#NAME?</v>
      </c>
      <c r="S477" s="662" t="e">
        <f t="shared" ca="1" si="412"/>
        <v>#NAME?</v>
      </c>
      <c r="T477" s="443" t="e">
        <f t="shared" ca="1" si="405"/>
        <v>#NAME?</v>
      </c>
      <c r="U477" s="369" t="e">
        <f t="shared" ca="1" si="406"/>
        <v>#NAME?</v>
      </c>
      <c r="V477" s="454" t="e">
        <f t="shared" ca="1" si="413"/>
        <v>#NAME?</v>
      </c>
      <c r="W477" s="457">
        <f t="shared" si="414"/>
        <v>1000</v>
      </c>
      <c r="X477" s="463" t="e">
        <f t="shared" ca="1" si="415"/>
        <v>#NAME?</v>
      </c>
      <c r="Y477" s="455" t="e">
        <f t="shared" ca="1" si="425"/>
        <v>#NAME?</v>
      </c>
      <c r="Z477" s="699">
        <f t="shared" si="407"/>
        <v>8.5</v>
      </c>
      <c r="AA477" s="355" t="str">
        <f t="shared" si="408"/>
        <v>ON</v>
      </c>
      <c r="AB477" s="357">
        <f t="shared" si="376"/>
        <v>1.4999999999999999E-2</v>
      </c>
      <c r="AC477" s="356" t="e">
        <f ca="1">IF(  Y476=0,0,IF(OR(S477="KCAS",S477="INOP",S477="MEFE"),   ( (5*( (   (((1+0.2*(T477/661.4786)^2)^3.5 -1)  )/( (1-6.8755856*10^-6 *100*Y477)^5.2558797) +1)^(2/7) -1) )^0.5),IF(S477="MACH",T477, IF(S477="LRC",BicubicInterpolation( 'LRC Mach'!$C$4:$AL$21, Y477,U477),  IF(S477="MRC",BicubicInterpolation( 'MRC Mach'!$C$3:$T$18, Y477,U477),  IF(S477="M0.84",0.84,  IF(S477="CI52",BicubicInterpolation('CI=52 Mach'!$C$3:$T$18, Y477,U477),  IF(S477="HOLDING",BicubicInterpolation(  'Holding Mach'!$C$4:$M$13, Y477,U477),                         IF(S477="LRCINOP", BicubicInterpolation('LRC INOP Mach'!$C$4:$AA$21,Y477,U477), IF(S477="HOLDINGINOP",  BicubicInterpolation('Holding INOP Mach'!$N$4:$U$13,Y477,U477),         "XXX" )))))))   )))</f>
        <v>#NAME?</v>
      </c>
      <c r="AD477" s="313" t="e">
        <f t="shared" ca="1" si="377"/>
        <v>#NAME?</v>
      </c>
      <c r="AE477" s="314" t="e">
        <f t="shared" ca="1" si="426"/>
        <v>#NAME?</v>
      </c>
      <c r="AF477" s="313" t="e">
        <f t="shared" ca="1" si="378"/>
        <v>#NAME?</v>
      </c>
      <c r="AG477" s="314" t="e">
        <f t="shared" ca="1" si="427"/>
        <v>#NAME?</v>
      </c>
      <c r="AH477" s="313" t="e">
        <f t="shared" ca="1" si="379"/>
        <v>#NAME?</v>
      </c>
      <c r="AI477" s="314" t="e">
        <f t="shared" ca="1" si="428"/>
        <v>#NAME?</v>
      </c>
      <c r="AJ477" s="315" t="e">
        <f t="shared" ca="1" si="429"/>
        <v>#NAME?</v>
      </c>
      <c r="AK477" s="568" t="e">
        <f t="shared" ca="1" si="380"/>
        <v>#NAME?</v>
      </c>
      <c r="AL477" s="313" t="e">
        <f t="shared" ca="1" si="381"/>
        <v>#NAME?</v>
      </c>
      <c r="AM477" s="313" t="e">
        <f t="shared" ca="1" si="430"/>
        <v>#NAME?</v>
      </c>
      <c r="AN477" s="313" t="e">
        <f t="shared" ca="1" si="431"/>
        <v>#NAME?</v>
      </c>
      <c r="AO477" s="316" t="e">
        <f t="shared" ca="1" si="382"/>
        <v>#NAME?</v>
      </c>
      <c r="AP477" s="313" t="e">
        <f t="shared" ca="1" si="383"/>
        <v>#NAME?</v>
      </c>
      <c r="AQ477" s="314" t="e">
        <f t="shared" ca="1" si="432"/>
        <v>#NAME?</v>
      </c>
      <c r="AR477" s="315" t="e">
        <f t="shared" ca="1" si="384"/>
        <v>#NAME?</v>
      </c>
      <c r="AS477" s="316" t="e">
        <f t="shared" ca="1" si="385"/>
        <v>#NAME?</v>
      </c>
      <c r="AT477" s="315" t="e">
        <f t="shared" ca="1" si="386"/>
        <v>#NAME?</v>
      </c>
      <c r="AU477" s="317">
        <v>427.8</v>
      </c>
      <c r="AV477" s="315" t="e">
        <f t="shared" ca="1" si="387"/>
        <v>#NAME?</v>
      </c>
      <c r="AW477" s="318" t="e">
        <f ca="1">0.0001*BicubicInterpolation('Drag Coef Table'!$B$4:$L$28,AV477,AC477)</f>
        <v>#NAME?</v>
      </c>
      <c r="AX477" s="319" t="e">
        <f t="shared" ca="1" si="388"/>
        <v>#NAME?</v>
      </c>
      <c r="AY477" s="318" t="e">
        <f t="shared" ca="1" si="389"/>
        <v>#NAME?</v>
      </c>
      <c r="AZ477" s="320" t="e">
        <f t="shared" ca="1" si="390"/>
        <v>#NAME?</v>
      </c>
      <c r="BA477" s="321" t="e">
        <f t="shared" ca="1" si="391"/>
        <v>#NAME?</v>
      </c>
      <c r="BB477" s="322" t="e">
        <f t="shared" ca="1" si="392"/>
        <v>#NAME?</v>
      </c>
      <c r="BC477" s="323">
        <v>75.196700000000007</v>
      </c>
      <c r="BD477" s="324" t="e">
        <f t="shared" ca="1" si="393"/>
        <v>#NAME?</v>
      </c>
      <c r="BE477" s="325" t="e">
        <f t="shared" ca="1" si="394"/>
        <v>#NAME?</v>
      </c>
      <c r="BF477" s="324" t="e">
        <f ca="1">BicubicInterpolation('TSFC Eff Table'!$B$4:$E$69,2,BB477)</f>
        <v>#NAME?</v>
      </c>
      <c r="BG477" s="326" t="e">
        <f t="shared" ca="1" si="395"/>
        <v>#NAME?</v>
      </c>
      <c r="BH477" s="694" t="e">
        <f ca="1">IF( S477="LRCINOP",   (1+(0.03/10)*Z477*(1+0.2*AC477^2) )*BicubicInterpolation( 'LRC INOP FF'!$C$4:$AA$21, Y477, U477 )-200, IF(S477 ="HOLDINGINOP", (1+(0.03/10)*Z477*(1+0.2*AC477^2) )*BicubicInterpolation( 'Holding INOP FF'!$C$4:$J$13,  Y477,  U477)/1.05-200,   BA477*BG477))</f>
        <v>#NAME?</v>
      </c>
      <c r="BI477" s="344" t="e">
        <f t="shared" ca="1" si="416"/>
        <v>#NAME?</v>
      </c>
      <c r="BJ477" s="322" t="e">
        <f t="shared" ca="1" si="396"/>
        <v>#NAME?</v>
      </c>
      <c r="BK477" s="338" t="e">
        <f t="shared" ca="1" si="417"/>
        <v>#NAME?</v>
      </c>
      <c r="BL477" s="327" t="e">
        <f t="shared" ca="1" si="397"/>
        <v>#NAME?</v>
      </c>
      <c r="BM477" s="328">
        <f t="shared" si="398"/>
        <v>200</v>
      </c>
      <c r="BN477" s="329" t="e">
        <f t="shared" ca="1" si="399"/>
        <v>#NAME?</v>
      </c>
      <c r="BO477" s="344" t="e">
        <f t="shared" ca="1" si="418"/>
        <v>#NAME?</v>
      </c>
      <c r="BP477" s="320" t="e">
        <f t="shared" ca="1" si="400"/>
        <v>#NAME?</v>
      </c>
      <c r="BQ477" s="344" t="e">
        <f t="shared" ca="1" si="419"/>
        <v>#NAME?</v>
      </c>
      <c r="BR477" s="347" t="e">
        <f t="shared" ca="1" si="420"/>
        <v>#NAME?</v>
      </c>
      <c r="BS477" s="326" t="e">
        <f t="shared" ca="1" si="401"/>
        <v>#NAME?</v>
      </c>
      <c r="BT477" s="437" t="e">
        <f t="shared" ca="1" si="433"/>
        <v>#NAME?</v>
      </c>
      <c r="BU477" s="437" t="e">
        <f t="shared" ca="1" si="434"/>
        <v>#NAME?</v>
      </c>
      <c r="BV477" s="441" t="e">
        <f t="shared" ca="1" si="435"/>
        <v>#NAME?</v>
      </c>
      <c r="BW477" s="442" t="e">
        <f t="shared" ca="1" si="436"/>
        <v>#NAME?</v>
      </c>
      <c r="BX477" s="470" t="e">
        <f t="shared" ca="1" si="409"/>
        <v>#NAME?</v>
      </c>
      <c r="BY477" s="484" t="e">
        <f t="shared" ca="1" si="421"/>
        <v>#NAME?</v>
      </c>
    </row>
    <row r="478" spans="9:77" ht="17.75" customHeight="1" x14ac:dyDescent="0.2">
      <c r="I478" s="366">
        <v>394</v>
      </c>
      <c r="J478" s="414">
        <f t="shared" si="422"/>
        <v>41705.986111112004</v>
      </c>
      <c r="K478" s="435" t="e">
        <f t="shared" ca="1" si="423"/>
        <v>#NAME?</v>
      </c>
      <c r="L478" s="435" t="e">
        <f t="shared" ca="1" si="410"/>
        <v>#NAME?</v>
      </c>
      <c r="M478" s="664" t="e">
        <f t="shared" ca="1" si="402"/>
        <v>#NAME?</v>
      </c>
      <c r="N478" s="664" t="e">
        <f t="shared" ca="1" si="403"/>
        <v>#NAME?</v>
      </c>
      <c r="O478" s="140" t="e">
        <f t="shared" ca="1" si="411"/>
        <v>#NAME?</v>
      </c>
      <c r="P478" s="352" t="e">
        <f t="shared" ca="1" si="424"/>
        <v>#NAME?</v>
      </c>
      <c r="Q478" s="665" t="e">
        <f t="shared" ca="1" si="404"/>
        <v>#NAME?</v>
      </c>
      <c r="R478" s="352" t="e">
        <f t="shared" ca="1" si="375"/>
        <v>#NAME?</v>
      </c>
      <c r="S478" s="662" t="e">
        <f t="shared" ca="1" si="412"/>
        <v>#NAME?</v>
      </c>
      <c r="T478" s="443" t="e">
        <f t="shared" ca="1" si="405"/>
        <v>#NAME?</v>
      </c>
      <c r="U478" s="369" t="e">
        <f t="shared" ca="1" si="406"/>
        <v>#NAME?</v>
      </c>
      <c r="V478" s="454" t="e">
        <f t="shared" ca="1" si="413"/>
        <v>#NAME?</v>
      </c>
      <c r="W478" s="457">
        <f t="shared" si="414"/>
        <v>1000</v>
      </c>
      <c r="X478" s="463" t="e">
        <f t="shared" ca="1" si="415"/>
        <v>#NAME?</v>
      </c>
      <c r="Y478" s="455" t="e">
        <f t="shared" ca="1" si="425"/>
        <v>#NAME?</v>
      </c>
      <c r="Z478" s="699">
        <f t="shared" si="407"/>
        <v>8.5</v>
      </c>
      <c r="AA478" s="355" t="str">
        <f t="shared" si="408"/>
        <v>ON</v>
      </c>
      <c r="AB478" s="357">
        <f t="shared" si="376"/>
        <v>1.4999999999999999E-2</v>
      </c>
      <c r="AC478" s="356" t="e">
        <f ca="1">IF(  Y477=0,0,IF(OR(S478="KCAS",S478="INOP",S478="MEFE"),   ( (5*( (   (((1+0.2*(T478/661.4786)^2)^3.5 -1)  )/( (1-6.8755856*10^-6 *100*Y478)^5.2558797) +1)^(2/7) -1) )^0.5),IF(S478="MACH",T478, IF(S478="LRC",BicubicInterpolation( 'LRC Mach'!$C$4:$AL$21, Y478,U478),  IF(S478="MRC",BicubicInterpolation( 'MRC Mach'!$C$3:$T$18, Y478,U478),  IF(S478="M0.84",0.84,  IF(S478="CI52",BicubicInterpolation('CI=52 Mach'!$C$3:$T$18, Y478,U478),  IF(S478="HOLDING",BicubicInterpolation(  'Holding Mach'!$C$4:$M$13, Y478,U478),                         IF(S478="LRCINOP", BicubicInterpolation('LRC INOP Mach'!$C$4:$AA$21,Y478,U478), IF(S478="HOLDINGINOP",  BicubicInterpolation('Holding INOP Mach'!$N$4:$U$13,Y478,U478),         "XXX" )))))))   )))</f>
        <v>#NAME?</v>
      </c>
      <c r="AD478" s="313" t="e">
        <f t="shared" ca="1" si="377"/>
        <v>#NAME?</v>
      </c>
      <c r="AE478" s="314" t="e">
        <f t="shared" ca="1" si="426"/>
        <v>#NAME?</v>
      </c>
      <c r="AF478" s="313" t="e">
        <f t="shared" ca="1" si="378"/>
        <v>#NAME?</v>
      </c>
      <c r="AG478" s="314" t="e">
        <f t="shared" ca="1" si="427"/>
        <v>#NAME?</v>
      </c>
      <c r="AH478" s="313" t="e">
        <f t="shared" ca="1" si="379"/>
        <v>#NAME?</v>
      </c>
      <c r="AI478" s="314" t="e">
        <f t="shared" ca="1" si="428"/>
        <v>#NAME?</v>
      </c>
      <c r="AJ478" s="315" t="e">
        <f t="shared" ca="1" si="429"/>
        <v>#NAME?</v>
      </c>
      <c r="AK478" s="568" t="e">
        <f t="shared" ca="1" si="380"/>
        <v>#NAME?</v>
      </c>
      <c r="AL478" s="313" t="e">
        <f t="shared" ca="1" si="381"/>
        <v>#NAME?</v>
      </c>
      <c r="AM478" s="313" t="e">
        <f t="shared" ca="1" si="430"/>
        <v>#NAME?</v>
      </c>
      <c r="AN478" s="313" t="e">
        <f t="shared" ca="1" si="431"/>
        <v>#NAME?</v>
      </c>
      <c r="AO478" s="316" t="e">
        <f t="shared" ca="1" si="382"/>
        <v>#NAME?</v>
      </c>
      <c r="AP478" s="313" t="e">
        <f t="shared" ca="1" si="383"/>
        <v>#NAME?</v>
      </c>
      <c r="AQ478" s="314" t="e">
        <f t="shared" ca="1" si="432"/>
        <v>#NAME?</v>
      </c>
      <c r="AR478" s="315" t="e">
        <f t="shared" ca="1" si="384"/>
        <v>#NAME?</v>
      </c>
      <c r="AS478" s="316" t="e">
        <f t="shared" ca="1" si="385"/>
        <v>#NAME?</v>
      </c>
      <c r="AT478" s="315" t="e">
        <f t="shared" ca="1" si="386"/>
        <v>#NAME?</v>
      </c>
      <c r="AU478" s="317">
        <v>427.8</v>
      </c>
      <c r="AV478" s="315" t="e">
        <f t="shared" ca="1" si="387"/>
        <v>#NAME?</v>
      </c>
      <c r="AW478" s="318" t="e">
        <f ca="1">0.0001*BicubicInterpolation('Drag Coef Table'!$B$4:$L$28,AV478,AC478)</f>
        <v>#NAME?</v>
      </c>
      <c r="AX478" s="319" t="e">
        <f t="shared" ca="1" si="388"/>
        <v>#NAME?</v>
      </c>
      <c r="AY478" s="318" t="e">
        <f t="shared" ca="1" si="389"/>
        <v>#NAME?</v>
      </c>
      <c r="AZ478" s="320" t="e">
        <f t="shared" ca="1" si="390"/>
        <v>#NAME?</v>
      </c>
      <c r="BA478" s="321" t="e">
        <f t="shared" ca="1" si="391"/>
        <v>#NAME?</v>
      </c>
      <c r="BB478" s="322" t="e">
        <f t="shared" ca="1" si="392"/>
        <v>#NAME?</v>
      </c>
      <c r="BC478" s="323">
        <v>75.196700000000007</v>
      </c>
      <c r="BD478" s="324" t="e">
        <f t="shared" ca="1" si="393"/>
        <v>#NAME?</v>
      </c>
      <c r="BE478" s="325" t="e">
        <f t="shared" ca="1" si="394"/>
        <v>#NAME?</v>
      </c>
      <c r="BF478" s="324" t="e">
        <f ca="1">BicubicInterpolation('TSFC Eff Table'!$B$4:$E$69,2,BB478)</f>
        <v>#NAME?</v>
      </c>
      <c r="BG478" s="326" t="e">
        <f t="shared" ca="1" si="395"/>
        <v>#NAME?</v>
      </c>
      <c r="BH478" s="694" t="e">
        <f ca="1">IF( S478="LRCINOP",   (1+(0.03/10)*Z478*(1+0.2*AC478^2) )*BicubicInterpolation( 'LRC INOP FF'!$C$4:$AA$21, Y478, U478 )-200, IF(S478 ="HOLDINGINOP", (1+(0.03/10)*Z478*(1+0.2*AC478^2) )*BicubicInterpolation( 'Holding INOP FF'!$C$4:$J$13,  Y478,  U478)/1.05-200,   BA478*BG478))</f>
        <v>#NAME?</v>
      </c>
      <c r="BI478" s="344" t="e">
        <f t="shared" ca="1" si="416"/>
        <v>#NAME?</v>
      </c>
      <c r="BJ478" s="322" t="e">
        <f t="shared" ca="1" si="396"/>
        <v>#NAME?</v>
      </c>
      <c r="BK478" s="338" t="e">
        <f t="shared" ca="1" si="417"/>
        <v>#NAME?</v>
      </c>
      <c r="BL478" s="327" t="e">
        <f t="shared" ca="1" si="397"/>
        <v>#NAME?</v>
      </c>
      <c r="BM478" s="328">
        <f t="shared" si="398"/>
        <v>200</v>
      </c>
      <c r="BN478" s="329" t="e">
        <f t="shared" ca="1" si="399"/>
        <v>#NAME?</v>
      </c>
      <c r="BO478" s="344" t="e">
        <f t="shared" ca="1" si="418"/>
        <v>#NAME?</v>
      </c>
      <c r="BP478" s="320" t="e">
        <f t="shared" ca="1" si="400"/>
        <v>#NAME?</v>
      </c>
      <c r="BQ478" s="344" t="e">
        <f t="shared" ca="1" si="419"/>
        <v>#NAME?</v>
      </c>
      <c r="BR478" s="347" t="e">
        <f t="shared" ca="1" si="420"/>
        <v>#NAME?</v>
      </c>
      <c r="BS478" s="326" t="e">
        <f t="shared" ca="1" si="401"/>
        <v>#NAME?</v>
      </c>
      <c r="BT478" s="437" t="e">
        <f t="shared" ca="1" si="433"/>
        <v>#NAME?</v>
      </c>
      <c r="BU478" s="437" t="e">
        <f t="shared" ca="1" si="434"/>
        <v>#NAME?</v>
      </c>
      <c r="BV478" s="441" t="e">
        <f t="shared" ca="1" si="435"/>
        <v>#NAME?</v>
      </c>
      <c r="BW478" s="442" t="e">
        <f t="shared" ca="1" si="436"/>
        <v>#NAME?</v>
      </c>
      <c r="BX478" s="470" t="e">
        <f t="shared" ca="1" si="409"/>
        <v>#NAME?</v>
      </c>
      <c r="BY478" s="484" t="e">
        <f t="shared" ca="1" si="421"/>
        <v>#NAME?</v>
      </c>
    </row>
    <row r="479" spans="9:77" ht="17.75" customHeight="1" x14ac:dyDescent="0.2">
      <c r="I479" s="366">
        <v>395</v>
      </c>
      <c r="J479" s="414">
        <f t="shared" si="422"/>
        <v>41705.986805556451</v>
      </c>
      <c r="K479" s="435" t="e">
        <f t="shared" ca="1" si="423"/>
        <v>#NAME?</v>
      </c>
      <c r="L479" s="435" t="e">
        <f t="shared" ca="1" si="410"/>
        <v>#NAME?</v>
      </c>
      <c r="M479" s="664" t="e">
        <f t="shared" ca="1" si="402"/>
        <v>#NAME?</v>
      </c>
      <c r="N479" s="664" t="e">
        <f t="shared" ca="1" si="403"/>
        <v>#NAME?</v>
      </c>
      <c r="O479" s="140" t="e">
        <f t="shared" ca="1" si="411"/>
        <v>#NAME?</v>
      </c>
      <c r="P479" s="352" t="e">
        <f t="shared" ca="1" si="424"/>
        <v>#NAME?</v>
      </c>
      <c r="Q479" s="665" t="e">
        <f t="shared" ca="1" si="404"/>
        <v>#NAME?</v>
      </c>
      <c r="R479" s="352" t="e">
        <f t="shared" ref="R479:R542" ca="1" si="437">AC479</f>
        <v>#NAME?</v>
      </c>
      <c r="S479" s="662" t="e">
        <f t="shared" ca="1" si="412"/>
        <v>#NAME?</v>
      </c>
      <c r="T479" s="443" t="e">
        <f t="shared" ca="1" si="405"/>
        <v>#NAME?</v>
      </c>
      <c r="U479" s="369" t="e">
        <f t="shared" ca="1" si="406"/>
        <v>#NAME?</v>
      </c>
      <c r="V479" s="454" t="e">
        <f t="shared" ca="1" si="413"/>
        <v>#NAME?</v>
      </c>
      <c r="W479" s="457">
        <f t="shared" si="414"/>
        <v>1000</v>
      </c>
      <c r="X479" s="463" t="e">
        <f t="shared" ca="1" si="415"/>
        <v>#NAME?</v>
      </c>
      <c r="Y479" s="455" t="e">
        <f t="shared" ca="1" si="425"/>
        <v>#NAME?</v>
      </c>
      <c r="Z479" s="699">
        <f t="shared" si="407"/>
        <v>8.5</v>
      </c>
      <c r="AA479" s="355" t="str">
        <f t="shared" si="408"/>
        <v>ON</v>
      </c>
      <c r="AB479" s="357">
        <f t="shared" ref="AB479:AB542" si="438">AB478</f>
        <v>1.4999999999999999E-2</v>
      </c>
      <c r="AC479" s="356" t="e">
        <f ca="1">IF(  Y478=0,0,IF(OR(S479="KCAS",S479="INOP",S479="MEFE"),   ( (5*( (   (((1+0.2*(T479/661.4786)^2)^3.5 -1)  )/( (1-6.8755856*10^-6 *100*Y479)^5.2558797) +1)^(2/7) -1) )^0.5),IF(S479="MACH",T479, IF(S479="LRC",BicubicInterpolation( 'LRC Mach'!$C$4:$AL$21, Y479,U479),  IF(S479="MRC",BicubicInterpolation( 'MRC Mach'!$C$3:$T$18, Y479,U479),  IF(S479="M0.84",0.84,  IF(S479="CI52",BicubicInterpolation('CI=52 Mach'!$C$3:$T$18, Y479,U479),  IF(S479="HOLDING",BicubicInterpolation(  'Holding Mach'!$C$4:$M$13, Y479,U479),                         IF(S479="LRCINOP", BicubicInterpolation('LRC INOP Mach'!$C$4:$AA$21,Y479,U479), IF(S479="HOLDINGINOP",  BicubicInterpolation('Holding INOP Mach'!$N$4:$U$13,Y479,U479),         "XXX" )))))))   )))</f>
        <v>#NAME?</v>
      </c>
      <c r="AD479" s="313" t="e">
        <f t="shared" ref="AD479:AD542" ca="1" si="439">IF(Y479&lt;360.8924,288.15-1.9812*Y479/10,216.65)</f>
        <v>#NAME?</v>
      </c>
      <c r="AE479" s="314" t="e">
        <f t="shared" ca="1" si="426"/>
        <v>#NAME?</v>
      </c>
      <c r="AF479" s="313" t="e">
        <f t="shared" ref="AF479:AF542" ca="1" si="440">AD479+Z479</f>
        <v>#NAME?</v>
      </c>
      <c r="AG479" s="314" t="e">
        <f t="shared" ca="1" si="427"/>
        <v>#NAME?</v>
      </c>
      <c r="AH479" s="313" t="e">
        <f t="shared" ref="AH479:AH542" ca="1" si="441">AF479*(1+0.2*AC479^2)</f>
        <v>#NAME?</v>
      </c>
      <c r="AI479" s="314" t="e">
        <f t="shared" ca="1" si="428"/>
        <v>#NAME?</v>
      </c>
      <c r="AJ479" s="315" t="e">
        <f t="shared" ca="1" si="429"/>
        <v>#NAME?</v>
      </c>
      <c r="AK479" s="568" t="e">
        <f t="shared" ref="AK479:AK542" ca="1" si="442">661.4786*SQRT(AG479)</f>
        <v>#NAME?</v>
      </c>
      <c r="AL479" s="313" t="e">
        <f t="shared" ref="AL479:AL542" ca="1" si="443">AC479*AK479</f>
        <v>#NAME?</v>
      </c>
      <c r="AM479" s="313" t="e">
        <f t="shared" ca="1" si="430"/>
        <v>#NAME?</v>
      </c>
      <c r="AN479" s="313" t="e">
        <f t="shared" ca="1" si="431"/>
        <v>#NAME?</v>
      </c>
      <c r="AO479" s="316" t="e">
        <f t="shared" ref="AO479:AO542" ca="1" si="444">661.4786*(5*((1 + ( (1-0.00068755856*Y479)^5.2558797)*((1 + AC479^2/5)^3.5 - 1))^(2/7) - 1))^0.5</f>
        <v>#NAME?</v>
      </c>
      <c r="AP479" s="313" t="e">
        <f t="shared" ref="AP479:AP542" ca="1" si="445">IF(Y479&lt;360.8924,1013.25*(1-0.0000068755856*100*Y479)^5.2558797,0.01*0.2233609*101325*EXP(-0.004806346*(Y479-360.8924)))</f>
        <v>#NAME?</v>
      </c>
      <c r="AQ479" s="314" t="e">
        <f t="shared" ca="1" si="432"/>
        <v>#NAME?</v>
      </c>
      <c r="AR479" s="315" t="e">
        <f t="shared" ref="AR479:AR542" ca="1" si="446">AQ479*(1+0.2*AC479^2)^3.5</f>
        <v>#NAME?</v>
      </c>
      <c r="AS479" s="316" t="e">
        <f t="shared" ref="AS479:AS542" ca="1" si="447">U479/AQ479</f>
        <v>#NAME?</v>
      </c>
      <c r="AT479" s="315" t="e">
        <f t="shared" ref="AT479:AT542" ca="1" si="448">1.225*AQ479/AG479</f>
        <v>#NAME?</v>
      </c>
      <c r="AU479" s="317">
        <v>427.8</v>
      </c>
      <c r="AV479" s="315" t="e">
        <f t="shared" ref="AV479:AV542" ca="1" si="449">1000*9.80665*U479/(0.5*AT479*AU479*(AM479)^2)</f>
        <v>#NAME?</v>
      </c>
      <c r="AW479" s="318" t="e">
        <f ca="1">0.0001*BicubicInterpolation('Drag Coef Table'!$B$4:$L$28,AV479,AC479)</f>
        <v>#NAME?</v>
      </c>
      <c r="AX479" s="319" t="e">
        <f t="shared" ref="AX479:AX542" ca="1" si="450">(-45.29)*0.0001*LOG10(  (  ( AG479 + 0.38312 ) / AG479^2    )   /   (   (AE479 +0.38312)/(AE479)^2  ) )</f>
        <v>#NAME?</v>
      </c>
      <c r="AY479" s="318" t="e">
        <f t="shared" ref="AY479:AY542" ca="1" si="451">AW479+AX479</f>
        <v>#NAME?</v>
      </c>
      <c r="AZ479" s="320" t="e">
        <f t="shared" ref="AZ479:AZ542" ca="1" si="452">AV479/AY479</f>
        <v>#NAME?</v>
      </c>
      <c r="BA479" s="321" t="e">
        <f t="shared" ref="BA479:BA542" ca="1" si="453">AY479*0.5*AT479*(AM479^2)*AU479/1000</f>
        <v>#NAME?</v>
      </c>
      <c r="BB479" s="322" t="e">
        <f t="shared" ref="BB479:BB542" ca="1" si="454">BA479/AQ479/9.80665</f>
        <v>#NAME?</v>
      </c>
      <c r="BC479" s="323">
        <v>75.196700000000007</v>
      </c>
      <c r="BD479" s="324" t="e">
        <f t="shared" ref="BD479:BD542" ca="1" si="455">AG479^0.68</f>
        <v>#NAME?</v>
      </c>
      <c r="BE479" s="325" t="e">
        <f t="shared" ref="BE479:BE542" ca="1" si="456">AC479^0.53</f>
        <v>#NAME?</v>
      </c>
      <c r="BF479" s="324" t="e">
        <f ca="1">BicubicInterpolation('TSFC Eff Table'!$B$4:$E$69,2,BB479)</f>
        <v>#NAME?</v>
      </c>
      <c r="BG479" s="326" t="e">
        <f t="shared" ref="BG479:BG542" ca="1" si="457">BC479*BD479*BE479/BF479</f>
        <v>#NAME?</v>
      </c>
      <c r="BH479" s="694" t="e">
        <f ca="1">IF( S479="LRCINOP",   (1+(0.03/10)*Z479*(1+0.2*AC479^2) )*BicubicInterpolation( 'LRC INOP FF'!$C$4:$AA$21, Y479, U479 )-200, IF(S479 ="HOLDINGINOP", (1+(0.03/10)*Z479*(1+0.2*AC479^2) )*BicubicInterpolation( 'Holding INOP FF'!$C$4:$J$13,  Y479,  U479)/1.05-200,   BA479*BG479))</f>
        <v>#NAME?</v>
      </c>
      <c r="BI479" s="344" t="e">
        <f t="shared" ca="1" si="416"/>
        <v>#NAME?</v>
      </c>
      <c r="BJ479" s="322" t="e">
        <f t="shared" ref="BJ479:BJ542" ca="1" si="458">BI479/(AR479*AJ479)/1000</f>
        <v>#NAME?</v>
      </c>
      <c r="BK479" s="338" t="e">
        <f t="shared" ca="1" si="417"/>
        <v>#NAME?</v>
      </c>
      <c r="BL479" s="327" t="e">
        <f t="shared" ref="BL479:BL542" ca="1" si="459">100*BK479/AS479</f>
        <v>#NAME?</v>
      </c>
      <c r="BM479" s="328">
        <f t="shared" ref="BM479:BM542" si="460">200-IF(AA479="OFF",55,0)</f>
        <v>200</v>
      </c>
      <c r="BN479" s="329" t="e">
        <f t="shared" ref="BN479:BN542" ca="1" si="461">BI479+BM479</f>
        <v>#NAME?</v>
      </c>
      <c r="BO479" s="344" t="e">
        <f t="shared" ca="1" si="418"/>
        <v>#NAME?</v>
      </c>
      <c r="BP479" s="320" t="e">
        <f t="shared" ref="BP479:BP542" ca="1" si="462">1000*AL479/BO479</f>
        <v>#NAME?</v>
      </c>
      <c r="BQ479" s="344" t="e">
        <f t="shared" ca="1" si="419"/>
        <v>#NAME?</v>
      </c>
      <c r="BR479" s="347" t="e">
        <f t="shared" ca="1" si="420"/>
        <v>#NAME?</v>
      </c>
      <c r="BS479" s="326" t="e">
        <f t="shared" ref="BS479:BS542" ca="1" si="463">1000*AL479/BR479</f>
        <v>#NAME?</v>
      </c>
      <c r="BT479" s="437" t="e">
        <f t="shared" ca="1" si="433"/>
        <v>#NAME?</v>
      </c>
      <c r="BU479" s="437" t="e">
        <f t="shared" ca="1" si="434"/>
        <v>#NAME?</v>
      </c>
      <c r="BV479" s="441" t="e">
        <f t="shared" ca="1" si="435"/>
        <v>#NAME?</v>
      </c>
      <c r="BW479" s="442" t="e">
        <f t="shared" ca="1" si="436"/>
        <v>#NAME?</v>
      </c>
      <c r="BX479" s="470" t="e">
        <f t="shared" ca="1" si="409"/>
        <v>#NAME?</v>
      </c>
      <c r="BY479" s="484" t="e">
        <f t="shared" ca="1" si="421"/>
        <v>#NAME?</v>
      </c>
    </row>
    <row r="480" spans="9:77" ht="17.75" customHeight="1" x14ac:dyDescent="0.2">
      <c r="I480" s="366">
        <v>396</v>
      </c>
      <c r="J480" s="414">
        <f t="shared" si="422"/>
        <v>41705.987500000898</v>
      </c>
      <c r="K480" s="435" t="e">
        <f t="shared" ca="1" si="423"/>
        <v>#NAME?</v>
      </c>
      <c r="L480" s="435" t="e">
        <f t="shared" ca="1" si="410"/>
        <v>#NAME?</v>
      </c>
      <c r="M480" s="664" t="e">
        <f t="shared" ca="1" si="402"/>
        <v>#NAME?</v>
      </c>
      <c r="N480" s="664" t="e">
        <f t="shared" ca="1" si="403"/>
        <v>#NAME?</v>
      </c>
      <c r="O480" s="140" t="e">
        <f t="shared" ca="1" si="411"/>
        <v>#NAME?</v>
      </c>
      <c r="P480" s="352" t="e">
        <f t="shared" ca="1" si="424"/>
        <v>#NAME?</v>
      </c>
      <c r="Q480" s="665" t="e">
        <f t="shared" ca="1" si="404"/>
        <v>#NAME?</v>
      </c>
      <c r="R480" s="352" t="e">
        <f t="shared" ca="1" si="437"/>
        <v>#NAME?</v>
      </c>
      <c r="S480" s="662" t="e">
        <f t="shared" ca="1" si="412"/>
        <v>#NAME?</v>
      </c>
      <c r="T480" s="443" t="e">
        <f t="shared" ca="1" si="405"/>
        <v>#NAME?</v>
      </c>
      <c r="U480" s="369" t="e">
        <f t="shared" ca="1" si="406"/>
        <v>#NAME?</v>
      </c>
      <c r="V480" s="454" t="e">
        <f t="shared" ca="1" si="413"/>
        <v>#NAME?</v>
      </c>
      <c r="W480" s="457">
        <f t="shared" si="414"/>
        <v>1000</v>
      </c>
      <c r="X480" s="463" t="e">
        <f t="shared" ca="1" si="415"/>
        <v>#NAME?</v>
      </c>
      <c r="Y480" s="455" t="e">
        <f t="shared" ca="1" si="425"/>
        <v>#NAME?</v>
      </c>
      <c r="Z480" s="699">
        <f t="shared" si="407"/>
        <v>8.5</v>
      </c>
      <c r="AA480" s="355" t="str">
        <f t="shared" si="408"/>
        <v>ON</v>
      </c>
      <c r="AB480" s="357">
        <f t="shared" si="438"/>
        <v>1.4999999999999999E-2</v>
      </c>
      <c r="AC480" s="356" t="e">
        <f ca="1">IF(  Y479=0,0,IF(OR(S480="KCAS",S480="INOP",S480="MEFE"),   ( (5*( (   (((1+0.2*(T480/661.4786)^2)^3.5 -1)  )/( (1-6.8755856*10^-6 *100*Y480)^5.2558797) +1)^(2/7) -1) )^0.5),IF(S480="MACH",T480, IF(S480="LRC",BicubicInterpolation( 'LRC Mach'!$C$4:$AL$21, Y480,U480),  IF(S480="MRC",BicubicInterpolation( 'MRC Mach'!$C$3:$T$18, Y480,U480),  IF(S480="M0.84",0.84,  IF(S480="CI52",BicubicInterpolation('CI=52 Mach'!$C$3:$T$18, Y480,U480),  IF(S480="HOLDING",BicubicInterpolation(  'Holding Mach'!$C$4:$M$13, Y480,U480),                         IF(S480="LRCINOP", BicubicInterpolation('LRC INOP Mach'!$C$4:$AA$21,Y480,U480), IF(S480="HOLDINGINOP",  BicubicInterpolation('Holding INOP Mach'!$N$4:$U$13,Y480,U480),         "XXX" )))))))   )))</f>
        <v>#NAME?</v>
      </c>
      <c r="AD480" s="313" t="e">
        <f t="shared" ca="1" si="439"/>
        <v>#NAME?</v>
      </c>
      <c r="AE480" s="314" t="e">
        <f t="shared" ca="1" si="426"/>
        <v>#NAME?</v>
      </c>
      <c r="AF480" s="313" t="e">
        <f t="shared" ca="1" si="440"/>
        <v>#NAME?</v>
      </c>
      <c r="AG480" s="314" t="e">
        <f t="shared" ca="1" si="427"/>
        <v>#NAME?</v>
      </c>
      <c r="AH480" s="313" t="e">
        <f t="shared" ca="1" si="441"/>
        <v>#NAME?</v>
      </c>
      <c r="AI480" s="314" t="e">
        <f t="shared" ca="1" si="428"/>
        <v>#NAME?</v>
      </c>
      <c r="AJ480" s="315" t="e">
        <f t="shared" ca="1" si="429"/>
        <v>#NAME?</v>
      </c>
      <c r="AK480" s="568" t="e">
        <f t="shared" ca="1" si="442"/>
        <v>#NAME?</v>
      </c>
      <c r="AL480" s="313" t="e">
        <f t="shared" ca="1" si="443"/>
        <v>#NAME?</v>
      </c>
      <c r="AM480" s="313" t="e">
        <f t="shared" ca="1" si="430"/>
        <v>#NAME?</v>
      </c>
      <c r="AN480" s="313" t="e">
        <f t="shared" ca="1" si="431"/>
        <v>#NAME?</v>
      </c>
      <c r="AO480" s="316" t="e">
        <f t="shared" ca="1" si="444"/>
        <v>#NAME?</v>
      </c>
      <c r="AP480" s="313" t="e">
        <f t="shared" ca="1" si="445"/>
        <v>#NAME?</v>
      </c>
      <c r="AQ480" s="314" t="e">
        <f t="shared" ca="1" si="432"/>
        <v>#NAME?</v>
      </c>
      <c r="AR480" s="315" t="e">
        <f t="shared" ca="1" si="446"/>
        <v>#NAME?</v>
      </c>
      <c r="AS480" s="316" t="e">
        <f t="shared" ca="1" si="447"/>
        <v>#NAME?</v>
      </c>
      <c r="AT480" s="315" t="e">
        <f t="shared" ca="1" si="448"/>
        <v>#NAME?</v>
      </c>
      <c r="AU480" s="317">
        <v>427.8</v>
      </c>
      <c r="AV480" s="315" t="e">
        <f t="shared" ca="1" si="449"/>
        <v>#NAME?</v>
      </c>
      <c r="AW480" s="318" t="e">
        <f ca="1">0.0001*BicubicInterpolation('Drag Coef Table'!$B$4:$L$28,AV480,AC480)</f>
        <v>#NAME?</v>
      </c>
      <c r="AX480" s="319" t="e">
        <f t="shared" ca="1" si="450"/>
        <v>#NAME?</v>
      </c>
      <c r="AY480" s="318" t="e">
        <f t="shared" ca="1" si="451"/>
        <v>#NAME?</v>
      </c>
      <c r="AZ480" s="320" t="e">
        <f t="shared" ca="1" si="452"/>
        <v>#NAME?</v>
      </c>
      <c r="BA480" s="321" t="e">
        <f t="shared" ca="1" si="453"/>
        <v>#NAME?</v>
      </c>
      <c r="BB480" s="322" t="e">
        <f t="shared" ca="1" si="454"/>
        <v>#NAME?</v>
      </c>
      <c r="BC480" s="323">
        <v>75.196700000000007</v>
      </c>
      <c r="BD480" s="324" t="e">
        <f t="shared" ca="1" si="455"/>
        <v>#NAME?</v>
      </c>
      <c r="BE480" s="325" t="e">
        <f t="shared" ca="1" si="456"/>
        <v>#NAME?</v>
      </c>
      <c r="BF480" s="324" t="e">
        <f ca="1">BicubicInterpolation('TSFC Eff Table'!$B$4:$E$69,2,BB480)</f>
        <v>#NAME?</v>
      </c>
      <c r="BG480" s="326" t="e">
        <f t="shared" ca="1" si="457"/>
        <v>#NAME?</v>
      </c>
      <c r="BH480" s="694" t="e">
        <f ca="1">IF( S480="LRCINOP",   (1+(0.03/10)*Z480*(1+0.2*AC480^2) )*BicubicInterpolation( 'LRC INOP FF'!$C$4:$AA$21, Y480, U480 )-200, IF(S480 ="HOLDINGINOP", (1+(0.03/10)*Z480*(1+0.2*AC480^2) )*BicubicInterpolation( 'Holding INOP FF'!$C$4:$J$13,  Y480,  U480)/1.05-200,   BA480*BG480))</f>
        <v>#NAME?</v>
      </c>
      <c r="BI480" s="344" t="e">
        <f t="shared" ca="1" si="416"/>
        <v>#NAME?</v>
      </c>
      <c r="BJ480" s="322" t="e">
        <f t="shared" ca="1" si="458"/>
        <v>#NAME?</v>
      </c>
      <c r="BK480" s="338" t="e">
        <f t="shared" ca="1" si="417"/>
        <v>#NAME?</v>
      </c>
      <c r="BL480" s="327" t="e">
        <f t="shared" ca="1" si="459"/>
        <v>#NAME?</v>
      </c>
      <c r="BM480" s="328">
        <f t="shared" si="460"/>
        <v>200</v>
      </c>
      <c r="BN480" s="329" t="e">
        <f t="shared" ca="1" si="461"/>
        <v>#NAME?</v>
      </c>
      <c r="BO480" s="344" t="e">
        <f t="shared" ca="1" si="418"/>
        <v>#NAME?</v>
      </c>
      <c r="BP480" s="320" t="e">
        <f t="shared" ca="1" si="462"/>
        <v>#NAME?</v>
      </c>
      <c r="BQ480" s="344" t="e">
        <f t="shared" ca="1" si="419"/>
        <v>#NAME?</v>
      </c>
      <c r="BR480" s="347" t="e">
        <f t="shared" ca="1" si="420"/>
        <v>#NAME?</v>
      </c>
      <c r="BS480" s="326" t="e">
        <f t="shared" ca="1" si="463"/>
        <v>#NAME?</v>
      </c>
      <c r="BT480" s="437" t="e">
        <f t="shared" ca="1" si="433"/>
        <v>#NAME?</v>
      </c>
      <c r="BU480" s="437" t="e">
        <f t="shared" ca="1" si="434"/>
        <v>#NAME?</v>
      </c>
      <c r="BV480" s="441" t="e">
        <f t="shared" ca="1" si="435"/>
        <v>#NAME?</v>
      </c>
      <c r="BW480" s="442" t="e">
        <f t="shared" ca="1" si="436"/>
        <v>#NAME?</v>
      </c>
      <c r="BX480" s="470" t="e">
        <f t="shared" ca="1" si="409"/>
        <v>#NAME?</v>
      </c>
      <c r="BY480" s="484" t="e">
        <f t="shared" ca="1" si="421"/>
        <v>#NAME?</v>
      </c>
    </row>
    <row r="481" spans="9:77" ht="17.75" customHeight="1" x14ac:dyDescent="0.2">
      <c r="I481" s="366">
        <v>397</v>
      </c>
      <c r="J481" s="414">
        <f t="shared" si="422"/>
        <v>41705.988194445345</v>
      </c>
      <c r="K481" s="435" t="e">
        <f t="shared" ca="1" si="423"/>
        <v>#NAME?</v>
      </c>
      <c r="L481" s="435" t="e">
        <f t="shared" ca="1" si="410"/>
        <v>#NAME?</v>
      </c>
      <c r="M481" s="664" t="e">
        <f t="shared" ca="1" si="402"/>
        <v>#NAME?</v>
      </c>
      <c r="N481" s="664" t="e">
        <f t="shared" ca="1" si="403"/>
        <v>#NAME?</v>
      </c>
      <c r="O481" s="140" t="e">
        <f t="shared" ca="1" si="411"/>
        <v>#NAME?</v>
      </c>
      <c r="P481" s="352" t="e">
        <f t="shared" ca="1" si="424"/>
        <v>#NAME?</v>
      </c>
      <c r="Q481" s="665" t="e">
        <f t="shared" ca="1" si="404"/>
        <v>#NAME?</v>
      </c>
      <c r="R481" s="352" t="e">
        <f t="shared" ca="1" si="437"/>
        <v>#NAME?</v>
      </c>
      <c r="S481" s="662" t="e">
        <f t="shared" ca="1" si="412"/>
        <v>#NAME?</v>
      </c>
      <c r="T481" s="443" t="e">
        <f t="shared" ca="1" si="405"/>
        <v>#NAME?</v>
      </c>
      <c r="U481" s="369" t="e">
        <f t="shared" ca="1" si="406"/>
        <v>#NAME?</v>
      </c>
      <c r="V481" s="454" t="e">
        <f t="shared" ca="1" si="413"/>
        <v>#NAME?</v>
      </c>
      <c r="W481" s="457">
        <f t="shared" si="414"/>
        <v>1000</v>
      </c>
      <c r="X481" s="463" t="e">
        <f t="shared" ca="1" si="415"/>
        <v>#NAME?</v>
      </c>
      <c r="Y481" s="455" t="e">
        <f t="shared" ca="1" si="425"/>
        <v>#NAME?</v>
      </c>
      <c r="Z481" s="699">
        <f t="shared" si="407"/>
        <v>8.5</v>
      </c>
      <c r="AA481" s="355" t="str">
        <f t="shared" si="408"/>
        <v>ON</v>
      </c>
      <c r="AB481" s="357">
        <f t="shared" si="438"/>
        <v>1.4999999999999999E-2</v>
      </c>
      <c r="AC481" s="356" t="e">
        <f ca="1">IF(  Y480=0,0,IF(OR(S481="KCAS",S481="INOP",S481="MEFE"),   ( (5*( (   (((1+0.2*(T481/661.4786)^2)^3.5 -1)  )/( (1-6.8755856*10^-6 *100*Y481)^5.2558797) +1)^(2/7) -1) )^0.5),IF(S481="MACH",T481, IF(S481="LRC",BicubicInterpolation( 'LRC Mach'!$C$4:$AL$21, Y481,U481),  IF(S481="MRC",BicubicInterpolation( 'MRC Mach'!$C$3:$T$18, Y481,U481),  IF(S481="M0.84",0.84,  IF(S481="CI52",BicubicInterpolation('CI=52 Mach'!$C$3:$T$18, Y481,U481),  IF(S481="HOLDING",BicubicInterpolation(  'Holding Mach'!$C$4:$M$13, Y481,U481),                         IF(S481="LRCINOP", BicubicInterpolation('LRC INOP Mach'!$C$4:$AA$21,Y481,U481), IF(S481="HOLDINGINOP",  BicubicInterpolation('Holding INOP Mach'!$N$4:$U$13,Y481,U481),         "XXX" )))))))   )))</f>
        <v>#NAME?</v>
      </c>
      <c r="AD481" s="313" t="e">
        <f t="shared" ca="1" si="439"/>
        <v>#NAME?</v>
      </c>
      <c r="AE481" s="314" t="e">
        <f t="shared" ca="1" si="426"/>
        <v>#NAME?</v>
      </c>
      <c r="AF481" s="313" t="e">
        <f t="shared" ca="1" si="440"/>
        <v>#NAME?</v>
      </c>
      <c r="AG481" s="314" t="e">
        <f t="shared" ca="1" si="427"/>
        <v>#NAME?</v>
      </c>
      <c r="AH481" s="313" t="e">
        <f t="shared" ca="1" si="441"/>
        <v>#NAME?</v>
      </c>
      <c r="AI481" s="314" t="e">
        <f t="shared" ca="1" si="428"/>
        <v>#NAME?</v>
      </c>
      <c r="AJ481" s="315" t="e">
        <f t="shared" ca="1" si="429"/>
        <v>#NAME?</v>
      </c>
      <c r="AK481" s="568" t="e">
        <f t="shared" ca="1" si="442"/>
        <v>#NAME?</v>
      </c>
      <c r="AL481" s="313" t="e">
        <f t="shared" ca="1" si="443"/>
        <v>#NAME?</v>
      </c>
      <c r="AM481" s="313" t="e">
        <f t="shared" ca="1" si="430"/>
        <v>#NAME?</v>
      </c>
      <c r="AN481" s="313" t="e">
        <f t="shared" ca="1" si="431"/>
        <v>#NAME?</v>
      </c>
      <c r="AO481" s="316" t="e">
        <f t="shared" ca="1" si="444"/>
        <v>#NAME?</v>
      </c>
      <c r="AP481" s="313" t="e">
        <f t="shared" ca="1" si="445"/>
        <v>#NAME?</v>
      </c>
      <c r="AQ481" s="314" t="e">
        <f t="shared" ca="1" si="432"/>
        <v>#NAME?</v>
      </c>
      <c r="AR481" s="315" t="e">
        <f t="shared" ca="1" si="446"/>
        <v>#NAME?</v>
      </c>
      <c r="AS481" s="316" t="e">
        <f t="shared" ca="1" si="447"/>
        <v>#NAME?</v>
      </c>
      <c r="AT481" s="315" t="e">
        <f t="shared" ca="1" si="448"/>
        <v>#NAME?</v>
      </c>
      <c r="AU481" s="317">
        <v>427.8</v>
      </c>
      <c r="AV481" s="315" t="e">
        <f t="shared" ca="1" si="449"/>
        <v>#NAME?</v>
      </c>
      <c r="AW481" s="318" t="e">
        <f ca="1">0.0001*BicubicInterpolation('Drag Coef Table'!$B$4:$L$28,AV481,AC481)</f>
        <v>#NAME?</v>
      </c>
      <c r="AX481" s="319" t="e">
        <f t="shared" ca="1" si="450"/>
        <v>#NAME?</v>
      </c>
      <c r="AY481" s="318" t="e">
        <f t="shared" ca="1" si="451"/>
        <v>#NAME?</v>
      </c>
      <c r="AZ481" s="320" t="e">
        <f t="shared" ca="1" si="452"/>
        <v>#NAME?</v>
      </c>
      <c r="BA481" s="321" t="e">
        <f t="shared" ca="1" si="453"/>
        <v>#NAME?</v>
      </c>
      <c r="BB481" s="322" t="e">
        <f t="shared" ca="1" si="454"/>
        <v>#NAME?</v>
      </c>
      <c r="BC481" s="323">
        <v>75.196700000000007</v>
      </c>
      <c r="BD481" s="324" t="e">
        <f t="shared" ca="1" si="455"/>
        <v>#NAME?</v>
      </c>
      <c r="BE481" s="325" t="e">
        <f t="shared" ca="1" si="456"/>
        <v>#NAME?</v>
      </c>
      <c r="BF481" s="324" t="e">
        <f ca="1">BicubicInterpolation('TSFC Eff Table'!$B$4:$E$69,2,BB481)</f>
        <v>#NAME?</v>
      </c>
      <c r="BG481" s="326" t="e">
        <f t="shared" ca="1" si="457"/>
        <v>#NAME?</v>
      </c>
      <c r="BH481" s="694" t="e">
        <f ca="1">IF( S481="LRCINOP",   (1+(0.03/10)*Z481*(1+0.2*AC481^2) )*BicubicInterpolation( 'LRC INOP FF'!$C$4:$AA$21, Y481, U481 )-200, IF(S481 ="HOLDINGINOP", (1+(0.03/10)*Z481*(1+0.2*AC481^2) )*BicubicInterpolation( 'Holding INOP FF'!$C$4:$J$13,  Y481,  U481)/1.05-200,   BA481*BG481))</f>
        <v>#NAME?</v>
      </c>
      <c r="BI481" s="344" t="e">
        <f t="shared" ca="1" si="416"/>
        <v>#NAME?</v>
      </c>
      <c r="BJ481" s="322" t="e">
        <f t="shared" ca="1" si="458"/>
        <v>#NAME?</v>
      </c>
      <c r="BK481" s="338" t="e">
        <f t="shared" ca="1" si="417"/>
        <v>#NAME?</v>
      </c>
      <c r="BL481" s="327" t="e">
        <f t="shared" ca="1" si="459"/>
        <v>#NAME?</v>
      </c>
      <c r="BM481" s="328">
        <f t="shared" si="460"/>
        <v>200</v>
      </c>
      <c r="BN481" s="329" t="e">
        <f t="shared" ca="1" si="461"/>
        <v>#NAME?</v>
      </c>
      <c r="BO481" s="344" t="e">
        <f t="shared" ca="1" si="418"/>
        <v>#NAME?</v>
      </c>
      <c r="BP481" s="320" t="e">
        <f t="shared" ca="1" si="462"/>
        <v>#NAME?</v>
      </c>
      <c r="BQ481" s="344" t="e">
        <f t="shared" ca="1" si="419"/>
        <v>#NAME?</v>
      </c>
      <c r="BR481" s="347" t="e">
        <f t="shared" ca="1" si="420"/>
        <v>#NAME?</v>
      </c>
      <c r="BS481" s="326" t="e">
        <f t="shared" ca="1" si="463"/>
        <v>#NAME?</v>
      </c>
      <c r="BT481" s="437" t="e">
        <f t="shared" ca="1" si="433"/>
        <v>#NAME?</v>
      </c>
      <c r="BU481" s="437" t="e">
        <f t="shared" ca="1" si="434"/>
        <v>#NAME?</v>
      </c>
      <c r="BV481" s="441" t="e">
        <f t="shared" ca="1" si="435"/>
        <v>#NAME?</v>
      </c>
      <c r="BW481" s="442" t="e">
        <f t="shared" ca="1" si="436"/>
        <v>#NAME?</v>
      </c>
      <c r="BX481" s="470" t="e">
        <f t="shared" ca="1" si="409"/>
        <v>#NAME?</v>
      </c>
      <c r="BY481" s="484" t="e">
        <f t="shared" ca="1" si="421"/>
        <v>#NAME?</v>
      </c>
    </row>
    <row r="482" spans="9:77" ht="17.75" customHeight="1" x14ac:dyDescent="0.2">
      <c r="I482" s="366">
        <v>398</v>
      </c>
      <c r="J482" s="414">
        <f t="shared" si="422"/>
        <v>41705.988888889791</v>
      </c>
      <c r="K482" s="435" t="e">
        <f t="shared" ca="1" si="423"/>
        <v>#NAME?</v>
      </c>
      <c r="L482" s="435" t="e">
        <f t="shared" ca="1" si="410"/>
        <v>#NAME?</v>
      </c>
      <c r="M482" s="664" t="e">
        <f t="shared" ca="1" si="402"/>
        <v>#NAME?</v>
      </c>
      <c r="N482" s="664" t="e">
        <f t="shared" ca="1" si="403"/>
        <v>#NAME?</v>
      </c>
      <c r="O482" s="140" t="e">
        <f t="shared" ca="1" si="411"/>
        <v>#NAME?</v>
      </c>
      <c r="P482" s="352" t="e">
        <f t="shared" ca="1" si="424"/>
        <v>#NAME?</v>
      </c>
      <c r="Q482" s="665" t="e">
        <f t="shared" ca="1" si="404"/>
        <v>#NAME?</v>
      </c>
      <c r="R482" s="352" t="e">
        <f t="shared" ca="1" si="437"/>
        <v>#NAME?</v>
      </c>
      <c r="S482" s="662" t="e">
        <f t="shared" ca="1" si="412"/>
        <v>#NAME?</v>
      </c>
      <c r="T482" s="443" t="e">
        <f t="shared" ca="1" si="405"/>
        <v>#NAME?</v>
      </c>
      <c r="U482" s="369" t="e">
        <f t="shared" ca="1" si="406"/>
        <v>#NAME?</v>
      </c>
      <c r="V482" s="454" t="e">
        <f t="shared" ca="1" si="413"/>
        <v>#NAME?</v>
      </c>
      <c r="W482" s="457">
        <f t="shared" si="414"/>
        <v>1000</v>
      </c>
      <c r="X482" s="463" t="e">
        <f t="shared" ca="1" si="415"/>
        <v>#NAME?</v>
      </c>
      <c r="Y482" s="455" t="e">
        <f t="shared" ca="1" si="425"/>
        <v>#NAME?</v>
      </c>
      <c r="Z482" s="699">
        <f t="shared" si="407"/>
        <v>8.5</v>
      </c>
      <c r="AA482" s="355" t="str">
        <f t="shared" si="408"/>
        <v>ON</v>
      </c>
      <c r="AB482" s="357">
        <f t="shared" si="438"/>
        <v>1.4999999999999999E-2</v>
      </c>
      <c r="AC482" s="356" t="e">
        <f ca="1">IF(  Y481=0,0,IF(OR(S482="KCAS",S482="INOP",S482="MEFE"),   ( (5*( (   (((1+0.2*(T482/661.4786)^2)^3.5 -1)  )/( (1-6.8755856*10^-6 *100*Y482)^5.2558797) +1)^(2/7) -1) )^0.5),IF(S482="MACH",T482, IF(S482="LRC",BicubicInterpolation( 'LRC Mach'!$C$4:$AL$21, Y482,U482),  IF(S482="MRC",BicubicInterpolation( 'MRC Mach'!$C$3:$T$18, Y482,U482),  IF(S482="M0.84",0.84,  IF(S482="CI52",BicubicInterpolation('CI=52 Mach'!$C$3:$T$18, Y482,U482),  IF(S482="HOLDING",BicubicInterpolation(  'Holding Mach'!$C$4:$M$13, Y482,U482),                         IF(S482="LRCINOP", BicubicInterpolation('LRC INOP Mach'!$C$4:$AA$21,Y482,U482), IF(S482="HOLDINGINOP",  BicubicInterpolation('Holding INOP Mach'!$N$4:$U$13,Y482,U482),         "XXX" )))))))   )))</f>
        <v>#NAME?</v>
      </c>
      <c r="AD482" s="313" t="e">
        <f t="shared" ca="1" si="439"/>
        <v>#NAME?</v>
      </c>
      <c r="AE482" s="314" t="e">
        <f t="shared" ca="1" si="426"/>
        <v>#NAME?</v>
      </c>
      <c r="AF482" s="313" t="e">
        <f t="shared" ca="1" si="440"/>
        <v>#NAME?</v>
      </c>
      <c r="AG482" s="314" t="e">
        <f t="shared" ca="1" si="427"/>
        <v>#NAME?</v>
      </c>
      <c r="AH482" s="313" t="e">
        <f t="shared" ca="1" si="441"/>
        <v>#NAME?</v>
      </c>
      <c r="AI482" s="314" t="e">
        <f t="shared" ca="1" si="428"/>
        <v>#NAME?</v>
      </c>
      <c r="AJ482" s="315" t="e">
        <f t="shared" ca="1" si="429"/>
        <v>#NAME?</v>
      </c>
      <c r="AK482" s="568" t="e">
        <f t="shared" ca="1" si="442"/>
        <v>#NAME?</v>
      </c>
      <c r="AL482" s="313" t="e">
        <f t="shared" ca="1" si="443"/>
        <v>#NAME?</v>
      </c>
      <c r="AM482" s="313" t="e">
        <f t="shared" ca="1" si="430"/>
        <v>#NAME?</v>
      </c>
      <c r="AN482" s="313" t="e">
        <f t="shared" ca="1" si="431"/>
        <v>#NAME?</v>
      </c>
      <c r="AO482" s="316" t="e">
        <f t="shared" ca="1" si="444"/>
        <v>#NAME?</v>
      </c>
      <c r="AP482" s="313" t="e">
        <f t="shared" ca="1" si="445"/>
        <v>#NAME?</v>
      </c>
      <c r="AQ482" s="314" t="e">
        <f t="shared" ca="1" si="432"/>
        <v>#NAME?</v>
      </c>
      <c r="AR482" s="315" t="e">
        <f t="shared" ca="1" si="446"/>
        <v>#NAME?</v>
      </c>
      <c r="AS482" s="316" t="e">
        <f t="shared" ca="1" si="447"/>
        <v>#NAME?</v>
      </c>
      <c r="AT482" s="315" t="e">
        <f t="shared" ca="1" si="448"/>
        <v>#NAME?</v>
      </c>
      <c r="AU482" s="317">
        <v>427.8</v>
      </c>
      <c r="AV482" s="315" t="e">
        <f t="shared" ca="1" si="449"/>
        <v>#NAME?</v>
      </c>
      <c r="AW482" s="318" t="e">
        <f ca="1">0.0001*BicubicInterpolation('Drag Coef Table'!$B$4:$L$28,AV482,AC482)</f>
        <v>#NAME?</v>
      </c>
      <c r="AX482" s="319" t="e">
        <f t="shared" ca="1" si="450"/>
        <v>#NAME?</v>
      </c>
      <c r="AY482" s="318" t="e">
        <f t="shared" ca="1" si="451"/>
        <v>#NAME?</v>
      </c>
      <c r="AZ482" s="320" t="e">
        <f t="shared" ca="1" si="452"/>
        <v>#NAME?</v>
      </c>
      <c r="BA482" s="321" t="e">
        <f t="shared" ca="1" si="453"/>
        <v>#NAME?</v>
      </c>
      <c r="BB482" s="322" t="e">
        <f t="shared" ca="1" si="454"/>
        <v>#NAME?</v>
      </c>
      <c r="BC482" s="323">
        <v>75.196700000000007</v>
      </c>
      <c r="BD482" s="324" t="e">
        <f t="shared" ca="1" si="455"/>
        <v>#NAME?</v>
      </c>
      <c r="BE482" s="325" t="e">
        <f t="shared" ca="1" si="456"/>
        <v>#NAME?</v>
      </c>
      <c r="BF482" s="324" t="e">
        <f ca="1">BicubicInterpolation('TSFC Eff Table'!$B$4:$E$69,2,BB482)</f>
        <v>#NAME?</v>
      </c>
      <c r="BG482" s="326" t="e">
        <f t="shared" ca="1" si="457"/>
        <v>#NAME?</v>
      </c>
      <c r="BH482" s="694" t="e">
        <f ca="1">IF( S482="LRCINOP",   (1+(0.03/10)*Z482*(1+0.2*AC482^2) )*BicubicInterpolation( 'LRC INOP FF'!$C$4:$AA$21, Y482, U482 )-200, IF(S482 ="HOLDINGINOP", (1+(0.03/10)*Z482*(1+0.2*AC482^2) )*BicubicInterpolation( 'Holding INOP FF'!$C$4:$J$13,  Y482,  U482)/1.05-200,   BA482*BG482))</f>
        <v>#NAME?</v>
      </c>
      <c r="BI482" s="344" t="e">
        <f t="shared" ca="1" si="416"/>
        <v>#NAME?</v>
      </c>
      <c r="BJ482" s="322" t="e">
        <f t="shared" ca="1" si="458"/>
        <v>#NAME?</v>
      </c>
      <c r="BK482" s="338" t="e">
        <f t="shared" ca="1" si="417"/>
        <v>#NAME?</v>
      </c>
      <c r="BL482" s="327" t="e">
        <f t="shared" ca="1" si="459"/>
        <v>#NAME?</v>
      </c>
      <c r="BM482" s="328">
        <f t="shared" si="460"/>
        <v>200</v>
      </c>
      <c r="BN482" s="329" t="e">
        <f t="shared" ca="1" si="461"/>
        <v>#NAME?</v>
      </c>
      <c r="BO482" s="344" t="e">
        <f t="shared" ca="1" si="418"/>
        <v>#NAME?</v>
      </c>
      <c r="BP482" s="320" t="e">
        <f t="shared" ca="1" si="462"/>
        <v>#NAME?</v>
      </c>
      <c r="BQ482" s="344" t="e">
        <f t="shared" ca="1" si="419"/>
        <v>#NAME?</v>
      </c>
      <c r="BR482" s="347" t="e">
        <f t="shared" ca="1" si="420"/>
        <v>#NAME?</v>
      </c>
      <c r="BS482" s="326" t="e">
        <f t="shared" ca="1" si="463"/>
        <v>#NAME?</v>
      </c>
      <c r="BT482" s="437" t="e">
        <f t="shared" ca="1" si="433"/>
        <v>#NAME?</v>
      </c>
      <c r="BU482" s="437" t="e">
        <f t="shared" ca="1" si="434"/>
        <v>#NAME?</v>
      </c>
      <c r="BV482" s="441" t="e">
        <f t="shared" ca="1" si="435"/>
        <v>#NAME?</v>
      </c>
      <c r="BW482" s="442" t="e">
        <f t="shared" ca="1" si="436"/>
        <v>#NAME?</v>
      </c>
      <c r="BX482" s="470" t="e">
        <f t="shared" ca="1" si="409"/>
        <v>#NAME?</v>
      </c>
      <c r="BY482" s="484" t="e">
        <f t="shared" ca="1" si="421"/>
        <v>#NAME?</v>
      </c>
    </row>
    <row r="483" spans="9:77" ht="17.75" customHeight="1" x14ac:dyDescent="0.2">
      <c r="I483" s="366">
        <v>399</v>
      </c>
      <c r="J483" s="414">
        <f t="shared" si="422"/>
        <v>41705.989583334238</v>
      </c>
      <c r="K483" s="435" t="e">
        <f t="shared" ca="1" si="423"/>
        <v>#NAME?</v>
      </c>
      <c r="L483" s="435" t="e">
        <f t="shared" ca="1" si="410"/>
        <v>#NAME?</v>
      </c>
      <c r="M483" s="664" t="e">
        <f t="shared" ca="1" si="402"/>
        <v>#NAME?</v>
      </c>
      <c r="N483" s="664" t="e">
        <f t="shared" ca="1" si="403"/>
        <v>#NAME?</v>
      </c>
      <c r="O483" s="140" t="e">
        <f t="shared" ca="1" si="411"/>
        <v>#NAME?</v>
      </c>
      <c r="P483" s="352" t="e">
        <f t="shared" ca="1" si="424"/>
        <v>#NAME?</v>
      </c>
      <c r="Q483" s="665" t="e">
        <f t="shared" ca="1" si="404"/>
        <v>#NAME?</v>
      </c>
      <c r="R483" s="352" t="e">
        <f t="shared" ca="1" si="437"/>
        <v>#NAME?</v>
      </c>
      <c r="S483" s="662" t="e">
        <f t="shared" ca="1" si="412"/>
        <v>#NAME?</v>
      </c>
      <c r="T483" s="443" t="e">
        <f t="shared" ca="1" si="405"/>
        <v>#NAME?</v>
      </c>
      <c r="U483" s="369" t="e">
        <f t="shared" ca="1" si="406"/>
        <v>#NAME?</v>
      </c>
      <c r="V483" s="454" t="e">
        <f t="shared" ca="1" si="413"/>
        <v>#NAME?</v>
      </c>
      <c r="W483" s="457">
        <f t="shared" si="414"/>
        <v>1000</v>
      </c>
      <c r="X483" s="463" t="e">
        <f t="shared" ca="1" si="415"/>
        <v>#NAME?</v>
      </c>
      <c r="Y483" s="455" t="e">
        <f t="shared" ca="1" si="425"/>
        <v>#NAME?</v>
      </c>
      <c r="Z483" s="699">
        <f t="shared" si="407"/>
        <v>8.5</v>
      </c>
      <c r="AA483" s="355" t="str">
        <f t="shared" si="408"/>
        <v>ON</v>
      </c>
      <c r="AB483" s="357">
        <f t="shared" si="438"/>
        <v>1.4999999999999999E-2</v>
      </c>
      <c r="AC483" s="356" t="e">
        <f ca="1">IF(  Y482=0,0,IF(OR(S483="KCAS",S483="INOP",S483="MEFE"),   ( (5*( (   (((1+0.2*(T483/661.4786)^2)^3.5 -1)  )/( (1-6.8755856*10^-6 *100*Y483)^5.2558797) +1)^(2/7) -1) )^0.5),IF(S483="MACH",T483, IF(S483="LRC",BicubicInterpolation( 'LRC Mach'!$C$4:$AL$21, Y483,U483),  IF(S483="MRC",BicubicInterpolation( 'MRC Mach'!$C$3:$T$18, Y483,U483),  IF(S483="M0.84",0.84,  IF(S483="CI52",BicubicInterpolation('CI=52 Mach'!$C$3:$T$18, Y483,U483),  IF(S483="HOLDING",BicubicInterpolation(  'Holding Mach'!$C$4:$M$13, Y483,U483),                         IF(S483="LRCINOP", BicubicInterpolation('LRC INOP Mach'!$C$4:$AA$21,Y483,U483), IF(S483="HOLDINGINOP",  BicubicInterpolation('Holding INOP Mach'!$N$4:$U$13,Y483,U483),         "XXX" )))))))   )))</f>
        <v>#NAME?</v>
      </c>
      <c r="AD483" s="313" t="e">
        <f t="shared" ca="1" si="439"/>
        <v>#NAME?</v>
      </c>
      <c r="AE483" s="314" t="e">
        <f t="shared" ca="1" si="426"/>
        <v>#NAME?</v>
      </c>
      <c r="AF483" s="313" t="e">
        <f t="shared" ca="1" si="440"/>
        <v>#NAME?</v>
      </c>
      <c r="AG483" s="314" t="e">
        <f t="shared" ca="1" si="427"/>
        <v>#NAME?</v>
      </c>
      <c r="AH483" s="313" t="e">
        <f t="shared" ca="1" si="441"/>
        <v>#NAME?</v>
      </c>
      <c r="AI483" s="314" t="e">
        <f t="shared" ca="1" si="428"/>
        <v>#NAME?</v>
      </c>
      <c r="AJ483" s="315" t="e">
        <f t="shared" ca="1" si="429"/>
        <v>#NAME?</v>
      </c>
      <c r="AK483" s="568" t="e">
        <f t="shared" ca="1" si="442"/>
        <v>#NAME?</v>
      </c>
      <c r="AL483" s="313" t="e">
        <f t="shared" ca="1" si="443"/>
        <v>#NAME?</v>
      </c>
      <c r="AM483" s="313" t="e">
        <f t="shared" ca="1" si="430"/>
        <v>#NAME?</v>
      </c>
      <c r="AN483" s="313" t="e">
        <f t="shared" ca="1" si="431"/>
        <v>#NAME?</v>
      </c>
      <c r="AO483" s="316" t="e">
        <f t="shared" ca="1" si="444"/>
        <v>#NAME?</v>
      </c>
      <c r="AP483" s="313" t="e">
        <f t="shared" ca="1" si="445"/>
        <v>#NAME?</v>
      </c>
      <c r="AQ483" s="314" t="e">
        <f t="shared" ca="1" si="432"/>
        <v>#NAME?</v>
      </c>
      <c r="AR483" s="315" t="e">
        <f t="shared" ca="1" si="446"/>
        <v>#NAME?</v>
      </c>
      <c r="AS483" s="316" t="e">
        <f t="shared" ca="1" si="447"/>
        <v>#NAME?</v>
      </c>
      <c r="AT483" s="315" t="e">
        <f t="shared" ca="1" si="448"/>
        <v>#NAME?</v>
      </c>
      <c r="AU483" s="317">
        <v>427.8</v>
      </c>
      <c r="AV483" s="315" t="e">
        <f t="shared" ca="1" si="449"/>
        <v>#NAME?</v>
      </c>
      <c r="AW483" s="318" t="e">
        <f ca="1">0.0001*BicubicInterpolation('Drag Coef Table'!$B$4:$L$28,AV483,AC483)</f>
        <v>#NAME?</v>
      </c>
      <c r="AX483" s="319" t="e">
        <f t="shared" ca="1" si="450"/>
        <v>#NAME?</v>
      </c>
      <c r="AY483" s="318" t="e">
        <f t="shared" ca="1" si="451"/>
        <v>#NAME?</v>
      </c>
      <c r="AZ483" s="320" t="e">
        <f t="shared" ca="1" si="452"/>
        <v>#NAME?</v>
      </c>
      <c r="BA483" s="321" t="e">
        <f t="shared" ca="1" si="453"/>
        <v>#NAME?</v>
      </c>
      <c r="BB483" s="322" t="e">
        <f t="shared" ca="1" si="454"/>
        <v>#NAME?</v>
      </c>
      <c r="BC483" s="323">
        <v>75.196700000000007</v>
      </c>
      <c r="BD483" s="324" t="e">
        <f t="shared" ca="1" si="455"/>
        <v>#NAME?</v>
      </c>
      <c r="BE483" s="325" t="e">
        <f t="shared" ca="1" si="456"/>
        <v>#NAME?</v>
      </c>
      <c r="BF483" s="324" t="e">
        <f ca="1">BicubicInterpolation('TSFC Eff Table'!$B$4:$E$69,2,BB483)</f>
        <v>#NAME?</v>
      </c>
      <c r="BG483" s="326" t="e">
        <f t="shared" ca="1" si="457"/>
        <v>#NAME?</v>
      </c>
      <c r="BH483" s="694" t="e">
        <f ca="1">IF( S483="LRCINOP",   (1+(0.03/10)*Z483*(1+0.2*AC483^2) )*BicubicInterpolation( 'LRC INOP FF'!$C$4:$AA$21, Y483, U483 )-200, IF(S483 ="HOLDINGINOP", (1+(0.03/10)*Z483*(1+0.2*AC483^2) )*BicubicInterpolation( 'Holding INOP FF'!$C$4:$J$13,  Y483,  U483)/1.05-200,   BA483*BG483))</f>
        <v>#NAME?</v>
      </c>
      <c r="BI483" s="344" t="e">
        <f t="shared" ca="1" si="416"/>
        <v>#NAME?</v>
      </c>
      <c r="BJ483" s="322" t="e">
        <f t="shared" ca="1" si="458"/>
        <v>#NAME?</v>
      </c>
      <c r="BK483" s="338" t="e">
        <f t="shared" ca="1" si="417"/>
        <v>#NAME?</v>
      </c>
      <c r="BL483" s="327" t="e">
        <f t="shared" ca="1" si="459"/>
        <v>#NAME?</v>
      </c>
      <c r="BM483" s="328">
        <f t="shared" si="460"/>
        <v>200</v>
      </c>
      <c r="BN483" s="329" t="e">
        <f t="shared" ca="1" si="461"/>
        <v>#NAME?</v>
      </c>
      <c r="BO483" s="344" t="e">
        <f t="shared" ca="1" si="418"/>
        <v>#NAME?</v>
      </c>
      <c r="BP483" s="320" t="e">
        <f t="shared" ca="1" si="462"/>
        <v>#NAME?</v>
      </c>
      <c r="BQ483" s="344" t="e">
        <f t="shared" ca="1" si="419"/>
        <v>#NAME?</v>
      </c>
      <c r="BR483" s="347" t="e">
        <f t="shared" ca="1" si="420"/>
        <v>#NAME?</v>
      </c>
      <c r="BS483" s="326" t="e">
        <f t="shared" ca="1" si="463"/>
        <v>#NAME?</v>
      </c>
      <c r="BT483" s="437" t="e">
        <f t="shared" ca="1" si="433"/>
        <v>#NAME?</v>
      </c>
      <c r="BU483" s="437" t="e">
        <f t="shared" ca="1" si="434"/>
        <v>#NAME?</v>
      </c>
      <c r="BV483" s="441" t="e">
        <f t="shared" ca="1" si="435"/>
        <v>#NAME?</v>
      </c>
      <c r="BW483" s="442" t="e">
        <f t="shared" ca="1" si="436"/>
        <v>#NAME?</v>
      </c>
      <c r="BX483" s="470" t="e">
        <f t="shared" ca="1" si="409"/>
        <v>#NAME?</v>
      </c>
      <c r="BY483" s="484" t="e">
        <f t="shared" ca="1" si="421"/>
        <v>#NAME?</v>
      </c>
    </row>
    <row r="484" spans="9:77" ht="17.75" customHeight="1" x14ac:dyDescent="0.2">
      <c r="I484" s="366">
        <v>400</v>
      </c>
      <c r="J484" s="414">
        <f t="shared" si="422"/>
        <v>41705.990277778685</v>
      </c>
      <c r="K484" s="435" t="e">
        <f t="shared" ca="1" si="423"/>
        <v>#NAME?</v>
      </c>
      <c r="L484" s="435" t="e">
        <f t="shared" ca="1" si="410"/>
        <v>#NAME?</v>
      </c>
      <c r="M484" s="664" t="e">
        <f t="shared" ca="1" si="402"/>
        <v>#NAME?</v>
      </c>
      <c r="N484" s="664" t="e">
        <f t="shared" ca="1" si="403"/>
        <v>#NAME?</v>
      </c>
      <c r="O484" s="140" t="e">
        <f t="shared" ca="1" si="411"/>
        <v>#NAME?</v>
      </c>
      <c r="P484" s="352" t="e">
        <f t="shared" ca="1" si="424"/>
        <v>#NAME?</v>
      </c>
      <c r="Q484" s="665" t="e">
        <f t="shared" ca="1" si="404"/>
        <v>#NAME?</v>
      </c>
      <c r="R484" s="352" t="e">
        <f t="shared" ca="1" si="437"/>
        <v>#NAME?</v>
      </c>
      <c r="S484" s="662" t="e">
        <f t="shared" ca="1" si="412"/>
        <v>#NAME?</v>
      </c>
      <c r="T484" s="443" t="e">
        <f t="shared" ca="1" si="405"/>
        <v>#NAME?</v>
      </c>
      <c r="U484" s="369" t="e">
        <f t="shared" ca="1" si="406"/>
        <v>#NAME?</v>
      </c>
      <c r="V484" s="454" t="e">
        <f t="shared" ca="1" si="413"/>
        <v>#NAME?</v>
      </c>
      <c r="W484" s="457">
        <f t="shared" si="414"/>
        <v>1000</v>
      </c>
      <c r="X484" s="463" t="e">
        <f t="shared" ca="1" si="415"/>
        <v>#NAME?</v>
      </c>
      <c r="Y484" s="455" t="e">
        <f t="shared" ca="1" si="425"/>
        <v>#NAME?</v>
      </c>
      <c r="Z484" s="699">
        <f t="shared" si="407"/>
        <v>8.5</v>
      </c>
      <c r="AA484" s="355" t="str">
        <f t="shared" si="408"/>
        <v>ON</v>
      </c>
      <c r="AB484" s="357">
        <f t="shared" si="438"/>
        <v>1.4999999999999999E-2</v>
      </c>
      <c r="AC484" s="356" t="e">
        <f ca="1">IF(  Y483=0,0,IF(OR(S484="KCAS",S484="INOP",S484="MEFE"),   ( (5*( (   (((1+0.2*(T484/661.4786)^2)^3.5 -1)  )/( (1-6.8755856*10^-6 *100*Y484)^5.2558797) +1)^(2/7) -1) )^0.5),IF(S484="MACH",T484, IF(S484="LRC",BicubicInterpolation( 'LRC Mach'!$C$4:$AL$21, Y484,U484),  IF(S484="MRC",BicubicInterpolation( 'MRC Mach'!$C$3:$T$18, Y484,U484),  IF(S484="M0.84",0.84,  IF(S484="CI52",BicubicInterpolation('CI=52 Mach'!$C$3:$T$18, Y484,U484),  IF(S484="HOLDING",BicubicInterpolation(  'Holding Mach'!$C$4:$M$13, Y484,U484),                         IF(S484="LRCINOP", BicubicInterpolation('LRC INOP Mach'!$C$4:$AA$21,Y484,U484), IF(S484="HOLDINGINOP",  BicubicInterpolation('Holding INOP Mach'!$N$4:$U$13,Y484,U484),         "XXX" )))))))   )))</f>
        <v>#NAME?</v>
      </c>
      <c r="AD484" s="313" t="e">
        <f t="shared" ca="1" si="439"/>
        <v>#NAME?</v>
      </c>
      <c r="AE484" s="314" t="e">
        <f t="shared" ca="1" si="426"/>
        <v>#NAME?</v>
      </c>
      <c r="AF484" s="313" t="e">
        <f t="shared" ca="1" si="440"/>
        <v>#NAME?</v>
      </c>
      <c r="AG484" s="314" t="e">
        <f t="shared" ca="1" si="427"/>
        <v>#NAME?</v>
      </c>
      <c r="AH484" s="313" t="e">
        <f t="shared" ca="1" si="441"/>
        <v>#NAME?</v>
      </c>
      <c r="AI484" s="314" t="e">
        <f t="shared" ca="1" si="428"/>
        <v>#NAME?</v>
      </c>
      <c r="AJ484" s="315" t="e">
        <f t="shared" ca="1" si="429"/>
        <v>#NAME?</v>
      </c>
      <c r="AK484" s="568" t="e">
        <f t="shared" ca="1" si="442"/>
        <v>#NAME?</v>
      </c>
      <c r="AL484" s="313" t="e">
        <f t="shared" ca="1" si="443"/>
        <v>#NAME?</v>
      </c>
      <c r="AM484" s="313" t="e">
        <f t="shared" ca="1" si="430"/>
        <v>#NAME?</v>
      </c>
      <c r="AN484" s="313" t="e">
        <f t="shared" ca="1" si="431"/>
        <v>#NAME?</v>
      </c>
      <c r="AO484" s="316" t="e">
        <f t="shared" ca="1" si="444"/>
        <v>#NAME?</v>
      </c>
      <c r="AP484" s="313" t="e">
        <f t="shared" ca="1" si="445"/>
        <v>#NAME?</v>
      </c>
      <c r="AQ484" s="314" t="e">
        <f t="shared" ca="1" si="432"/>
        <v>#NAME?</v>
      </c>
      <c r="AR484" s="315" t="e">
        <f t="shared" ca="1" si="446"/>
        <v>#NAME?</v>
      </c>
      <c r="AS484" s="316" t="e">
        <f t="shared" ca="1" si="447"/>
        <v>#NAME?</v>
      </c>
      <c r="AT484" s="315" t="e">
        <f t="shared" ca="1" si="448"/>
        <v>#NAME?</v>
      </c>
      <c r="AU484" s="317">
        <v>427.8</v>
      </c>
      <c r="AV484" s="315" t="e">
        <f t="shared" ca="1" si="449"/>
        <v>#NAME?</v>
      </c>
      <c r="AW484" s="318" t="e">
        <f ca="1">0.0001*BicubicInterpolation('Drag Coef Table'!$B$4:$L$28,AV484,AC484)</f>
        <v>#NAME?</v>
      </c>
      <c r="AX484" s="319" t="e">
        <f t="shared" ca="1" si="450"/>
        <v>#NAME?</v>
      </c>
      <c r="AY484" s="318" t="e">
        <f t="shared" ca="1" si="451"/>
        <v>#NAME?</v>
      </c>
      <c r="AZ484" s="320" t="e">
        <f t="shared" ca="1" si="452"/>
        <v>#NAME?</v>
      </c>
      <c r="BA484" s="321" t="e">
        <f t="shared" ca="1" si="453"/>
        <v>#NAME?</v>
      </c>
      <c r="BB484" s="322" t="e">
        <f t="shared" ca="1" si="454"/>
        <v>#NAME?</v>
      </c>
      <c r="BC484" s="323">
        <v>75.196700000000007</v>
      </c>
      <c r="BD484" s="324" t="e">
        <f t="shared" ca="1" si="455"/>
        <v>#NAME?</v>
      </c>
      <c r="BE484" s="325" t="e">
        <f t="shared" ca="1" si="456"/>
        <v>#NAME?</v>
      </c>
      <c r="BF484" s="324" t="e">
        <f ca="1">BicubicInterpolation('TSFC Eff Table'!$B$4:$E$69,2,BB484)</f>
        <v>#NAME?</v>
      </c>
      <c r="BG484" s="326" t="e">
        <f t="shared" ca="1" si="457"/>
        <v>#NAME?</v>
      </c>
      <c r="BH484" s="694" t="e">
        <f ca="1">IF( S484="LRCINOP",   (1+(0.03/10)*Z484*(1+0.2*AC484^2) )*BicubicInterpolation( 'LRC INOP FF'!$C$4:$AA$21, Y484, U484 )-200, IF(S484 ="HOLDINGINOP", (1+(0.03/10)*Z484*(1+0.2*AC484^2) )*BicubicInterpolation( 'Holding INOP FF'!$C$4:$J$13,  Y484,  U484)/1.05-200,   BA484*BG484))</f>
        <v>#NAME?</v>
      </c>
      <c r="BI484" s="344" t="e">
        <f t="shared" ca="1" si="416"/>
        <v>#NAME?</v>
      </c>
      <c r="BJ484" s="322" t="e">
        <f t="shared" ca="1" si="458"/>
        <v>#NAME?</v>
      </c>
      <c r="BK484" s="338" t="e">
        <f t="shared" ca="1" si="417"/>
        <v>#NAME?</v>
      </c>
      <c r="BL484" s="327" t="e">
        <f t="shared" ca="1" si="459"/>
        <v>#NAME?</v>
      </c>
      <c r="BM484" s="328">
        <f t="shared" si="460"/>
        <v>200</v>
      </c>
      <c r="BN484" s="329" t="e">
        <f t="shared" ca="1" si="461"/>
        <v>#NAME?</v>
      </c>
      <c r="BO484" s="344" t="e">
        <f t="shared" ca="1" si="418"/>
        <v>#NAME?</v>
      </c>
      <c r="BP484" s="320" t="e">
        <f t="shared" ca="1" si="462"/>
        <v>#NAME?</v>
      </c>
      <c r="BQ484" s="344" t="e">
        <f t="shared" ca="1" si="419"/>
        <v>#NAME?</v>
      </c>
      <c r="BR484" s="347" t="e">
        <f t="shared" ca="1" si="420"/>
        <v>#NAME?</v>
      </c>
      <c r="BS484" s="326" t="e">
        <f t="shared" ca="1" si="463"/>
        <v>#NAME?</v>
      </c>
      <c r="BT484" s="437" t="e">
        <f t="shared" ca="1" si="433"/>
        <v>#NAME?</v>
      </c>
      <c r="BU484" s="437" t="e">
        <f t="shared" ca="1" si="434"/>
        <v>#NAME?</v>
      </c>
      <c r="BV484" s="441" t="e">
        <f t="shared" ca="1" si="435"/>
        <v>#NAME?</v>
      </c>
      <c r="BW484" s="442" t="e">
        <f t="shared" ca="1" si="436"/>
        <v>#NAME?</v>
      </c>
      <c r="BX484" s="470" t="e">
        <f t="shared" ca="1" si="409"/>
        <v>#NAME?</v>
      </c>
      <c r="BY484" s="484" t="e">
        <f t="shared" ca="1" si="421"/>
        <v>#NAME?</v>
      </c>
    </row>
    <row r="485" spans="9:77" ht="17.75" customHeight="1" x14ac:dyDescent="0.2">
      <c r="I485" s="366">
        <v>401</v>
      </c>
      <c r="J485" s="414">
        <f t="shared" si="422"/>
        <v>41705.990972223131</v>
      </c>
      <c r="K485" s="435" t="e">
        <f t="shared" ca="1" si="423"/>
        <v>#NAME?</v>
      </c>
      <c r="L485" s="435" t="e">
        <f t="shared" ca="1" si="410"/>
        <v>#NAME?</v>
      </c>
      <c r="M485" s="664" t="e">
        <f t="shared" ca="1" si="402"/>
        <v>#NAME?</v>
      </c>
      <c r="N485" s="664" t="e">
        <f t="shared" ca="1" si="403"/>
        <v>#NAME?</v>
      </c>
      <c r="O485" s="140" t="e">
        <f t="shared" ca="1" si="411"/>
        <v>#NAME?</v>
      </c>
      <c r="P485" s="352" t="e">
        <f t="shared" ca="1" si="424"/>
        <v>#NAME?</v>
      </c>
      <c r="Q485" s="665" t="e">
        <f t="shared" ca="1" si="404"/>
        <v>#NAME?</v>
      </c>
      <c r="R485" s="352" t="e">
        <f t="shared" ca="1" si="437"/>
        <v>#NAME?</v>
      </c>
      <c r="S485" s="662" t="e">
        <f t="shared" ca="1" si="412"/>
        <v>#NAME?</v>
      </c>
      <c r="T485" s="443" t="e">
        <f t="shared" ca="1" si="405"/>
        <v>#NAME?</v>
      </c>
      <c r="U485" s="369" t="e">
        <f t="shared" ca="1" si="406"/>
        <v>#NAME?</v>
      </c>
      <c r="V485" s="454" t="e">
        <f t="shared" ca="1" si="413"/>
        <v>#NAME?</v>
      </c>
      <c r="W485" s="457">
        <f t="shared" si="414"/>
        <v>1000</v>
      </c>
      <c r="X485" s="463" t="e">
        <f t="shared" ca="1" si="415"/>
        <v>#NAME?</v>
      </c>
      <c r="Y485" s="455" t="e">
        <f t="shared" ca="1" si="425"/>
        <v>#NAME?</v>
      </c>
      <c r="Z485" s="699">
        <f t="shared" si="407"/>
        <v>8.5</v>
      </c>
      <c r="AA485" s="355" t="str">
        <f t="shared" si="408"/>
        <v>ON</v>
      </c>
      <c r="AB485" s="357">
        <f t="shared" si="438"/>
        <v>1.4999999999999999E-2</v>
      </c>
      <c r="AC485" s="356" t="e">
        <f ca="1">IF(  Y484=0,0,IF(OR(S485="KCAS",S485="INOP",S485="MEFE"),   ( (5*( (   (((1+0.2*(T485/661.4786)^2)^3.5 -1)  )/( (1-6.8755856*10^-6 *100*Y485)^5.2558797) +1)^(2/7) -1) )^0.5),IF(S485="MACH",T485, IF(S485="LRC",BicubicInterpolation( 'LRC Mach'!$C$4:$AL$21, Y485,U485),  IF(S485="MRC",BicubicInterpolation( 'MRC Mach'!$C$3:$T$18, Y485,U485),  IF(S485="M0.84",0.84,  IF(S485="CI52",BicubicInterpolation('CI=52 Mach'!$C$3:$T$18, Y485,U485),  IF(S485="HOLDING",BicubicInterpolation(  'Holding Mach'!$C$4:$M$13, Y485,U485),                         IF(S485="LRCINOP", BicubicInterpolation('LRC INOP Mach'!$C$4:$AA$21,Y485,U485), IF(S485="HOLDINGINOP",  BicubicInterpolation('Holding INOP Mach'!$N$4:$U$13,Y485,U485),         "XXX" )))))))   )))</f>
        <v>#NAME?</v>
      </c>
      <c r="AD485" s="313" t="e">
        <f t="shared" ca="1" si="439"/>
        <v>#NAME?</v>
      </c>
      <c r="AE485" s="314" t="e">
        <f t="shared" ca="1" si="426"/>
        <v>#NAME?</v>
      </c>
      <c r="AF485" s="313" t="e">
        <f t="shared" ca="1" si="440"/>
        <v>#NAME?</v>
      </c>
      <c r="AG485" s="314" t="e">
        <f t="shared" ca="1" si="427"/>
        <v>#NAME?</v>
      </c>
      <c r="AH485" s="313" t="e">
        <f t="shared" ca="1" si="441"/>
        <v>#NAME?</v>
      </c>
      <c r="AI485" s="314" t="e">
        <f t="shared" ca="1" si="428"/>
        <v>#NAME?</v>
      </c>
      <c r="AJ485" s="315" t="e">
        <f t="shared" ca="1" si="429"/>
        <v>#NAME?</v>
      </c>
      <c r="AK485" s="568" t="e">
        <f t="shared" ca="1" si="442"/>
        <v>#NAME?</v>
      </c>
      <c r="AL485" s="313" t="e">
        <f t="shared" ca="1" si="443"/>
        <v>#NAME?</v>
      </c>
      <c r="AM485" s="313" t="e">
        <f t="shared" ca="1" si="430"/>
        <v>#NAME?</v>
      </c>
      <c r="AN485" s="313" t="e">
        <f t="shared" ca="1" si="431"/>
        <v>#NAME?</v>
      </c>
      <c r="AO485" s="316" t="e">
        <f t="shared" ca="1" si="444"/>
        <v>#NAME?</v>
      </c>
      <c r="AP485" s="313" t="e">
        <f t="shared" ca="1" si="445"/>
        <v>#NAME?</v>
      </c>
      <c r="AQ485" s="314" t="e">
        <f t="shared" ca="1" si="432"/>
        <v>#NAME?</v>
      </c>
      <c r="AR485" s="315" t="e">
        <f t="shared" ca="1" si="446"/>
        <v>#NAME?</v>
      </c>
      <c r="AS485" s="316" t="e">
        <f t="shared" ca="1" si="447"/>
        <v>#NAME?</v>
      </c>
      <c r="AT485" s="315" t="e">
        <f t="shared" ca="1" si="448"/>
        <v>#NAME?</v>
      </c>
      <c r="AU485" s="317">
        <v>427.8</v>
      </c>
      <c r="AV485" s="315" t="e">
        <f t="shared" ca="1" si="449"/>
        <v>#NAME?</v>
      </c>
      <c r="AW485" s="318" t="e">
        <f ca="1">0.0001*BicubicInterpolation('Drag Coef Table'!$B$4:$L$28,AV485,AC485)</f>
        <v>#NAME?</v>
      </c>
      <c r="AX485" s="319" t="e">
        <f t="shared" ca="1" si="450"/>
        <v>#NAME?</v>
      </c>
      <c r="AY485" s="318" t="e">
        <f t="shared" ca="1" si="451"/>
        <v>#NAME?</v>
      </c>
      <c r="AZ485" s="320" t="e">
        <f t="shared" ca="1" si="452"/>
        <v>#NAME?</v>
      </c>
      <c r="BA485" s="321" t="e">
        <f t="shared" ca="1" si="453"/>
        <v>#NAME?</v>
      </c>
      <c r="BB485" s="322" t="e">
        <f t="shared" ca="1" si="454"/>
        <v>#NAME?</v>
      </c>
      <c r="BC485" s="323">
        <v>75.196700000000007</v>
      </c>
      <c r="BD485" s="324" t="e">
        <f t="shared" ca="1" si="455"/>
        <v>#NAME?</v>
      </c>
      <c r="BE485" s="325" t="e">
        <f t="shared" ca="1" si="456"/>
        <v>#NAME?</v>
      </c>
      <c r="BF485" s="324" t="e">
        <f ca="1">BicubicInterpolation('TSFC Eff Table'!$B$4:$E$69,2,BB485)</f>
        <v>#NAME?</v>
      </c>
      <c r="BG485" s="326" t="e">
        <f t="shared" ca="1" si="457"/>
        <v>#NAME?</v>
      </c>
      <c r="BH485" s="694" t="e">
        <f ca="1">IF( S485="LRCINOP",   (1+(0.03/10)*Z485*(1+0.2*AC485^2) )*BicubicInterpolation( 'LRC INOP FF'!$C$4:$AA$21, Y485, U485 )-200, IF(S485 ="HOLDINGINOP", (1+(0.03/10)*Z485*(1+0.2*AC485^2) )*BicubicInterpolation( 'Holding INOP FF'!$C$4:$J$13,  Y485,  U485)/1.05-200,   BA485*BG485))</f>
        <v>#NAME?</v>
      </c>
      <c r="BI485" s="344" t="e">
        <f t="shared" ca="1" si="416"/>
        <v>#NAME?</v>
      </c>
      <c r="BJ485" s="322" t="e">
        <f t="shared" ca="1" si="458"/>
        <v>#NAME?</v>
      </c>
      <c r="BK485" s="338" t="e">
        <f t="shared" ca="1" si="417"/>
        <v>#NAME?</v>
      </c>
      <c r="BL485" s="327" t="e">
        <f t="shared" ca="1" si="459"/>
        <v>#NAME?</v>
      </c>
      <c r="BM485" s="328">
        <f t="shared" si="460"/>
        <v>200</v>
      </c>
      <c r="BN485" s="329" t="e">
        <f t="shared" ca="1" si="461"/>
        <v>#NAME?</v>
      </c>
      <c r="BO485" s="344" t="e">
        <f t="shared" ca="1" si="418"/>
        <v>#NAME?</v>
      </c>
      <c r="BP485" s="320" t="e">
        <f t="shared" ca="1" si="462"/>
        <v>#NAME?</v>
      </c>
      <c r="BQ485" s="344" t="e">
        <f t="shared" ca="1" si="419"/>
        <v>#NAME?</v>
      </c>
      <c r="BR485" s="347" t="e">
        <f t="shared" ca="1" si="420"/>
        <v>#NAME?</v>
      </c>
      <c r="BS485" s="326" t="e">
        <f t="shared" ca="1" si="463"/>
        <v>#NAME?</v>
      </c>
      <c r="BT485" s="437" t="e">
        <f t="shared" ca="1" si="433"/>
        <v>#NAME?</v>
      </c>
      <c r="BU485" s="437" t="e">
        <f t="shared" ca="1" si="434"/>
        <v>#NAME?</v>
      </c>
      <c r="BV485" s="441" t="e">
        <f t="shared" ca="1" si="435"/>
        <v>#NAME?</v>
      </c>
      <c r="BW485" s="442" t="e">
        <f t="shared" ca="1" si="436"/>
        <v>#NAME?</v>
      </c>
      <c r="BX485" s="470" t="e">
        <f t="shared" ca="1" si="409"/>
        <v>#NAME?</v>
      </c>
      <c r="BY485" s="484" t="e">
        <f t="shared" ca="1" si="421"/>
        <v>#NAME?</v>
      </c>
    </row>
    <row r="486" spans="9:77" ht="17.75" customHeight="1" x14ac:dyDescent="0.2">
      <c r="I486" s="366">
        <v>402</v>
      </c>
      <c r="J486" s="414">
        <f t="shared" si="422"/>
        <v>41705.991666667578</v>
      </c>
      <c r="K486" s="435" t="e">
        <f t="shared" ca="1" si="423"/>
        <v>#NAME?</v>
      </c>
      <c r="L486" s="435" t="e">
        <f t="shared" ca="1" si="410"/>
        <v>#NAME?</v>
      </c>
      <c r="M486" s="664" t="e">
        <f t="shared" ca="1" si="402"/>
        <v>#NAME?</v>
      </c>
      <c r="N486" s="664" t="e">
        <f t="shared" ca="1" si="403"/>
        <v>#NAME?</v>
      </c>
      <c r="O486" s="140" t="e">
        <f t="shared" ca="1" si="411"/>
        <v>#NAME?</v>
      </c>
      <c r="P486" s="352" t="e">
        <f t="shared" ca="1" si="424"/>
        <v>#NAME?</v>
      </c>
      <c r="Q486" s="665" t="e">
        <f t="shared" ca="1" si="404"/>
        <v>#NAME?</v>
      </c>
      <c r="R486" s="352" t="e">
        <f t="shared" ca="1" si="437"/>
        <v>#NAME?</v>
      </c>
      <c r="S486" s="662" t="e">
        <f t="shared" ca="1" si="412"/>
        <v>#NAME?</v>
      </c>
      <c r="T486" s="443" t="e">
        <f t="shared" ca="1" si="405"/>
        <v>#NAME?</v>
      </c>
      <c r="U486" s="369" t="e">
        <f t="shared" ca="1" si="406"/>
        <v>#NAME?</v>
      </c>
      <c r="V486" s="454" t="e">
        <f t="shared" ca="1" si="413"/>
        <v>#NAME?</v>
      </c>
      <c r="W486" s="457">
        <f t="shared" si="414"/>
        <v>1000</v>
      </c>
      <c r="X486" s="463" t="e">
        <f t="shared" ca="1" si="415"/>
        <v>#NAME?</v>
      </c>
      <c r="Y486" s="455" t="e">
        <f t="shared" ca="1" si="425"/>
        <v>#NAME?</v>
      </c>
      <c r="Z486" s="699">
        <f t="shared" si="407"/>
        <v>8.5</v>
      </c>
      <c r="AA486" s="355" t="str">
        <f t="shared" si="408"/>
        <v>ON</v>
      </c>
      <c r="AB486" s="357">
        <f t="shared" si="438"/>
        <v>1.4999999999999999E-2</v>
      </c>
      <c r="AC486" s="356" t="e">
        <f ca="1">IF(  Y485=0,0,IF(OR(S486="KCAS",S486="INOP",S486="MEFE"),   ( (5*( (   (((1+0.2*(T486/661.4786)^2)^3.5 -1)  )/( (1-6.8755856*10^-6 *100*Y486)^5.2558797) +1)^(2/7) -1) )^0.5),IF(S486="MACH",T486, IF(S486="LRC",BicubicInterpolation( 'LRC Mach'!$C$4:$AL$21, Y486,U486),  IF(S486="MRC",BicubicInterpolation( 'MRC Mach'!$C$3:$T$18, Y486,U486),  IF(S486="M0.84",0.84,  IF(S486="CI52",BicubicInterpolation('CI=52 Mach'!$C$3:$T$18, Y486,U486),  IF(S486="HOLDING",BicubicInterpolation(  'Holding Mach'!$C$4:$M$13, Y486,U486),                         IF(S486="LRCINOP", BicubicInterpolation('LRC INOP Mach'!$C$4:$AA$21,Y486,U486), IF(S486="HOLDINGINOP",  BicubicInterpolation('Holding INOP Mach'!$N$4:$U$13,Y486,U486),         "XXX" )))))))   )))</f>
        <v>#NAME?</v>
      </c>
      <c r="AD486" s="313" t="e">
        <f t="shared" ca="1" si="439"/>
        <v>#NAME?</v>
      </c>
      <c r="AE486" s="314" t="e">
        <f t="shared" ca="1" si="426"/>
        <v>#NAME?</v>
      </c>
      <c r="AF486" s="313" t="e">
        <f t="shared" ca="1" si="440"/>
        <v>#NAME?</v>
      </c>
      <c r="AG486" s="314" t="e">
        <f t="shared" ca="1" si="427"/>
        <v>#NAME?</v>
      </c>
      <c r="AH486" s="313" t="e">
        <f t="shared" ca="1" si="441"/>
        <v>#NAME?</v>
      </c>
      <c r="AI486" s="314" t="e">
        <f t="shared" ca="1" si="428"/>
        <v>#NAME?</v>
      </c>
      <c r="AJ486" s="315" t="e">
        <f t="shared" ca="1" si="429"/>
        <v>#NAME?</v>
      </c>
      <c r="AK486" s="568" t="e">
        <f t="shared" ca="1" si="442"/>
        <v>#NAME?</v>
      </c>
      <c r="AL486" s="313" t="e">
        <f t="shared" ca="1" si="443"/>
        <v>#NAME?</v>
      </c>
      <c r="AM486" s="313" t="e">
        <f t="shared" ca="1" si="430"/>
        <v>#NAME?</v>
      </c>
      <c r="AN486" s="313" t="e">
        <f t="shared" ca="1" si="431"/>
        <v>#NAME?</v>
      </c>
      <c r="AO486" s="316" t="e">
        <f t="shared" ca="1" si="444"/>
        <v>#NAME?</v>
      </c>
      <c r="AP486" s="313" t="e">
        <f t="shared" ca="1" si="445"/>
        <v>#NAME?</v>
      </c>
      <c r="AQ486" s="314" t="e">
        <f t="shared" ca="1" si="432"/>
        <v>#NAME?</v>
      </c>
      <c r="AR486" s="315" t="e">
        <f t="shared" ca="1" si="446"/>
        <v>#NAME?</v>
      </c>
      <c r="AS486" s="316" t="e">
        <f t="shared" ca="1" si="447"/>
        <v>#NAME?</v>
      </c>
      <c r="AT486" s="315" t="e">
        <f t="shared" ca="1" si="448"/>
        <v>#NAME?</v>
      </c>
      <c r="AU486" s="317">
        <v>427.8</v>
      </c>
      <c r="AV486" s="315" t="e">
        <f t="shared" ca="1" si="449"/>
        <v>#NAME?</v>
      </c>
      <c r="AW486" s="318" t="e">
        <f ca="1">0.0001*BicubicInterpolation('Drag Coef Table'!$B$4:$L$28,AV486,AC486)</f>
        <v>#NAME?</v>
      </c>
      <c r="AX486" s="319" t="e">
        <f t="shared" ca="1" si="450"/>
        <v>#NAME?</v>
      </c>
      <c r="AY486" s="318" t="e">
        <f t="shared" ca="1" si="451"/>
        <v>#NAME?</v>
      </c>
      <c r="AZ486" s="320" t="e">
        <f t="shared" ca="1" si="452"/>
        <v>#NAME?</v>
      </c>
      <c r="BA486" s="321" t="e">
        <f t="shared" ca="1" si="453"/>
        <v>#NAME?</v>
      </c>
      <c r="BB486" s="322" t="e">
        <f t="shared" ca="1" si="454"/>
        <v>#NAME?</v>
      </c>
      <c r="BC486" s="323">
        <v>75.196700000000007</v>
      </c>
      <c r="BD486" s="324" t="e">
        <f t="shared" ca="1" si="455"/>
        <v>#NAME?</v>
      </c>
      <c r="BE486" s="325" t="e">
        <f t="shared" ca="1" si="456"/>
        <v>#NAME?</v>
      </c>
      <c r="BF486" s="324" t="e">
        <f ca="1">BicubicInterpolation('TSFC Eff Table'!$B$4:$E$69,2,BB486)</f>
        <v>#NAME?</v>
      </c>
      <c r="BG486" s="326" t="e">
        <f t="shared" ca="1" si="457"/>
        <v>#NAME?</v>
      </c>
      <c r="BH486" s="694" t="e">
        <f ca="1">IF( S486="LRCINOP",   (1+(0.03/10)*Z486*(1+0.2*AC486^2) )*BicubicInterpolation( 'LRC INOP FF'!$C$4:$AA$21, Y486, U486 )-200, IF(S486 ="HOLDINGINOP", (1+(0.03/10)*Z486*(1+0.2*AC486^2) )*BicubicInterpolation( 'Holding INOP FF'!$C$4:$J$13,  Y486,  U486)/1.05-200,   BA486*BG486))</f>
        <v>#NAME?</v>
      </c>
      <c r="BI486" s="344" t="e">
        <f t="shared" ca="1" si="416"/>
        <v>#NAME?</v>
      </c>
      <c r="BJ486" s="322" t="e">
        <f t="shared" ca="1" si="458"/>
        <v>#NAME?</v>
      </c>
      <c r="BK486" s="338" t="e">
        <f t="shared" ca="1" si="417"/>
        <v>#NAME?</v>
      </c>
      <c r="BL486" s="327" t="e">
        <f t="shared" ca="1" si="459"/>
        <v>#NAME?</v>
      </c>
      <c r="BM486" s="328">
        <f t="shared" si="460"/>
        <v>200</v>
      </c>
      <c r="BN486" s="329" t="e">
        <f t="shared" ca="1" si="461"/>
        <v>#NAME?</v>
      </c>
      <c r="BO486" s="344" t="e">
        <f t="shared" ca="1" si="418"/>
        <v>#NAME?</v>
      </c>
      <c r="BP486" s="320" t="e">
        <f t="shared" ca="1" si="462"/>
        <v>#NAME?</v>
      </c>
      <c r="BQ486" s="344" t="e">
        <f t="shared" ca="1" si="419"/>
        <v>#NAME?</v>
      </c>
      <c r="BR486" s="347" t="e">
        <f t="shared" ca="1" si="420"/>
        <v>#NAME?</v>
      </c>
      <c r="BS486" s="326" t="e">
        <f t="shared" ca="1" si="463"/>
        <v>#NAME?</v>
      </c>
      <c r="BT486" s="437" t="e">
        <f t="shared" ca="1" si="433"/>
        <v>#NAME?</v>
      </c>
      <c r="BU486" s="437" t="e">
        <f t="shared" ca="1" si="434"/>
        <v>#NAME?</v>
      </c>
      <c r="BV486" s="441" t="e">
        <f t="shared" ca="1" si="435"/>
        <v>#NAME?</v>
      </c>
      <c r="BW486" s="442" t="e">
        <f t="shared" ca="1" si="436"/>
        <v>#NAME?</v>
      </c>
      <c r="BX486" s="470" t="e">
        <f t="shared" ca="1" si="409"/>
        <v>#NAME?</v>
      </c>
      <c r="BY486" s="484" t="e">
        <f t="shared" ca="1" si="421"/>
        <v>#NAME?</v>
      </c>
    </row>
    <row r="487" spans="9:77" ht="17.75" customHeight="1" x14ac:dyDescent="0.2">
      <c r="I487" s="366">
        <v>403</v>
      </c>
      <c r="J487" s="414">
        <f t="shared" si="422"/>
        <v>41705.992361112025</v>
      </c>
      <c r="K487" s="435" t="e">
        <f t="shared" ca="1" si="423"/>
        <v>#NAME?</v>
      </c>
      <c r="L487" s="435" t="e">
        <f t="shared" ca="1" si="410"/>
        <v>#NAME?</v>
      </c>
      <c r="M487" s="664" t="e">
        <f t="shared" ca="1" si="402"/>
        <v>#NAME?</v>
      </c>
      <c r="N487" s="664" t="e">
        <f t="shared" ca="1" si="403"/>
        <v>#NAME?</v>
      </c>
      <c r="O487" s="140" t="e">
        <f t="shared" ca="1" si="411"/>
        <v>#NAME?</v>
      </c>
      <c r="P487" s="352" t="e">
        <f t="shared" ca="1" si="424"/>
        <v>#NAME?</v>
      </c>
      <c r="Q487" s="665" t="e">
        <f t="shared" ca="1" si="404"/>
        <v>#NAME?</v>
      </c>
      <c r="R487" s="352" t="e">
        <f t="shared" ca="1" si="437"/>
        <v>#NAME?</v>
      </c>
      <c r="S487" s="662" t="e">
        <f t="shared" ca="1" si="412"/>
        <v>#NAME?</v>
      </c>
      <c r="T487" s="443" t="e">
        <f t="shared" ca="1" si="405"/>
        <v>#NAME?</v>
      </c>
      <c r="U487" s="369" t="e">
        <f t="shared" ca="1" si="406"/>
        <v>#NAME?</v>
      </c>
      <c r="V487" s="454" t="e">
        <f t="shared" ca="1" si="413"/>
        <v>#NAME?</v>
      </c>
      <c r="W487" s="457">
        <f t="shared" si="414"/>
        <v>1000</v>
      </c>
      <c r="X487" s="463" t="e">
        <f t="shared" ca="1" si="415"/>
        <v>#NAME?</v>
      </c>
      <c r="Y487" s="455" t="e">
        <f t="shared" ca="1" si="425"/>
        <v>#NAME?</v>
      </c>
      <c r="Z487" s="699">
        <f t="shared" si="407"/>
        <v>8.5</v>
      </c>
      <c r="AA487" s="355" t="str">
        <f t="shared" si="408"/>
        <v>ON</v>
      </c>
      <c r="AB487" s="357">
        <f t="shared" si="438"/>
        <v>1.4999999999999999E-2</v>
      </c>
      <c r="AC487" s="356" t="e">
        <f ca="1">IF(  Y486=0,0,IF(OR(S487="KCAS",S487="INOP",S487="MEFE"),   ( (5*( (   (((1+0.2*(T487/661.4786)^2)^3.5 -1)  )/( (1-6.8755856*10^-6 *100*Y487)^5.2558797) +1)^(2/7) -1) )^0.5),IF(S487="MACH",T487, IF(S487="LRC",BicubicInterpolation( 'LRC Mach'!$C$4:$AL$21, Y487,U487),  IF(S487="MRC",BicubicInterpolation( 'MRC Mach'!$C$3:$T$18, Y487,U487),  IF(S487="M0.84",0.84,  IF(S487="CI52",BicubicInterpolation('CI=52 Mach'!$C$3:$T$18, Y487,U487),  IF(S487="HOLDING",BicubicInterpolation(  'Holding Mach'!$C$4:$M$13, Y487,U487),                         IF(S487="LRCINOP", BicubicInterpolation('LRC INOP Mach'!$C$4:$AA$21,Y487,U487), IF(S487="HOLDINGINOP",  BicubicInterpolation('Holding INOP Mach'!$N$4:$U$13,Y487,U487),         "XXX" )))))))   )))</f>
        <v>#NAME?</v>
      </c>
      <c r="AD487" s="313" t="e">
        <f t="shared" ca="1" si="439"/>
        <v>#NAME?</v>
      </c>
      <c r="AE487" s="314" t="e">
        <f t="shared" ca="1" si="426"/>
        <v>#NAME?</v>
      </c>
      <c r="AF487" s="313" t="e">
        <f t="shared" ca="1" si="440"/>
        <v>#NAME?</v>
      </c>
      <c r="AG487" s="314" t="e">
        <f t="shared" ca="1" si="427"/>
        <v>#NAME?</v>
      </c>
      <c r="AH487" s="313" t="e">
        <f t="shared" ca="1" si="441"/>
        <v>#NAME?</v>
      </c>
      <c r="AI487" s="314" t="e">
        <f t="shared" ca="1" si="428"/>
        <v>#NAME?</v>
      </c>
      <c r="AJ487" s="315" t="e">
        <f t="shared" ca="1" si="429"/>
        <v>#NAME?</v>
      </c>
      <c r="AK487" s="568" t="e">
        <f t="shared" ca="1" si="442"/>
        <v>#NAME?</v>
      </c>
      <c r="AL487" s="313" t="e">
        <f t="shared" ca="1" si="443"/>
        <v>#NAME?</v>
      </c>
      <c r="AM487" s="313" t="e">
        <f t="shared" ca="1" si="430"/>
        <v>#NAME?</v>
      </c>
      <c r="AN487" s="313" t="e">
        <f t="shared" ca="1" si="431"/>
        <v>#NAME?</v>
      </c>
      <c r="AO487" s="316" t="e">
        <f t="shared" ca="1" si="444"/>
        <v>#NAME?</v>
      </c>
      <c r="AP487" s="313" t="e">
        <f t="shared" ca="1" si="445"/>
        <v>#NAME?</v>
      </c>
      <c r="AQ487" s="314" t="e">
        <f t="shared" ca="1" si="432"/>
        <v>#NAME?</v>
      </c>
      <c r="AR487" s="315" t="e">
        <f t="shared" ca="1" si="446"/>
        <v>#NAME?</v>
      </c>
      <c r="AS487" s="316" t="e">
        <f t="shared" ca="1" si="447"/>
        <v>#NAME?</v>
      </c>
      <c r="AT487" s="315" t="e">
        <f t="shared" ca="1" si="448"/>
        <v>#NAME?</v>
      </c>
      <c r="AU487" s="317">
        <v>427.8</v>
      </c>
      <c r="AV487" s="315" t="e">
        <f t="shared" ca="1" si="449"/>
        <v>#NAME?</v>
      </c>
      <c r="AW487" s="318" t="e">
        <f ca="1">0.0001*BicubicInterpolation('Drag Coef Table'!$B$4:$L$28,AV487,AC487)</f>
        <v>#NAME?</v>
      </c>
      <c r="AX487" s="319" t="e">
        <f t="shared" ca="1" si="450"/>
        <v>#NAME?</v>
      </c>
      <c r="AY487" s="318" t="e">
        <f t="shared" ca="1" si="451"/>
        <v>#NAME?</v>
      </c>
      <c r="AZ487" s="320" t="e">
        <f t="shared" ca="1" si="452"/>
        <v>#NAME?</v>
      </c>
      <c r="BA487" s="321" t="e">
        <f t="shared" ca="1" si="453"/>
        <v>#NAME?</v>
      </c>
      <c r="BB487" s="322" t="e">
        <f t="shared" ca="1" si="454"/>
        <v>#NAME?</v>
      </c>
      <c r="BC487" s="323">
        <v>75.196700000000007</v>
      </c>
      <c r="BD487" s="324" t="e">
        <f t="shared" ca="1" si="455"/>
        <v>#NAME?</v>
      </c>
      <c r="BE487" s="325" t="e">
        <f t="shared" ca="1" si="456"/>
        <v>#NAME?</v>
      </c>
      <c r="BF487" s="324" t="e">
        <f ca="1">BicubicInterpolation('TSFC Eff Table'!$B$4:$E$69,2,BB487)</f>
        <v>#NAME?</v>
      </c>
      <c r="BG487" s="326" t="e">
        <f t="shared" ca="1" si="457"/>
        <v>#NAME?</v>
      </c>
      <c r="BH487" s="694" t="e">
        <f ca="1">IF( S487="LRCINOP",   (1+(0.03/10)*Z487*(1+0.2*AC487^2) )*BicubicInterpolation( 'LRC INOP FF'!$C$4:$AA$21, Y487, U487 )-200, IF(S487 ="HOLDINGINOP", (1+(0.03/10)*Z487*(1+0.2*AC487^2) )*BicubicInterpolation( 'Holding INOP FF'!$C$4:$J$13,  Y487,  U487)/1.05-200,   BA487*BG487))</f>
        <v>#NAME?</v>
      </c>
      <c r="BI487" s="344" t="e">
        <f t="shared" ca="1" si="416"/>
        <v>#NAME?</v>
      </c>
      <c r="BJ487" s="322" t="e">
        <f t="shared" ca="1" si="458"/>
        <v>#NAME?</v>
      </c>
      <c r="BK487" s="338" t="e">
        <f t="shared" ca="1" si="417"/>
        <v>#NAME?</v>
      </c>
      <c r="BL487" s="327" t="e">
        <f t="shared" ca="1" si="459"/>
        <v>#NAME?</v>
      </c>
      <c r="BM487" s="328">
        <f t="shared" si="460"/>
        <v>200</v>
      </c>
      <c r="BN487" s="329" t="e">
        <f t="shared" ca="1" si="461"/>
        <v>#NAME?</v>
      </c>
      <c r="BO487" s="344" t="e">
        <f t="shared" ca="1" si="418"/>
        <v>#NAME?</v>
      </c>
      <c r="BP487" s="320" t="e">
        <f t="shared" ca="1" si="462"/>
        <v>#NAME?</v>
      </c>
      <c r="BQ487" s="344" t="e">
        <f t="shared" ca="1" si="419"/>
        <v>#NAME?</v>
      </c>
      <c r="BR487" s="347" t="e">
        <f t="shared" ca="1" si="420"/>
        <v>#NAME?</v>
      </c>
      <c r="BS487" s="326" t="e">
        <f t="shared" ca="1" si="463"/>
        <v>#NAME?</v>
      </c>
      <c r="BT487" s="437" t="e">
        <f t="shared" ca="1" si="433"/>
        <v>#NAME?</v>
      </c>
      <c r="BU487" s="437" t="e">
        <f t="shared" ca="1" si="434"/>
        <v>#NAME?</v>
      </c>
      <c r="BV487" s="441" t="e">
        <f t="shared" ca="1" si="435"/>
        <v>#NAME?</v>
      </c>
      <c r="BW487" s="442" t="e">
        <f t="shared" ca="1" si="436"/>
        <v>#NAME?</v>
      </c>
      <c r="BX487" s="470" t="e">
        <f t="shared" ca="1" si="409"/>
        <v>#NAME?</v>
      </c>
      <c r="BY487" s="484" t="e">
        <f t="shared" ca="1" si="421"/>
        <v>#NAME?</v>
      </c>
    </row>
    <row r="488" spans="9:77" ht="17.75" customHeight="1" x14ac:dyDescent="0.2">
      <c r="I488" s="366">
        <v>404</v>
      </c>
      <c r="J488" s="414">
        <f t="shared" si="422"/>
        <v>41705.993055556472</v>
      </c>
      <c r="K488" s="435" t="e">
        <f t="shared" ca="1" si="423"/>
        <v>#NAME?</v>
      </c>
      <c r="L488" s="435" t="e">
        <f t="shared" ca="1" si="410"/>
        <v>#NAME?</v>
      </c>
      <c r="M488" s="664" t="e">
        <f t="shared" ca="1" si="402"/>
        <v>#NAME?</v>
      </c>
      <c r="N488" s="664" t="e">
        <f t="shared" ca="1" si="403"/>
        <v>#NAME?</v>
      </c>
      <c r="O488" s="140" t="e">
        <f t="shared" ca="1" si="411"/>
        <v>#NAME?</v>
      </c>
      <c r="P488" s="352" t="e">
        <f t="shared" ca="1" si="424"/>
        <v>#NAME?</v>
      </c>
      <c r="Q488" s="665" t="e">
        <f t="shared" ca="1" si="404"/>
        <v>#NAME?</v>
      </c>
      <c r="R488" s="352" t="e">
        <f t="shared" ca="1" si="437"/>
        <v>#NAME?</v>
      </c>
      <c r="S488" s="662" t="e">
        <f t="shared" ca="1" si="412"/>
        <v>#NAME?</v>
      </c>
      <c r="T488" s="443" t="e">
        <f t="shared" ca="1" si="405"/>
        <v>#NAME?</v>
      </c>
      <c r="U488" s="369" t="e">
        <f t="shared" ca="1" si="406"/>
        <v>#NAME?</v>
      </c>
      <c r="V488" s="454" t="e">
        <f t="shared" ca="1" si="413"/>
        <v>#NAME?</v>
      </c>
      <c r="W488" s="457">
        <f t="shared" si="414"/>
        <v>1000</v>
      </c>
      <c r="X488" s="463" t="e">
        <f t="shared" ca="1" si="415"/>
        <v>#NAME?</v>
      </c>
      <c r="Y488" s="455" t="e">
        <f t="shared" ca="1" si="425"/>
        <v>#NAME?</v>
      </c>
      <c r="Z488" s="699">
        <f t="shared" si="407"/>
        <v>8.5</v>
      </c>
      <c r="AA488" s="355" t="str">
        <f t="shared" si="408"/>
        <v>ON</v>
      </c>
      <c r="AB488" s="357">
        <f t="shared" si="438"/>
        <v>1.4999999999999999E-2</v>
      </c>
      <c r="AC488" s="356" t="e">
        <f ca="1">IF(  Y487=0,0,IF(OR(S488="KCAS",S488="INOP",S488="MEFE"),   ( (5*( (   (((1+0.2*(T488/661.4786)^2)^3.5 -1)  )/( (1-6.8755856*10^-6 *100*Y488)^5.2558797) +1)^(2/7) -1) )^0.5),IF(S488="MACH",T488, IF(S488="LRC",BicubicInterpolation( 'LRC Mach'!$C$4:$AL$21, Y488,U488),  IF(S488="MRC",BicubicInterpolation( 'MRC Mach'!$C$3:$T$18, Y488,U488),  IF(S488="M0.84",0.84,  IF(S488="CI52",BicubicInterpolation('CI=52 Mach'!$C$3:$T$18, Y488,U488),  IF(S488="HOLDING",BicubicInterpolation(  'Holding Mach'!$C$4:$M$13, Y488,U488),                         IF(S488="LRCINOP", BicubicInterpolation('LRC INOP Mach'!$C$4:$AA$21,Y488,U488), IF(S488="HOLDINGINOP",  BicubicInterpolation('Holding INOP Mach'!$N$4:$U$13,Y488,U488),         "XXX" )))))))   )))</f>
        <v>#NAME?</v>
      </c>
      <c r="AD488" s="313" t="e">
        <f t="shared" ca="1" si="439"/>
        <v>#NAME?</v>
      </c>
      <c r="AE488" s="314" t="e">
        <f t="shared" ca="1" si="426"/>
        <v>#NAME?</v>
      </c>
      <c r="AF488" s="313" t="e">
        <f t="shared" ca="1" si="440"/>
        <v>#NAME?</v>
      </c>
      <c r="AG488" s="314" t="e">
        <f t="shared" ca="1" si="427"/>
        <v>#NAME?</v>
      </c>
      <c r="AH488" s="313" t="e">
        <f t="shared" ca="1" si="441"/>
        <v>#NAME?</v>
      </c>
      <c r="AI488" s="314" t="e">
        <f t="shared" ca="1" si="428"/>
        <v>#NAME?</v>
      </c>
      <c r="AJ488" s="315" t="e">
        <f t="shared" ca="1" si="429"/>
        <v>#NAME?</v>
      </c>
      <c r="AK488" s="568" t="e">
        <f t="shared" ca="1" si="442"/>
        <v>#NAME?</v>
      </c>
      <c r="AL488" s="313" t="e">
        <f t="shared" ca="1" si="443"/>
        <v>#NAME?</v>
      </c>
      <c r="AM488" s="313" t="e">
        <f t="shared" ca="1" si="430"/>
        <v>#NAME?</v>
      </c>
      <c r="AN488" s="313" t="e">
        <f t="shared" ca="1" si="431"/>
        <v>#NAME?</v>
      </c>
      <c r="AO488" s="316" t="e">
        <f t="shared" ca="1" si="444"/>
        <v>#NAME?</v>
      </c>
      <c r="AP488" s="313" t="e">
        <f t="shared" ca="1" si="445"/>
        <v>#NAME?</v>
      </c>
      <c r="AQ488" s="314" t="e">
        <f t="shared" ca="1" si="432"/>
        <v>#NAME?</v>
      </c>
      <c r="AR488" s="315" t="e">
        <f t="shared" ca="1" si="446"/>
        <v>#NAME?</v>
      </c>
      <c r="AS488" s="316" t="e">
        <f t="shared" ca="1" si="447"/>
        <v>#NAME?</v>
      </c>
      <c r="AT488" s="315" t="e">
        <f t="shared" ca="1" si="448"/>
        <v>#NAME?</v>
      </c>
      <c r="AU488" s="317">
        <v>427.8</v>
      </c>
      <c r="AV488" s="315" t="e">
        <f t="shared" ca="1" si="449"/>
        <v>#NAME?</v>
      </c>
      <c r="AW488" s="318" t="e">
        <f ca="1">0.0001*BicubicInterpolation('Drag Coef Table'!$B$4:$L$28,AV488,AC488)</f>
        <v>#NAME?</v>
      </c>
      <c r="AX488" s="319" t="e">
        <f t="shared" ca="1" si="450"/>
        <v>#NAME?</v>
      </c>
      <c r="AY488" s="318" t="e">
        <f t="shared" ca="1" si="451"/>
        <v>#NAME?</v>
      </c>
      <c r="AZ488" s="320" t="e">
        <f t="shared" ca="1" si="452"/>
        <v>#NAME?</v>
      </c>
      <c r="BA488" s="321" t="e">
        <f t="shared" ca="1" si="453"/>
        <v>#NAME?</v>
      </c>
      <c r="BB488" s="322" t="e">
        <f t="shared" ca="1" si="454"/>
        <v>#NAME?</v>
      </c>
      <c r="BC488" s="323">
        <v>75.196700000000007</v>
      </c>
      <c r="BD488" s="324" t="e">
        <f t="shared" ca="1" si="455"/>
        <v>#NAME?</v>
      </c>
      <c r="BE488" s="325" t="e">
        <f t="shared" ca="1" si="456"/>
        <v>#NAME?</v>
      </c>
      <c r="BF488" s="324" t="e">
        <f ca="1">BicubicInterpolation('TSFC Eff Table'!$B$4:$E$69,2,BB488)</f>
        <v>#NAME?</v>
      </c>
      <c r="BG488" s="326" t="e">
        <f t="shared" ca="1" si="457"/>
        <v>#NAME?</v>
      </c>
      <c r="BH488" s="694" t="e">
        <f ca="1">IF( S488="LRCINOP",   (1+(0.03/10)*Z488*(1+0.2*AC488^2) )*BicubicInterpolation( 'LRC INOP FF'!$C$4:$AA$21, Y488, U488 )-200, IF(S488 ="HOLDINGINOP", (1+(0.03/10)*Z488*(1+0.2*AC488^2) )*BicubicInterpolation( 'Holding INOP FF'!$C$4:$J$13,  Y488,  U488)/1.05-200,   BA488*BG488))</f>
        <v>#NAME?</v>
      </c>
      <c r="BI488" s="344" t="e">
        <f t="shared" ca="1" si="416"/>
        <v>#NAME?</v>
      </c>
      <c r="BJ488" s="322" t="e">
        <f t="shared" ca="1" si="458"/>
        <v>#NAME?</v>
      </c>
      <c r="BK488" s="338" t="e">
        <f t="shared" ca="1" si="417"/>
        <v>#NAME?</v>
      </c>
      <c r="BL488" s="327" t="e">
        <f t="shared" ca="1" si="459"/>
        <v>#NAME?</v>
      </c>
      <c r="BM488" s="328">
        <f t="shared" si="460"/>
        <v>200</v>
      </c>
      <c r="BN488" s="329" t="e">
        <f t="shared" ca="1" si="461"/>
        <v>#NAME?</v>
      </c>
      <c r="BO488" s="344" t="e">
        <f t="shared" ca="1" si="418"/>
        <v>#NAME?</v>
      </c>
      <c r="BP488" s="320" t="e">
        <f t="shared" ca="1" si="462"/>
        <v>#NAME?</v>
      </c>
      <c r="BQ488" s="344" t="e">
        <f t="shared" ca="1" si="419"/>
        <v>#NAME?</v>
      </c>
      <c r="BR488" s="347" t="e">
        <f t="shared" ca="1" si="420"/>
        <v>#NAME?</v>
      </c>
      <c r="BS488" s="326" t="e">
        <f t="shared" ca="1" si="463"/>
        <v>#NAME?</v>
      </c>
      <c r="BT488" s="437" t="e">
        <f t="shared" ca="1" si="433"/>
        <v>#NAME?</v>
      </c>
      <c r="BU488" s="437" t="e">
        <f t="shared" ca="1" si="434"/>
        <v>#NAME?</v>
      </c>
      <c r="BV488" s="441" t="e">
        <f t="shared" ca="1" si="435"/>
        <v>#NAME?</v>
      </c>
      <c r="BW488" s="442" t="e">
        <f t="shared" ca="1" si="436"/>
        <v>#NAME?</v>
      </c>
      <c r="BX488" s="470" t="e">
        <f t="shared" ca="1" si="409"/>
        <v>#NAME?</v>
      </c>
      <c r="BY488" s="484" t="e">
        <f t="shared" ca="1" si="421"/>
        <v>#NAME?</v>
      </c>
    </row>
    <row r="489" spans="9:77" ht="17.75" customHeight="1" x14ac:dyDescent="0.2">
      <c r="I489" s="366">
        <v>405</v>
      </c>
      <c r="J489" s="414">
        <f t="shared" si="422"/>
        <v>41705.993750000918</v>
      </c>
      <c r="K489" s="435" t="e">
        <f t="shared" ca="1" si="423"/>
        <v>#NAME?</v>
      </c>
      <c r="L489" s="435" t="e">
        <f t="shared" ca="1" si="410"/>
        <v>#NAME?</v>
      </c>
      <c r="M489" s="664" t="e">
        <f t="shared" ref="M489:M552" ca="1" si="464">IF(  AND(OR(S488="LRCINOP",S488="HOLDINGINOP"),NOT(S488=S487), $C$35="L"), 0,   IF(  AND(OR(S488="LRCINOP",S488="HOLDINGINOP"),NOT(S488=S487), $C$35="R"),  MAX(M488-K488/1000+N488,0),MAX(M488-K488/1000,0)   ))</f>
        <v>#NAME?</v>
      </c>
      <c r="N489" s="664" t="e">
        <f t="shared" ref="N489:N552" ca="1" si="465">IF(  AND(OR(S488="LRCINOP",S488="HOLDINGINOP"),NOT(S488=S487), $C$35="R"), 0,   IF(  AND(OR(S488="LRCINOP",S488="HOLDINGINOP"),NOT(S488=S487), $C$35="L"),  MAX(N488-L488/1000+M488,0),MAX(N488-L488/1000,0)   ))</f>
        <v>#NAME?</v>
      </c>
      <c r="O489" s="140" t="e">
        <f t="shared" ca="1" si="411"/>
        <v>#NAME?</v>
      </c>
      <c r="P489" s="352" t="e">
        <f t="shared" ca="1" si="424"/>
        <v>#NAME?</v>
      </c>
      <c r="Q489" s="665" t="e">
        <f t="shared" ca="1" si="404"/>
        <v>#NAME?</v>
      </c>
      <c r="R489" s="352" t="e">
        <f t="shared" ca="1" si="437"/>
        <v>#NAME?</v>
      </c>
      <c r="S489" s="662" t="e">
        <f t="shared" ca="1" si="412"/>
        <v>#NAME?</v>
      </c>
      <c r="T489" s="443" t="e">
        <f t="shared" ca="1" si="405"/>
        <v>#NAME?</v>
      </c>
      <c r="U489" s="369" t="e">
        <f t="shared" ca="1" si="406"/>
        <v>#NAME?</v>
      </c>
      <c r="V489" s="454" t="e">
        <f t="shared" ca="1" si="413"/>
        <v>#NAME?</v>
      </c>
      <c r="W489" s="457">
        <f t="shared" si="414"/>
        <v>1000</v>
      </c>
      <c r="X489" s="463" t="e">
        <f t="shared" ca="1" si="415"/>
        <v>#NAME?</v>
      </c>
      <c r="Y489" s="455" t="e">
        <f t="shared" ca="1" si="425"/>
        <v>#NAME?</v>
      </c>
      <c r="Z489" s="699">
        <f t="shared" si="407"/>
        <v>8.5</v>
      </c>
      <c r="AA489" s="355" t="str">
        <f t="shared" si="408"/>
        <v>ON</v>
      </c>
      <c r="AB489" s="357">
        <f t="shared" si="438"/>
        <v>1.4999999999999999E-2</v>
      </c>
      <c r="AC489" s="356" t="e">
        <f ca="1">IF(  Y488=0,0,IF(OR(S489="KCAS",S489="INOP",S489="MEFE"),   ( (5*( (   (((1+0.2*(T489/661.4786)^2)^3.5 -1)  )/( (1-6.8755856*10^-6 *100*Y489)^5.2558797) +1)^(2/7) -1) )^0.5),IF(S489="MACH",T489, IF(S489="LRC",BicubicInterpolation( 'LRC Mach'!$C$4:$AL$21, Y489,U489),  IF(S489="MRC",BicubicInterpolation( 'MRC Mach'!$C$3:$T$18, Y489,U489),  IF(S489="M0.84",0.84,  IF(S489="CI52",BicubicInterpolation('CI=52 Mach'!$C$3:$T$18, Y489,U489),  IF(S489="HOLDING",BicubicInterpolation(  'Holding Mach'!$C$4:$M$13, Y489,U489),                         IF(S489="LRCINOP", BicubicInterpolation('LRC INOP Mach'!$C$4:$AA$21,Y489,U489), IF(S489="HOLDINGINOP",  BicubicInterpolation('Holding INOP Mach'!$N$4:$U$13,Y489,U489),         "XXX" )))))))   )))</f>
        <v>#NAME?</v>
      </c>
      <c r="AD489" s="313" t="e">
        <f t="shared" ca="1" si="439"/>
        <v>#NAME?</v>
      </c>
      <c r="AE489" s="314" t="e">
        <f t="shared" ca="1" si="426"/>
        <v>#NAME?</v>
      </c>
      <c r="AF489" s="313" t="e">
        <f t="shared" ca="1" si="440"/>
        <v>#NAME?</v>
      </c>
      <c r="AG489" s="314" t="e">
        <f t="shared" ca="1" si="427"/>
        <v>#NAME?</v>
      </c>
      <c r="AH489" s="313" t="e">
        <f t="shared" ca="1" si="441"/>
        <v>#NAME?</v>
      </c>
      <c r="AI489" s="314" t="e">
        <f t="shared" ca="1" si="428"/>
        <v>#NAME?</v>
      </c>
      <c r="AJ489" s="315" t="e">
        <f t="shared" ca="1" si="429"/>
        <v>#NAME?</v>
      </c>
      <c r="AK489" s="568" t="e">
        <f t="shared" ca="1" si="442"/>
        <v>#NAME?</v>
      </c>
      <c r="AL489" s="313" t="e">
        <f t="shared" ca="1" si="443"/>
        <v>#NAME?</v>
      </c>
      <c r="AM489" s="313" t="e">
        <f t="shared" ca="1" si="430"/>
        <v>#NAME?</v>
      </c>
      <c r="AN489" s="313" t="e">
        <f t="shared" ca="1" si="431"/>
        <v>#NAME?</v>
      </c>
      <c r="AO489" s="316" t="e">
        <f t="shared" ca="1" si="444"/>
        <v>#NAME?</v>
      </c>
      <c r="AP489" s="313" t="e">
        <f t="shared" ca="1" si="445"/>
        <v>#NAME?</v>
      </c>
      <c r="AQ489" s="314" t="e">
        <f t="shared" ca="1" si="432"/>
        <v>#NAME?</v>
      </c>
      <c r="AR489" s="315" t="e">
        <f t="shared" ca="1" si="446"/>
        <v>#NAME?</v>
      </c>
      <c r="AS489" s="316" t="e">
        <f t="shared" ca="1" si="447"/>
        <v>#NAME?</v>
      </c>
      <c r="AT489" s="315" t="e">
        <f t="shared" ca="1" si="448"/>
        <v>#NAME?</v>
      </c>
      <c r="AU489" s="317">
        <v>427.8</v>
      </c>
      <c r="AV489" s="315" t="e">
        <f t="shared" ca="1" si="449"/>
        <v>#NAME?</v>
      </c>
      <c r="AW489" s="318" t="e">
        <f ca="1">0.0001*BicubicInterpolation('Drag Coef Table'!$B$4:$L$28,AV489,AC489)</f>
        <v>#NAME?</v>
      </c>
      <c r="AX489" s="319" t="e">
        <f t="shared" ca="1" si="450"/>
        <v>#NAME?</v>
      </c>
      <c r="AY489" s="318" t="e">
        <f t="shared" ca="1" si="451"/>
        <v>#NAME?</v>
      </c>
      <c r="AZ489" s="320" t="e">
        <f t="shared" ca="1" si="452"/>
        <v>#NAME?</v>
      </c>
      <c r="BA489" s="321" t="e">
        <f t="shared" ca="1" si="453"/>
        <v>#NAME?</v>
      </c>
      <c r="BB489" s="322" t="e">
        <f t="shared" ca="1" si="454"/>
        <v>#NAME?</v>
      </c>
      <c r="BC489" s="323">
        <v>75.196700000000007</v>
      </c>
      <c r="BD489" s="324" t="e">
        <f t="shared" ca="1" si="455"/>
        <v>#NAME?</v>
      </c>
      <c r="BE489" s="325" t="e">
        <f t="shared" ca="1" si="456"/>
        <v>#NAME?</v>
      </c>
      <c r="BF489" s="324" t="e">
        <f ca="1">BicubicInterpolation('TSFC Eff Table'!$B$4:$E$69,2,BB489)</f>
        <v>#NAME?</v>
      </c>
      <c r="BG489" s="326" t="e">
        <f t="shared" ca="1" si="457"/>
        <v>#NAME?</v>
      </c>
      <c r="BH489" s="694" t="e">
        <f ca="1">IF( S489="LRCINOP",   (1+(0.03/10)*Z489*(1+0.2*AC489^2) )*BicubicInterpolation( 'LRC INOP FF'!$C$4:$AA$21, Y489, U489 )-200, IF(S489 ="HOLDINGINOP", (1+(0.03/10)*Z489*(1+0.2*AC489^2) )*BicubicInterpolation( 'Holding INOP FF'!$C$4:$J$13,  Y489,  U489)/1.05-200,   BA489*BG489))</f>
        <v>#NAME?</v>
      </c>
      <c r="BI489" s="344" t="e">
        <f t="shared" ca="1" si="416"/>
        <v>#NAME?</v>
      </c>
      <c r="BJ489" s="322" t="e">
        <f t="shared" ca="1" si="458"/>
        <v>#NAME?</v>
      </c>
      <c r="BK489" s="338" t="e">
        <f t="shared" ca="1" si="417"/>
        <v>#NAME?</v>
      </c>
      <c r="BL489" s="327" t="e">
        <f t="shared" ca="1" si="459"/>
        <v>#NAME?</v>
      </c>
      <c r="BM489" s="328">
        <f t="shared" si="460"/>
        <v>200</v>
      </c>
      <c r="BN489" s="329" t="e">
        <f t="shared" ca="1" si="461"/>
        <v>#NAME?</v>
      </c>
      <c r="BO489" s="344" t="e">
        <f t="shared" ca="1" si="418"/>
        <v>#NAME?</v>
      </c>
      <c r="BP489" s="320" t="e">
        <f t="shared" ca="1" si="462"/>
        <v>#NAME?</v>
      </c>
      <c r="BQ489" s="344" t="e">
        <f t="shared" ca="1" si="419"/>
        <v>#NAME?</v>
      </c>
      <c r="BR489" s="347" t="e">
        <f t="shared" ca="1" si="420"/>
        <v>#NAME?</v>
      </c>
      <c r="BS489" s="326" t="e">
        <f t="shared" ca="1" si="463"/>
        <v>#NAME?</v>
      </c>
      <c r="BT489" s="437" t="e">
        <f t="shared" ca="1" si="433"/>
        <v>#NAME?</v>
      </c>
      <c r="BU489" s="437" t="e">
        <f t="shared" ca="1" si="434"/>
        <v>#NAME?</v>
      </c>
      <c r="BV489" s="441" t="e">
        <f t="shared" ca="1" si="435"/>
        <v>#NAME?</v>
      </c>
      <c r="BW489" s="442" t="e">
        <f t="shared" ca="1" si="436"/>
        <v>#NAME?</v>
      </c>
      <c r="BX489" s="470" t="e">
        <f t="shared" ca="1" si="409"/>
        <v>#NAME?</v>
      </c>
      <c r="BY489" s="484" t="e">
        <f t="shared" ca="1" si="421"/>
        <v>#NAME?</v>
      </c>
    </row>
    <row r="490" spans="9:77" ht="17.75" customHeight="1" x14ac:dyDescent="0.2">
      <c r="I490" s="366">
        <v>406</v>
      </c>
      <c r="J490" s="414">
        <f t="shared" si="422"/>
        <v>41705.994444445365</v>
      </c>
      <c r="K490" s="435" t="e">
        <f t="shared" ca="1" si="423"/>
        <v>#NAME?</v>
      </c>
      <c r="L490" s="435" t="e">
        <f t="shared" ca="1" si="410"/>
        <v>#NAME?</v>
      </c>
      <c r="M490" s="664" t="e">
        <f t="shared" ca="1" si="464"/>
        <v>#NAME?</v>
      </c>
      <c r="N490" s="664" t="e">
        <f t="shared" ca="1" si="465"/>
        <v>#NAME?</v>
      </c>
      <c r="O490" s="140" t="e">
        <f t="shared" ca="1" si="411"/>
        <v>#NAME?</v>
      </c>
      <c r="P490" s="352" t="e">
        <f t="shared" ca="1" si="424"/>
        <v>#NAME?</v>
      </c>
      <c r="Q490" s="665" t="e">
        <f t="shared" ca="1" si="404"/>
        <v>#NAME?</v>
      </c>
      <c r="R490" s="352" t="e">
        <f t="shared" ca="1" si="437"/>
        <v>#NAME?</v>
      </c>
      <c r="S490" s="662" t="e">
        <f t="shared" ca="1" si="412"/>
        <v>#NAME?</v>
      </c>
      <c r="T490" s="443" t="e">
        <f t="shared" ca="1" si="405"/>
        <v>#NAME?</v>
      </c>
      <c r="U490" s="369" t="e">
        <f t="shared" ca="1" si="406"/>
        <v>#NAME?</v>
      </c>
      <c r="V490" s="454" t="e">
        <f t="shared" ca="1" si="413"/>
        <v>#NAME?</v>
      </c>
      <c r="W490" s="457">
        <f t="shared" si="414"/>
        <v>1000</v>
      </c>
      <c r="X490" s="463" t="e">
        <f t="shared" ca="1" si="415"/>
        <v>#NAME?</v>
      </c>
      <c r="Y490" s="455" t="e">
        <f t="shared" ca="1" si="425"/>
        <v>#NAME?</v>
      </c>
      <c r="Z490" s="699">
        <f t="shared" si="407"/>
        <v>8.5</v>
      </c>
      <c r="AA490" s="355" t="str">
        <f t="shared" si="408"/>
        <v>ON</v>
      </c>
      <c r="AB490" s="357">
        <f t="shared" si="438"/>
        <v>1.4999999999999999E-2</v>
      </c>
      <c r="AC490" s="356" t="e">
        <f ca="1">IF(  Y489=0,0,IF(OR(S490="KCAS",S490="INOP",S490="MEFE"),   ( (5*( (   (((1+0.2*(T490/661.4786)^2)^3.5 -1)  )/( (1-6.8755856*10^-6 *100*Y490)^5.2558797) +1)^(2/7) -1) )^0.5),IF(S490="MACH",T490, IF(S490="LRC",BicubicInterpolation( 'LRC Mach'!$C$4:$AL$21, Y490,U490),  IF(S490="MRC",BicubicInterpolation( 'MRC Mach'!$C$3:$T$18, Y490,U490),  IF(S490="M0.84",0.84,  IF(S490="CI52",BicubicInterpolation('CI=52 Mach'!$C$3:$T$18, Y490,U490),  IF(S490="HOLDING",BicubicInterpolation(  'Holding Mach'!$C$4:$M$13, Y490,U490),                         IF(S490="LRCINOP", BicubicInterpolation('LRC INOP Mach'!$C$4:$AA$21,Y490,U490), IF(S490="HOLDINGINOP",  BicubicInterpolation('Holding INOP Mach'!$N$4:$U$13,Y490,U490),         "XXX" )))))))   )))</f>
        <v>#NAME?</v>
      </c>
      <c r="AD490" s="313" t="e">
        <f t="shared" ca="1" si="439"/>
        <v>#NAME?</v>
      </c>
      <c r="AE490" s="314" t="e">
        <f t="shared" ca="1" si="426"/>
        <v>#NAME?</v>
      </c>
      <c r="AF490" s="313" t="e">
        <f t="shared" ca="1" si="440"/>
        <v>#NAME?</v>
      </c>
      <c r="AG490" s="314" t="e">
        <f t="shared" ca="1" si="427"/>
        <v>#NAME?</v>
      </c>
      <c r="AH490" s="313" t="e">
        <f t="shared" ca="1" si="441"/>
        <v>#NAME?</v>
      </c>
      <c r="AI490" s="314" t="e">
        <f t="shared" ca="1" si="428"/>
        <v>#NAME?</v>
      </c>
      <c r="AJ490" s="315" t="e">
        <f t="shared" ca="1" si="429"/>
        <v>#NAME?</v>
      </c>
      <c r="AK490" s="568" t="e">
        <f t="shared" ca="1" si="442"/>
        <v>#NAME?</v>
      </c>
      <c r="AL490" s="313" t="e">
        <f t="shared" ca="1" si="443"/>
        <v>#NAME?</v>
      </c>
      <c r="AM490" s="313" t="e">
        <f t="shared" ca="1" si="430"/>
        <v>#NAME?</v>
      </c>
      <c r="AN490" s="313" t="e">
        <f t="shared" ca="1" si="431"/>
        <v>#NAME?</v>
      </c>
      <c r="AO490" s="316" t="e">
        <f t="shared" ca="1" si="444"/>
        <v>#NAME?</v>
      </c>
      <c r="AP490" s="313" t="e">
        <f t="shared" ca="1" si="445"/>
        <v>#NAME?</v>
      </c>
      <c r="AQ490" s="314" t="e">
        <f t="shared" ca="1" si="432"/>
        <v>#NAME?</v>
      </c>
      <c r="AR490" s="315" t="e">
        <f t="shared" ca="1" si="446"/>
        <v>#NAME?</v>
      </c>
      <c r="AS490" s="316" t="e">
        <f t="shared" ca="1" si="447"/>
        <v>#NAME?</v>
      </c>
      <c r="AT490" s="315" t="e">
        <f t="shared" ca="1" si="448"/>
        <v>#NAME?</v>
      </c>
      <c r="AU490" s="317">
        <v>427.8</v>
      </c>
      <c r="AV490" s="315" t="e">
        <f t="shared" ca="1" si="449"/>
        <v>#NAME?</v>
      </c>
      <c r="AW490" s="318" t="e">
        <f ca="1">0.0001*BicubicInterpolation('Drag Coef Table'!$B$4:$L$28,AV490,AC490)</f>
        <v>#NAME?</v>
      </c>
      <c r="AX490" s="319" t="e">
        <f t="shared" ca="1" si="450"/>
        <v>#NAME?</v>
      </c>
      <c r="AY490" s="318" t="e">
        <f t="shared" ca="1" si="451"/>
        <v>#NAME?</v>
      </c>
      <c r="AZ490" s="320" t="e">
        <f t="shared" ca="1" si="452"/>
        <v>#NAME?</v>
      </c>
      <c r="BA490" s="321" t="e">
        <f t="shared" ca="1" si="453"/>
        <v>#NAME?</v>
      </c>
      <c r="BB490" s="322" t="e">
        <f t="shared" ca="1" si="454"/>
        <v>#NAME?</v>
      </c>
      <c r="BC490" s="323">
        <v>75.196700000000007</v>
      </c>
      <c r="BD490" s="324" t="e">
        <f t="shared" ca="1" si="455"/>
        <v>#NAME?</v>
      </c>
      <c r="BE490" s="325" t="e">
        <f t="shared" ca="1" si="456"/>
        <v>#NAME?</v>
      </c>
      <c r="BF490" s="324" t="e">
        <f ca="1">BicubicInterpolation('TSFC Eff Table'!$B$4:$E$69,2,BB490)</f>
        <v>#NAME?</v>
      </c>
      <c r="BG490" s="326" t="e">
        <f t="shared" ca="1" si="457"/>
        <v>#NAME?</v>
      </c>
      <c r="BH490" s="694" t="e">
        <f ca="1">IF( S490="LRCINOP",   (1+(0.03/10)*Z490*(1+0.2*AC490^2) )*BicubicInterpolation( 'LRC INOP FF'!$C$4:$AA$21, Y490, U490 )-200, IF(S490 ="HOLDINGINOP", (1+(0.03/10)*Z490*(1+0.2*AC490^2) )*BicubicInterpolation( 'Holding INOP FF'!$C$4:$J$13,  Y490,  U490)/1.05-200,   BA490*BG490))</f>
        <v>#NAME?</v>
      </c>
      <c r="BI490" s="344" t="e">
        <f t="shared" ca="1" si="416"/>
        <v>#NAME?</v>
      </c>
      <c r="BJ490" s="322" t="e">
        <f t="shared" ca="1" si="458"/>
        <v>#NAME?</v>
      </c>
      <c r="BK490" s="338" t="e">
        <f t="shared" ca="1" si="417"/>
        <v>#NAME?</v>
      </c>
      <c r="BL490" s="327" t="e">
        <f t="shared" ca="1" si="459"/>
        <v>#NAME?</v>
      </c>
      <c r="BM490" s="328">
        <f t="shared" si="460"/>
        <v>200</v>
      </c>
      <c r="BN490" s="329" t="e">
        <f t="shared" ca="1" si="461"/>
        <v>#NAME?</v>
      </c>
      <c r="BO490" s="344" t="e">
        <f t="shared" ca="1" si="418"/>
        <v>#NAME?</v>
      </c>
      <c r="BP490" s="320" t="e">
        <f t="shared" ca="1" si="462"/>
        <v>#NAME?</v>
      </c>
      <c r="BQ490" s="344" t="e">
        <f t="shared" ca="1" si="419"/>
        <v>#NAME?</v>
      </c>
      <c r="BR490" s="347" t="e">
        <f t="shared" ca="1" si="420"/>
        <v>#NAME?</v>
      </c>
      <c r="BS490" s="326" t="e">
        <f t="shared" ca="1" si="463"/>
        <v>#NAME?</v>
      </c>
      <c r="BT490" s="437" t="e">
        <f t="shared" ca="1" si="433"/>
        <v>#NAME?</v>
      </c>
      <c r="BU490" s="437" t="e">
        <f t="shared" ca="1" si="434"/>
        <v>#NAME?</v>
      </c>
      <c r="BV490" s="441" t="e">
        <f t="shared" ca="1" si="435"/>
        <v>#NAME?</v>
      </c>
      <c r="BW490" s="442" t="e">
        <f t="shared" ca="1" si="436"/>
        <v>#NAME?</v>
      </c>
      <c r="BX490" s="470" t="e">
        <f t="shared" ca="1" si="409"/>
        <v>#NAME?</v>
      </c>
      <c r="BY490" s="484" t="e">
        <f t="shared" ca="1" si="421"/>
        <v>#NAME?</v>
      </c>
    </row>
    <row r="491" spans="9:77" ht="17.75" customHeight="1" x14ac:dyDescent="0.2">
      <c r="I491" s="366">
        <v>407</v>
      </c>
      <c r="J491" s="414">
        <f t="shared" si="422"/>
        <v>41705.995138889812</v>
      </c>
      <c r="K491" s="435" t="e">
        <f t="shared" ca="1" si="423"/>
        <v>#NAME?</v>
      </c>
      <c r="L491" s="435" t="e">
        <f t="shared" ca="1" si="410"/>
        <v>#NAME?</v>
      </c>
      <c r="M491" s="664" t="e">
        <f t="shared" ca="1" si="464"/>
        <v>#NAME?</v>
      </c>
      <c r="N491" s="664" t="e">
        <f t="shared" ca="1" si="465"/>
        <v>#NAME?</v>
      </c>
      <c r="O491" s="140" t="e">
        <f t="shared" ca="1" si="411"/>
        <v>#NAME?</v>
      </c>
      <c r="P491" s="352" t="e">
        <f t="shared" ca="1" si="424"/>
        <v>#NAME?</v>
      </c>
      <c r="Q491" s="665" t="e">
        <f t="shared" ca="1" si="404"/>
        <v>#NAME?</v>
      </c>
      <c r="R491" s="352" t="e">
        <f t="shared" ca="1" si="437"/>
        <v>#NAME?</v>
      </c>
      <c r="S491" s="662" t="e">
        <f t="shared" ca="1" si="412"/>
        <v>#NAME?</v>
      </c>
      <c r="T491" s="443" t="e">
        <f t="shared" ca="1" si="405"/>
        <v>#NAME?</v>
      </c>
      <c r="U491" s="369" t="e">
        <f t="shared" ca="1" si="406"/>
        <v>#NAME?</v>
      </c>
      <c r="V491" s="454" t="e">
        <f t="shared" ca="1" si="413"/>
        <v>#NAME?</v>
      </c>
      <c r="W491" s="457">
        <f t="shared" si="414"/>
        <v>1000</v>
      </c>
      <c r="X491" s="463" t="e">
        <f t="shared" ca="1" si="415"/>
        <v>#NAME?</v>
      </c>
      <c r="Y491" s="455" t="e">
        <f t="shared" ca="1" si="425"/>
        <v>#NAME?</v>
      </c>
      <c r="Z491" s="699">
        <f t="shared" si="407"/>
        <v>8.5</v>
      </c>
      <c r="AA491" s="355" t="str">
        <f t="shared" si="408"/>
        <v>ON</v>
      </c>
      <c r="AB491" s="357">
        <f t="shared" si="438"/>
        <v>1.4999999999999999E-2</v>
      </c>
      <c r="AC491" s="356" t="e">
        <f ca="1">IF(  Y490=0,0,IF(OR(S491="KCAS",S491="INOP",S491="MEFE"),   ( (5*( (   (((1+0.2*(T491/661.4786)^2)^3.5 -1)  )/( (1-6.8755856*10^-6 *100*Y491)^5.2558797) +1)^(2/7) -1) )^0.5),IF(S491="MACH",T491, IF(S491="LRC",BicubicInterpolation( 'LRC Mach'!$C$4:$AL$21, Y491,U491),  IF(S491="MRC",BicubicInterpolation( 'MRC Mach'!$C$3:$T$18, Y491,U491),  IF(S491="M0.84",0.84,  IF(S491="CI52",BicubicInterpolation('CI=52 Mach'!$C$3:$T$18, Y491,U491),  IF(S491="HOLDING",BicubicInterpolation(  'Holding Mach'!$C$4:$M$13, Y491,U491),                         IF(S491="LRCINOP", BicubicInterpolation('LRC INOP Mach'!$C$4:$AA$21,Y491,U491), IF(S491="HOLDINGINOP",  BicubicInterpolation('Holding INOP Mach'!$N$4:$U$13,Y491,U491),         "XXX" )))))))   )))</f>
        <v>#NAME?</v>
      </c>
      <c r="AD491" s="313" t="e">
        <f t="shared" ca="1" si="439"/>
        <v>#NAME?</v>
      </c>
      <c r="AE491" s="314" t="e">
        <f t="shared" ca="1" si="426"/>
        <v>#NAME?</v>
      </c>
      <c r="AF491" s="313" t="e">
        <f t="shared" ca="1" si="440"/>
        <v>#NAME?</v>
      </c>
      <c r="AG491" s="314" t="e">
        <f t="shared" ca="1" si="427"/>
        <v>#NAME?</v>
      </c>
      <c r="AH491" s="313" t="e">
        <f t="shared" ca="1" si="441"/>
        <v>#NAME?</v>
      </c>
      <c r="AI491" s="314" t="e">
        <f t="shared" ca="1" si="428"/>
        <v>#NAME?</v>
      </c>
      <c r="AJ491" s="315" t="e">
        <f t="shared" ca="1" si="429"/>
        <v>#NAME?</v>
      </c>
      <c r="AK491" s="568" t="e">
        <f t="shared" ca="1" si="442"/>
        <v>#NAME?</v>
      </c>
      <c r="AL491" s="313" t="e">
        <f t="shared" ca="1" si="443"/>
        <v>#NAME?</v>
      </c>
      <c r="AM491" s="313" t="e">
        <f t="shared" ca="1" si="430"/>
        <v>#NAME?</v>
      </c>
      <c r="AN491" s="313" t="e">
        <f t="shared" ca="1" si="431"/>
        <v>#NAME?</v>
      </c>
      <c r="AO491" s="316" t="e">
        <f t="shared" ca="1" si="444"/>
        <v>#NAME?</v>
      </c>
      <c r="AP491" s="313" t="e">
        <f t="shared" ca="1" si="445"/>
        <v>#NAME?</v>
      </c>
      <c r="AQ491" s="314" t="e">
        <f t="shared" ca="1" si="432"/>
        <v>#NAME?</v>
      </c>
      <c r="AR491" s="315" t="e">
        <f t="shared" ca="1" si="446"/>
        <v>#NAME?</v>
      </c>
      <c r="AS491" s="316" t="e">
        <f t="shared" ca="1" si="447"/>
        <v>#NAME?</v>
      </c>
      <c r="AT491" s="315" t="e">
        <f t="shared" ca="1" si="448"/>
        <v>#NAME?</v>
      </c>
      <c r="AU491" s="317">
        <v>427.8</v>
      </c>
      <c r="AV491" s="315" t="e">
        <f t="shared" ca="1" si="449"/>
        <v>#NAME?</v>
      </c>
      <c r="AW491" s="318" t="e">
        <f ca="1">0.0001*BicubicInterpolation('Drag Coef Table'!$B$4:$L$28,AV491,AC491)</f>
        <v>#NAME?</v>
      </c>
      <c r="AX491" s="319" t="e">
        <f t="shared" ca="1" si="450"/>
        <v>#NAME?</v>
      </c>
      <c r="AY491" s="318" t="e">
        <f t="shared" ca="1" si="451"/>
        <v>#NAME?</v>
      </c>
      <c r="AZ491" s="320" t="e">
        <f t="shared" ca="1" si="452"/>
        <v>#NAME?</v>
      </c>
      <c r="BA491" s="321" t="e">
        <f t="shared" ca="1" si="453"/>
        <v>#NAME?</v>
      </c>
      <c r="BB491" s="322" t="e">
        <f t="shared" ca="1" si="454"/>
        <v>#NAME?</v>
      </c>
      <c r="BC491" s="323">
        <v>75.196700000000007</v>
      </c>
      <c r="BD491" s="324" t="e">
        <f t="shared" ca="1" si="455"/>
        <v>#NAME?</v>
      </c>
      <c r="BE491" s="325" t="e">
        <f t="shared" ca="1" si="456"/>
        <v>#NAME?</v>
      </c>
      <c r="BF491" s="324" t="e">
        <f ca="1">BicubicInterpolation('TSFC Eff Table'!$B$4:$E$69,2,BB491)</f>
        <v>#NAME?</v>
      </c>
      <c r="BG491" s="326" t="e">
        <f t="shared" ca="1" si="457"/>
        <v>#NAME?</v>
      </c>
      <c r="BH491" s="694" t="e">
        <f ca="1">IF( S491="LRCINOP",   (1+(0.03/10)*Z491*(1+0.2*AC491^2) )*BicubicInterpolation( 'LRC INOP FF'!$C$4:$AA$21, Y491, U491 )-200, IF(S491 ="HOLDINGINOP", (1+(0.03/10)*Z491*(1+0.2*AC491^2) )*BicubicInterpolation( 'Holding INOP FF'!$C$4:$J$13,  Y491,  U491)/1.05-200,   BA491*BG491))</f>
        <v>#NAME?</v>
      </c>
      <c r="BI491" s="344" t="e">
        <f t="shared" ca="1" si="416"/>
        <v>#NAME?</v>
      </c>
      <c r="BJ491" s="322" t="e">
        <f t="shared" ca="1" si="458"/>
        <v>#NAME?</v>
      </c>
      <c r="BK491" s="338" t="e">
        <f t="shared" ca="1" si="417"/>
        <v>#NAME?</v>
      </c>
      <c r="BL491" s="327" t="e">
        <f t="shared" ca="1" si="459"/>
        <v>#NAME?</v>
      </c>
      <c r="BM491" s="328">
        <f t="shared" si="460"/>
        <v>200</v>
      </c>
      <c r="BN491" s="329" t="e">
        <f t="shared" ca="1" si="461"/>
        <v>#NAME?</v>
      </c>
      <c r="BO491" s="344" t="e">
        <f t="shared" ca="1" si="418"/>
        <v>#NAME?</v>
      </c>
      <c r="BP491" s="320" t="e">
        <f t="shared" ca="1" si="462"/>
        <v>#NAME?</v>
      </c>
      <c r="BQ491" s="344" t="e">
        <f t="shared" ca="1" si="419"/>
        <v>#NAME?</v>
      </c>
      <c r="BR491" s="347" t="e">
        <f t="shared" ca="1" si="420"/>
        <v>#NAME?</v>
      </c>
      <c r="BS491" s="326" t="e">
        <f t="shared" ca="1" si="463"/>
        <v>#NAME?</v>
      </c>
      <c r="BT491" s="437" t="e">
        <f t="shared" ca="1" si="433"/>
        <v>#NAME?</v>
      </c>
      <c r="BU491" s="437" t="e">
        <f t="shared" ca="1" si="434"/>
        <v>#NAME?</v>
      </c>
      <c r="BV491" s="441" t="e">
        <f t="shared" ca="1" si="435"/>
        <v>#NAME?</v>
      </c>
      <c r="BW491" s="442" t="e">
        <f t="shared" ca="1" si="436"/>
        <v>#NAME?</v>
      </c>
      <c r="BX491" s="470" t="e">
        <f t="shared" ca="1" si="409"/>
        <v>#NAME?</v>
      </c>
      <c r="BY491" s="484" t="e">
        <f t="shared" ca="1" si="421"/>
        <v>#NAME?</v>
      </c>
    </row>
    <row r="492" spans="9:77" ht="17.75" customHeight="1" x14ac:dyDescent="0.2">
      <c r="I492" s="366">
        <v>408</v>
      </c>
      <c r="J492" s="414">
        <f t="shared" si="422"/>
        <v>41705.995833334258</v>
      </c>
      <c r="K492" s="435" t="e">
        <f t="shared" ca="1" si="423"/>
        <v>#NAME?</v>
      </c>
      <c r="L492" s="435" t="e">
        <f t="shared" ca="1" si="410"/>
        <v>#NAME?</v>
      </c>
      <c r="M492" s="664" t="e">
        <f t="shared" ca="1" si="464"/>
        <v>#NAME?</v>
      </c>
      <c r="N492" s="664" t="e">
        <f t="shared" ca="1" si="465"/>
        <v>#NAME?</v>
      </c>
      <c r="O492" s="140" t="e">
        <f t="shared" ca="1" si="411"/>
        <v>#NAME?</v>
      </c>
      <c r="P492" s="352" t="e">
        <f t="shared" ca="1" si="424"/>
        <v>#NAME?</v>
      </c>
      <c r="Q492" s="665" t="e">
        <f t="shared" ca="1" si="404"/>
        <v>#NAME?</v>
      </c>
      <c r="R492" s="352" t="e">
        <f t="shared" ca="1" si="437"/>
        <v>#NAME?</v>
      </c>
      <c r="S492" s="662" t="e">
        <f t="shared" ca="1" si="412"/>
        <v>#NAME?</v>
      </c>
      <c r="T492" s="443" t="e">
        <f t="shared" ca="1" si="405"/>
        <v>#NAME?</v>
      </c>
      <c r="U492" s="369" t="e">
        <f t="shared" ca="1" si="406"/>
        <v>#NAME?</v>
      </c>
      <c r="V492" s="454" t="e">
        <f t="shared" ca="1" si="413"/>
        <v>#NAME?</v>
      </c>
      <c r="W492" s="457">
        <f t="shared" si="414"/>
        <v>1000</v>
      </c>
      <c r="X492" s="463" t="e">
        <f t="shared" ca="1" si="415"/>
        <v>#NAME?</v>
      </c>
      <c r="Y492" s="455" t="e">
        <f t="shared" ca="1" si="425"/>
        <v>#NAME?</v>
      </c>
      <c r="Z492" s="699">
        <f t="shared" si="407"/>
        <v>8.5</v>
      </c>
      <c r="AA492" s="355" t="str">
        <f t="shared" si="408"/>
        <v>ON</v>
      </c>
      <c r="AB492" s="357">
        <f t="shared" si="438"/>
        <v>1.4999999999999999E-2</v>
      </c>
      <c r="AC492" s="356" t="e">
        <f ca="1">IF(  Y491=0,0,IF(OR(S492="KCAS",S492="INOP",S492="MEFE"),   ( (5*( (   (((1+0.2*(T492/661.4786)^2)^3.5 -1)  )/( (1-6.8755856*10^-6 *100*Y492)^5.2558797) +1)^(2/7) -1) )^0.5),IF(S492="MACH",T492, IF(S492="LRC",BicubicInterpolation( 'LRC Mach'!$C$4:$AL$21, Y492,U492),  IF(S492="MRC",BicubicInterpolation( 'MRC Mach'!$C$3:$T$18, Y492,U492),  IF(S492="M0.84",0.84,  IF(S492="CI52",BicubicInterpolation('CI=52 Mach'!$C$3:$T$18, Y492,U492),  IF(S492="HOLDING",BicubicInterpolation(  'Holding Mach'!$C$4:$M$13, Y492,U492),                         IF(S492="LRCINOP", BicubicInterpolation('LRC INOP Mach'!$C$4:$AA$21,Y492,U492), IF(S492="HOLDINGINOP",  BicubicInterpolation('Holding INOP Mach'!$N$4:$U$13,Y492,U492),         "XXX" )))))))   )))</f>
        <v>#NAME?</v>
      </c>
      <c r="AD492" s="313" t="e">
        <f t="shared" ca="1" si="439"/>
        <v>#NAME?</v>
      </c>
      <c r="AE492" s="314" t="e">
        <f t="shared" ca="1" si="426"/>
        <v>#NAME?</v>
      </c>
      <c r="AF492" s="313" t="e">
        <f t="shared" ca="1" si="440"/>
        <v>#NAME?</v>
      </c>
      <c r="AG492" s="314" t="e">
        <f t="shared" ca="1" si="427"/>
        <v>#NAME?</v>
      </c>
      <c r="AH492" s="313" t="e">
        <f t="shared" ca="1" si="441"/>
        <v>#NAME?</v>
      </c>
      <c r="AI492" s="314" t="e">
        <f t="shared" ca="1" si="428"/>
        <v>#NAME?</v>
      </c>
      <c r="AJ492" s="315" t="e">
        <f t="shared" ca="1" si="429"/>
        <v>#NAME?</v>
      </c>
      <c r="AK492" s="568" t="e">
        <f t="shared" ca="1" si="442"/>
        <v>#NAME?</v>
      </c>
      <c r="AL492" s="313" t="e">
        <f t="shared" ca="1" si="443"/>
        <v>#NAME?</v>
      </c>
      <c r="AM492" s="313" t="e">
        <f t="shared" ca="1" si="430"/>
        <v>#NAME?</v>
      </c>
      <c r="AN492" s="313" t="e">
        <f t="shared" ca="1" si="431"/>
        <v>#NAME?</v>
      </c>
      <c r="AO492" s="316" t="e">
        <f t="shared" ca="1" si="444"/>
        <v>#NAME?</v>
      </c>
      <c r="AP492" s="313" t="e">
        <f t="shared" ca="1" si="445"/>
        <v>#NAME?</v>
      </c>
      <c r="AQ492" s="314" t="e">
        <f t="shared" ca="1" si="432"/>
        <v>#NAME?</v>
      </c>
      <c r="AR492" s="315" t="e">
        <f t="shared" ca="1" si="446"/>
        <v>#NAME?</v>
      </c>
      <c r="AS492" s="316" t="e">
        <f t="shared" ca="1" si="447"/>
        <v>#NAME?</v>
      </c>
      <c r="AT492" s="315" t="e">
        <f t="shared" ca="1" si="448"/>
        <v>#NAME?</v>
      </c>
      <c r="AU492" s="317">
        <v>427.8</v>
      </c>
      <c r="AV492" s="315" t="e">
        <f t="shared" ca="1" si="449"/>
        <v>#NAME?</v>
      </c>
      <c r="AW492" s="318" t="e">
        <f ca="1">0.0001*BicubicInterpolation('Drag Coef Table'!$B$4:$L$28,AV492,AC492)</f>
        <v>#NAME?</v>
      </c>
      <c r="AX492" s="319" t="e">
        <f t="shared" ca="1" si="450"/>
        <v>#NAME?</v>
      </c>
      <c r="AY492" s="318" t="e">
        <f t="shared" ca="1" si="451"/>
        <v>#NAME?</v>
      </c>
      <c r="AZ492" s="320" t="e">
        <f t="shared" ca="1" si="452"/>
        <v>#NAME?</v>
      </c>
      <c r="BA492" s="321" t="e">
        <f t="shared" ca="1" si="453"/>
        <v>#NAME?</v>
      </c>
      <c r="BB492" s="322" t="e">
        <f t="shared" ca="1" si="454"/>
        <v>#NAME?</v>
      </c>
      <c r="BC492" s="323">
        <v>75.196700000000007</v>
      </c>
      <c r="BD492" s="324" t="e">
        <f t="shared" ca="1" si="455"/>
        <v>#NAME?</v>
      </c>
      <c r="BE492" s="325" t="e">
        <f t="shared" ca="1" si="456"/>
        <v>#NAME?</v>
      </c>
      <c r="BF492" s="324" t="e">
        <f ca="1">BicubicInterpolation('TSFC Eff Table'!$B$4:$E$69,2,BB492)</f>
        <v>#NAME?</v>
      </c>
      <c r="BG492" s="326" t="e">
        <f t="shared" ca="1" si="457"/>
        <v>#NAME?</v>
      </c>
      <c r="BH492" s="694" t="e">
        <f ca="1">IF( S492="LRCINOP",   (1+(0.03/10)*Z492*(1+0.2*AC492^2) )*BicubicInterpolation( 'LRC INOP FF'!$C$4:$AA$21, Y492, U492 )-200, IF(S492 ="HOLDINGINOP", (1+(0.03/10)*Z492*(1+0.2*AC492^2) )*BicubicInterpolation( 'Holding INOP FF'!$C$4:$J$13,  Y492,  U492)/1.05-200,   BA492*BG492))</f>
        <v>#NAME?</v>
      </c>
      <c r="BI492" s="344" t="e">
        <f t="shared" ca="1" si="416"/>
        <v>#NAME?</v>
      </c>
      <c r="BJ492" s="322" t="e">
        <f t="shared" ca="1" si="458"/>
        <v>#NAME?</v>
      </c>
      <c r="BK492" s="338" t="e">
        <f t="shared" ca="1" si="417"/>
        <v>#NAME?</v>
      </c>
      <c r="BL492" s="327" t="e">
        <f t="shared" ca="1" si="459"/>
        <v>#NAME?</v>
      </c>
      <c r="BM492" s="328">
        <f t="shared" si="460"/>
        <v>200</v>
      </c>
      <c r="BN492" s="329" t="e">
        <f t="shared" ca="1" si="461"/>
        <v>#NAME?</v>
      </c>
      <c r="BO492" s="344" t="e">
        <f t="shared" ca="1" si="418"/>
        <v>#NAME?</v>
      </c>
      <c r="BP492" s="320" t="e">
        <f t="shared" ca="1" si="462"/>
        <v>#NAME?</v>
      </c>
      <c r="BQ492" s="344" t="e">
        <f t="shared" ca="1" si="419"/>
        <v>#NAME?</v>
      </c>
      <c r="BR492" s="347" t="e">
        <f t="shared" ca="1" si="420"/>
        <v>#NAME?</v>
      </c>
      <c r="BS492" s="326" t="e">
        <f t="shared" ca="1" si="463"/>
        <v>#NAME?</v>
      </c>
      <c r="BT492" s="437" t="e">
        <f t="shared" ca="1" si="433"/>
        <v>#NAME?</v>
      </c>
      <c r="BU492" s="437" t="e">
        <f t="shared" ca="1" si="434"/>
        <v>#NAME?</v>
      </c>
      <c r="BV492" s="441" t="e">
        <f t="shared" ca="1" si="435"/>
        <v>#NAME?</v>
      </c>
      <c r="BW492" s="442" t="e">
        <f t="shared" ca="1" si="436"/>
        <v>#NAME?</v>
      </c>
      <c r="BX492" s="470" t="e">
        <f t="shared" ca="1" si="409"/>
        <v>#NAME?</v>
      </c>
      <c r="BY492" s="484" t="e">
        <f t="shared" ca="1" si="421"/>
        <v>#NAME?</v>
      </c>
    </row>
    <row r="493" spans="9:77" ht="17.75" customHeight="1" x14ac:dyDescent="0.2">
      <c r="I493" s="366">
        <v>409</v>
      </c>
      <c r="J493" s="414">
        <f t="shared" si="422"/>
        <v>41705.996527778705</v>
      </c>
      <c r="K493" s="435" t="e">
        <f t="shared" ca="1" si="423"/>
        <v>#NAME?</v>
      </c>
      <c r="L493" s="435" t="e">
        <f t="shared" ca="1" si="410"/>
        <v>#NAME?</v>
      </c>
      <c r="M493" s="664" t="e">
        <f t="shared" ca="1" si="464"/>
        <v>#NAME?</v>
      </c>
      <c r="N493" s="664" t="e">
        <f t="shared" ca="1" si="465"/>
        <v>#NAME?</v>
      </c>
      <c r="O493" s="140" t="e">
        <f t="shared" ca="1" si="411"/>
        <v>#NAME?</v>
      </c>
      <c r="P493" s="352" t="e">
        <f t="shared" ca="1" si="424"/>
        <v>#NAME?</v>
      </c>
      <c r="Q493" s="665" t="e">
        <f t="shared" ca="1" si="404"/>
        <v>#NAME?</v>
      </c>
      <c r="R493" s="352" t="e">
        <f t="shared" ca="1" si="437"/>
        <v>#NAME?</v>
      </c>
      <c r="S493" s="662" t="e">
        <f t="shared" ca="1" si="412"/>
        <v>#NAME?</v>
      </c>
      <c r="T493" s="443" t="e">
        <f t="shared" ca="1" si="405"/>
        <v>#NAME?</v>
      </c>
      <c r="U493" s="369" t="e">
        <f t="shared" ca="1" si="406"/>
        <v>#NAME?</v>
      </c>
      <c r="V493" s="454" t="e">
        <f t="shared" ca="1" si="413"/>
        <v>#NAME?</v>
      </c>
      <c r="W493" s="457">
        <f t="shared" si="414"/>
        <v>1000</v>
      </c>
      <c r="X493" s="463" t="e">
        <f t="shared" ca="1" si="415"/>
        <v>#NAME?</v>
      </c>
      <c r="Y493" s="455" t="e">
        <f t="shared" ca="1" si="425"/>
        <v>#NAME?</v>
      </c>
      <c r="Z493" s="699">
        <f t="shared" si="407"/>
        <v>8.5</v>
      </c>
      <c r="AA493" s="355" t="str">
        <f t="shared" si="408"/>
        <v>ON</v>
      </c>
      <c r="AB493" s="357">
        <f t="shared" si="438"/>
        <v>1.4999999999999999E-2</v>
      </c>
      <c r="AC493" s="356" t="e">
        <f ca="1">IF(  Y492=0,0,IF(OR(S493="KCAS",S493="INOP",S493="MEFE"),   ( (5*( (   (((1+0.2*(T493/661.4786)^2)^3.5 -1)  )/( (1-6.8755856*10^-6 *100*Y493)^5.2558797) +1)^(2/7) -1) )^0.5),IF(S493="MACH",T493, IF(S493="LRC",BicubicInterpolation( 'LRC Mach'!$C$4:$AL$21, Y493,U493),  IF(S493="MRC",BicubicInterpolation( 'MRC Mach'!$C$3:$T$18, Y493,U493),  IF(S493="M0.84",0.84,  IF(S493="CI52",BicubicInterpolation('CI=52 Mach'!$C$3:$T$18, Y493,U493),  IF(S493="HOLDING",BicubicInterpolation(  'Holding Mach'!$C$4:$M$13, Y493,U493),                         IF(S493="LRCINOP", BicubicInterpolation('LRC INOP Mach'!$C$4:$AA$21,Y493,U493), IF(S493="HOLDINGINOP",  BicubicInterpolation('Holding INOP Mach'!$N$4:$U$13,Y493,U493),         "XXX" )))))))   )))</f>
        <v>#NAME?</v>
      </c>
      <c r="AD493" s="313" t="e">
        <f t="shared" ca="1" si="439"/>
        <v>#NAME?</v>
      </c>
      <c r="AE493" s="314" t="e">
        <f t="shared" ca="1" si="426"/>
        <v>#NAME?</v>
      </c>
      <c r="AF493" s="313" t="e">
        <f t="shared" ca="1" si="440"/>
        <v>#NAME?</v>
      </c>
      <c r="AG493" s="314" t="e">
        <f t="shared" ca="1" si="427"/>
        <v>#NAME?</v>
      </c>
      <c r="AH493" s="313" t="e">
        <f t="shared" ca="1" si="441"/>
        <v>#NAME?</v>
      </c>
      <c r="AI493" s="314" t="e">
        <f t="shared" ca="1" si="428"/>
        <v>#NAME?</v>
      </c>
      <c r="AJ493" s="315" t="e">
        <f t="shared" ca="1" si="429"/>
        <v>#NAME?</v>
      </c>
      <c r="AK493" s="568" t="e">
        <f t="shared" ca="1" si="442"/>
        <v>#NAME?</v>
      </c>
      <c r="AL493" s="313" t="e">
        <f t="shared" ca="1" si="443"/>
        <v>#NAME?</v>
      </c>
      <c r="AM493" s="313" t="e">
        <f t="shared" ca="1" si="430"/>
        <v>#NAME?</v>
      </c>
      <c r="AN493" s="313" t="e">
        <f t="shared" ca="1" si="431"/>
        <v>#NAME?</v>
      </c>
      <c r="AO493" s="316" t="e">
        <f t="shared" ca="1" si="444"/>
        <v>#NAME?</v>
      </c>
      <c r="AP493" s="313" t="e">
        <f t="shared" ca="1" si="445"/>
        <v>#NAME?</v>
      </c>
      <c r="AQ493" s="314" t="e">
        <f t="shared" ca="1" si="432"/>
        <v>#NAME?</v>
      </c>
      <c r="AR493" s="315" t="e">
        <f t="shared" ca="1" si="446"/>
        <v>#NAME?</v>
      </c>
      <c r="AS493" s="316" t="e">
        <f t="shared" ca="1" si="447"/>
        <v>#NAME?</v>
      </c>
      <c r="AT493" s="315" t="e">
        <f t="shared" ca="1" si="448"/>
        <v>#NAME?</v>
      </c>
      <c r="AU493" s="317">
        <v>427.8</v>
      </c>
      <c r="AV493" s="315" t="e">
        <f t="shared" ca="1" si="449"/>
        <v>#NAME?</v>
      </c>
      <c r="AW493" s="318" t="e">
        <f ca="1">0.0001*BicubicInterpolation('Drag Coef Table'!$B$4:$L$28,AV493,AC493)</f>
        <v>#NAME?</v>
      </c>
      <c r="AX493" s="319" t="e">
        <f t="shared" ca="1" si="450"/>
        <v>#NAME?</v>
      </c>
      <c r="AY493" s="318" t="e">
        <f t="shared" ca="1" si="451"/>
        <v>#NAME?</v>
      </c>
      <c r="AZ493" s="320" t="e">
        <f t="shared" ca="1" si="452"/>
        <v>#NAME?</v>
      </c>
      <c r="BA493" s="321" t="e">
        <f t="shared" ca="1" si="453"/>
        <v>#NAME?</v>
      </c>
      <c r="BB493" s="322" t="e">
        <f t="shared" ca="1" si="454"/>
        <v>#NAME?</v>
      </c>
      <c r="BC493" s="323">
        <v>75.196700000000007</v>
      </c>
      <c r="BD493" s="324" t="e">
        <f t="shared" ca="1" si="455"/>
        <v>#NAME?</v>
      </c>
      <c r="BE493" s="325" t="e">
        <f t="shared" ca="1" si="456"/>
        <v>#NAME?</v>
      </c>
      <c r="BF493" s="324" t="e">
        <f ca="1">BicubicInterpolation('TSFC Eff Table'!$B$4:$E$69,2,BB493)</f>
        <v>#NAME?</v>
      </c>
      <c r="BG493" s="326" t="e">
        <f t="shared" ca="1" si="457"/>
        <v>#NAME?</v>
      </c>
      <c r="BH493" s="694" t="e">
        <f ca="1">IF( S493="LRCINOP",   (1+(0.03/10)*Z493*(1+0.2*AC493^2) )*BicubicInterpolation( 'LRC INOP FF'!$C$4:$AA$21, Y493, U493 )-200, IF(S493 ="HOLDINGINOP", (1+(0.03/10)*Z493*(1+0.2*AC493^2) )*BicubicInterpolation( 'Holding INOP FF'!$C$4:$J$13,  Y493,  U493)/1.05-200,   BA493*BG493))</f>
        <v>#NAME?</v>
      </c>
      <c r="BI493" s="344" t="e">
        <f t="shared" ca="1" si="416"/>
        <v>#NAME?</v>
      </c>
      <c r="BJ493" s="322" t="e">
        <f t="shared" ca="1" si="458"/>
        <v>#NAME?</v>
      </c>
      <c r="BK493" s="338" t="e">
        <f t="shared" ca="1" si="417"/>
        <v>#NAME?</v>
      </c>
      <c r="BL493" s="327" t="e">
        <f t="shared" ca="1" si="459"/>
        <v>#NAME?</v>
      </c>
      <c r="BM493" s="328">
        <f t="shared" si="460"/>
        <v>200</v>
      </c>
      <c r="BN493" s="329" t="e">
        <f t="shared" ca="1" si="461"/>
        <v>#NAME?</v>
      </c>
      <c r="BO493" s="344" t="e">
        <f t="shared" ca="1" si="418"/>
        <v>#NAME?</v>
      </c>
      <c r="BP493" s="320" t="e">
        <f t="shared" ca="1" si="462"/>
        <v>#NAME?</v>
      </c>
      <c r="BQ493" s="344" t="e">
        <f t="shared" ca="1" si="419"/>
        <v>#NAME?</v>
      </c>
      <c r="BR493" s="347" t="e">
        <f t="shared" ca="1" si="420"/>
        <v>#NAME?</v>
      </c>
      <c r="BS493" s="326" t="e">
        <f t="shared" ca="1" si="463"/>
        <v>#NAME?</v>
      </c>
      <c r="BT493" s="437" t="e">
        <f t="shared" ca="1" si="433"/>
        <v>#NAME?</v>
      </c>
      <c r="BU493" s="437" t="e">
        <f t="shared" ca="1" si="434"/>
        <v>#NAME?</v>
      </c>
      <c r="BV493" s="441" t="e">
        <f t="shared" ca="1" si="435"/>
        <v>#NAME?</v>
      </c>
      <c r="BW493" s="442" t="e">
        <f t="shared" ca="1" si="436"/>
        <v>#NAME?</v>
      </c>
      <c r="BX493" s="470" t="e">
        <f t="shared" ca="1" si="409"/>
        <v>#NAME?</v>
      </c>
      <c r="BY493" s="484" t="e">
        <f t="shared" ca="1" si="421"/>
        <v>#NAME?</v>
      </c>
    </row>
    <row r="494" spans="9:77" ht="17.75" customHeight="1" x14ac:dyDescent="0.2">
      <c r="I494" s="366">
        <v>410</v>
      </c>
      <c r="J494" s="414">
        <f t="shared" si="422"/>
        <v>41705.997222223152</v>
      </c>
      <c r="K494" s="435" t="e">
        <f t="shared" ca="1" si="423"/>
        <v>#NAME?</v>
      </c>
      <c r="L494" s="435" t="e">
        <f t="shared" ca="1" si="410"/>
        <v>#NAME?</v>
      </c>
      <c r="M494" s="664" t="e">
        <f t="shared" ca="1" si="464"/>
        <v>#NAME?</v>
      </c>
      <c r="N494" s="664" t="e">
        <f t="shared" ca="1" si="465"/>
        <v>#NAME?</v>
      </c>
      <c r="O494" s="140" t="e">
        <f t="shared" ca="1" si="411"/>
        <v>#NAME?</v>
      </c>
      <c r="P494" s="352" t="e">
        <f t="shared" ca="1" si="424"/>
        <v>#NAME?</v>
      </c>
      <c r="Q494" s="665" t="e">
        <f t="shared" ca="1" si="404"/>
        <v>#NAME?</v>
      </c>
      <c r="R494" s="352" t="e">
        <f t="shared" ca="1" si="437"/>
        <v>#NAME?</v>
      </c>
      <c r="S494" s="662" t="e">
        <f t="shared" ca="1" si="412"/>
        <v>#NAME?</v>
      </c>
      <c r="T494" s="443" t="e">
        <f t="shared" ca="1" si="405"/>
        <v>#NAME?</v>
      </c>
      <c r="U494" s="369" t="e">
        <f t="shared" ca="1" si="406"/>
        <v>#NAME?</v>
      </c>
      <c r="V494" s="454" t="e">
        <f t="shared" ca="1" si="413"/>
        <v>#NAME?</v>
      </c>
      <c r="W494" s="457">
        <f t="shared" si="414"/>
        <v>1000</v>
      </c>
      <c r="X494" s="463" t="e">
        <f t="shared" ca="1" si="415"/>
        <v>#NAME?</v>
      </c>
      <c r="Y494" s="455" t="e">
        <f t="shared" ca="1" si="425"/>
        <v>#NAME?</v>
      </c>
      <c r="Z494" s="699">
        <f t="shared" si="407"/>
        <v>8.5</v>
      </c>
      <c r="AA494" s="355" t="str">
        <f t="shared" si="408"/>
        <v>ON</v>
      </c>
      <c r="AB494" s="357">
        <f t="shared" si="438"/>
        <v>1.4999999999999999E-2</v>
      </c>
      <c r="AC494" s="356" t="e">
        <f ca="1">IF(  Y493=0,0,IF(OR(S494="KCAS",S494="INOP",S494="MEFE"),   ( (5*( (   (((1+0.2*(T494/661.4786)^2)^3.5 -1)  )/( (1-6.8755856*10^-6 *100*Y494)^5.2558797) +1)^(2/7) -1) )^0.5),IF(S494="MACH",T494, IF(S494="LRC",BicubicInterpolation( 'LRC Mach'!$C$4:$AL$21, Y494,U494),  IF(S494="MRC",BicubicInterpolation( 'MRC Mach'!$C$3:$T$18, Y494,U494),  IF(S494="M0.84",0.84,  IF(S494="CI52",BicubicInterpolation('CI=52 Mach'!$C$3:$T$18, Y494,U494),  IF(S494="HOLDING",BicubicInterpolation(  'Holding Mach'!$C$4:$M$13, Y494,U494),                         IF(S494="LRCINOP", BicubicInterpolation('LRC INOP Mach'!$C$4:$AA$21,Y494,U494), IF(S494="HOLDINGINOP",  BicubicInterpolation('Holding INOP Mach'!$N$4:$U$13,Y494,U494),         "XXX" )))))))   )))</f>
        <v>#NAME?</v>
      </c>
      <c r="AD494" s="313" t="e">
        <f t="shared" ca="1" si="439"/>
        <v>#NAME?</v>
      </c>
      <c r="AE494" s="314" t="e">
        <f t="shared" ca="1" si="426"/>
        <v>#NAME?</v>
      </c>
      <c r="AF494" s="313" t="e">
        <f t="shared" ca="1" si="440"/>
        <v>#NAME?</v>
      </c>
      <c r="AG494" s="314" t="e">
        <f t="shared" ca="1" si="427"/>
        <v>#NAME?</v>
      </c>
      <c r="AH494" s="313" t="e">
        <f t="shared" ca="1" si="441"/>
        <v>#NAME?</v>
      </c>
      <c r="AI494" s="314" t="e">
        <f t="shared" ca="1" si="428"/>
        <v>#NAME?</v>
      </c>
      <c r="AJ494" s="315" t="e">
        <f t="shared" ca="1" si="429"/>
        <v>#NAME?</v>
      </c>
      <c r="AK494" s="568" t="e">
        <f t="shared" ca="1" si="442"/>
        <v>#NAME?</v>
      </c>
      <c r="AL494" s="313" t="e">
        <f t="shared" ca="1" si="443"/>
        <v>#NAME?</v>
      </c>
      <c r="AM494" s="313" t="e">
        <f t="shared" ca="1" si="430"/>
        <v>#NAME?</v>
      </c>
      <c r="AN494" s="313" t="e">
        <f t="shared" ca="1" si="431"/>
        <v>#NAME?</v>
      </c>
      <c r="AO494" s="316" t="e">
        <f t="shared" ca="1" si="444"/>
        <v>#NAME?</v>
      </c>
      <c r="AP494" s="313" t="e">
        <f t="shared" ca="1" si="445"/>
        <v>#NAME?</v>
      </c>
      <c r="AQ494" s="314" t="e">
        <f t="shared" ca="1" si="432"/>
        <v>#NAME?</v>
      </c>
      <c r="AR494" s="315" t="e">
        <f t="shared" ca="1" si="446"/>
        <v>#NAME?</v>
      </c>
      <c r="AS494" s="316" t="e">
        <f t="shared" ca="1" si="447"/>
        <v>#NAME?</v>
      </c>
      <c r="AT494" s="315" t="e">
        <f t="shared" ca="1" si="448"/>
        <v>#NAME?</v>
      </c>
      <c r="AU494" s="317">
        <v>427.8</v>
      </c>
      <c r="AV494" s="315" t="e">
        <f t="shared" ca="1" si="449"/>
        <v>#NAME?</v>
      </c>
      <c r="AW494" s="318" t="e">
        <f ca="1">0.0001*BicubicInterpolation('Drag Coef Table'!$B$4:$L$28,AV494,AC494)</f>
        <v>#NAME?</v>
      </c>
      <c r="AX494" s="319" t="e">
        <f t="shared" ca="1" si="450"/>
        <v>#NAME?</v>
      </c>
      <c r="AY494" s="318" t="e">
        <f t="shared" ca="1" si="451"/>
        <v>#NAME?</v>
      </c>
      <c r="AZ494" s="320" t="e">
        <f t="shared" ca="1" si="452"/>
        <v>#NAME?</v>
      </c>
      <c r="BA494" s="321" t="e">
        <f t="shared" ca="1" si="453"/>
        <v>#NAME?</v>
      </c>
      <c r="BB494" s="322" t="e">
        <f t="shared" ca="1" si="454"/>
        <v>#NAME?</v>
      </c>
      <c r="BC494" s="323">
        <v>75.196700000000007</v>
      </c>
      <c r="BD494" s="324" t="e">
        <f t="shared" ca="1" si="455"/>
        <v>#NAME?</v>
      </c>
      <c r="BE494" s="325" t="e">
        <f t="shared" ca="1" si="456"/>
        <v>#NAME?</v>
      </c>
      <c r="BF494" s="324" t="e">
        <f ca="1">BicubicInterpolation('TSFC Eff Table'!$B$4:$E$69,2,BB494)</f>
        <v>#NAME?</v>
      </c>
      <c r="BG494" s="326" t="e">
        <f t="shared" ca="1" si="457"/>
        <v>#NAME?</v>
      </c>
      <c r="BH494" s="694" t="e">
        <f ca="1">IF( S494="LRCINOP",   (1+(0.03/10)*Z494*(1+0.2*AC494^2) )*BicubicInterpolation( 'LRC INOP FF'!$C$4:$AA$21, Y494, U494 )-200, IF(S494 ="HOLDINGINOP", (1+(0.03/10)*Z494*(1+0.2*AC494^2) )*BicubicInterpolation( 'Holding INOP FF'!$C$4:$J$13,  Y494,  U494)/1.05-200,   BA494*BG494))</f>
        <v>#NAME?</v>
      </c>
      <c r="BI494" s="344" t="e">
        <f t="shared" ca="1" si="416"/>
        <v>#NAME?</v>
      </c>
      <c r="BJ494" s="322" t="e">
        <f t="shared" ca="1" si="458"/>
        <v>#NAME?</v>
      </c>
      <c r="BK494" s="338" t="e">
        <f t="shared" ca="1" si="417"/>
        <v>#NAME?</v>
      </c>
      <c r="BL494" s="327" t="e">
        <f t="shared" ca="1" si="459"/>
        <v>#NAME?</v>
      </c>
      <c r="BM494" s="328">
        <f t="shared" si="460"/>
        <v>200</v>
      </c>
      <c r="BN494" s="329" t="e">
        <f t="shared" ca="1" si="461"/>
        <v>#NAME?</v>
      </c>
      <c r="BO494" s="344" t="e">
        <f t="shared" ca="1" si="418"/>
        <v>#NAME?</v>
      </c>
      <c r="BP494" s="320" t="e">
        <f t="shared" ca="1" si="462"/>
        <v>#NAME?</v>
      </c>
      <c r="BQ494" s="344" t="e">
        <f t="shared" ca="1" si="419"/>
        <v>#NAME?</v>
      </c>
      <c r="BR494" s="347" t="e">
        <f t="shared" ca="1" si="420"/>
        <v>#NAME?</v>
      </c>
      <c r="BS494" s="326" t="e">
        <f t="shared" ca="1" si="463"/>
        <v>#NAME?</v>
      </c>
      <c r="BT494" s="437" t="e">
        <f t="shared" ca="1" si="433"/>
        <v>#NAME?</v>
      </c>
      <c r="BU494" s="437" t="e">
        <f t="shared" ca="1" si="434"/>
        <v>#NAME?</v>
      </c>
      <c r="BV494" s="441" t="e">
        <f t="shared" ca="1" si="435"/>
        <v>#NAME?</v>
      </c>
      <c r="BW494" s="442" t="e">
        <f t="shared" ca="1" si="436"/>
        <v>#NAME?</v>
      </c>
      <c r="BX494" s="470" t="e">
        <f t="shared" ca="1" si="409"/>
        <v>#NAME?</v>
      </c>
      <c r="BY494" s="484" t="e">
        <f t="shared" ca="1" si="421"/>
        <v>#NAME?</v>
      </c>
    </row>
    <row r="495" spans="9:77" ht="17.75" customHeight="1" x14ac:dyDescent="0.2">
      <c r="I495" s="366">
        <v>411</v>
      </c>
      <c r="J495" s="414">
        <f t="shared" si="422"/>
        <v>41705.997916667598</v>
      </c>
      <c r="K495" s="435" t="e">
        <f t="shared" ca="1" si="423"/>
        <v>#NAME?</v>
      </c>
      <c r="L495" s="435" t="e">
        <f t="shared" ca="1" si="410"/>
        <v>#NAME?</v>
      </c>
      <c r="M495" s="664" t="e">
        <f t="shared" ca="1" si="464"/>
        <v>#NAME?</v>
      </c>
      <c r="N495" s="664" t="e">
        <f t="shared" ca="1" si="465"/>
        <v>#NAME?</v>
      </c>
      <c r="O495" s="140" t="e">
        <f t="shared" ca="1" si="411"/>
        <v>#NAME?</v>
      </c>
      <c r="P495" s="352" t="e">
        <f t="shared" ca="1" si="424"/>
        <v>#NAME?</v>
      </c>
      <c r="Q495" s="665" t="e">
        <f t="shared" ca="1" si="404"/>
        <v>#NAME?</v>
      </c>
      <c r="R495" s="352" t="e">
        <f t="shared" ca="1" si="437"/>
        <v>#NAME?</v>
      </c>
      <c r="S495" s="662" t="e">
        <f t="shared" ca="1" si="412"/>
        <v>#NAME?</v>
      </c>
      <c r="T495" s="443" t="e">
        <f t="shared" ca="1" si="405"/>
        <v>#NAME?</v>
      </c>
      <c r="U495" s="369" t="e">
        <f t="shared" ca="1" si="406"/>
        <v>#NAME?</v>
      </c>
      <c r="V495" s="454" t="e">
        <f t="shared" ca="1" si="413"/>
        <v>#NAME?</v>
      </c>
      <c r="W495" s="457">
        <f t="shared" si="414"/>
        <v>1000</v>
      </c>
      <c r="X495" s="463" t="e">
        <f t="shared" ca="1" si="415"/>
        <v>#NAME?</v>
      </c>
      <c r="Y495" s="455" t="e">
        <f t="shared" ca="1" si="425"/>
        <v>#NAME?</v>
      </c>
      <c r="Z495" s="699">
        <f t="shared" si="407"/>
        <v>8.5</v>
      </c>
      <c r="AA495" s="355" t="str">
        <f t="shared" si="408"/>
        <v>ON</v>
      </c>
      <c r="AB495" s="357">
        <f t="shared" si="438"/>
        <v>1.4999999999999999E-2</v>
      </c>
      <c r="AC495" s="356" t="e">
        <f ca="1">IF(  Y494=0,0,IF(OR(S495="KCAS",S495="INOP",S495="MEFE"),   ( (5*( (   (((1+0.2*(T495/661.4786)^2)^3.5 -1)  )/( (1-6.8755856*10^-6 *100*Y495)^5.2558797) +1)^(2/7) -1) )^0.5),IF(S495="MACH",T495, IF(S495="LRC",BicubicInterpolation( 'LRC Mach'!$C$4:$AL$21, Y495,U495),  IF(S495="MRC",BicubicInterpolation( 'MRC Mach'!$C$3:$T$18, Y495,U495),  IF(S495="M0.84",0.84,  IF(S495="CI52",BicubicInterpolation('CI=52 Mach'!$C$3:$T$18, Y495,U495),  IF(S495="HOLDING",BicubicInterpolation(  'Holding Mach'!$C$4:$M$13, Y495,U495),                         IF(S495="LRCINOP", BicubicInterpolation('LRC INOP Mach'!$C$4:$AA$21,Y495,U495), IF(S495="HOLDINGINOP",  BicubicInterpolation('Holding INOP Mach'!$N$4:$U$13,Y495,U495),         "XXX" )))))))   )))</f>
        <v>#NAME?</v>
      </c>
      <c r="AD495" s="313" t="e">
        <f t="shared" ca="1" si="439"/>
        <v>#NAME?</v>
      </c>
      <c r="AE495" s="314" t="e">
        <f t="shared" ca="1" si="426"/>
        <v>#NAME?</v>
      </c>
      <c r="AF495" s="313" t="e">
        <f t="shared" ca="1" si="440"/>
        <v>#NAME?</v>
      </c>
      <c r="AG495" s="314" t="e">
        <f t="shared" ca="1" si="427"/>
        <v>#NAME?</v>
      </c>
      <c r="AH495" s="313" t="e">
        <f t="shared" ca="1" si="441"/>
        <v>#NAME?</v>
      </c>
      <c r="AI495" s="314" t="e">
        <f t="shared" ca="1" si="428"/>
        <v>#NAME?</v>
      </c>
      <c r="AJ495" s="315" t="e">
        <f t="shared" ca="1" si="429"/>
        <v>#NAME?</v>
      </c>
      <c r="AK495" s="568" t="e">
        <f t="shared" ca="1" si="442"/>
        <v>#NAME?</v>
      </c>
      <c r="AL495" s="313" t="e">
        <f t="shared" ca="1" si="443"/>
        <v>#NAME?</v>
      </c>
      <c r="AM495" s="313" t="e">
        <f t="shared" ca="1" si="430"/>
        <v>#NAME?</v>
      </c>
      <c r="AN495" s="313" t="e">
        <f t="shared" ca="1" si="431"/>
        <v>#NAME?</v>
      </c>
      <c r="AO495" s="316" t="e">
        <f t="shared" ca="1" si="444"/>
        <v>#NAME?</v>
      </c>
      <c r="AP495" s="313" t="e">
        <f t="shared" ca="1" si="445"/>
        <v>#NAME?</v>
      </c>
      <c r="AQ495" s="314" t="e">
        <f t="shared" ca="1" si="432"/>
        <v>#NAME?</v>
      </c>
      <c r="AR495" s="315" t="e">
        <f t="shared" ca="1" si="446"/>
        <v>#NAME?</v>
      </c>
      <c r="AS495" s="316" t="e">
        <f t="shared" ca="1" si="447"/>
        <v>#NAME?</v>
      </c>
      <c r="AT495" s="315" t="e">
        <f t="shared" ca="1" si="448"/>
        <v>#NAME?</v>
      </c>
      <c r="AU495" s="317">
        <v>427.8</v>
      </c>
      <c r="AV495" s="315" t="e">
        <f t="shared" ca="1" si="449"/>
        <v>#NAME?</v>
      </c>
      <c r="AW495" s="318" t="e">
        <f ca="1">0.0001*BicubicInterpolation('Drag Coef Table'!$B$4:$L$28,AV495,AC495)</f>
        <v>#NAME?</v>
      </c>
      <c r="AX495" s="319" t="e">
        <f t="shared" ca="1" si="450"/>
        <v>#NAME?</v>
      </c>
      <c r="AY495" s="318" t="e">
        <f t="shared" ca="1" si="451"/>
        <v>#NAME?</v>
      </c>
      <c r="AZ495" s="320" t="e">
        <f t="shared" ca="1" si="452"/>
        <v>#NAME?</v>
      </c>
      <c r="BA495" s="321" t="e">
        <f t="shared" ca="1" si="453"/>
        <v>#NAME?</v>
      </c>
      <c r="BB495" s="322" t="e">
        <f t="shared" ca="1" si="454"/>
        <v>#NAME?</v>
      </c>
      <c r="BC495" s="323">
        <v>75.196700000000007</v>
      </c>
      <c r="BD495" s="324" t="e">
        <f t="shared" ca="1" si="455"/>
        <v>#NAME?</v>
      </c>
      <c r="BE495" s="325" t="e">
        <f t="shared" ca="1" si="456"/>
        <v>#NAME?</v>
      </c>
      <c r="BF495" s="324" t="e">
        <f ca="1">BicubicInterpolation('TSFC Eff Table'!$B$4:$E$69,2,BB495)</f>
        <v>#NAME?</v>
      </c>
      <c r="BG495" s="326" t="e">
        <f t="shared" ca="1" si="457"/>
        <v>#NAME?</v>
      </c>
      <c r="BH495" s="694" t="e">
        <f ca="1">IF( S495="LRCINOP",   (1+(0.03/10)*Z495*(1+0.2*AC495^2) )*BicubicInterpolation( 'LRC INOP FF'!$C$4:$AA$21, Y495, U495 )-200, IF(S495 ="HOLDINGINOP", (1+(0.03/10)*Z495*(1+0.2*AC495^2) )*BicubicInterpolation( 'Holding INOP FF'!$C$4:$J$13,  Y495,  U495)/1.05-200,   BA495*BG495))</f>
        <v>#NAME?</v>
      </c>
      <c r="BI495" s="344" t="e">
        <f t="shared" ca="1" si="416"/>
        <v>#NAME?</v>
      </c>
      <c r="BJ495" s="322" t="e">
        <f t="shared" ca="1" si="458"/>
        <v>#NAME?</v>
      </c>
      <c r="BK495" s="338" t="e">
        <f t="shared" ca="1" si="417"/>
        <v>#NAME?</v>
      </c>
      <c r="BL495" s="327" t="e">
        <f t="shared" ca="1" si="459"/>
        <v>#NAME?</v>
      </c>
      <c r="BM495" s="328">
        <f t="shared" si="460"/>
        <v>200</v>
      </c>
      <c r="BN495" s="329" t="e">
        <f t="shared" ca="1" si="461"/>
        <v>#NAME?</v>
      </c>
      <c r="BO495" s="344" t="e">
        <f t="shared" ca="1" si="418"/>
        <v>#NAME?</v>
      </c>
      <c r="BP495" s="320" t="e">
        <f t="shared" ca="1" si="462"/>
        <v>#NAME?</v>
      </c>
      <c r="BQ495" s="344" t="e">
        <f t="shared" ca="1" si="419"/>
        <v>#NAME?</v>
      </c>
      <c r="BR495" s="347" t="e">
        <f t="shared" ca="1" si="420"/>
        <v>#NAME?</v>
      </c>
      <c r="BS495" s="326" t="e">
        <f t="shared" ca="1" si="463"/>
        <v>#NAME?</v>
      </c>
      <c r="BT495" s="437" t="e">
        <f t="shared" ca="1" si="433"/>
        <v>#NAME?</v>
      </c>
      <c r="BU495" s="437" t="e">
        <f t="shared" ca="1" si="434"/>
        <v>#NAME?</v>
      </c>
      <c r="BV495" s="441" t="e">
        <f t="shared" ca="1" si="435"/>
        <v>#NAME?</v>
      </c>
      <c r="BW495" s="442" t="e">
        <f t="shared" ca="1" si="436"/>
        <v>#NAME?</v>
      </c>
      <c r="BX495" s="470" t="e">
        <f t="shared" ca="1" si="409"/>
        <v>#NAME?</v>
      </c>
      <c r="BY495" s="484" t="e">
        <f t="shared" ca="1" si="421"/>
        <v>#NAME?</v>
      </c>
    </row>
    <row r="496" spans="9:77" ht="17.75" customHeight="1" x14ac:dyDescent="0.2">
      <c r="I496" s="366">
        <v>412</v>
      </c>
      <c r="J496" s="414">
        <f t="shared" si="422"/>
        <v>41705.998611112045</v>
      </c>
      <c r="K496" s="435" t="e">
        <f t="shared" ca="1" si="423"/>
        <v>#NAME?</v>
      </c>
      <c r="L496" s="435" t="e">
        <f t="shared" ca="1" si="410"/>
        <v>#NAME?</v>
      </c>
      <c r="M496" s="664" t="e">
        <f t="shared" ca="1" si="464"/>
        <v>#NAME?</v>
      </c>
      <c r="N496" s="664" t="e">
        <f t="shared" ca="1" si="465"/>
        <v>#NAME?</v>
      </c>
      <c r="O496" s="140" t="e">
        <f t="shared" ca="1" si="411"/>
        <v>#NAME?</v>
      </c>
      <c r="P496" s="352" t="e">
        <f t="shared" ca="1" si="424"/>
        <v>#NAME?</v>
      </c>
      <c r="Q496" s="665" t="e">
        <f t="shared" ca="1" si="404"/>
        <v>#NAME?</v>
      </c>
      <c r="R496" s="352" t="e">
        <f t="shared" ca="1" si="437"/>
        <v>#NAME?</v>
      </c>
      <c r="S496" s="662" t="e">
        <f t="shared" ca="1" si="412"/>
        <v>#NAME?</v>
      </c>
      <c r="T496" s="443" t="e">
        <f t="shared" ca="1" si="405"/>
        <v>#NAME?</v>
      </c>
      <c r="U496" s="369" t="e">
        <f t="shared" ca="1" si="406"/>
        <v>#NAME?</v>
      </c>
      <c r="V496" s="454" t="e">
        <f t="shared" ca="1" si="413"/>
        <v>#NAME?</v>
      </c>
      <c r="W496" s="457">
        <f t="shared" si="414"/>
        <v>1000</v>
      </c>
      <c r="X496" s="463" t="e">
        <f t="shared" ca="1" si="415"/>
        <v>#NAME?</v>
      </c>
      <c r="Y496" s="455" t="e">
        <f t="shared" ca="1" si="425"/>
        <v>#NAME?</v>
      </c>
      <c r="Z496" s="699">
        <f t="shared" si="407"/>
        <v>8.5</v>
      </c>
      <c r="AA496" s="355" t="str">
        <f t="shared" si="408"/>
        <v>ON</v>
      </c>
      <c r="AB496" s="357">
        <f t="shared" si="438"/>
        <v>1.4999999999999999E-2</v>
      </c>
      <c r="AC496" s="356" t="e">
        <f ca="1">IF(  Y495=0,0,IF(OR(S496="KCAS",S496="INOP",S496="MEFE"),   ( (5*( (   (((1+0.2*(T496/661.4786)^2)^3.5 -1)  )/( (1-6.8755856*10^-6 *100*Y496)^5.2558797) +1)^(2/7) -1) )^0.5),IF(S496="MACH",T496, IF(S496="LRC",BicubicInterpolation( 'LRC Mach'!$C$4:$AL$21, Y496,U496),  IF(S496="MRC",BicubicInterpolation( 'MRC Mach'!$C$3:$T$18, Y496,U496),  IF(S496="M0.84",0.84,  IF(S496="CI52",BicubicInterpolation('CI=52 Mach'!$C$3:$T$18, Y496,U496),  IF(S496="HOLDING",BicubicInterpolation(  'Holding Mach'!$C$4:$M$13, Y496,U496),                         IF(S496="LRCINOP", BicubicInterpolation('LRC INOP Mach'!$C$4:$AA$21,Y496,U496), IF(S496="HOLDINGINOP",  BicubicInterpolation('Holding INOP Mach'!$N$4:$U$13,Y496,U496),         "XXX" )))))))   )))</f>
        <v>#NAME?</v>
      </c>
      <c r="AD496" s="313" t="e">
        <f t="shared" ca="1" si="439"/>
        <v>#NAME?</v>
      </c>
      <c r="AE496" s="314" t="e">
        <f t="shared" ca="1" si="426"/>
        <v>#NAME?</v>
      </c>
      <c r="AF496" s="313" t="e">
        <f t="shared" ca="1" si="440"/>
        <v>#NAME?</v>
      </c>
      <c r="AG496" s="314" t="e">
        <f t="shared" ca="1" si="427"/>
        <v>#NAME?</v>
      </c>
      <c r="AH496" s="313" t="e">
        <f t="shared" ca="1" si="441"/>
        <v>#NAME?</v>
      </c>
      <c r="AI496" s="314" t="e">
        <f t="shared" ca="1" si="428"/>
        <v>#NAME?</v>
      </c>
      <c r="AJ496" s="315" t="e">
        <f t="shared" ca="1" si="429"/>
        <v>#NAME?</v>
      </c>
      <c r="AK496" s="568" t="e">
        <f t="shared" ca="1" si="442"/>
        <v>#NAME?</v>
      </c>
      <c r="AL496" s="313" t="e">
        <f t="shared" ca="1" si="443"/>
        <v>#NAME?</v>
      </c>
      <c r="AM496" s="313" t="e">
        <f t="shared" ca="1" si="430"/>
        <v>#NAME?</v>
      </c>
      <c r="AN496" s="313" t="e">
        <f t="shared" ca="1" si="431"/>
        <v>#NAME?</v>
      </c>
      <c r="AO496" s="316" t="e">
        <f t="shared" ca="1" si="444"/>
        <v>#NAME?</v>
      </c>
      <c r="AP496" s="313" t="e">
        <f t="shared" ca="1" si="445"/>
        <v>#NAME?</v>
      </c>
      <c r="AQ496" s="314" t="e">
        <f t="shared" ca="1" si="432"/>
        <v>#NAME?</v>
      </c>
      <c r="AR496" s="315" t="e">
        <f t="shared" ca="1" si="446"/>
        <v>#NAME?</v>
      </c>
      <c r="AS496" s="316" t="e">
        <f t="shared" ca="1" si="447"/>
        <v>#NAME?</v>
      </c>
      <c r="AT496" s="315" t="e">
        <f t="shared" ca="1" si="448"/>
        <v>#NAME?</v>
      </c>
      <c r="AU496" s="317">
        <v>427.8</v>
      </c>
      <c r="AV496" s="315" t="e">
        <f t="shared" ca="1" si="449"/>
        <v>#NAME?</v>
      </c>
      <c r="AW496" s="318" t="e">
        <f ca="1">0.0001*BicubicInterpolation('Drag Coef Table'!$B$4:$L$28,AV496,AC496)</f>
        <v>#NAME?</v>
      </c>
      <c r="AX496" s="319" t="e">
        <f t="shared" ca="1" si="450"/>
        <v>#NAME?</v>
      </c>
      <c r="AY496" s="318" t="e">
        <f t="shared" ca="1" si="451"/>
        <v>#NAME?</v>
      </c>
      <c r="AZ496" s="320" t="e">
        <f t="shared" ca="1" si="452"/>
        <v>#NAME?</v>
      </c>
      <c r="BA496" s="321" t="e">
        <f t="shared" ca="1" si="453"/>
        <v>#NAME?</v>
      </c>
      <c r="BB496" s="322" t="e">
        <f t="shared" ca="1" si="454"/>
        <v>#NAME?</v>
      </c>
      <c r="BC496" s="323">
        <v>75.196700000000007</v>
      </c>
      <c r="BD496" s="324" t="e">
        <f t="shared" ca="1" si="455"/>
        <v>#NAME?</v>
      </c>
      <c r="BE496" s="325" t="e">
        <f t="shared" ca="1" si="456"/>
        <v>#NAME?</v>
      </c>
      <c r="BF496" s="324" t="e">
        <f ca="1">BicubicInterpolation('TSFC Eff Table'!$B$4:$E$69,2,BB496)</f>
        <v>#NAME?</v>
      </c>
      <c r="BG496" s="326" t="e">
        <f t="shared" ca="1" si="457"/>
        <v>#NAME?</v>
      </c>
      <c r="BH496" s="694" t="e">
        <f ca="1">IF( S496="LRCINOP",   (1+(0.03/10)*Z496*(1+0.2*AC496^2) )*BicubicInterpolation( 'LRC INOP FF'!$C$4:$AA$21, Y496, U496 )-200, IF(S496 ="HOLDINGINOP", (1+(0.03/10)*Z496*(1+0.2*AC496^2) )*BicubicInterpolation( 'Holding INOP FF'!$C$4:$J$13,  Y496,  U496)/1.05-200,   BA496*BG496))</f>
        <v>#NAME?</v>
      </c>
      <c r="BI496" s="344" t="e">
        <f t="shared" ca="1" si="416"/>
        <v>#NAME?</v>
      </c>
      <c r="BJ496" s="322" t="e">
        <f t="shared" ca="1" si="458"/>
        <v>#NAME?</v>
      </c>
      <c r="BK496" s="338" t="e">
        <f t="shared" ca="1" si="417"/>
        <v>#NAME?</v>
      </c>
      <c r="BL496" s="327" t="e">
        <f t="shared" ca="1" si="459"/>
        <v>#NAME?</v>
      </c>
      <c r="BM496" s="328">
        <f t="shared" si="460"/>
        <v>200</v>
      </c>
      <c r="BN496" s="329" t="e">
        <f t="shared" ca="1" si="461"/>
        <v>#NAME?</v>
      </c>
      <c r="BO496" s="344" t="e">
        <f t="shared" ca="1" si="418"/>
        <v>#NAME?</v>
      </c>
      <c r="BP496" s="320" t="e">
        <f t="shared" ca="1" si="462"/>
        <v>#NAME?</v>
      </c>
      <c r="BQ496" s="344" t="e">
        <f t="shared" ca="1" si="419"/>
        <v>#NAME?</v>
      </c>
      <c r="BR496" s="347" t="e">
        <f t="shared" ca="1" si="420"/>
        <v>#NAME?</v>
      </c>
      <c r="BS496" s="326" t="e">
        <f t="shared" ca="1" si="463"/>
        <v>#NAME?</v>
      </c>
      <c r="BT496" s="437" t="e">
        <f t="shared" ca="1" si="433"/>
        <v>#NAME?</v>
      </c>
      <c r="BU496" s="437" t="e">
        <f t="shared" ca="1" si="434"/>
        <v>#NAME?</v>
      </c>
      <c r="BV496" s="441" t="e">
        <f t="shared" ca="1" si="435"/>
        <v>#NAME?</v>
      </c>
      <c r="BW496" s="442" t="e">
        <f t="shared" ca="1" si="436"/>
        <v>#NAME?</v>
      </c>
      <c r="BX496" s="470" t="e">
        <f t="shared" ca="1" si="409"/>
        <v>#NAME?</v>
      </c>
      <c r="BY496" s="484" t="e">
        <f t="shared" ca="1" si="421"/>
        <v>#NAME?</v>
      </c>
    </row>
    <row r="497" spans="9:77" ht="17.75" customHeight="1" x14ac:dyDescent="0.2">
      <c r="I497" s="366">
        <v>413</v>
      </c>
      <c r="J497" s="414">
        <f t="shared" si="422"/>
        <v>41705.999305556492</v>
      </c>
      <c r="K497" s="435" t="e">
        <f t="shared" ca="1" si="423"/>
        <v>#NAME?</v>
      </c>
      <c r="L497" s="435" t="e">
        <f t="shared" ca="1" si="410"/>
        <v>#NAME?</v>
      </c>
      <c r="M497" s="664" t="e">
        <f t="shared" ca="1" si="464"/>
        <v>#NAME?</v>
      </c>
      <c r="N497" s="664" t="e">
        <f t="shared" ca="1" si="465"/>
        <v>#NAME?</v>
      </c>
      <c r="O497" s="140" t="e">
        <f t="shared" ca="1" si="411"/>
        <v>#NAME?</v>
      </c>
      <c r="P497" s="352" t="e">
        <f t="shared" ca="1" si="424"/>
        <v>#NAME?</v>
      </c>
      <c r="Q497" s="665" t="e">
        <f t="shared" ca="1" si="404"/>
        <v>#NAME?</v>
      </c>
      <c r="R497" s="352" t="e">
        <f t="shared" ca="1" si="437"/>
        <v>#NAME?</v>
      </c>
      <c r="S497" s="662" t="e">
        <f t="shared" ca="1" si="412"/>
        <v>#NAME?</v>
      </c>
      <c r="T497" s="443" t="e">
        <f t="shared" ca="1" si="405"/>
        <v>#NAME?</v>
      </c>
      <c r="U497" s="369" t="e">
        <f t="shared" ca="1" si="406"/>
        <v>#NAME?</v>
      </c>
      <c r="V497" s="454" t="e">
        <f t="shared" ca="1" si="413"/>
        <v>#NAME?</v>
      </c>
      <c r="W497" s="457">
        <f t="shared" si="414"/>
        <v>1000</v>
      </c>
      <c r="X497" s="463" t="e">
        <f t="shared" ca="1" si="415"/>
        <v>#NAME?</v>
      </c>
      <c r="Y497" s="455" t="e">
        <f t="shared" ca="1" si="425"/>
        <v>#NAME?</v>
      </c>
      <c r="Z497" s="699">
        <f t="shared" si="407"/>
        <v>8.5</v>
      </c>
      <c r="AA497" s="355" t="str">
        <f t="shared" si="408"/>
        <v>ON</v>
      </c>
      <c r="AB497" s="357">
        <f t="shared" si="438"/>
        <v>1.4999999999999999E-2</v>
      </c>
      <c r="AC497" s="356" t="e">
        <f ca="1">IF(  Y496=0,0,IF(OR(S497="KCAS",S497="INOP",S497="MEFE"),   ( (5*( (   (((1+0.2*(T497/661.4786)^2)^3.5 -1)  )/( (1-6.8755856*10^-6 *100*Y497)^5.2558797) +1)^(2/7) -1) )^0.5),IF(S497="MACH",T497, IF(S497="LRC",BicubicInterpolation( 'LRC Mach'!$C$4:$AL$21, Y497,U497),  IF(S497="MRC",BicubicInterpolation( 'MRC Mach'!$C$3:$T$18, Y497,U497),  IF(S497="M0.84",0.84,  IF(S497="CI52",BicubicInterpolation('CI=52 Mach'!$C$3:$T$18, Y497,U497),  IF(S497="HOLDING",BicubicInterpolation(  'Holding Mach'!$C$4:$M$13, Y497,U497),                         IF(S497="LRCINOP", BicubicInterpolation('LRC INOP Mach'!$C$4:$AA$21,Y497,U497), IF(S497="HOLDINGINOP",  BicubicInterpolation('Holding INOP Mach'!$N$4:$U$13,Y497,U497),         "XXX" )))))))   )))</f>
        <v>#NAME?</v>
      </c>
      <c r="AD497" s="313" t="e">
        <f t="shared" ca="1" si="439"/>
        <v>#NAME?</v>
      </c>
      <c r="AE497" s="314" t="e">
        <f t="shared" ca="1" si="426"/>
        <v>#NAME?</v>
      </c>
      <c r="AF497" s="313" t="e">
        <f t="shared" ca="1" si="440"/>
        <v>#NAME?</v>
      </c>
      <c r="AG497" s="314" t="e">
        <f t="shared" ca="1" si="427"/>
        <v>#NAME?</v>
      </c>
      <c r="AH497" s="313" t="e">
        <f t="shared" ca="1" si="441"/>
        <v>#NAME?</v>
      </c>
      <c r="AI497" s="314" t="e">
        <f t="shared" ca="1" si="428"/>
        <v>#NAME?</v>
      </c>
      <c r="AJ497" s="315" t="e">
        <f t="shared" ca="1" si="429"/>
        <v>#NAME?</v>
      </c>
      <c r="AK497" s="568" t="e">
        <f t="shared" ca="1" si="442"/>
        <v>#NAME?</v>
      </c>
      <c r="AL497" s="313" t="e">
        <f t="shared" ca="1" si="443"/>
        <v>#NAME?</v>
      </c>
      <c r="AM497" s="313" t="e">
        <f t="shared" ca="1" si="430"/>
        <v>#NAME?</v>
      </c>
      <c r="AN497" s="313" t="e">
        <f t="shared" ca="1" si="431"/>
        <v>#NAME?</v>
      </c>
      <c r="AO497" s="316" t="e">
        <f t="shared" ca="1" si="444"/>
        <v>#NAME?</v>
      </c>
      <c r="AP497" s="313" t="e">
        <f t="shared" ca="1" si="445"/>
        <v>#NAME?</v>
      </c>
      <c r="AQ497" s="314" t="e">
        <f t="shared" ca="1" si="432"/>
        <v>#NAME?</v>
      </c>
      <c r="AR497" s="315" t="e">
        <f t="shared" ca="1" si="446"/>
        <v>#NAME?</v>
      </c>
      <c r="AS497" s="316" t="e">
        <f t="shared" ca="1" si="447"/>
        <v>#NAME?</v>
      </c>
      <c r="AT497" s="315" t="e">
        <f t="shared" ca="1" si="448"/>
        <v>#NAME?</v>
      </c>
      <c r="AU497" s="317">
        <v>427.8</v>
      </c>
      <c r="AV497" s="315" t="e">
        <f t="shared" ca="1" si="449"/>
        <v>#NAME?</v>
      </c>
      <c r="AW497" s="318" t="e">
        <f ca="1">0.0001*BicubicInterpolation('Drag Coef Table'!$B$4:$L$28,AV497,AC497)</f>
        <v>#NAME?</v>
      </c>
      <c r="AX497" s="319" t="e">
        <f t="shared" ca="1" si="450"/>
        <v>#NAME?</v>
      </c>
      <c r="AY497" s="318" t="e">
        <f t="shared" ca="1" si="451"/>
        <v>#NAME?</v>
      </c>
      <c r="AZ497" s="320" t="e">
        <f t="shared" ca="1" si="452"/>
        <v>#NAME?</v>
      </c>
      <c r="BA497" s="321" t="e">
        <f t="shared" ca="1" si="453"/>
        <v>#NAME?</v>
      </c>
      <c r="BB497" s="322" t="e">
        <f t="shared" ca="1" si="454"/>
        <v>#NAME?</v>
      </c>
      <c r="BC497" s="323">
        <v>75.196700000000007</v>
      </c>
      <c r="BD497" s="324" t="e">
        <f t="shared" ca="1" si="455"/>
        <v>#NAME?</v>
      </c>
      <c r="BE497" s="325" t="e">
        <f t="shared" ca="1" si="456"/>
        <v>#NAME?</v>
      </c>
      <c r="BF497" s="324" t="e">
        <f ca="1">BicubicInterpolation('TSFC Eff Table'!$B$4:$E$69,2,BB497)</f>
        <v>#NAME?</v>
      </c>
      <c r="BG497" s="326" t="e">
        <f t="shared" ca="1" si="457"/>
        <v>#NAME?</v>
      </c>
      <c r="BH497" s="694" t="e">
        <f ca="1">IF( S497="LRCINOP",   (1+(0.03/10)*Z497*(1+0.2*AC497^2) )*BicubicInterpolation( 'LRC INOP FF'!$C$4:$AA$21, Y497, U497 )-200, IF(S497 ="HOLDINGINOP", (1+(0.03/10)*Z497*(1+0.2*AC497^2) )*BicubicInterpolation( 'Holding INOP FF'!$C$4:$J$13,  Y497,  U497)/1.05-200,   BA497*BG497))</f>
        <v>#NAME?</v>
      </c>
      <c r="BI497" s="344" t="e">
        <f t="shared" ca="1" si="416"/>
        <v>#NAME?</v>
      </c>
      <c r="BJ497" s="322" t="e">
        <f t="shared" ca="1" si="458"/>
        <v>#NAME?</v>
      </c>
      <c r="BK497" s="338" t="e">
        <f t="shared" ca="1" si="417"/>
        <v>#NAME?</v>
      </c>
      <c r="BL497" s="327" t="e">
        <f t="shared" ca="1" si="459"/>
        <v>#NAME?</v>
      </c>
      <c r="BM497" s="328">
        <f t="shared" si="460"/>
        <v>200</v>
      </c>
      <c r="BN497" s="329" t="e">
        <f t="shared" ca="1" si="461"/>
        <v>#NAME?</v>
      </c>
      <c r="BO497" s="344" t="e">
        <f t="shared" ca="1" si="418"/>
        <v>#NAME?</v>
      </c>
      <c r="BP497" s="320" t="e">
        <f t="shared" ca="1" si="462"/>
        <v>#NAME?</v>
      </c>
      <c r="BQ497" s="344" t="e">
        <f t="shared" ca="1" si="419"/>
        <v>#NAME?</v>
      </c>
      <c r="BR497" s="347" t="e">
        <f t="shared" ca="1" si="420"/>
        <v>#NAME?</v>
      </c>
      <c r="BS497" s="326" t="e">
        <f t="shared" ca="1" si="463"/>
        <v>#NAME?</v>
      </c>
      <c r="BT497" s="437" t="e">
        <f t="shared" ca="1" si="433"/>
        <v>#NAME?</v>
      </c>
      <c r="BU497" s="437" t="e">
        <f t="shared" ca="1" si="434"/>
        <v>#NAME?</v>
      </c>
      <c r="BV497" s="441" t="e">
        <f t="shared" ca="1" si="435"/>
        <v>#NAME?</v>
      </c>
      <c r="BW497" s="442" t="e">
        <f t="shared" ca="1" si="436"/>
        <v>#NAME?</v>
      </c>
      <c r="BX497" s="470" t="e">
        <f t="shared" ca="1" si="409"/>
        <v>#NAME?</v>
      </c>
      <c r="BY497" s="484" t="e">
        <f t="shared" ca="1" si="421"/>
        <v>#NAME?</v>
      </c>
    </row>
    <row r="498" spans="9:77" ht="17.75" customHeight="1" x14ac:dyDescent="0.2">
      <c r="I498" s="366">
        <v>414</v>
      </c>
      <c r="J498" s="414">
        <f t="shared" si="422"/>
        <v>41706.000000000939</v>
      </c>
      <c r="K498" s="435" t="e">
        <f t="shared" ca="1" si="423"/>
        <v>#NAME?</v>
      </c>
      <c r="L498" s="435" t="e">
        <f t="shared" ca="1" si="410"/>
        <v>#NAME?</v>
      </c>
      <c r="M498" s="664" t="e">
        <f t="shared" ca="1" si="464"/>
        <v>#NAME?</v>
      </c>
      <c r="N498" s="664" t="e">
        <f t="shared" ca="1" si="465"/>
        <v>#NAME?</v>
      </c>
      <c r="O498" s="140" t="e">
        <f t="shared" ca="1" si="411"/>
        <v>#NAME?</v>
      </c>
      <c r="P498" s="352" t="e">
        <f t="shared" ca="1" si="424"/>
        <v>#NAME?</v>
      </c>
      <c r="Q498" s="665" t="e">
        <f t="shared" ca="1" si="404"/>
        <v>#NAME?</v>
      </c>
      <c r="R498" s="352" t="e">
        <f t="shared" ca="1" si="437"/>
        <v>#NAME?</v>
      </c>
      <c r="S498" s="662" t="e">
        <f t="shared" ca="1" si="412"/>
        <v>#NAME?</v>
      </c>
      <c r="T498" s="443" t="e">
        <f t="shared" ca="1" si="405"/>
        <v>#NAME?</v>
      </c>
      <c r="U498" s="369" t="e">
        <f t="shared" ca="1" si="406"/>
        <v>#NAME?</v>
      </c>
      <c r="V498" s="454" t="e">
        <f t="shared" ca="1" si="413"/>
        <v>#NAME?</v>
      </c>
      <c r="W498" s="457">
        <f t="shared" si="414"/>
        <v>1000</v>
      </c>
      <c r="X498" s="463" t="e">
        <f t="shared" ca="1" si="415"/>
        <v>#NAME?</v>
      </c>
      <c r="Y498" s="455" t="e">
        <f t="shared" ca="1" si="425"/>
        <v>#NAME?</v>
      </c>
      <c r="Z498" s="699">
        <f t="shared" si="407"/>
        <v>8.5</v>
      </c>
      <c r="AA498" s="355" t="str">
        <f t="shared" si="408"/>
        <v>ON</v>
      </c>
      <c r="AB498" s="357">
        <f t="shared" si="438"/>
        <v>1.4999999999999999E-2</v>
      </c>
      <c r="AC498" s="356" t="e">
        <f ca="1">IF(  Y497=0,0,IF(OR(S498="KCAS",S498="INOP",S498="MEFE"),   ( (5*( (   (((1+0.2*(T498/661.4786)^2)^3.5 -1)  )/( (1-6.8755856*10^-6 *100*Y498)^5.2558797) +1)^(2/7) -1) )^0.5),IF(S498="MACH",T498, IF(S498="LRC",BicubicInterpolation( 'LRC Mach'!$C$4:$AL$21, Y498,U498),  IF(S498="MRC",BicubicInterpolation( 'MRC Mach'!$C$3:$T$18, Y498,U498),  IF(S498="M0.84",0.84,  IF(S498="CI52",BicubicInterpolation('CI=52 Mach'!$C$3:$T$18, Y498,U498),  IF(S498="HOLDING",BicubicInterpolation(  'Holding Mach'!$C$4:$M$13, Y498,U498),                         IF(S498="LRCINOP", BicubicInterpolation('LRC INOP Mach'!$C$4:$AA$21,Y498,U498), IF(S498="HOLDINGINOP",  BicubicInterpolation('Holding INOP Mach'!$N$4:$U$13,Y498,U498),         "XXX" )))))))   )))</f>
        <v>#NAME?</v>
      </c>
      <c r="AD498" s="313" t="e">
        <f t="shared" ca="1" si="439"/>
        <v>#NAME?</v>
      </c>
      <c r="AE498" s="314" t="e">
        <f t="shared" ca="1" si="426"/>
        <v>#NAME?</v>
      </c>
      <c r="AF498" s="313" t="e">
        <f t="shared" ca="1" si="440"/>
        <v>#NAME?</v>
      </c>
      <c r="AG498" s="314" t="e">
        <f t="shared" ca="1" si="427"/>
        <v>#NAME?</v>
      </c>
      <c r="AH498" s="313" t="e">
        <f t="shared" ca="1" si="441"/>
        <v>#NAME?</v>
      </c>
      <c r="AI498" s="314" t="e">
        <f t="shared" ca="1" si="428"/>
        <v>#NAME?</v>
      </c>
      <c r="AJ498" s="315" t="e">
        <f t="shared" ca="1" si="429"/>
        <v>#NAME?</v>
      </c>
      <c r="AK498" s="568" t="e">
        <f t="shared" ca="1" si="442"/>
        <v>#NAME?</v>
      </c>
      <c r="AL498" s="313" t="e">
        <f t="shared" ca="1" si="443"/>
        <v>#NAME?</v>
      </c>
      <c r="AM498" s="313" t="e">
        <f t="shared" ca="1" si="430"/>
        <v>#NAME?</v>
      </c>
      <c r="AN498" s="313" t="e">
        <f t="shared" ca="1" si="431"/>
        <v>#NAME?</v>
      </c>
      <c r="AO498" s="316" t="e">
        <f t="shared" ca="1" si="444"/>
        <v>#NAME?</v>
      </c>
      <c r="AP498" s="313" t="e">
        <f t="shared" ca="1" si="445"/>
        <v>#NAME?</v>
      </c>
      <c r="AQ498" s="314" t="e">
        <f t="shared" ca="1" si="432"/>
        <v>#NAME?</v>
      </c>
      <c r="AR498" s="315" t="e">
        <f t="shared" ca="1" si="446"/>
        <v>#NAME?</v>
      </c>
      <c r="AS498" s="316" t="e">
        <f t="shared" ca="1" si="447"/>
        <v>#NAME?</v>
      </c>
      <c r="AT498" s="315" t="e">
        <f t="shared" ca="1" si="448"/>
        <v>#NAME?</v>
      </c>
      <c r="AU498" s="317">
        <v>427.8</v>
      </c>
      <c r="AV498" s="315" t="e">
        <f t="shared" ca="1" si="449"/>
        <v>#NAME?</v>
      </c>
      <c r="AW498" s="318" t="e">
        <f ca="1">0.0001*BicubicInterpolation('Drag Coef Table'!$B$4:$L$28,AV498,AC498)</f>
        <v>#NAME?</v>
      </c>
      <c r="AX498" s="319" t="e">
        <f t="shared" ca="1" si="450"/>
        <v>#NAME?</v>
      </c>
      <c r="AY498" s="318" t="e">
        <f t="shared" ca="1" si="451"/>
        <v>#NAME?</v>
      </c>
      <c r="AZ498" s="320" t="e">
        <f t="shared" ca="1" si="452"/>
        <v>#NAME?</v>
      </c>
      <c r="BA498" s="321" t="e">
        <f t="shared" ca="1" si="453"/>
        <v>#NAME?</v>
      </c>
      <c r="BB498" s="322" t="e">
        <f t="shared" ca="1" si="454"/>
        <v>#NAME?</v>
      </c>
      <c r="BC498" s="323">
        <v>75.196700000000007</v>
      </c>
      <c r="BD498" s="324" t="e">
        <f t="shared" ca="1" si="455"/>
        <v>#NAME?</v>
      </c>
      <c r="BE498" s="325" t="e">
        <f t="shared" ca="1" si="456"/>
        <v>#NAME?</v>
      </c>
      <c r="BF498" s="324" t="e">
        <f ca="1">BicubicInterpolation('TSFC Eff Table'!$B$4:$E$69,2,BB498)</f>
        <v>#NAME?</v>
      </c>
      <c r="BG498" s="326" t="e">
        <f t="shared" ca="1" si="457"/>
        <v>#NAME?</v>
      </c>
      <c r="BH498" s="694" t="e">
        <f ca="1">IF( S498="LRCINOP",   (1+(0.03/10)*Z498*(1+0.2*AC498^2) )*BicubicInterpolation( 'LRC INOP FF'!$C$4:$AA$21, Y498, U498 )-200, IF(S498 ="HOLDINGINOP", (1+(0.03/10)*Z498*(1+0.2*AC498^2) )*BicubicInterpolation( 'Holding INOP FF'!$C$4:$J$13,  Y498,  U498)/1.05-200,   BA498*BG498))</f>
        <v>#NAME?</v>
      </c>
      <c r="BI498" s="344" t="e">
        <f t="shared" ca="1" si="416"/>
        <v>#NAME?</v>
      </c>
      <c r="BJ498" s="322" t="e">
        <f t="shared" ca="1" si="458"/>
        <v>#NAME?</v>
      </c>
      <c r="BK498" s="338" t="e">
        <f t="shared" ca="1" si="417"/>
        <v>#NAME?</v>
      </c>
      <c r="BL498" s="327" t="e">
        <f t="shared" ca="1" si="459"/>
        <v>#NAME?</v>
      </c>
      <c r="BM498" s="328">
        <f t="shared" si="460"/>
        <v>200</v>
      </c>
      <c r="BN498" s="329" t="e">
        <f t="shared" ca="1" si="461"/>
        <v>#NAME?</v>
      </c>
      <c r="BO498" s="344" t="e">
        <f t="shared" ca="1" si="418"/>
        <v>#NAME?</v>
      </c>
      <c r="BP498" s="320" t="e">
        <f t="shared" ca="1" si="462"/>
        <v>#NAME?</v>
      </c>
      <c r="BQ498" s="344" t="e">
        <f t="shared" ca="1" si="419"/>
        <v>#NAME?</v>
      </c>
      <c r="BR498" s="347" t="e">
        <f t="shared" ca="1" si="420"/>
        <v>#NAME?</v>
      </c>
      <c r="BS498" s="326" t="e">
        <f t="shared" ca="1" si="463"/>
        <v>#NAME?</v>
      </c>
      <c r="BT498" s="437" t="e">
        <f t="shared" ca="1" si="433"/>
        <v>#NAME?</v>
      </c>
      <c r="BU498" s="437" t="e">
        <f t="shared" ca="1" si="434"/>
        <v>#NAME?</v>
      </c>
      <c r="BV498" s="441" t="e">
        <f t="shared" ca="1" si="435"/>
        <v>#NAME?</v>
      </c>
      <c r="BW498" s="442" t="e">
        <f t="shared" ca="1" si="436"/>
        <v>#NAME?</v>
      </c>
      <c r="BX498" s="470" t="e">
        <f t="shared" ca="1" si="409"/>
        <v>#NAME?</v>
      </c>
      <c r="BY498" s="484" t="e">
        <f t="shared" ca="1" si="421"/>
        <v>#NAME?</v>
      </c>
    </row>
    <row r="499" spans="9:77" ht="17.75" customHeight="1" x14ac:dyDescent="0.2">
      <c r="I499" s="366">
        <v>415</v>
      </c>
      <c r="J499" s="414">
        <f t="shared" si="422"/>
        <v>41706.000694445385</v>
      </c>
      <c r="K499" s="435" t="e">
        <f t="shared" ca="1" si="423"/>
        <v>#NAME?</v>
      </c>
      <c r="L499" s="435" t="e">
        <f t="shared" ca="1" si="410"/>
        <v>#NAME?</v>
      </c>
      <c r="M499" s="664" t="e">
        <f t="shared" ca="1" si="464"/>
        <v>#NAME?</v>
      </c>
      <c r="N499" s="664" t="e">
        <f t="shared" ca="1" si="465"/>
        <v>#NAME?</v>
      </c>
      <c r="O499" s="140" t="e">
        <f t="shared" ca="1" si="411"/>
        <v>#NAME?</v>
      </c>
      <c r="P499" s="352" t="e">
        <f t="shared" ca="1" si="424"/>
        <v>#NAME?</v>
      </c>
      <c r="Q499" s="665" t="e">
        <f t="shared" ca="1" si="404"/>
        <v>#NAME?</v>
      </c>
      <c r="R499" s="352" t="e">
        <f t="shared" ca="1" si="437"/>
        <v>#NAME?</v>
      </c>
      <c r="S499" s="662" t="e">
        <f t="shared" ca="1" si="412"/>
        <v>#NAME?</v>
      </c>
      <c r="T499" s="443" t="e">
        <f t="shared" ca="1" si="405"/>
        <v>#NAME?</v>
      </c>
      <c r="U499" s="369" t="e">
        <f t="shared" ca="1" si="406"/>
        <v>#NAME?</v>
      </c>
      <c r="V499" s="454" t="e">
        <f t="shared" ca="1" si="413"/>
        <v>#NAME?</v>
      </c>
      <c r="W499" s="457">
        <f t="shared" si="414"/>
        <v>1000</v>
      </c>
      <c r="X499" s="463" t="e">
        <f t="shared" ca="1" si="415"/>
        <v>#NAME?</v>
      </c>
      <c r="Y499" s="455" t="e">
        <f t="shared" ca="1" si="425"/>
        <v>#NAME?</v>
      </c>
      <c r="Z499" s="699">
        <f t="shared" si="407"/>
        <v>8.5</v>
      </c>
      <c r="AA499" s="355" t="str">
        <f t="shared" si="408"/>
        <v>ON</v>
      </c>
      <c r="AB499" s="357">
        <f t="shared" si="438"/>
        <v>1.4999999999999999E-2</v>
      </c>
      <c r="AC499" s="356" t="e">
        <f ca="1">IF(  Y498=0,0,IF(OR(S499="KCAS",S499="INOP",S499="MEFE"),   ( (5*( (   (((1+0.2*(T499/661.4786)^2)^3.5 -1)  )/( (1-6.8755856*10^-6 *100*Y499)^5.2558797) +1)^(2/7) -1) )^0.5),IF(S499="MACH",T499, IF(S499="LRC",BicubicInterpolation( 'LRC Mach'!$C$4:$AL$21, Y499,U499),  IF(S499="MRC",BicubicInterpolation( 'MRC Mach'!$C$3:$T$18, Y499,U499),  IF(S499="M0.84",0.84,  IF(S499="CI52",BicubicInterpolation('CI=52 Mach'!$C$3:$T$18, Y499,U499),  IF(S499="HOLDING",BicubicInterpolation(  'Holding Mach'!$C$4:$M$13, Y499,U499),                         IF(S499="LRCINOP", BicubicInterpolation('LRC INOP Mach'!$C$4:$AA$21,Y499,U499), IF(S499="HOLDINGINOP",  BicubicInterpolation('Holding INOP Mach'!$N$4:$U$13,Y499,U499),         "XXX" )))))))   )))</f>
        <v>#NAME?</v>
      </c>
      <c r="AD499" s="313" t="e">
        <f t="shared" ca="1" si="439"/>
        <v>#NAME?</v>
      </c>
      <c r="AE499" s="314" t="e">
        <f t="shared" ca="1" si="426"/>
        <v>#NAME?</v>
      </c>
      <c r="AF499" s="313" t="e">
        <f t="shared" ca="1" si="440"/>
        <v>#NAME?</v>
      </c>
      <c r="AG499" s="314" t="e">
        <f t="shared" ca="1" si="427"/>
        <v>#NAME?</v>
      </c>
      <c r="AH499" s="313" t="e">
        <f t="shared" ca="1" si="441"/>
        <v>#NAME?</v>
      </c>
      <c r="AI499" s="314" t="e">
        <f t="shared" ca="1" si="428"/>
        <v>#NAME?</v>
      </c>
      <c r="AJ499" s="315" t="e">
        <f t="shared" ca="1" si="429"/>
        <v>#NAME?</v>
      </c>
      <c r="AK499" s="568" t="e">
        <f t="shared" ca="1" si="442"/>
        <v>#NAME?</v>
      </c>
      <c r="AL499" s="313" t="e">
        <f t="shared" ca="1" si="443"/>
        <v>#NAME?</v>
      </c>
      <c r="AM499" s="313" t="e">
        <f t="shared" ca="1" si="430"/>
        <v>#NAME?</v>
      </c>
      <c r="AN499" s="313" t="e">
        <f t="shared" ca="1" si="431"/>
        <v>#NAME?</v>
      </c>
      <c r="AO499" s="316" t="e">
        <f t="shared" ca="1" si="444"/>
        <v>#NAME?</v>
      </c>
      <c r="AP499" s="313" t="e">
        <f t="shared" ca="1" si="445"/>
        <v>#NAME?</v>
      </c>
      <c r="AQ499" s="314" t="e">
        <f t="shared" ca="1" si="432"/>
        <v>#NAME?</v>
      </c>
      <c r="AR499" s="315" t="e">
        <f t="shared" ca="1" si="446"/>
        <v>#NAME?</v>
      </c>
      <c r="AS499" s="316" t="e">
        <f t="shared" ca="1" si="447"/>
        <v>#NAME?</v>
      </c>
      <c r="AT499" s="315" t="e">
        <f t="shared" ca="1" si="448"/>
        <v>#NAME?</v>
      </c>
      <c r="AU499" s="317">
        <v>427.8</v>
      </c>
      <c r="AV499" s="315" t="e">
        <f t="shared" ca="1" si="449"/>
        <v>#NAME?</v>
      </c>
      <c r="AW499" s="318" t="e">
        <f ca="1">0.0001*BicubicInterpolation('Drag Coef Table'!$B$4:$L$28,AV499,AC499)</f>
        <v>#NAME?</v>
      </c>
      <c r="AX499" s="319" t="e">
        <f t="shared" ca="1" si="450"/>
        <v>#NAME?</v>
      </c>
      <c r="AY499" s="318" t="e">
        <f t="shared" ca="1" si="451"/>
        <v>#NAME?</v>
      </c>
      <c r="AZ499" s="320" t="e">
        <f t="shared" ca="1" si="452"/>
        <v>#NAME?</v>
      </c>
      <c r="BA499" s="321" t="e">
        <f t="shared" ca="1" si="453"/>
        <v>#NAME?</v>
      </c>
      <c r="BB499" s="322" t="e">
        <f t="shared" ca="1" si="454"/>
        <v>#NAME?</v>
      </c>
      <c r="BC499" s="323">
        <v>75.196700000000007</v>
      </c>
      <c r="BD499" s="324" t="e">
        <f t="shared" ca="1" si="455"/>
        <v>#NAME?</v>
      </c>
      <c r="BE499" s="325" t="e">
        <f t="shared" ca="1" si="456"/>
        <v>#NAME?</v>
      </c>
      <c r="BF499" s="324" t="e">
        <f ca="1">BicubicInterpolation('TSFC Eff Table'!$B$4:$E$69,2,BB499)</f>
        <v>#NAME?</v>
      </c>
      <c r="BG499" s="326" t="e">
        <f t="shared" ca="1" si="457"/>
        <v>#NAME?</v>
      </c>
      <c r="BH499" s="694" t="e">
        <f ca="1">IF( S499="LRCINOP",   (1+(0.03/10)*Z499*(1+0.2*AC499^2) )*BicubicInterpolation( 'LRC INOP FF'!$C$4:$AA$21, Y499, U499 )-200, IF(S499 ="HOLDINGINOP", (1+(0.03/10)*Z499*(1+0.2*AC499^2) )*BicubicInterpolation( 'Holding INOP FF'!$C$4:$J$13,  Y499,  U499)/1.05-200,   BA499*BG499))</f>
        <v>#NAME?</v>
      </c>
      <c r="BI499" s="344" t="e">
        <f t="shared" ca="1" si="416"/>
        <v>#NAME?</v>
      </c>
      <c r="BJ499" s="322" t="e">
        <f t="shared" ca="1" si="458"/>
        <v>#NAME?</v>
      </c>
      <c r="BK499" s="338" t="e">
        <f t="shared" ca="1" si="417"/>
        <v>#NAME?</v>
      </c>
      <c r="BL499" s="327" t="e">
        <f t="shared" ca="1" si="459"/>
        <v>#NAME?</v>
      </c>
      <c r="BM499" s="328">
        <f t="shared" si="460"/>
        <v>200</v>
      </c>
      <c r="BN499" s="329" t="e">
        <f t="shared" ca="1" si="461"/>
        <v>#NAME?</v>
      </c>
      <c r="BO499" s="344" t="e">
        <f t="shared" ca="1" si="418"/>
        <v>#NAME?</v>
      </c>
      <c r="BP499" s="320" t="e">
        <f t="shared" ca="1" si="462"/>
        <v>#NAME?</v>
      </c>
      <c r="BQ499" s="344" t="e">
        <f t="shared" ca="1" si="419"/>
        <v>#NAME?</v>
      </c>
      <c r="BR499" s="347" t="e">
        <f t="shared" ca="1" si="420"/>
        <v>#NAME?</v>
      </c>
      <c r="BS499" s="326" t="e">
        <f t="shared" ca="1" si="463"/>
        <v>#NAME?</v>
      </c>
      <c r="BT499" s="437" t="e">
        <f t="shared" ca="1" si="433"/>
        <v>#NAME?</v>
      </c>
      <c r="BU499" s="437" t="e">
        <f t="shared" ca="1" si="434"/>
        <v>#NAME?</v>
      </c>
      <c r="BV499" s="441" t="e">
        <f t="shared" ca="1" si="435"/>
        <v>#NAME?</v>
      </c>
      <c r="BW499" s="442" t="e">
        <f t="shared" ca="1" si="436"/>
        <v>#NAME?</v>
      </c>
      <c r="BX499" s="470" t="e">
        <f t="shared" ca="1" si="409"/>
        <v>#NAME?</v>
      </c>
      <c r="BY499" s="484" t="e">
        <f t="shared" ca="1" si="421"/>
        <v>#NAME?</v>
      </c>
    </row>
    <row r="500" spans="9:77" ht="17.75" customHeight="1" x14ac:dyDescent="0.2">
      <c r="I500" s="366">
        <v>416</v>
      </c>
      <c r="J500" s="414">
        <f t="shared" si="422"/>
        <v>41706.001388889832</v>
      </c>
      <c r="K500" s="435" t="e">
        <f t="shared" ca="1" si="423"/>
        <v>#NAME?</v>
      </c>
      <c r="L500" s="435" t="e">
        <f t="shared" ca="1" si="410"/>
        <v>#NAME?</v>
      </c>
      <c r="M500" s="664" t="e">
        <f t="shared" ca="1" si="464"/>
        <v>#NAME?</v>
      </c>
      <c r="N500" s="664" t="e">
        <f t="shared" ca="1" si="465"/>
        <v>#NAME?</v>
      </c>
      <c r="O500" s="140" t="e">
        <f t="shared" ca="1" si="411"/>
        <v>#NAME?</v>
      </c>
      <c r="P500" s="352" t="e">
        <f t="shared" ca="1" si="424"/>
        <v>#NAME?</v>
      </c>
      <c r="Q500" s="665" t="e">
        <f t="shared" ca="1" si="404"/>
        <v>#NAME?</v>
      </c>
      <c r="R500" s="352" t="e">
        <f t="shared" ca="1" si="437"/>
        <v>#NAME?</v>
      </c>
      <c r="S500" s="662" t="e">
        <f t="shared" ca="1" si="412"/>
        <v>#NAME?</v>
      </c>
      <c r="T500" s="443" t="e">
        <f t="shared" ca="1" si="405"/>
        <v>#NAME?</v>
      </c>
      <c r="U500" s="369" t="e">
        <f t="shared" ca="1" si="406"/>
        <v>#NAME?</v>
      </c>
      <c r="V500" s="454" t="e">
        <f t="shared" ca="1" si="413"/>
        <v>#NAME?</v>
      </c>
      <c r="W500" s="457">
        <f t="shared" si="414"/>
        <v>1000</v>
      </c>
      <c r="X500" s="463" t="e">
        <f t="shared" ca="1" si="415"/>
        <v>#NAME?</v>
      </c>
      <c r="Y500" s="455" t="e">
        <f t="shared" ca="1" si="425"/>
        <v>#NAME?</v>
      </c>
      <c r="Z500" s="699">
        <f t="shared" si="407"/>
        <v>8.5</v>
      </c>
      <c r="AA500" s="355" t="str">
        <f t="shared" si="408"/>
        <v>ON</v>
      </c>
      <c r="AB500" s="357">
        <f t="shared" si="438"/>
        <v>1.4999999999999999E-2</v>
      </c>
      <c r="AC500" s="356" t="e">
        <f ca="1">IF(  Y499=0,0,IF(OR(S500="KCAS",S500="INOP",S500="MEFE"),   ( (5*( (   (((1+0.2*(T500/661.4786)^2)^3.5 -1)  )/( (1-6.8755856*10^-6 *100*Y500)^5.2558797) +1)^(2/7) -1) )^0.5),IF(S500="MACH",T500, IF(S500="LRC",BicubicInterpolation( 'LRC Mach'!$C$4:$AL$21, Y500,U500),  IF(S500="MRC",BicubicInterpolation( 'MRC Mach'!$C$3:$T$18, Y500,U500),  IF(S500="M0.84",0.84,  IF(S500="CI52",BicubicInterpolation('CI=52 Mach'!$C$3:$T$18, Y500,U500),  IF(S500="HOLDING",BicubicInterpolation(  'Holding Mach'!$C$4:$M$13, Y500,U500),                         IF(S500="LRCINOP", BicubicInterpolation('LRC INOP Mach'!$C$4:$AA$21,Y500,U500), IF(S500="HOLDINGINOP",  BicubicInterpolation('Holding INOP Mach'!$N$4:$U$13,Y500,U500),         "XXX" )))))))   )))</f>
        <v>#NAME?</v>
      </c>
      <c r="AD500" s="313" t="e">
        <f t="shared" ca="1" si="439"/>
        <v>#NAME?</v>
      </c>
      <c r="AE500" s="314" t="e">
        <f t="shared" ca="1" si="426"/>
        <v>#NAME?</v>
      </c>
      <c r="AF500" s="313" t="e">
        <f t="shared" ca="1" si="440"/>
        <v>#NAME?</v>
      </c>
      <c r="AG500" s="314" t="e">
        <f t="shared" ca="1" si="427"/>
        <v>#NAME?</v>
      </c>
      <c r="AH500" s="313" t="e">
        <f t="shared" ca="1" si="441"/>
        <v>#NAME?</v>
      </c>
      <c r="AI500" s="314" t="e">
        <f t="shared" ca="1" si="428"/>
        <v>#NAME?</v>
      </c>
      <c r="AJ500" s="315" t="e">
        <f t="shared" ca="1" si="429"/>
        <v>#NAME?</v>
      </c>
      <c r="AK500" s="568" t="e">
        <f t="shared" ca="1" si="442"/>
        <v>#NAME?</v>
      </c>
      <c r="AL500" s="313" t="e">
        <f t="shared" ca="1" si="443"/>
        <v>#NAME?</v>
      </c>
      <c r="AM500" s="313" t="e">
        <f t="shared" ca="1" si="430"/>
        <v>#NAME?</v>
      </c>
      <c r="AN500" s="313" t="e">
        <f t="shared" ca="1" si="431"/>
        <v>#NAME?</v>
      </c>
      <c r="AO500" s="316" t="e">
        <f t="shared" ca="1" si="444"/>
        <v>#NAME?</v>
      </c>
      <c r="AP500" s="313" t="e">
        <f t="shared" ca="1" si="445"/>
        <v>#NAME?</v>
      </c>
      <c r="AQ500" s="314" t="e">
        <f t="shared" ca="1" si="432"/>
        <v>#NAME?</v>
      </c>
      <c r="AR500" s="315" t="e">
        <f t="shared" ca="1" si="446"/>
        <v>#NAME?</v>
      </c>
      <c r="AS500" s="316" t="e">
        <f t="shared" ca="1" si="447"/>
        <v>#NAME?</v>
      </c>
      <c r="AT500" s="315" t="e">
        <f t="shared" ca="1" si="448"/>
        <v>#NAME?</v>
      </c>
      <c r="AU500" s="317">
        <v>427.8</v>
      </c>
      <c r="AV500" s="315" t="e">
        <f t="shared" ca="1" si="449"/>
        <v>#NAME?</v>
      </c>
      <c r="AW500" s="318" t="e">
        <f ca="1">0.0001*BicubicInterpolation('Drag Coef Table'!$B$4:$L$28,AV500,AC500)</f>
        <v>#NAME?</v>
      </c>
      <c r="AX500" s="319" t="e">
        <f t="shared" ca="1" si="450"/>
        <v>#NAME?</v>
      </c>
      <c r="AY500" s="318" t="e">
        <f t="shared" ca="1" si="451"/>
        <v>#NAME?</v>
      </c>
      <c r="AZ500" s="320" t="e">
        <f t="shared" ca="1" si="452"/>
        <v>#NAME?</v>
      </c>
      <c r="BA500" s="321" t="e">
        <f t="shared" ca="1" si="453"/>
        <v>#NAME?</v>
      </c>
      <c r="BB500" s="322" t="e">
        <f t="shared" ca="1" si="454"/>
        <v>#NAME?</v>
      </c>
      <c r="BC500" s="323">
        <v>75.196700000000007</v>
      </c>
      <c r="BD500" s="324" t="e">
        <f t="shared" ca="1" si="455"/>
        <v>#NAME?</v>
      </c>
      <c r="BE500" s="325" t="e">
        <f t="shared" ca="1" si="456"/>
        <v>#NAME?</v>
      </c>
      <c r="BF500" s="324" t="e">
        <f ca="1">BicubicInterpolation('TSFC Eff Table'!$B$4:$E$69,2,BB500)</f>
        <v>#NAME?</v>
      </c>
      <c r="BG500" s="326" t="e">
        <f t="shared" ca="1" si="457"/>
        <v>#NAME?</v>
      </c>
      <c r="BH500" s="694" t="e">
        <f ca="1">IF( S500="LRCINOP",   (1+(0.03/10)*Z500*(1+0.2*AC500^2) )*BicubicInterpolation( 'LRC INOP FF'!$C$4:$AA$21, Y500, U500 )-200, IF(S500 ="HOLDINGINOP", (1+(0.03/10)*Z500*(1+0.2*AC500^2) )*BicubicInterpolation( 'Holding INOP FF'!$C$4:$J$13,  Y500,  U500)/1.05-200,   BA500*BG500))</f>
        <v>#NAME?</v>
      </c>
      <c r="BI500" s="344" t="e">
        <f t="shared" ca="1" si="416"/>
        <v>#NAME?</v>
      </c>
      <c r="BJ500" s="322" t="e">
        <f t="shared" ca="1" si="458"/>
        <v>#NAME?</v>
      </c>
      <c r="BK500" s="338" t="e">
        <f t="shared" ca="1" si="417"/>
        <v>#NAME?</v>
      </c>
      <c r="BL500" s="327" t="e">
        <f t="shared" ca="1" si="459"/>
        <v>#NAME?</v>
      </c>
      <c r="BM500" s="328">
        <f t="shared" si="460"/>
        <v>200</v>
      </c>
      <c r="BN500" s="329" t="e">
        <f t="shared" ca="1" si="461"/>
        <v>#NAME?</v>
      </c>
      <c r="BO500" s="344" t="e">
        <f t="shared" ca="1" si="418"/>
        <v>#NAME?</v>
      </c>
      <c r="BP500" s="320" t="e">
        <f t="shared" ca="1" si="462"/>
        <v>#NAME?</v>
      </c>
      <c r="BQ500" s="344" t="e">
        <f t="shared" ca="1" si="419"/>
        <v>#NAME?</v>
      </c>
      <c r="BR500" s="347" t="e">
        <f t="shared" ca="1" si="420"/>
        <v>#NAME?</v>
      </c>
      <c r="BS500" s="326" t="e">
        <f t="shared" ca="1" si="463"/>
        <v>#NAME?</v>
      </c>
      <c r="BT500" s="437" t="e">
        <f t="shared" ca="1" si="433"/>
        <v>#NAME?</v>
      </c>
      <c r="BU500" s="437" t="e">
        <f t="shared" ca="1" si="434"/>
        <v>#NAME?</v>
      </c>
      <c r="BV500" s="441" t="e">
        <f t="shared" ca="1" si="435"/>
        <v>#NAME?</v>
      </c>
      <c r="BW500" s="442" t="e">
        <f t="shared" ca="1" si="436"/>
        <v>#NAME?</v>
      </c>
      <c r="BX500" s="470" t="e">
        <f t="shared" ca="1" si="409"/>
        <v>#NAME?</v>
      </c>
      <c r="BY500" s="484" t="e">
        <f t="shared" ca="1" si="421"/>
        <v>#NAME?</v>
      </c>
    </row>
    <row r="501" spans="9:77" ht="17.75" customHeight="1" x14ac:dyDescent="0.2">
      <c r="I501" s="366">
        <v>417</v>
      </c>
      <c r="J501" s="414">
        <f t="shared" si="422"/>
        <v>41706.002083334279</v>
      </c>
      <c r="K501" s="435" t="e">
        <f t="shared" ca="1" si="423"/>
        <v>#NAME?</v>
      </c>
      <c r="L501" s="435" t="e">
        <f ca="1">IF(N501=0,0,Q501*(1+$C$79)/60)</f>
        <v>#NAME?</v>
      </c>
      <c r="M501" s="664" t="e">
        <f t="shared" ca="1" si="464"/>
        <v>#NAME?</v>
      </c>
      <c r="N501" s="664" t="e">
        <f t="shared" ca="1" si="465"/>
        <v>#NAME?</v>
      </c>
      <c r="O501" s="140" t="e">
        <f t="shared" ca="1" si="411"/>
        <v>#NAME?</v>
      </c>
      <c r="P501" s="352" t="e">
        <f t="shared" ca="1" si="424"/>
        <v>#NAME?</v>
      </c>
      <c r="Q501" s="665" t="e">
        <f t="shared" ca="1" si="404"/>
        <v>#NAME?</v>
      </c>
      <c r="R501" s="352" t="e">
        <f t="shared" ca="1" si="437"/>
        <v>#NAME?</v>
      </c>
      <c r="S501" s="662" t="e">
        <f t="shared" ca="1" si="412"/>
        <v>#NAME?</v>
      </c>
      <c r="T501" s="443" t="e">
        <f t="shared" ca="1" si="405"/>
        <v>#NAME?</v>
      </c>
      <c r="U501" s="369" t="e">
        <f t="shared" ca="1" si="406"/>
        <v>#NAME?</v>
      </c>
      <c r="V501" s="454" t="e">
        <f t="shared" ca="1" si="413"/>
        <v>#NAME?</v>
      </c>
      <c r="W501" s="457">
        <f t="shared" si="414"/>
        <v>1000</v>
      </c>
      <c r="X501" s="463" t="e">
        <f t="shared" ca="1" si="415"/>
        <v>#NAME?</v>
      </c>
      <c r="Y501" s="455" t="e">
        <f t="shared" ca="1" si="425"/>
        <v>#NAME?</v>
      </c>
      <c r="Z501" s="699">
        <f t="shared" si="407"/>
        <v>8.5</v>
      </c>
      <c r="AA501" s="355" t="str">
        <f t="shared" si="408"/>
        <v>ON</v>
      </c>
      <c r="AB501" s="357">
        <f t="shared" si="438"/>
        <v>1.4999999999999999E-2</v>
      </c>
      <c r="AC501" s="356" t="e">
        <f ca="1">IF(  Y500=0,0,IF(OR(S501="KCAS",S501="INOP",S501="MEFE"),   ( (5*( (   (((1+0.2*(T501/661.4786)^2)^3.5 -1)  )/( (1-6.8755856*10^-6 *100*Y501)^5.2558797) +1)^(2/7) -1) )^0.5),IF(S501="MACH",T501, IF(S501="LRC",BicubicInterpolation( 'LRC Mach'!$C$4:$AL$21, Y501,U501),  IF(S501="MRC",BicubicInterpolation( 'MRC Mach'!$C$3:$T$18, Y501,U501),  IF(S501="M0.84",0.84,  IF(S501="CI52",BicubicInterpolation('CI=52 Mach'!$C$3:$T$18, Y501,U501),  IF(S501="HOLDING",BicubicInterpolation(  'Holding Mach'!$C$4:$M$13, Y501,U501),                         IF(S501="LRCINOP", BicubicInterpolation('LRC INOP Mach'!$C$4:$AA$21,Y501,U501), IF(S501="HOLDINGINOP",  BicubicInterpolation('Holding INOP Mach'!$N$4:$U$13,Y501,U501),         "XXX" )))))))   )))</f>
        <v>#NAME?</v>
      </c>
      <c r="AD501" s="313" t="e">
        <f t="shared" ca="1" si="439"/>
        <v>#NAME?</v>
      </c>
      <c r="AE501" s="314" t="e">
        <f t="shared" ca="1" si="426"/>
        <v>#NAME?</v>
      </c>
      <c r="AF501" s="313" t="e">
        <f t="shared" ca="1" si="440"/>
        <v>#NAME?</v>
      </c>
      <c r="AG501" s="314" t="e">
        <f t="shared" ca="1" si="427"/>
        <v>#NAME?</v>
      </c>
      <c r="AH501" s="313" t="e">
        <f t="shared" ca="1" si="441"/>
        <v>#NAME?</v>
      </c>
      <c r="AI501" s="314" t="e">
        <f t="shared" ca="1" si="428"/>
        <v>#NAME?</v>
      </c>
      <c r="AJ501" s="315" t="e">
        <f t="shared" ca="1" si="429"/>
        <v>#NAME?</v>
      </c>
      <c r="AK501" s="568" t="e">
        <f t="shared" ca="1" si="442"/>
        <v>#NAME?</v>
      </c>
      <c r="AL501" s="313" t="e">
        <f t="shared" ca="1" si="443"/>
        <v>#NAME?</v>
      </c>
      <c r="AM501" s="313" t="e">
        <f t="shared" ca="1" si="430"/>
        <v>#NAME?</v>
      </c>
      <c r="AN501" s="313" t="e">
        <f t="shared" ca="1" si="431"/>
        <v>#NAME?</v>
      </c>
      <c r="AO501" s="316" t="e">
        <f t="shared" ca="1" si="444"/>
        <v>#NAME?</v>
      </c>
      <c r="AP501" s="313" t="e">
        <f t="shared" ca="1" si="445"/>
        <v>#NAME?</v>
      </c>
      <c r="AQ501" s="314" t="e">
        <f t="shared" ca="1" si="432"/>
        <v>#NAME?</v>
      </c>
      <c r="AR501" s="315" t="e">
        <f t="shared" ca="1" si="446"/>
        <v>#NAME?</v>
      </c>
      <c r="AS501" s="316" t="e">
        <f t="shared" ca="1" si="447"/>
        <v>#NAME?</v>
      </c>
      <c r="AT501" s="315" t="e">
        <f t="shared" ca="1" si="448"/>
        <v>#NAME?</v>
      </c>
      <c r="AU501" s="317">
        <v>427.8</v>
      </c>
      <c r="AV501" s="315" t="e">
        <f t="shared" ca="1" si="449"/>
        <v>#NAME?</v>
      </c>
      <c r="AW501" s="318" t="e">
        <f ca="1">0.0001*BicubicInterpolation('Drag Coef Table'!$B$4:$L$28,AV501,AC501)</f>
        <v>#NAME?</v>
      </c>
      <c r="AX501" s="319" t="e">
        <f t="shared" ca="1" si="450"/>
        <v>#NAME?</v>
      </c>
      <c r="AY501" s="318" t="e">
        <f t="shared" ca="1" si="451"/>
        <v>#NAME?</v>
      </c>
      <c r="AZ501" s="320" t="e">
        <f t="shared" ca="1" si="452"/>
        <v>#NAME?</v>
      </c>
      <c r="BA501" s="321" t="e">
        <f t="shared" ca="1" si="453"/>
        <v>#NAME?</v>
      </c>
      <c r="BB501" s="322" t="e">
        <f t="shared" ca="1" si="454"/>
        <v>#NAME?</v>
      </c>
      <c r="BC501" s="323">
        <v>75.196700000000007</v>
      </c>
      <c r="BD501" s="324" t="e">
        <f t="shared" ca="1" si="455"/>
        <v>#NAME?</v>
      </c>
      <c r="BE501" s="325" t="e">
        <f t="shared" ca="1" si="456"/>
        <v>#NAME?</v>
      </c>
      <c r="BF501" s="324" t="e">
        <f ca="1">BicubicInterpolation('TSFC Eff Table'!$B$4:$E$69,2,BB501)</f>
        <v>#NAME?</v>
      </c>
      <c r="BG501" s="326" t="e">
        <f t="shared" ca="1" si="457"/>
        <v>#NAME?</v>
      </c>
      <c r="BH501" s="694" t="e">
        <f ca="1">IF( S501="LRCINOP",   (1+(0.03/10)*Z501*(1+0.2*AC501^2) )*BicubicInterpolation( 'LRC INOP FF'!$C$4:$AA$21, Y501, U501 )-200, IF(S501 ="HOLDINGINOP", (1+(0.03/10)*Z501*(1+0.2*AC501^2) )*BicubicInterpolation( 'Holding INOP FF'!$C$4:$J$13,  Y501,  U501)/1.05-200,   BA501*BG501))</f>
        <v>#NAME?</v>
      </c>
      <c r="BI501" s="344" t="e">
        <f t="shared" ca="1" si="416"/>
        <v>#NAME?</v>
      </c>
      <c r="BJ501" s="322" t="e">
        <f t="shared" ca="1" si="458"/>
        <v>#NAME?</v>
      </c>
      <c r="BK501" s="338" t="e">
        <f t="shared" ca="1" si="417"/>
        <v>#NAME?</v>
      </c>
      <c r="BL501" s="327" t="e">
        <f t="shared" ca="1" si="459"/>
        <v>#NAME?</v>
      </c>
      <c r="BM501" s="328">
        <f t="shared" si="460"/>
        <v>200</v>
      </c>
      <c r="BN501" s="329" t="e">
        <f t="shared" ca="1" si="461"/>
        <v>#NAME?</v>
      </c>
      <c r="BO501" s="344" t="e">
        <f t="shared" ca="1" si="418"/>
        <v>#NAME?</v>
      </c>
      <c r="BP501" s="320" t="e">
        <f t="shared" ca="1" si="462"/>
        <v>#NAME?</v>
      </c>
      <c r="BQ501" s="344" t="e">
        <f t="shared" ca="1" si="419"/>
        <v>#NAME?</v>
      </c>
      <c r="BR501" s="347" t="e">
        <f t="shared" ca="1" si="420"/>
        <v>#NAME?</v>
      </c>
      <c r="BS501" s="326" t="e">
        <f t="shared" ca="1" si="463"/>
        <v>#NAME?</v>
      </c>
      <c r="BT501" s="437" t="e">
        <f t="shared" ca="1" si="433"/>
        <v>#NAME?</v>
      </c>
      <c r="BU501" s="437" t="e">
        <f t="shared" ca="1" si="434"/>
        <v>#NAME?</v>
      </c>
      <c r="BV501" s="441" t="e">
        <f t="shared" ca="1" si="435"/>
        <v>#NAME?</v>
      </c>
      <c r="BW501" s="442" t="e">
        <f t="shared" ca="1" si="436"/>
        <v>#NAME?</v>
      </c>
      <c r="BX501" s="470" t="e">
        <f t="shared" ca="1" si="409"/>
        <v>#NAME?</v>
      </c>
      <c r="BY501" s="484" t="e">
        <f t="shared" ca="1" si="421"/>
        <v>#NAME?</v>
      </c>
    </row>
    <row r="502" spans="9:77" ht="17.75" customHeight="1" x14ac:dyDescent="0.2">
      <c r="I502" s="366">
        <v>418</v>
      </c>
      <c r="J502" s="414">
        <f t="shared" si="422"/>
        <v>41706.002777778725</v>
      </c>
      <c r="K502" s="435" t="e">
        <f t="shared" ca="1" si="423"/>
        <v>#NAME?</v>
      </c>
      <c r="L502" s="435" t="e">
        <f t="shared" ref="L502:L565" ca="1" si="466">IF(N502=0,0,Q502*(1+$C$79)/60)</f>
        <v>#NAME?</v>
      </c>
      <c r="M502" s="664" t="e">
        <f t="shared" ca="1" si="464"/>
        <v>#NAME?</v>
      </c>
      <c r="N502" s="664" t="e">
        <f t="shared" ca="1" si="465"/>
        <v>#NAME?</v>
      </c>
      <c r="O502" s="140" t="e">
        <f t="shared" ca="1" si="411"/>
        <v>#NAME?</v>
      </c>
      <c r="P502" s="352" t="e">
        <f t="shared" ca="1" si="424"/>
        <v>#NAME?</v>
      </c>
      <c r="Q502" s="665" t="e">
        <f t="shared" ca="1" si="404"/>
        <v>#NAME?</v>
      </c>
      <c r="R502" s="352" t="e">
        <f t="shared" ca="1" si="437"/>
        <v>#NAME?</v>
      </c>
      <c r="S502" s="662" t="e">
        <f t="shared" ca="1" si="412"/>
        <v>#NAME?</v>
      </c>
      <c r="T502" s="443" t="e">
        <f t="shared" ca="1" si="405"/>
        <v>#NAME?</v>
      </c>
      <c r="U502" s="369" t="e">
        <f t="shared" ca="1" si="406"/>
        <v>#NAME?</v>
      </c>
      <c r="V502" s="454" t="e">
        <f t="shared" ca="1" si="413"/>
        <v>#NAME?</v>
      </c>
      <c r="W502" s="457">
        <f t="shared" si="414"/>
        <v>1000</v>
      </c>
      <c r="X502" s="463" t="e">
        <f t="shared" ca="1" si="415"/>
        <v>#NAME?</v>
      </c>
      <c r="Y502" s="455" t="e">
        <f t="shared" ca="1" si="425"/>
        <v>#NAME?</v>
      </c>
      <c r="Z502" s="699">
        <f t="shared" si="407"/>
        <v>8.5</v>
      </c>
      <c r="AA502" s="355" t="str">
        <f t="shared" si="408"/>
        <v>ON</v>
      </c>
      <c r="AB502" s="357">
        <f t="shared" si="438"/>
        <v>1.4999999999999999E-2</v>
      </c>
      <c r="AC502" s="356" t="e">
        <f ca="1">IF(  Y501=0,0,IF(OR(S502="KCAS",S502="INOP",S502="MEFE"),   ( (5*( (   (((1+0.2*(T502/661.4786)^2)^3.5 -1)  )/( (1-6.8755856*10^-6 *100*Y502)^5.2558797) +1)^(2/7) -1) )^0.5),IF(S502="MACH",T502, IF(S502="LRC",BicubicInterpolation( 'LRC Mach'!$C$4:$AL$21, Y502,U502),  IF(S502="MRC",BicubicInterpolation( 'MRC Mach'!$C$3:$T$18, Y502,U502),  IF(S502="M0.84",0.84,  IF(S502="CI52",BicubicInterpolation('CI=52 Mach'!$C$3:$T$18, Y502,U502),  IF(S502="HOLDING",BicubicInterpolation(  'Holding Mach'!$C$4:$M$13, Y502,U502),                         IF(S502="LRCINOP", BicubicInterpolation('LRC INOP Mach'!$C$4:$AA$21,Y502,U502), IF(S502="HOLDINGINOP",  BicubicInterpolation('Holding INOP Mach'!$N$4:$U$13,Y502,U502),         "XXX" )))))))   )))</f>
        <v>#NAME?</v>
      </c>
      <c r="AD502" s="313" t="e">
        <f t="shared" ca="1" si="439"/>
        <v>#NAME?</v>
      </c>
      <c r="AE502" s="314" t="e">
        <f t="shared" ca="1" si="426"/>
        <v>#NAME?</v>
      </c>
      <c r="AF502" s="313" t="e">
        <f t="shared" ca="1" si="440"/>
        <v>#NAME?</v>
      </c>
      <c r="AG502" s="314" t="e">
        <f t="shared" ca="1" si="427"/>
        <v>#NAME?</v>
      </c>
      <c r="AH502" s="313" t="e">
        <f t="shared" ca="1" si="441"/>
        <v>#NAME?</v>
      </c>
      <c r="AI502" s="314" t="e">
        <f t="shared" ca="1" si="428"/>
        <v>#NAME?</v>
      </c>
      <c r="AJ502" s="315" t="e">
        <f t="shared" ca="1" si="429"/>
        <v>#NAME?</v>
      </c>
      <c r="AK502" s="568" t="e">
        <f t="shared" ca="1" si="442"/>
        <v>#NAME?</v>
      </c>
      <c r="AL502" s="313" t="e">
        <f t="shared" ca="1" si="443"/>
        <v>#NAME?</v>
      </c>
      <c r="AM502" s="313" t="e">
        <f t="shared" ca="1" si="430"/>
        <v>#NAME?</v>
      </c>
      <c r="AN502" s="313" t="e">
        <f t="shared" ca="1" si="431"/>
        <v>#NAME?</v>
      </c>
      <c r="AO502" s="316" t="e">
        <f t="shared" ca="1" si="444"/>
        <v>#NAME?</v>
      </c>
      <c r="AP502" s="313" t="e">
        <f t="shared" ca="1" si="445"/>
        <v>#NAME?</v>
      </c>
      <c r="AQ502" s="314" t="e">
        <f t="shared" ca="1" si="432"/>
        <v>#NAME?</v>
      </c>
      <c r="AR502" s="315" t="e">
        <f t="shared" ca="1" si="446"/>
        <v>#NAME?</v>
      </c>
      <c r="AS502" s="316" t="e">
        <f t="shared" ca="1" si="447"/>
        <v>#NAME?</v>
      </c>
      <c r="AT502" s="315" t="e">
        <f t="shared" ca="1" si="448"/>
        <v>#NAME?</v>
      </c>
      <c r="AU502" s="317">
        <v>427.8</v>
      </c>
      <c r="AV502" s="315" t="e">
        <f t="shared" ca="1" si="449"/>
        <v>#NAME?</v>
      </c>
      <c r="AW502" s="318" t="e">
        <f ca="1">0.0001*BicubicInterpolation('Drag Coef Table'!$B$4:$L$28,AV502,AC502)</f>
        <v>#NAME?</v>
      </c>
      <c r="AX502" s="319" t="e">
        <f t="shared" ca="1" si="450"/>
        <v>#NAME?</v>
      </c>
      <c r="AY502" s="318" t="e">
        <f t="shared" ca="1" si="451"/>
        <v>#NAME?</v>
      </c>
      <c r="AZ502" s="320" t="e">
        <f t="shared" ca="1" si="452"/>
        <v>#NAME?</v>
      </c>
      <c r="BA502" s="321" t="e">
        <f t="shared" ca="1" si="453"/>
        <v>#NAME?</v>
      </c>
      <c r="BB502" s="322" t="e">
        <f t="shared" ca="1" si="454"/>
        <v>#NAME?</v>
      </c>
      <c r="BC502" s="323">
        <v>75.196700000000007</v>
      </c>
      <c r="BD502" s="324" t="e">
        <f t="shared" ca="1" si="455"/>
        <v>#NAME?</v>
      </c>
      <c r="BE502" s="325" t="e">
        <f t="shared" ca="1" si="456"/>
        <v>#NAME?</v>
      </c>
      <c r="BF502" s="324" t="e">
        <f ca="1">BicubicInterpolation('TSFC Eff Table'!$B$4:$E$69,2,BB502)</f>
        <v>#NAME?</v>
      </c>
      <c r="BG502" s="326" t="e">
        <f t="shared" ca="1" si="457"/>
        <v>#NAME?</v>
      </c>
      <c r="BH502" s="694" t="e">
        <f ca="1">IF( S502="LRCINOP",   (1+(0.03/10)*Z502*(1+0.2*AC502^2) )*BicubicInterpolation( 'LRC INOP FF'!$C$4:$AA$21, Y502, U502 )-200, IF(S502 ="HOLDINGINOP", (1+(0.03/10)*Z502*(1+0.2*AC502^2) )*BicubicInterpolation( 'Holding INOP FF'!$C$4:$J$13,  Y502,  U502)/1.05-200,   BA502*BG502))</f>
        <v>#NAME?</v>
      </c>
      <c r="BI502" s="344" t="e">
        <f t="shared" ca="1" si="416"/>
        <v>#NAME?</v>
      </c>
      <c r="BJ502" s="322" t="e">
        <f t="shared" ca="1" si="458"/>
        <v>#NAME?</v>
      </c>
      <c r="BK502" s="338" t="e">
        <f t="shared" ca="1" si="417"/>
        <v>#NAME?</v>
      </c>
      <c r="BL502" s="327" t="e">
        <f t="shared" ca="1" si="459"/>
        <v>#NAME?</v>
      </c>
      <c r="BM502" s="328">
        <f t="shared" si="460"/>
        <v>200</v>
      </c>
      <c r="BN502" s="329" t="e">
        <f t="shared" ca="1" si="461"/>
        <v>#NAME?</v>
      </c>
      <c r="BO502" s="344" t="e">
        <f t="shared" ca="1" si="418"/>
        <v>#NAME?</v>
      </c>
      <c r="BP502" s="320" t="e">
        <f t="shared" ca="1" si="462"/>
        <v>#NAME?</v>
      </c>
      <c r="BQ502" s="344" t="e">
        <f t="shared" ca="1" si="419"/>
        <v>#NAME?</v>
      </c>
      <c r="BR502" s="347" t="e">
        <f t="shared" ca="1" si="420"/>
        <v>#NAME?</v>
      </c>
      <c r="BS502" s="326" t="e">
        <f t="shared" ca="1" si="463"/>
        <v>#NAME?</v>
      </c>
      <c r="BT502" s="437" t="e">
        <f t="shared" ca="1" si="433"/>
        <v>#NAME?</v>
      </c>
      <c r="BU502" s="437" t="e">
        <f t="shared" ca="1" si="434"/>
        <v>#NAME?</v>
      </c>
      <c r="BV502" s="441" t="e">
        <f t="shared" ca="1" si="435"/>
        <v>#NAME?</v>
      </c>
      <c r="BW502" s="442" t="e">
        <f t="shared" ca="1" si="436"/>
        <v>#NAME?</v>
      </c>
      <c r="BX502" s="470" t="e">
        <f t="shared" ca="1" si="409"/>
        <v>#NAME?</v>
      </c>
      <c r="BY502" s="484" t="e">
        <f t="shared" ca="1" si="421"/>
        <v>#NAME?</v>
      </c>
    </row>
    <row r="503" spans="9:77" ht="17.75" customHeight="1" x14ac:dyDescent="0.2">
      <c r="I503" s="366">
        <v>419</v>
      </c>
      <c r="J503" s="414">
        <f t="shared" si="422"/>
        <v>41706.003472223172</v>
      </c>
      <c r="K503" s="435" t="e">
        <f t="shared" ca="1" si="423"/>
        <v>#NAME?</v>
      </c>
      <c r="L503" s="435" t="e">
        <f t="shared" ca="1" si="466"/>
        <v>#NAME?</v>
      </c>
      <c r="M503" s="664" t="e">
        <f t="shared" ca="1" si="464"/>
        <v>#NAME?</v>
      </c>
      <c r="N503" s="664" t="e">
        <f t="shared" ca="1" si="465"/>
        <v>#NAME?</v>
      </c>
      <c r="O503" s="140" t="e">
        <f t="shared" ca="1" si="411"/>
        <v>#NAME?</v>
      </c>
      <c r="P503" s="352" t="e">
        <f t="shared" ca="1" si="424"/>
        <v>#NAME?</v>
      </c>
      <c r="Q503" s="665" t="e">
        <f t="shared" ca="1" si="404"/>
        <v>#NAME?</v>
      </c>
      <c r="R503" s="352" t="e">
        <f t="shared" ca="1" si="437"/>
        <v>#NAME?</v>
      </c>
      <c r="S503" s="662" t="e">
        <f t="shared" ca="1" si="412"/>
        <v>#NAME?</v>
      </c>
      <c r="T503" s="443" t="e">
        <f t="shared" ca="1" si="405"/>
        <v>#NAME?</v>
      </c>
      <c r="U503" s="369" t="e">
        <f t="shared" ca="1" si="406"/>
        <v>#NAME?</v>
      </c>
      <c r="V503" s="454" t="e">
        <f t="shared" ca="1" si="413"/>
        <v>#NAME?</v>
      </c>
      <c r="W503" s="457">
        <f t="shared" si="414"/>
        <v>1000</v>
      </c>
      <c r="X503" s="463" t="e">
        <f t="shared" ca="1" si="415"/>
        <v>#NAME?</v>
      </c>
      <c r="Y503" s="455" t="e">
        <f t="shared" ca="1" si="425"/>
        <v>#NAME?</v>
      </c>
      <c r="Z503" s="699">
        <f t="shared" si="407"/>
        <v>8.5</v>
      </c>
      <c r="AA503" s="355" t="str">
        <f t="shared" si="408"/>
        <v>ON</v>
      </c>
      <c r="AB503" s="357">
        <f t="shared" si="438"/>
        <v>1.4999999999999999E-2</v>
      </c>
      <c r="AC503" s="356" t="e">
        <f ca="1">IF(  Y502=0,0,IF(OR(S503="KCAS",S503="INOP",S503="MEFE"),   ( (5*( (   (((1+0.2*(T503/661.4786)^2)^3.5 -1)  )/( (1-6.8755856*10^-6 *100*Y503)^5.2558797) +1)^(2/7) -1) )^0.5),IF(S503="MACH",T503, IF(S503="LRC",BicubicInterpolation( 'LRC Mach'!$C$4:$AL$21, Y503,U503),  IF(S503="MRC",BicubicInterpolation( 'MRC Mach'!$C$3:$T$18, Y503,U503),  IF(S503="M0.84",0.84,  IF(S503="CI52",BicubicInterpolation('CI=52 Mach'!$C$3:$T$18, Y503,U503),  IF(S503="HOLDING",BicubicInterpolation(  'Holding Mach'!$C$4:$M$13, Y503,U503),                         IF(S503="LRCINOP", BicubicInterpolation('LRC INOP Mach'!$C$4:$AA$21,Y503,U503), IF(S503="HOLDINGINOP",  BicubicInterpolation('Holding INOP Mach'!$N$4:$U$13,Y503,U503),         "XXX" )))))))   )))</f>
        <v>#NAME?</v>
      </c>
      <c r="AD503" s="313" t="e">
        <f t="shared" ca="1" si="439"/>
        <v>#NAME?</v>
      </c>
      <c r="AE503" s="314" t="e">
        <f t="shared" ca="1" si="426"/>
        <v>#NAME?</v>
      </c>
      <c r="AF503" s="313" t="e">
        <f t="shared" ca="1" si="440"/>
        <v>#NAME?</v>
      </c>
      <c r="AG503" s="314" t="e">
        <f t="shared" ca="1" si="427"/>
        <v>#NAME?</v>
      </c>
      <c r="AH503" s="313" t="e">
        <f t="shared" ca="1" si="441"/>
        <v>#NAME?</v>
      </c>
      <c r="AI503" s="314" t="e">
        <f t="shared" ca="1" si="428"/>
        <v>#NAME?</v>
      </c>
      <c r="AJ503" s="315" t="e">
        <f t="shared" ca="1" si="429"/>
        <v>#NAME?</v>
      </c>
      <c r="AK503" s="568" t="e">
        <f t="shared" ca="1" si="442"/>
        <v>#NAME?</v>
      </c>
      <c r="AL503" s="313" t="e">
        <f t="shared" ca="1" si="443"/>
        <v>#NAME?</v>
      </c>
      <c r="AM503" s="313" t="e">
        <f t="shared" ca="1" si="430"/>
        <v>#NAME?</v>
      </c>
      <c r="AN503" s="313" t="e">
        <f t="shared" ca="1" si="431"/>
        <v>#NAME?</v>
      </c>
      <c r="AO503" s="316" t="e">
        <f t="shared" ca="1" si="444"/>
        <v>#NAME?</v>
      </c>
      <c r="AP503" s="313" t="e">
        <f t="shared" ca="1" si="445"/>
        <v>#NAME?</v>
      </c>
      <c r="AQ503" s="314" t="e">
        <f t="shared" ca="1" si="432"/>
        <v>#NAME?</v>
      </c>
      <c r="AR503" s="315" t="e">
        <f t="shared" ca="1" si="446"/>
        <v>#NAME?</v>
      </c>
      <c r="AS503" s="316" t="e">
        <f t="shared" ca="1" si="447"/>
        <v>#NAME?</v>
      </c>
      <c r="AT503" s="315" t="e">
        <f t="shared" ca="1" si="448"/>
        <v>#NAME?</v>
      </c>
      <c r="AU503" s="317">
        <v>427.8</v>
      </c>
      <c r="AV503" s="315" t="e">
        <f t="shared" ca="1" si="449"/>
        <v>#NAME?</v>
      </c>
      <c r="AW503" s="318" t="e">
        <f ca="1">0.0001*BicubicInterpolation('Drag Coef Table'!$B$4:$L$28,AV503,AC503)</f>
        <v>#NAME?</v>
      </c>
      <c r="AX503" s="319" t="e">
        <f t="shared" ca="1" si="450"/>
        <v>#NAME?</v>
      </c>
      <c r="AY503" s="318" t="e">
        <f t="shared" ca="1" si="451"/>
        <v>#NAME?</v>
      </c>
      <c r="AZ503" s="320" t="e">
        <f t="shared" ca="1" si="452"/>
        <v>#NAME?</v>
      </c>
      <c r="BA503" s="321" t="e">
        <f t="shared" ca="1" si="453"/>
        <v>#NAME?</v>
      </c>
      <c r="BB503" s="322" t="e">
        <f t="shared" ca="1" si="454"/>
        <v>#NAME?</v>
      </c>
      <c r="BC503" s="323">
        <v>75.196700000000007</v>
      </c>
      <c r="BD503" s="324" t="e">
        <f t="shared" ca="1" si="455"/>
        <v>#NAME?</v>
      </c>
      <c r="BE503" s="325" t="e">
        <f t="shared" ca="1" si="456"/>
        <v>#NAME?</v>
      </c>
      <c r="BF503" s="324" t="e">
        <f ca="1">BicubicInterpolation('TSFC Eff Table'!$B$4:$E$69,2,BB503)</f>
        <v>#NAME?</v>
      </c>
      <c r="BG503" s="326" t="e">
        <f t="shared" ca="1" si="457"/>
        <v>#NAME?</v>
      </c>
      <c r="BH503" s="694" t="e">
        <f ca="1">IF( S503="LRCINOP",   (1+(0.03/10)*Z503*(1+0.2*AC503^2) )*BicubicInterpolation( 'LRC INOP FF'!$C$4:$AA$21, Y503, U503 )-200, IF(S503 ="HOLDINGINOP", (1+(0.03/10)*Z503*(1+0.2*AC503^2) )*BicubicInterpolation( 'Holding INOP FF'!$C$4:$J$13,  Y503,  U503)/1.05-200,   BA503*BG503))</f>
        <v>#NAME?</v>
      </c>
      <c r="BI503" s="344" t="e">
        <f t="shared" ca="1" si="416"/>
        <v>#NAME?</v>
      </c>
      <c r="BJ503" s="322" t="e">
        <f t="shared" ca="1" si="458"/>
        <v>#NAME?</v>
      </c>
      <c r="BK503" s="338" t="e">
        <f t="shared" ca="1" si="417"/>
        <v>#NAME?</v>
      </c>
      <c r="BL503" s="327" t="e">
        <f t="shared" ca="1" si="459"/>
        <v>#NAME?</v>
      </c>
      <c r="BM503" s="328">
        <f t="shared" si="460"/>
        <v>200</v>
      </c>
      <c r="BN503" s="329" t="e">
        <f t="shared" ca="1" si="461"/>
        <v>#NAME?</v>
      </c>
      <c r="BO503" s="344" t="e">
        <f t="shared" ca="1" si="418"/>
        <v>#NAME?</v>
      </c>
      <c r="BP503" s="320" t="e">
        <f t="shared" ca="1" si="462"/>
        <v>#NAME?</v>
      </c>
      <c r="BQ503" s="344" t="e">
        <f t="shared" ca="1" si="419"/>
        <v>#NAME?</v>
      </c>
      <c r="BR503" s="347" t="e">
        <f t="shared" ca="1" si="420"/>
        <v>#NAME?</v>
      </c>
      <c r="BS503" s="326" t="e">
        <f t="shared" ca="1" si="463"/>
        <v>#NAME?</v>
      </c>
      <c r="BT503" s="437" t="e">
        <f t="shared" ca="1" si="433"/>
        <v>#NAME?</v>
      </c>
      <c r="BU503" s="437" t="e">
        <f t="shared" ca="1" si="434"/>
        <v>#NAME?</v>
      </c>
      <c r="BV503" s="441" t="e">
        <f t="shared" ca="1" si="435"/>
        <v>#NAME?</v>
      </c>
      <c r="BW503" s="442" t="e">
        <f t="shared" ca="1" si="436"/>
        <v>#NAME?</v>
      </c>
      <c r="BX503" s="470" t="e">
        <f t="shared" ca="1" si="409"/>
        <v>#NAME?</v>
      </c>
      <c r="BY503" s="484" t="e">
        <f t="shared" ca="1" si="421"/>
        <v>#NAME?</v>
      </c>
    </row>
    <row r="504" spans="9:77" ht="17.75" customHeight="1" x14ac:dyDescent="0.2">
      <c r="I504" s="366">
        <v>420</v>
      </c>
      <c r="J504" s="414">
        <f t="shared" si="422"/>
        <v>41706.004166667619</v>
      </c>
      <c r="K504" s="435" t="e">
        <f t="shared" ca="1" si="423"/>
        <v>#NAME?</v>
      </c>
      <c r="L504" s="435" t="e">
        <f t="shared" ca="1" si="466"/>
        <v>#NAME?</v>
      </c>
      <c r="M504" s="664" t="e">
        <f t="shared" ca="1" si="464"/>
        <v>#NAME?</v>
      </c>
      <c r="N504" s="664" t="e">
        <f t="shared" ca="1" si="465"/>
        <v>#NAME?</v>
      </c>
      <c r="O504" s="140" t="e">
        <f t="shared" ca="1" si="411"/>
        <v>#NAME?</v>
      </c>
      <c r="P504" s="352" t="e">
        <f t="shared" ca="1" si="424"/>
        <v>#NAME?</v>
      </c>
      <c r="Q504" s="665" t="e">
        <f t="shared" ca="1" si="404"/>
        <v>#NAME?</v>
      </c>
      <c r="R504" s="352" t="e">
        <f t="shared" ca="1" si="437"/>
        <v>#NAME?</v>
      </c>
      <c r="S504" s="662" t="e">
        <f t="shared" ca="1" si="412"/>
        <v>#NAME?</v>
      </c>
      <c r="T504" s="443" t="e">
        <f t="shared" ca="1" si="405"/>
        <v>#NAME?</v>
      </c>
      <c r="U504" s="369" t="e">
        <f t="shared" ca="1" si="406"/>
        <v>#NAME?</v>
      </c>
      <c r="V504" s="454" t="e">
        <f t="shared" ca="1" si="413"/>
        <v>#NAME?</v>
      </c>
      <c r="W504" s="457">
        <f t="shared" si="414"/>
        <v>1000</v>
      </c>
      <c r="X504" s="463" t="e">
        <f t="shared" ca="1" si="415"/>
        <v>#NAME?</v>
      </c>
      <c r="Y504" s="455" t="e">
        <f t="shared" ca="1" si="425"/>
        <v>#NAME?</v>
      </c>
      <c r="Z504" s="699">
        <f t="shared" si="407"/>
        <v>8.5</v>
      </c>
      <c r="AA504" s="355" t="str">
        <f t="shared" si="408"/>
        <v>ON</v>
      </c>
      <c r="AB504" s="357">
        <f t="shared" si="438"/>
        <v>1.4999999999999999E-2</v>
      </c>
      <c r="AC504" s="356" t="e">
        <f ca="1">IF(  Y503=0,0,IF(OR(S504="KCAS",S504="INOP",S504="MEFE"),   ( (5*( (   (((1+0.2*(T504/661.4786)^2)^3.5 -1)  )/( (1-6.8755856*10^-6 *100*Y504)^5.2558797) +1)^(2/7) -1) )^0.5),IF(S504="MACH",T504, IF(S504="LRC",BicubicInterpolation( 'LRC Mach'!$C$4:$AL$21, Y504,U504),  IF(S504="MRC",BicubicInterpolation( 'MRC Mach'!$C$3:$T$18, Y504,U504),  IF(S504="M0.84",0.84,  IF(S504="CI52",BicubicInterpolation('CI=52 Mach'!$C$3:$T$18, Y504,U504),  IF(S504="HOLDING",BicubicInterpolation(  'Holding Mach'!$C$4:$M$13, Y504,U504),                         IF(S504="LRCINOP", BicubicInterpolation('LRC INOP Mach'!$C$4:$AA$21,Y504,U504), IF(S504="HOLDINGINOP",  BicubicInterpolation('Holding INOP Mach'!$N$4:$U$13,Y504,U504),         "XXX" )))))))   )))</f>
        <v>#NAME?</v>
      </c>
      <c r="AD504" s="313" t="e">
        <f t="shared" ca="1" si="439"/>
        <v>#NAME?</v>
      </c>
      <c r="AE504" s="314" t="e">
        <f t="shared" ca="1" si="426"/>
        <v>#NAME?</v>
      </c>
      <c r="AF504" s="313" t="e">
        <f t="shared" ca="1" si="440"/>
        <v>#NAME?</v>
      </c>
      <c r="AG504" s="314" t="e">
        <f t="shared" ca="1" si="427"/>
        <v>#NAME?</v>
      </c>
      <c r="AH504" s="313" t="e">
        <f t="shared" ca="1" si="441"/>
        <v>#NAME?</v>
      </c>
      <c r="AI504" s="314" t="e">
        <f t="shared" ca="1" si="428"/>
        <v>#NAME?</v>
      </c>
      <c r="AJ504" s="315" t="e">
        <f t="shared" ca="1" si="429"/>
        <v>#NAME?</v>
      </c>
      <c r="AK504" s="568" t="e">
        <f t="shared" ca="1" si="442"/>
        <v>#NAME?</v>
      </c>
      <c r="AL504" s="313" t="e">
        <f t="shared" ca="1" si="443"/>
        <v>#NAME?</v>
      </c>
      <c r="AM504" s="313" t="e">
        <f t="shared" ca="1" si="430"/>
        <v>#NAME?</v>
      </c>
      <c r="AN504" s="313" t="e">
        <f t="shared" ca="1" si="431"/>
        <v>#NAME?</v>
      </c>
      <c r="AO504" s="316" t="e">
        <f t="shared" ca="1" si="444"/>
        <v>#NAME?</v>
      </c>
      <c r="AP504" s="313" t="e">
        <f t="shared" ca="1" si="445"/>
        <v>#NAME?</v>
      </c>
      <c r="AQ504" s="314" t="e">
        <f t="shared" ca="1" si="432"/>
        <v>#NAME?</v>
      </c>
      <c r="AR504" s="315" t="e">
        <f t="shared" ca="1" si="446"/>
        <v>#NAME?</v>
      </c>
      <c r="AS504" s="316" t="e">
        <f t="shared" ca="1" si="447"/>
        <v>#NAME?</v>
      </c>
      <c r="AT504" s="315" t="e">
        <f t="shared" ca="1" si="448"/>
        <v>#NAME?</v>
      </c>
      <c r="AU504" s="317">
        <v>427.8</v>
      </c>
      <c r="AV504" s="315" t="e">
        <f t="shared" ca="1" si="449"/>
        <v>#NAME?</v>
      </c>
      <c r="AW504" s="318" t="e">
        <f ca="1">0.0001*BicubicInterpolation('Drag Coef Table'!$B$4:$L$28,AV504,AC504)</f>
        <v>#NAME?</v>
      </c>
      <c r="AX504" s="319" t="e">
        <f t="shared" ca="1" si="450"/>
        <v>#NAME?</v>
      </c>
      <c r="AY504" s="318" t="e">
        <f t="shared" ca="1" si="451"/>
        <v>#NAME?</v>
      </c>
      <c r="AZ504" s="320" t="e">
        <f t="shared" ca="1" si="452"/>
        <v>#NAME?</v>
      </c>
      <c r="BA504" s="321" t="e">
        <f t="shared" ca="1" si="453"/>
        <v>#NAME?</v>
      </c>
      <c r="BB504" s="322" t="e">
        <f t="shared" ca="1" si="454"/>
        <v>#NAME?</v>
      </c>
      <c r="BC504" s="323">
        <v>75.196700000000007</v>
      </c>
      <c r="BD504" s="324" t="e">
        <f t="shared" ca="1" si="455"/>
        <v>#NAME?</v>
      </c>
      <c r="BE504" s="325" t="e">
        <f t="shared" ca="1" si="456"/>
        <v>#NAME?</v>
      </c>
      <c r="BF504" s="324" t="e">
        <f ca="1">BicubicInterpolation('TSFC Eff Table'!$B$4:$E$69,2,BB504)</f>
        <v>#NAME?</v>
      </c>
      <c r="BG504" s="326" t="e">
        <f t="shared" ca="1" si="457"/>
        <v>#NAME?</v>
      </c>
      <c r="BH504" s="694" t="e">
        <f ca="1">IF( S504="LRCINOP",   (1+(0.03/10)*Z504*(1+0.2*AC504^2) )*BicubicInterpolation( 'LRC INOP FF'!$C$4:$AA$21, Y504, U504 )-200, IF(S504 ="HOLDINGINOP", (1+(0.03/10)*Z504*(1+0.2*AC504^2) )*BicubicInterpolation( 'Holding INOP FF'!$C$4:$J$13,  Y504,  U504)/1.05-200,   BA504*BG504))</f>
        <v>#NAME?</v>
      </c>
      <c r="BI504" s="344" t="e">
        <f t="shared" ca="1" si="416"/>
        <v>#NAME?</v>
      </c>
      <c r="BJ504" s="322" t="e">
        <f t="shared" ca="1" si="458"/>
        <v>#NAME?</v>
      </c>
      <c r="BK504" s="338" t="e">
        <f t="shared" ca="1" si="417"/>
        <v>#NAME?</v>
      </c>
      <c r="BL504" s="327" t="e">
        <f t="shared" ca="1" si="459"/>
        <v>#NAME?</v>
      </c>
      <c r="BM504" s="328">
        <f t="shared" si="460"/>
        <v>200</v>
      </c>
      <c r="BN504" s="329" t="e">
        <f t="shared" ca="1" si="461"/>
        <v>#NAME?</v>
      </c>
      <c r="BO504" s="344" t="e">
        <f t="shared" ca="1" si="418"/>
        <v>#NAME?</v>
      </c>
      <c r="BP504" s="320" t="e">
        <f t="shared" ca="1" si="462"/>
        <v>#NAME?</v>
      </c>
      <c r="BQ504" s="344" t="e">
        <f t="shared" ca="1" si="419"/>
        <v>#NAME?</v>
      </c>
      <c r="BR504" s="347" t="e">
        <f t="shared" ca="1" si="420"/>
        <v>#NAME?</v>
      </c>
      <c r="BS504" s="326" t="e">
        <f t="shared" ca="1" si="463"/>
        <v>#NAME?</v>
      </c>
      <c r="BT504" s="437" t="e">
        <f t="shared" ca="1" si="433"/>
        <v>#NAME?</v>
      </c>
      <c r="BU504" s="437" t="e">
        <f t="shared" ca="1" si="434"/>
        <v>#NAME?</v>
      </c>
      <c r="BV504" s="441" t="e">
        <f t="shared" ca="1" si="435"/>
        <v>#NAME?</v>
      </c>
      <c r="BW504" s="442" t="e">
        <f t="shared" ca="1" si="436"/>
        <v>#NAME?</v>
      </c>
      <c r="BX504" s="470" t="e">
        <f t="shared" ca="1" si="409"/>
        <v>#NAME?</v>
      </c>
      <c r="BY504" s="484" t="e">
        <f t="shared" ca="1" si="421"/>
        <v>#NAME?</v>
      </c>
    </row>
    <row r="505" spans="9:77" ht="17.75" customHeight="1" x14ac:dyDescent="0.2">
      <c r="I505" s="366">
        <v>421</v>
      </c>
      <c r="J505" s="414">
        <f t="shared" si="422"/>
        <v>41706.004861112066</v>
      </c>
      <c r="K505" s="435" t="e">
        <f t="shared" ca="1" si="423"/>
        <v>#NAME?</v>
      </c>
      <c r="L505" s="435" t="e">
        <f t="shared" ca="1" si="466"/>
        <v>#NAME?</v>
      </c>
      <c r="M505" s="664" t="e">
        <f t="shared" ca="1" si="464"/>
        <v>#NAME?</v>
      </c>
      <c r="N505" s="664" t="e">
        <f t="shared" ca="1" si="465"/>
        <v>#NAME?</v>
      </c>
      <c r="O505" s="140" t="e">
        <f t="shared" ca="1" si="411"/>
        <v>#NAME?</v>
      </c>
      <c r="P505" s="352" t="e">
        <f t="shared" ca="1" si="424"/>
        <v>#NAME?</v>
      </c>
      <c r="Q505" s="665" t="e">
        <f t="shared" ca="1" si="404"/>
        <v>#NAME?</v>
      </c>
      <c r="R505" s="352" t="e">
        <f t="shared" ca="1" si="437"/>
        <v>#NAME?</v>
      </c>
      <c r="S505" s="662" t="e">
        <f t="shared" ca="1" si="412"/>
        <v>#NAME?</v>
      </c>
      <c r="T505" s="443" t="e">
        <f t="shared" ca="1" si="405"/>
        <v>#NAME?</v>
      </c>
      <c r="U505" s="369" t="e">
        <f t="shared" ca="1" si="406"/>
        <v>#NAME?</v>
      </c>
      <c r="V505" s="454" t="e">
        <f t="shared" ca="1" si="413"/>
        <v>#NAME?</v>
      </c>
      <c r="W505" s="457">
        <f t="shared" si="414"/>
        <v>1000</v>
      </c>
      <c r="X505" s="463" t="e">
        <f t="shared" ca="1" si="415"/>
        <v>#NAME?</v>
      </c>
      <c r="Y505" s="455" t="e">
        <f t="shared" ca="1" si="425"/>
        <v>#NAME?</v>
      </c>
      <c r="Z505" s="699">
        <f t="shared" si="407"/>
        <v>8.5</v>
      </c>
      <c r="AA505" s="355" t="str">
        <f t="shared" si="408"/>
        <v>ON</v>
      </c>
      <c r="AB505" s="357">
        <f t="shared" si="438"/>
        <v>1.4999999999999999E-2</v>
      </c>
      <c r="AC505" s="356" t="e">
        <f ca="1">IF(  Y504=0,0,IF(OR(S505="KCAS",S505="INOP",S505="MEFE"),   ( (5*( (   (((1+0.2*(T505/661.4786)^2)^3.5 -1)  )/( (1-6.8755856*10^-6 *100*Y505)^5.2558797) +1)^(2/7) -1) )^0.5),IF(S505="MACH",T505, IF(S505="LRC",BicubicInterpolation( 'LRC Mach'!$C$4:$AL$21, Y505,U505),  IF(S505="MRC",BicubicInterpolation( 'MRC Mach'!$C$3:$T$18, Y505,U505),  IF(S505="M0.84",0.84,  IF(S505="CI52",BicubicInterpolation('CI=52 Mach'!$C$3:$T$18, Y505,U505),  IF(S505="HOLDING",BicubicInterpolation(  'Holding Mach'!$C$4:$M$13, Y505,U505),                         IF(S505="LRCINOP", BicubicInterpolation('LRC INOP Mach'!$C$4:$AA$21,Y505,U505), IF(S505="HOLDINGINOP",  BicubicInterpolation('Holding INOP Mach'!$N$4:$U$13,Y505,U505),         "XXX" )))))))   )))</f>
        <v>#NAME?</v>
      </c>
      <c r="AD505" s="313" t="e">
        <f t="shared" ca="1" si="439"/>
        <v>#NAME?</v>
      </c>
      <c r="AE505" s="314" t="e">
        <f t="shared" ca="1" si="426"/>
        <v>#NAME?</v>
      </c>
      <c r="AF505" s="313" t="e">
        <f t="shared" ca="1" si="440"/>
        <v>#NAME?</v>
      </c>
      <c r="AG505" s="314" t="e">
        <f t="shared" ca="1" si="427"/>
        <v>#NAME?</v>
      </c>
      <c r="AH505" s="313" t="e">
        <f t="shared" ca="1" si="441"/>
        <v>#NAME?</v>
      </c>
      <c r="AI505" s="314" t="e">
        <f t="shared" ca="1" si="428"/>
        <v>#NAME?</v>
      </c>
      <c r="AJ505" s="315" t="e">
        <f t="shared" ca="1" si="429"/>
        <v>#NAME?</v>
      </c>
      <c r="AK505" s="568" t="e">
        <f t="shared" ca="1" si="442"/>
        <v>#NAME?</v>
      </c>
      <c r="AL505" s="313" t="e">
        <f t="shared" ca="1" si="443"/>
        <v>#NAME?</v>
      </c>
      <c r="AM505" s="313" t="e">
        <f t="shared" ca="1" si="430"/>
        <v>#NAME?</v>
      </c>
      <c r="AN505" s="313" t="e">
        <f t="shared" ca="1" si="431"/>
        <v>#NAME?</v>
      </c>
      <c r="AO505" s="316" t="e">
        <f t="shared" ca="1" si="444"/>
        <v>#NAME?</v>
      </c>
      <c r="AP505" s="313" t="e">
        <f t="shared" ca="1" si="445"/>
        <v>#NAME?</v>
      </c>
      <c r="AQ505" s="314" t="e">
        <f t="shared" ca="1" si="432"/>
        <v>#NAME?</v>
      </c>
      <c r="AR505" s="315" t="e">
        <f t="shared" ca="1" si="446"/>
        <v>#NAME?</v>
      </c>
      <c r="AS505" s="316" t="e">
        <f t="shared" ca="1" si="447"/>
        <v>#NAME?</v>
      </c>
      <c r="AT505" s="315" t="e">
        <f t="shared" ca="1" si="448"/>
        <v>#NAME?</v>
      </c>
      <c r="AU505" s="317">
        <v>427.8</v>
      </c>
      <c r="AV505" s="315" t="e">
        <f t="shared" ca="1" si="449"/>
        <v>#NAME?</v>
      </c>
      <c r="AW505" s="318" t="e">
        <f ca="1">0.0001*BicubicInterpolation('Drag Coef Table'!$B$4:$L$28,AV505,AC505)</f>
        <v>#NAME?</v>
      </c>
      <c r="AX505" s="319" t="e">
        <f t="shared" ca="1" si="450"/>
        <v>#NAME?</v>
      </c>
      <c r="AY505" s="318" t="e">
        <f t="shared" ca="1" si="451"/>
        <v>#NAME?</v>
      </c>
      <c r="AZ505" s="320" t="e">
        <f t="shared" ca="1" si="452"/>
        <v>#NAME?</v>
      </c>
      <c r="BA505" s="321" t="e">
        <f t="shared" ca="1" si="453"/>
        <v>#NAME?</v>
      </c>
      <c r="BB505" s="322" t="e">
        <f t="shared" ca="1" si="454"/>
        <v>#NAME?</v>
      </c>
      <c r="BC505" s="323">
        <v>75.196700000000007</v>
      </c>
      <c r="BD505" s="324" t="e">
        <f t="shared" ca="1" si="455"/>
        <v>#NAME?</v>
      </c>
      <c r="BE505" s="325" t="e">
        <f t="shared" ca="1" si="456"/>
        <v>#NAME?</v>
      </c>
      <c r="BF505" s="324" t="e">
        <f ca="1">BicubicInterpolation('TSFC Eff Table'!$B$4:$E$69,2,BB505)</f>
        <v>#NAME?</v>
      </c>
      <c r="BG505" s="326" t="e">
        <f t="shared" ca="1" si="457"/>
        <v>#NAME?</v>
      </c>
      <c r="BH505" s="694" t="e">
        <f ca="1">IF( S505="LRCINOP",   (1+(0.03/10)*Z505*(1+0.2*AC505^2) )*BicubicInterpolation( 'LRC INOP FF'!$C$4:$AA$21, Y505, U505 )-200, IF(S505 ="HOLDINGINOP", (1+(0.03/10)*Z505*(1+0.2*AC505^2) )*BicubicInterpolation( 'Holding INOP FF'!$C$4:$J$13,  Y505,  U505)/1.05-200,   BA505*BG505))</f>
        <v>#NAME?</v>
      </c>
      <c r="BI505" s="344" t="e">
        <f t="shared" ca="1" si="416"/>
        <v>#NAME?</v>
      </c>
      <c r="BJ505" s="322" t="e">
        <f t="shared" ca="1" si="458"/>
        <v>#NAME?</v>
      </c>
      <c r="BK505" s="338" t="e">
        <f t="shared" ca="1" si="417"/>
        <v>#NAME?</v>
      </c>
      <c r="BL505" s="327" t="e">
        <f t="shared" ca="1" si="459"/>
        <v>#NAME?</v>
      </c>
      <c r="BM505" s="328">
        <f t="shared" si="460"/>
        <v>200</v>
      </c>
      <c r="BN505" s="329" t="e">
        <f t="shared" ca="1" si="461"/>
        <v>#NAME?</v>
      </c>
      <c r="BO505" s="344" t="e">
        <f t="shared" ca="1" si="418"/>
        <v>#NAME?</v>
      </c>
      <c r="BP505" s="320" t="e">
        <f t="shared" ca="1" si="462"/>
        <v>#NAME?</v>
      </c>
      <c r="BQ505" s="344" t="e">
        <f t="shared" ca="1" si="419"/>
        <v>#NAME?</v>
      </c>
      <c r="BR505" s="347" t="e">
        <f t="shared" ca="1" si="420"/>
        <v>#NAME?</v>
      </c>
      <c r="BS505" s="326" t="e">
        <f t="shared" ca="1" si="463"/>
        <v>#NAME?</v>
      </c>
      <c r="BT505" s="437" t="e">
        <f t="shared" ca="1" si="433"/>
        <v>#NAME?</v>
      </c>
      <c r="BU505" s="437" t="e">
        <f t="shared" ca="1" si="434"/>
        <v>#NAME?</v>
      </c>
      <c r="BV505" s="441" t="e">
        <f t="shared" ca="1" si="435"/>
        <v>#NAME?</v>
      </c>
      <c r="BW505" s="442" t="e">
        <f t="shared" ca="1" si="436"/>
        <v>#NAME?</v>
      </c>
      <c r="BX505" s="470" t="e">
        <f t="shared" ca="1" si="409"/>
        <v>#NAME?</v>
      </c>
      <c r="BY505" s="484" t="e">
        <f t="shared" ca="1" si="421"/>
        <v>#NAME?</v>
      </c>
    </row>
    <row r="506" spans="9:77" ht="17.75" customHeight="1" x14ac:dyDescent="0.2">
      <c r="I506" s="366">
        <v>422</v>
      </c>
      <c r="J506" s="414">
        <f t="shared" si="422"/>
        <v>41706.005555556512</v>
      </c>
      <c r="K506" s="435" t="e">
        <f t="shared" ca="1" si="423"/>
        <v>#NAME?</v>
      </c>
      <c r="L506" s="435" t="e">
        <f t="shared" ca="1" si="466"/>
        <v>#NAME?</v>
      </c>
      <c r="M506" s="664" t="e">
        <f t="shared" ca="1" si="464"/>
        <v>#NAME?</v>
      </c>
      <c r="N506" s="664" t="e">
        <f t="shared" ca="1" si="465"/>
        <v>#NAME?</v>
      </c>
      <c r="O506" s="140" t="e">
        <f t="shared" ca="1" si="411"/>
        <v>#NAME?</v>
      </c>
      <c r="P506" s="352" t="e">
        <f t="shared" ca="1" si="424"/>
        <v>#NAME?</v>
      </c>
      <c r="Q506" s="665" t="e">
        <f t="shared" ca="1" si="404"/>
        <v>#NAME?</v>
      </c>
      <c r="R506" s="352" t="e">
        <f t="shared" ca="1" si="437"/>
        <v>#NAME?</v>
      </c>
      <c r="S506" s="662" t="e">
        <f t="shared" ca="1" si="412"/>
        <v>#NAME?</v>
      </c>
      <c r="T506" s="443" t="e">
        <f t="shared" ca="1" si="405"/>
        <v>#NAME?</v>
      </c>
      <c r="U506" s="369" t="e">
        <f t="shared" ca="1" si="406"/>
        <v>#NAME?</v>
      </c>
      <c r="V506" s="454" t="e">
        <f t="shared" ca="1" si="413"/>
        <v>#NAME?</v>
      </c>
      <c r="W506" s="457">
        <f t="shared" si="414"/>
        <v>1000</v>
      </c>
      <c r="X506" s="463" t="e">
        <f t="shared" ca="1" si="415"/>
        <v>#NAME?</v>
      </c>
      <c r="Y506" s="455" t="e">
        <f t="shared" ca="1" si="425"/>
        <v>#NAME?</v>
      </c>
      <c r="Z506" s="699">
        <f t="shared" si="407"/>
        <v>8.5</v>
      </c>
      <c r="AA506" s="355" t="str">
        <f t="shared" si="408"/>
        <v>ON</v>
      </c>
      <c r="AB506" s="357">
        <f t="shared" si="438"/>
        <v>1.4999999999999999E-2</v>
      </c>
      <c r="AC506" s="356" t="e">
        <f ca="1">IF(  Y505=0,0,IF(OR(S506="KCAS",S506="INOP",S506="MEFE"),   ( (5*( (   (((1+0.2*(T506/661.4786)^2)^3.5 -1)  )/( (1-6.8755856*10^-6 *100*Y506)^5.2558797) +1)^(2/7) -1) )^0.5),IF(S506="MACH",T506, IF(S506="LRC",BicubicInterpolation( 'LRC Mach'!$C$4:$AL$21, Y506,U506),  IF(S506="MRC",BicubicInterpolation( 'MRC Mach'!$C$3:$T$18, Y506,U506),  IF(S506="M0.84",0.84,  IF(S506="CI52",BicubicInterpolation('CI=52 Mach'!$C$3:$T$18, Y506,U506),  IF(S506="HOLDING",BicubicInterpolation(  'Holding Mach'!$C$4:$M$13, Y506,U506),                         IF(S506="LRCINOP", BicubicInterpolation('LRC INOP Mach'!$C$4:$AA$21,Y506,U506), IF(S506="HOLDINGINOP",  BicubicInterpolation('Holding INOP Mach'!$N$4:$U$13,Y506,U506),         "XXX" )))))))   )))</f>
        <v>#NAME?</v>
      </c>
      <c r="AD506" s="313" t="e">
        <f t="shared" ca="1" si="439"/>
        <v>#NAME?</v>
      </c>
      <c r="AE506" s="314" t="e">
        <f t="shared" ca="1" si="426"/>
        <v>#NAME?</v>
      </c>
      <c r="AF506" s="313" t="e">
        <f t="shared" ca="1" si="440"/>
        <v>#NAME?</v>
      </c>
      <c r="AG506" s="314" t="e">
        <f t="shared" ca="1" si="427"/>
        <v>#NAME?</v>
      </c>
      <c r="AH506" s="313" t="e">
        <f t="shared" ca="1" si="441"/>
        <v>#NAME?</v>
      </c>
      <c r="AI506" s="314" t="e">
        <f t="shared" ca="1" si="428"/>
        <v>#NAME?</v>
      </c>
      <c r="AJ506" s="315" t="e">
        <f t="shared" ca="1" si="429"/>
        <v>#NAME?</v>
      </c>
      <c r="AK506" s="568" t="e">
        <f t="shared" ca="1" si="442"/>
        <v>#NAME?</v>
      </c>
      <c r="AL506" s="313" t="e">
        <f t="shared" ca="1" si="443"/>
        <v>#NAME?</v>
      </c>
      <c r="AM506" s="313" t="e">
        <f t="shared" ca="1" si="430"/>
        <v>#NAME?</v>
      </c>
      <c r="AN506" s="313" t="e">
        <f t="shared" ca="1" si="431"/>
        <v>#NAME?</v>
      </c>
      <c r="AO506" s="316" t="e">
        <f t="shared" ca="1" si="444"/>
        <v>#NAME?</v>
      </c>
      <c r="AP506" s="313" t="e">
        <f t="shared" ca="1" si="445"/>
        <v>#NAME?</v>
      </c>
      <c r="AQ506" s="314" t="e">
        <f t="shared" ca="1" si="432"/>
        <v>#NAME?</v>
      </c>
      <c r="AR506" s="315" t="e">
        <f t="shared" ca="1" si="446"/>
        <v>#NAME?</v>
      </c>
      <c r="AS506" s="316" t="e">
        <f t="shared" ca="1" si="447"/>
        <v>#NAME?</v>
      </c>
      <c r="AT506" s="315" t="e">
        <f t="shared" ca="1" si="448"/>
        <v>#NAME?</v>
      </c>
      <c r="AU506" s="317">
        <v>427.8</v>
      </c>
      <c r="AV506" s="315" t="e">
        <f t="shared" ca="1" si="449"/>
        <v>#NAME?</v>
      </c>
      <c r="AW506" s="318" t="e">
        <f ca="1">0.0001*BicubicInterpolation('Drag Coef Table'!$B$4:$L$28,AV506,AC506)</f>
        <v>#NAME?</v>
      </c>
      <c r="AX506" s="319" t="e">
        <f t="shared" ca="1" si="450"/>
        <v>#NAME?</v>
      </c>
      <c r="AY506" s="318" t="e">
        <f t="shared" ca="1" si="451"/>
        <v>#NAME?</v>
      </c>
      <c r="AZ506" s="320" t="e">
        <f t="shared" ca="1" si="452"/>
        <v>#NAME?</v>
      </c>
      <c r="BA506" s="321" t="e">
        <f t="shared" ca="1" si="453"/>
        <v>#NAME?</v>
      </c>
      <c r="BB506" s="322" t="e">
        <f t="shared" ca="1" si="454"/>
        <v>#NAME?</v>
      </c>
      <c r="BC506" s="323">
        <v>75.196700000000007</v>
      </c>
      <c r="BD506" s="324" t="e">
        <f t="shared" ca="1" si="455"/>
        <v>#NAME?</v>
      </c>
      <c r="BE506" s="325" t="e">
        <f t="shared" ca="1" si="456"/>
        <v>#NAME?</v>
      </c>
      <c r="BF506" s="324" t="e">
        <f ca="1">BicubicInterpolation('TSFC Eff Table'!$B$4:$E$69,2,BB506)</f>
        <v>#NAME?</v>
      </c>
      <c r="BG506" s="326" t="e">
        <f t="shared" ca="1" si="457"/>
        <v>#NAME?</v>
      </c>
      <c r="BH506" s="694" t="e">
        <f ca="1">IF( S506="LRCINOP",   (1+(0.03/10)*Z506*(1+0.2*AC506^2) )*BicubicInterpolation( 'LRC INOP FF'!$C$4:$AA$21, Y506, U506 )-200, IF(S506 ="HOLDINGINOP", (1+(0.03/10)*Z506*(1+0.2*AC506^2) )*BicubicInterpolation( 'Holding INOP FF'!$C$4:$J$13,  Y506,  U506)/1.05-200,   BA506*BG506))</f>
        <v>#NAME?</v>
      </c>
      <c r="BI506" s="344" t="e">
        <f t="shared" ca="1" si="416"/>
        <v>#NAME?</v>
      </c>
      <c r="BJ506" s="322" t="e">
        <f t="shared" ca="1" si="458"/>
        <v>#NAME?</v>
      </c>
      <c r="BK506" s="338" t="e">
        <f t="shared" ca="1" si="417"/>
        <v>#NAME?</v>
      </c>
      <c r="BL506" s="327" t="e">
        <f t="shared" ca="1" si="459"/>
        <v>#NAME?</v>
      </c>
      <c r="BM506" s="328">
        <f t="shared" si="460"/>
        <v>200</v>
      </c>
      <c r="BN506" s="329" t="e">
        <f t="shared" ca="1" si="461"/>
        <v>#NAME?</v>
      </c>
      <c r="BO506" s="344" t="e">
        <f t="shared" ca="1" si="418"/>
        <v>#NAME?</v>
      </c>
      <c r="BP506" s="320" t="e">
        <f t="shared" ca="1" si="462"/>
        <v>#NAME?</v>
      </c>
      <c r="BQ506" s="344" t="e">
        <f t="shared" ca="1" si="419"/>
        <v>#NAME?</v>
      </c>
      <c r="BR506" s="347" t="e">
        <f t="shared" ca="1" si="420"/>
        <v>#NAME?</v>
      </c>
      <c r="BS506" s="326" t="e">
        <f t="shared" ca="1" si="463"/>
        <v>#NAME?</v>
      </c>
      <c r="BT506" s="437" t="e">
        <f t="shared" ca="1" si="433"/>
        <v>#NAME?</v>
      </c>
      <c r="BU506" s="437" t="e">
        <f t="shared" ca="1" si="434"/>
        <v>#NAME?</v>
      </c>
      <c r="BV506" s="441" t="e">
        <f t="shared" ca="1" si="435"/>
        <v>#NAME?</v>
      </c>
      <c r="BW506" s="442" t="e">
        <f t="shared" ca="1" si="436"/>
        <v>#NAME?</v>
      </c>
      <c r="BX506" s="470" t="e">
        <f t="shared" ca="1" si="409"/>
        <v>#NAME?</v>
      </c>
      <c r="BY506" s="484" t="e">
        <f t="shared" ca="1" si="421"/>
        <v>#NAME?</v>
      </c>
    </row>
    <row r="507" spans="9:77" ht="17.75" customHeight="1" x14ac:dyDescent="0.2">
      <c r="I507" s="366">
        <v>423</v>
      </c>
      <c r="J507" s="414">
        <f t="shared" si="422"/>
        <v>41706.006250000959</v>
      </c>
      <c r="K507" s="435" t="e">
        <f t="shared" ca="1" si="423"/>
        <v>#NAME?</v>
      </c>
      <c r="L507" s="435" t="e">
        <f t="shared" ca="1" si="466"/>
        <v>#NAME?</v>
      </c>
      <c r="M507" s="664" t="e">
        <f t="shared" ca="1" si="464"/>
        <v>#NAME?</v>
      </c>
      <c r="N507" s="664" t="e">
        <f t="shared" ca="1" si="465"/>
        <v>#NAME?</v>
      </c>
      <c r="O507" s="140" t="e">
        <f t="shared" ca="1" si="411"/>
        <v>#NAME?</v>
      </c>
      <c r="P507" s="352" t="e">
        <f t="shared" ca="1" si="424"/>
        <v>#NAME?</v>
      </c>
      <c r="Q507" s="665" t="e">
        <f t="shared" ca="1" si="404"/>
        <v>#NAME?</v>
      </c>
      <c r="R507" s="352" t="e">
        <f t="shared" ca="1" si="437"/>
        <v>#NAME?</v>
      </c>
      <c r="S507" s="662" t="e">
        <f t="shared" ca="1" si="412"/>
        <v>#NAME?</v>
      </c>
      <c r="T507" s="443" t="e">
        <f t="shared" ca="1" si="405"/>
        <v>#NAME?</v>
      </c>
      <c r="U507" s="369" t="e">
        <f t="shared" ca="1" si="406"/>
        <v>#NAME?</v>
      </c>
      <c r="V507" s="454" t="e">
        <f t="shared" ca="1" si="413"/>
        <v>#NAME?</v>
      </c>
      <c r="W507" s="457">
        <f t="shared" si="414"/>
        <v>1000</v>
      </c>
      <c r="X507" s="463" t="e">
        <f t="shared" ca="1" si="415"/>
        <v>#NAME?</v>
      </c>
      <c r="Y507" s="455" t="e">
        <f t="shared" ca="1" si="425"/>
        <v>#NAME?</v>
      </c>
      <c r="Z507" s="699">
        <f t="shared" si="407"/>
        <v>8.5</v>
      </c>
      <c r="AA507" s="355" t="str">
        <f t="shared" si="408"/>
        <v>ON</v>
      </c>
      <c r="AB507" s="357">
        <f t="shared" si="438"/>
        <v>1.4999999999999999E-2</v>
      </c>
      <c r="AC507" s="356" t="e">
        <f ca="1">IF(  Y506=0,0,IF(OR(S507="KCAS",S507="INOP",S507="MEFE"),   ( (5*( (   (((1+0.2*(T507/661.4786)^2)^3.5 -1)  )/( (1-6.8755856*10^-6 *100*Y507)^5.2558797) +1)^(2/7) -1) )^0.5),IF(S507="MACH",T507, IF(S507="LRC",BicubicInterpolation( 'LRC Mach'!$C$4:$AL$21, Y507,U507),  IF(S507="MRC",BicubicInterpolation( 'MRC Mach'!$C$3:$T$18, Y507,U507),  IF(S507="M0.84",0.84,  IF(S507="CI52",BicubicInterpolation('CI=52 Mach'!$C$3:$T$18, Y507,U507),  IF(S507="HOLDING",BicubicInterpolation(  'Holding Mach'!$C$4:$M$13, Y507,U507),                         IF(S507="LRCINOP", BicubicInterpolation('LRC INOP Mach'!$C$4:$AA$21,Y507,U507), IF(S507="HOLDINGINOP",  BicubicInterpolation('Holding INOP Mach'!$N$4:$U$13,Y507,U507),         "XXX" )))))))   )))</f>
        <v>#NAME?</v>
      </c>
      <c r="AD507" s="313" t="e">
        <f t="shared" ca="1" si="439"/>
        <v>#NAME?</v>
      </c>
      <c r="AE507" s="314" t="e">
        <f t="shared" ca="1" si="426"/>
        <v>#NAME?</v>
      </c>
      <c r="AF507" s="313" t="e">
        <f t="shared" ca="1" si="440"/>
        <v>#NAME?</v>
      </c>
      <c r="AG507" s="314" t="e">
        <f t="shared" ca="1" si="427"/>
        <v>#NAME?</v>
      </c>
      <c r="AH507" s="313" t="e">
        <f t="shared" ca="1" si="441"/>
        <v>#NAME?</v>
      </c>
      <c r="AI507" s="314" t="e">
        <f t="shared" ca="1" si="428"/>
        <v>#NAME?</v>
      </c>
      <c r="AJ507" s="315" t="e">
        <f t="shared" ca="1" si="429"/>
        <v>#NAME?</v>
      </c>
      <c r="AK507" s="568" t="e">
        <f t="shared" ca="1" si="442"/>
        <v>#NAME?</v>
      </c>
      <c r="AL507" s="313" t="e">
        <f t="shared" ca="1" si="443"/>
        <v>#NAME?</v>
      </c>
      <c r="AM507" s="313" t="e">
        <f t="shared" ca="1" si="430"/>
        <v>#NAME?</v>
      </c>
      <c r="AN507" s="313" t="e">
        <f t="shared" ca="1" si="431"/>
        <v>#NAME?</v>
      </c>
      <c r="AO507" s="316" t="e">
        <f t="shared" ca="1" si="444"/>
        <v>#NAME?</v>
      </c>
      <c r="AP507" s="313" t="e">
        <f t="shared" ca="1" si="445"/>
        <v>#NAME?</v>
      </c>
      <c r="AQ507" s="314" t="e">
        <f t="shared" ca="1" si="432"/>
        <v>#NAME?</v>
      </c>
      <c r="AR507" s="315" t="e">
        <f t="shared" ca="1" si="446"/>
        <v>#NAME?</v>
      </c>
      <c r="AS507" s="316" t="e">
        <f t="shared" ca="1" si="447"/>
        <v>#NAME?</v>
      </c>
      <c r="AT507" s="315" t="e">
        <f t="shared" ca="1" si="448"/>
        <v>#NAME?</v>
      </c>
      <c r="AU507" s="317">
        <v>427.8</v>
      </c>
      <c r="AV507" s="315" t="e">
        <f t="shared" ca="1" si="449"/>
        <v>#NAME?</v>
      </c>
      <c r="AW507" s="318" t="e">
        <f ca="1">0.0001*BicubicInterpolation('Drag Coef Table'!$B$4:$L$28,AV507,AC507)</f>
        <v>#NAME?</v>
      </c>
      <c r="AX507" s="319" t="e">
        <f t="shared" ca="1" si="450"/>
        <v>#NAME?</v>
      </c>
      <c r="AY507" s="318" t="e">
        <f t="shared" ca="1" si="451"/>
        <v>#NAME?</v>
      </c>
      <c r="AZ507" s="320" t="e">
        <f t="shared" ca="1" si="452"/>
        <v>#NAME?</v>
      </c>
      <c r="BA507" s="321" t="e">
        <f t="shared" ca="1" si="453"/>
        <v>#NAME?</v>
      </c>
      <c r="BB507" s="322" t="e">
        <f t="shared" ca="1" si="454"/>
        <v>#NAME?</v>
      </c>
      <c r="BC507" s="323">
        <v>75.196700000000007</v>
      </c>
      <c r="BD507" s="324" t="e">
        <f t="shared" ca="1" si="455"/>
        <v>#NAME?</v>
      </c>
      <c r="BE507" s="325" t="e">
        <f t="shared" ca="1" si="456"/>
        <v>#NAME?</v>
      </c>
      <c r="BF507" s="324" t="e">
        <f ca="1">BicubicInterpolation('TSFC Eff Table'!$B$4:$E$69,2,BB507)</f>
        <v>#NAME?</v>
      </c>
      <c r="BG507" s="326" t="e">
        <f t="shared" ca="1" si="457"/>
        <v>#NAME?</v>
      </c>
      <c r="BH507" s="694" t="e">
        <f ca="1">IF( S507="LRCINOP",   (1+(0.03/10)*Z507*(1+0.2*AC507^2) )*BicubicInterpolation( 'LRC INOP FF'!$C$4:$AA$21, Y507, U507 )-200, IF(S507 ="HOLDINGINOP", (1+(0.03/10)*Z507*(1+0.2*AC507^2) )*BicubicInterpolation( 'Holding INOP FF'!$C$4:$J$13,  Y507,  U507)/1.05-200,   BA507*BG507))</f>
        <v>#NAME?</v>
      </c>
      <c r="BI507" s="344" t="e">
        <f t="shared" ca="1" si="416"/>
        <v>#NAME?</v>
      </c>
      <c r="BJ507" s="322" t="e">
        <f t="shared" ca="1" si="458"/>
        <v>#NAME?</v>
      </c>
      <c r="BK507" s="338" t="e">
        <f t="shared" ca="1" si="417"/>
        <v>#NAME?</v>
      </c>
      <c r="BL507" s="327" t="e">
        <f t="shared" ca="1" si="459"/>
        <v>#NAME?</v>
      </c>
      <c r="BM507" s="328">
        <f t="shared" si="460"/>
        <v>200</v>
      </c>
      <c r="BN507" s="329" t="e">
        <f t="shared" ca="1" si="461"/>
        <v>#NAME?</v>
      </c>
      <c r="BO507" s="344" t="e">
        <f t="shared" ca="1" si="418"/>
        <v>#NAME?</v>
      </c>
      <c r="BP507" s="320" t="e">
        <f t="shared" ca="1" si="462"/>
        <v>#NAME?</v>
      </c>
      <c r="BQ507" s="344" t="e">
        <f t="shared" ca="1" si="419"/>
        <v>#NAME?</v>
      </c>
      <c r="BR507" s="347" t="e">
        <f t="shared" ca="1" si="420"/>
        <v>#NAME?</v>
      </c>
      <c r="BS507" s="326" t="e">
        <f t="shared" ca="1" si="463"/>
        <v>#NAME?</v>
      </c>
      <c r="BT507" s="437" t="e">
        <f t="shared" ca="1" si="433"/>
        <v>#NAME?</v>
      </c>
      <c r="BU507" s="437" t="e">
        <f t="shared" ca="1" si="434"/>
        <v>#NAME?</v>
      </c>
      <c r="BV507" s="441" t="e">
        <f t="shared" ca="1" si="435"/>
        <v>#NAME?</v>
      </c>
      <c r="BW507" s="442" t="e">
        <f t="shared" ca="1" si="436"/>
        <v>#NAME?</v>
      </c>
      <c r="BX507" s="470" t="e">
        <f t="shared" ca="1" si="409"/>
        <v>#NAME?</v>
      </c>
      <c r="BY507" s="484" t="e">
        <f t="shared" ca="1" si="421"/>
        <v>#NAME?</v>
      </c>
    </row>
    <row r="508" spans="9:77" ht="17.75" customHeight="1" x14ac:dyDescent="0.2">
      <c r="I508" s="366">
        <v>424</v>
      </c>
      <c r="J508" s="414">
        <f t="shared" si="422"/>
        <v>41706.006944445406</v>
      </c>
      <c r="K508" s="435" t="e">
        <f t="shared" ca="1" si="423"/>
        <v>#NAME?</v>
      </c>
      <c r="L508" s="435" t="e">
        <f t="shared" ca="1" si="466"/>
        <v>#NAME?</v>
      </c>
      <c r="M508" s="664" t="e">
        <f t="shared" ca="1" si="464"/>
        <v>#NAME?</v>
      </c>
      <c r="N508" s="664" t="e">
        <f t="shared" ca="1" si="465"/>
        <v>#NAME?</v>
      </c>
      <c r="O508" s="140" t="e">
        <f t="shared" ca="1" si="411"/>
        <v>#NAME?</v>
      </c>
      <c r="P508" s="352" t="e">
        <f t="shared" ca="1" si="424"/>
        <v>#NAME?</v>
      </c>
      <c r="Q508" s="665" t="e">
        <f t="shared" ca="1" si="404"/>
        <v>#NAME?</v>
      </c>
      <c r="R508" s="352" t="e">
        <f t="shared" ca="1" si="437"/>
        <v>#NAME?</v>
      </c>
      <c r="S508" s="662" t="e">
        <f t="shared" ca="1" si="412"/>
        <v>#NAME?</v>
      </c>
      <c r="T508" s="443" t="e">
        <f t="shared" ca="1" si="405"/>
        <v>#NAME?</v>
      </c>
      <c r="U508" s="369" t="e">
        <f t="shared" ca="1" si="406"/>
        <v>#NAME?</v>
      </c>
      <c r="V508" s="454" t="e">
        <f t="shared" ca="1" si="413"/>
        <v>#NAME?</v>
      </c>
      <c r="W508" s="457">
        <f t="shared" si="414"/>
        <v>1000</v>
      </c>
      <c r="X508" s="463" t="e">
        <f t="shared" ca="1" si="415"/>
        <v>#NAME?</v>
      </c>
      <c r="Y508" s="455" t="e">
        <f t="shared" ca="1" si="425"/>
        <v>#NAME?</v>
      </c>
      <c r="Z508" s="699">
        <f t="shared" si="407"/>
        <v>8.5</v>
      </c>
      <c r="AA508" s="355" t="str">
        <f t="shared" si="408"/>
        <v>ON</v>
      </c>
      <c r="AB508" s="357">
        <f t="shared" si="438"/>
        <v>1.4999999999999999E-2</v>
      </c>
      <c r="AC508" s="356" t="e">
        <f ca="1">IF(  Y507=0,0,IF(OR(S508="KCAS",S508="INOP",S508="MEFE"),   ( (5*( (   (((1+0.2*(T508/661.4786)^2)^3.5 -1)  )/( (1-6.8755856*10^-6 *100*Y508)^5.2558797) +1)^(2/7) -1) )^0.5),IF(S508="MACH",T508, IF(S508="LRC",BicubicInterpolation( 'LRC Mach'!$C$4:$AL$21, Y508,U508),  IF(S508="MRC",BicubicInterpolation( 'MRC Mach'!$C$3:$T$18, Y508,U508),  IF(S508="M0.84",0.84,  IF(S508="CI52",BicubicInterpolation('CI=52 Mach'!$C$3:$T$18, Y508,U508),  IF(S508="HOLDING",BicubicInterpolation(  'Holding Mach'!$C$4:$M$13, Y508,U508),                         IF(S508="LRCINOP", BicubicInterpolation('LRC INOP Mach'!$C$4:$AA$21,Y508,U508), IF(S508="HOLDINGINOP",  BicubicInterpolation('Holding INOP Mach'!$N$4:$U$13,Y508,U508),         "XXX" )))))))   )))</f>
        <v>#NAME?</v>
      </c>
      <c r="AD508" s="313" t="e">
        <f t="shared" ca="1" si="439"/>
        <v>#NAME?</v>
      </c>
      <c r="AE508" s="314" t="e">
        <f t="shared" ca="1" si="426"/>
        <v>#NAME?</v>
      </c>
      <c r="AF508" s="313" t="e">
        <f t="shared" ca="1" si="440"/>
        <v>#NAME?</v>
      </c>
      <c r="AG508" s="314" t="e">
        <f t="shared" ca="1" si="427"/>
        <v>#NAME?</v>
      </c>
      <c r="AH508" s="313" t="e">
        <f t="shared" ca="1" si="441"/>
        <v>#NAME?</v>
      </c>
      <c r="AI508" s="314" t="e">
        <f t="shared" ca="1" si="428"/>
        <v>#NAME?</v>
      </c>
      <c r="AJ508" s="315" t="e">
        <f t="shared" ca="1" si="429"/>
        <v>#NAME?</v>
      </c>
      <c r="AK508" s="568" t="e">
        <f t="shared" ca="1" si="442"/>
        <v>#NAME?</v>
      </c>
      <c r="AL508" s="313" t="e">
        <f t="shared" ca="1" si="443"/>
        <v>#NAME?</v>
      </c>
      <c r="AM508" s="313" t="e">
        <f t="shared" ca="1" si="430"/>
        <v>#NAME?</v>
      </c>
      <c r="AN508" s="313" t="e">
        <f t="shared" ca="1" si="431"/>
        <v>#NAME?</v>
      </c>
      <c r="AO508" s="316" t="e">
        <f t="shared" ca="1" si="444"/>
        <v>#NAME?</v>
      </c>
      <c r="AP508" s="313" t="e">
        <f t="shared" ca="1" si="445"/>
        <v>#NAME?</v>
      </c>
      <c r="AQ508" s="314" t="e">
        <f t="shared" ca="1" si="432"/>
        <v>#NAME?</v>
      </c>
      <c r="AR508" s="315" t="e">
        <f t="shared" ca="1" si="446"/>
        <v>#NAME?</v>
      </c>
      <c r="AS508" s="316" t="e">
        <f t="shared" ca="1" si="447"/>
        <v>#NAME?</v>
      </c>
      <c r="AT508" s="315" t="e">
        <f t="shared" ca="1" si="448"/>
        <v>#NAME?</v>
      </c>
      <c r="AU508" s="317">
        <v>427.8</v>
      </c>
      <c r="AV508" s="315" t="e">
        <f t="shared" ca="1" si="449"/>
        <v>#NAME?</v>
      </c>
      <c r="AW508" s="318" t="e">
        <f ca="1">0.0001*BicubicInterpolation('Drag Coef Table'!$B$4:$L$28,AV508,AC508)</f>
        <v>#NAME?</v>
      </c>
      <c r="AX508" s="319" t="e">
        <f t="shared" ca="1" si="450"/>
        <v>#NAME?</v>
      </c>
      <c r="AY508" s="318" t="e">
        <f t="shared" ca="1" si="451"/>
        <v>#NAME?</v>
      </c>
      <c r="AZ508" s="320" t="e">
        <f t="shared" ca="1" si="452"/>
        <v>#NAME?</v>
      </c>
      <c r="BA508" s="321" t="e">
        <f t="shared" ca="1" si="453"/>
        <v>#NAME?</v>
      </c>
      <c r="BB508" s="322" t="e">
        <f t="shared" ca="1" si="454"/>
        <v>#NAME?</v>
      </c>
      <c r="BC508" s="323">
        <v>75.196700000000007</v>
      </c>
      <c r="BD508" s="324" t="e">
        <f t="shared" ca="1" si="455"/>
        <v>#NAME?</v>
      </c>
      <c r="BE508" s="325" t="e">
        <f t="shared" ca="1" si="456"/>
        <v>#NAME?</v>
      </c>
      <c r="BF508" s="324" t="e">
        <f ca="1">BicubicInterpolation('TSFC Eff Table'!$B$4:$E$69,2,BB508)</f>
        <v>#NAME?</v>
      </c>
      <c r="BG508" s="326" t="e">
        <f t="shared" ca="1" si="457"/>
        <v>#NAME?</v>
      </c>
      <c r="BH508" s="694" t="e">
        <f ca="1">IF( S508="LRCINOP",   (1+(0.03/10)*Z508*(1+0.2*AC508^2) )*BicubicInterpolation( 'LRC INOP FF'!$C$4:$AA$21, Y508, U508 )-200, IF(S508 ="HOLDINGINOP", (1+(0.03/10)*Z508*(1+0.2*AC508^2) )*BicubicInterpolation( 'Holding INOP FF'!$C$4:$J$13,  Y508,  U508)/1.05-200,   BA508*BG508))</f>
        <v>#NAME?</v>
      </c>
      <c r="BI508" s="344" t="e">
        <f t="shared" ca="1" si="416"/>
        <v>#NAME?</v>
      </c>
      <c r="BJ508" s="322" t="e">
        <f t="shared" ca="1" si="458"/>
        <v>#NAME?</v>
      </c>
      <c r="BK508" s="338" t="e">
        <f t="shared" ca="1" si="417"/>
        <v>#NAME?</v>
      </c>
      <c r="BL508" s="327" t="e">
        <f t="shared" ca="1" si="459"/>
        <v>#NAME?</v>
      </c>
      <c r="BM508" s="328">
        <f t="shared" si="460"/>
        <v>200</v>
      </c>
      <c r="BN508" s="329" t="e">
        <f t="shared" ca="1" si="461"/>
        <v>#NAME?</v>
      </c>
      <c r="BO508" s="344" t="e">
        <f t="shared" ca="1" si="418"/>
        <v>#NAME?</v>
      </c>
      <c r="BP508" s="320" t="e">
        <f t="shared" ca="1" si="462"/>
        <v>#NAME?</v>
      </c>
      <c r="BQ508" s="344" t="e">
        <f t="shared" ca="1" si="419"/>
        <v>#NAME?</v>
      </c>
      <c r="BR508" s="347" t="e">
        <f t="shared" ca="1" si="420"/>
        <v>#NAME?</v>
      </c>
      <c r="BS508" s="326" t="e">
        <f t="shared" ca="1" si="463"/>
        <v>#NAME?</v>
      </c>
      <c r="BT508" s="437" t="e">
        <f t="shared" ca="1" si="433"/>
        <v>#NAME?</v>
      </c>
      <c r="BU508" s="437" t="e">
        <f t="shared" ca="1" si="434"/>
        <v>#NAME?</v>
      </c>
      <c r="BV508" s="441" t="e">
        <f t="shared" ca="1" si="435"/>
        <v>#NAME?</v>
      </c>
      <c r="BW508" s="442" t="e">
        <f t="shared" ca="1" si="436"/>
        <v>#NAME?</v>
      </c>
      <c r="BX508" s="470" t="e">
        <f t="shared" ca="1" si="409"/>
        <v>#NAME?</v>
      </c>
      <c r="BY508" s="484" t="e">
        <f t="shared" ca="1" si="421"/>
        <v>#NAME?</v>
      </c>
    </row>
    <row r="509" spans="9:77" ht="17.75" customHeight="1" x14ac:dyDescent="0.2">
      <c r="I509" s="366">
        <v>425</v>
      </c>
      <c r="J509" s="414">
        <f t="shared" si="422"/>
        <v>41706.007638889852</v>
      </c>
      <c r="K509" s="435" t="e">
        <f t="shared" ca="1" si="423"/>
        <v>#NAME?</v>
      </c>
      <c r="L509" s="435" t="e">
        <f t="shared" ca="1" si="466"/>
        <v>#NAME?</v>
      </c>
      <c r="M509" s="664" t="e">
        <f t="shared" ca="1" si="464"/>
        <v>#NAME?</v>
      </c>
      <c r="N509" s="664" t="e">
        <f t="shared" ca="1" si="465"/>
        <v>#NAME?</v>
      </c>
      <c r="O509" s="140" t="e">
        <f t="shared" ca="1" si="411"/>
        <v>#NAME?</v>
      </c>
      <c r="P509" s="352" t="e">
        <f t="shared" ca="1" si="424"/>
        <v>#NAME?</v>
      </c>
      <c r="Q509" s="665" t="e">
        <f t="shared" ca="1" si="404"/>
        <v>#NAME?</v>
      </c>
      <c r="R509" s="352" t="e">
        <f t="shared" ca="1" si="437"/>
        <v>#NAME?</v>
      </c>
      <c r="S509" s="662" t="e">
        <f t="shared" ca="1" si="412"/>
        <v>#NAME?</v>
      </c>
      <c r="T509" s="443" t="e">
        <f t="shared" ca="1" si="405"/>
        <v>#NAME?</v>
      </c>
      <c r="U509" s="369" t="e">
        <f t="shared" ca="1" si="406"/>
        <v>#NAME?</v>
      </c>
      <c r="V509" s="454" t="e">
        <f t="shared" ca="1" si="413"/>
        <v>#NAME?</v>
      </c>
      <c r="W509" s="457">
        <f t="shared" si="414"/>
        <v>1000</v>
      </c>
      <c r="X509" s="463" t="e">
        <f t="shared" ca="1" si="415"/>
        <v>#NAME?</v>
      </c>
      <c r="Y509" s="455" t="e">
        <f t="shared" ca="1" si="425"/>
        <v>#NAME?</v>
      </c>
      <c r="Z509" s="699">
        <f t="shared" si="407"/>
        <v>8.5</v>
      </c>
      <c r="AA509" s="355" t="str">
        <f t="shared" si="408"/>
        <v>ON</v>
      </c>
      <c r="AB509" s="357">
        <f t="shared" si="438"/>
        <v>1.4999999999999999E-2</v>
      </c>
      <c r="AC509" s="356" t="e">
        <f ca="1">IF(  Y508=0,0,IF(OR(S509="KCAS",S509="INOP",S509="MEFE"),   ( (5*( (   (((1+0.2*(T509/661.4786)^2)^3.5 -1)  )/( (1-6.8755856*10^-6 *100*Y509)^5.2558797) +1)^(2/7) -1) )^0.5),IF(S509="MACH",T509, IF(S509="LRC",BicubicInterpolation( 'LRC Mach'!$C$4:$AL$21, Y509,U509),  IF(S509="MRC",BicubicInterpolation( 'MRC Mach'!$C$3:$T$18, Y509,U509),  IF(S509="M0.84",0.84,  IF(S509="CI52",BicubicInterpolation('CI=52 Mach'!$C$3:$T$18, Y509,U509),  IF(S509="HOLDING",BicubicInterpolation(  'Holding Mach'!$C$4:$M$13, Y509,U509),                         IF(S509="LRCINOP", BicubicInterpolation('LRC INOP Mach'!$C$4:$AA$21,Y509,U509), IF(S509="HOLDINGINOP",  BicubicInterpolation('Holding INOP Mach'!$N$4:$U$13,Y509,U509),         "XXX" )))))))   )))</f>
        <v>#NAME?</v>
      </c>
      <c r="AD509" s="313" t="e">
        <f t="shared" ca="1" si="439"/>
        <v>#NAME?</v>
      </c>
      <c r="AE509" s="314" t="e">
        <f t="shared" ca="1" si="426"/>
        <v>#NAME?</v>
      </c>
      <c r="AF509" s="313" t="e">
        <f t="shared" ca="1" si="440"/>
        <v>#NAME?</v>
      </c>
      <c r="AG509" s="314" t="e">
        <f t="shared" ca="1" si="427"/>
        <v>#NAME?</v>
      </c>
      <c r="AH509" s="313" t="e">
        <f t="shared" ca="1" si="441"/>
        <v>#NAME?</v>
      </c>
      <c r="AI509" s="314" t="e">
        <f t="shared" ca="1" si="428"/>
        <v>#NAME?</v>
      </c>
      <c r="AJ509" s="315" t="e">
        <f t="shared" ca="1" si="429"/>
        <v>#NAME?</v>
      </c>
      <c r="AK509" s="568" t="e">
        <f t="shared" ca="1" si="442"/>
        <v>#NAME?</v>
      </c>
      <c r="AL509" s="313" t="e">
        <f t="shared" ca="1" si="443"/>
        <v>#NAME?</v>
      </c>
      <c r="AM509" s="313" t="e">
        <f t="shared" ca="1" si="430"/>
        <v>#NAME?</v>
      </c>
      <c r="AN509" s="313" t="e">
        <f t="shared" ca="1" si="431"/>
        <v>#NAME?</v>
      </c>
      <c r="AO509" s="316" t="e">
        <f t="shared" ca="1" si="444"/>
        <v>#NAME?</v>
      </c>
      <c r="AP509" s="313" t="e">
        <f t="shared" ca="1" si="445"/>
        <v>#NAME?</v>
      </c>
      <c r="AQ509" s="314" t="e">
        <f t="shared" ca="1" si="432"/>
        <v>#NAME?</v>
      </c>
      <c r="AR509" s="315" t="e">
        <f t="shared" ca="1" si="446"/>
        <v>#NAME?</v>
      </c>
      <c r="AS509" s="316" t="e">
        <f t="shared" ca="1" si="447"/>
        <v>#NAME?</v>
      </c>
      <c r="AT509" s="315" t="e">
        <f t="shared" ca="1" si="448"/>
        <v>#NAME?</v>
      </c>
      <c r="AU509" s="317">
        <v>427.8</v>
      </c>
      <c r="AV509" s="315" t="e">
        <f t="shared" ca="1" si="449"/>
        <v>#NAME?</v>
      </c>
      <c r="AW509" s="318" t="e">
        <f ca="1">0.0001*BicubicInterpolation('Drag Coef Table'!$B$4:$L$28,AV509,AC509)</f>
        <v>#NAME?</v>
      </c>
      <c r="AX509" s="319" t="e">
        <f t="shared" ca="1" si="450"/>
        <v>#NAME?</v>
      </c>
      <c r="AY509" s="318" t="e">
        <f t="shared" ca="1" si="451"/>
        <v>#NAME?</v>
      </c>
      <c r="AZ509" s="320" t="e">
        <f t="shared" ca="1" si="452"/>
        <v>#NAME?</v>
      </c>
      <c r="BA509" s="321" t="e">
        <f t="shared" ca="1" si="453"/>
        <v>#NAME?</v>
      </c>
      <c r="BB509" s="322" t="e">
        <f t="shared" ca="1" si="454"/>
        <v>#NAME?</v>
      </c>
      <c r="BC509" s="323">
        <v>75.196700000000007</v>
      </c>
      <c r="BD509" s="324" t="e">
        <f t="shared" ca="1" si="455"/>
        <v>#NAME?</v>
      </c>
      <c r="BE509" s="325" t="e">
        <f t="shared" ca="1" si="456"/>
        <v>#NAME?</v>
      </c>
      <c r="BF509" s="324" t="e">
        <f ca="1">BicubicInterpolation('TSFC Eff Table'!$B$4:$E$69,2,BB509)</f>
        <v>#NAME?</v>
      </c>
      <c r="BG509" s="326" t="e">
        <f t="shared" ca="1" si="457"/>
        <v>#NAME?</v>
      </c>
      <c r="BH509" s="694" t="e">
        <f ca="1">IF( S509="LRCINOP",   (1+(0.03/10)*Z509*(1+0.2*AC509^2) )*BicubicInterpolation( 'LRC INOP FF'!$C$4:$AA$21, Y509, U509 )-200, IF(S509 ="HOLDINGINOP", (1+(0.03/10)*Z509*(1+0.2*AC509^2) )*BicubicInterpolation( 'Holding INOP FF'!$C$4:$J$13,  Y509,  U509)/1.05-200,   BA509*BG509))</f>
        <v>#NAME?</v>
      </c>
      <c r="BI509" s="344" t="e">
        <f t="shared" ca="1" si="416"/>
        <v>#NAME?</v>
      </c>
      <c r="BJ509" s="322" t="e">
        <f t="shared" ca="1" si="458"/>
        <v>#NAME?</v>
      </c>
      <c r="BK509" s="338" t="e">
        <f t="shared" ca="1" si="417"/>
        <v>#NAME?</v>
      </c>
      <c r="BL509" s="327" t="e">
        <f t="shared" ca="1" si="459"/>
        <v>#NAME?</v>
      </c>
      <c r="BM509" s="328">
        <f t="shared" si="460"/>
        <v>200</v>
      </c>
      <c r="BN509" s="329" t="e">
        <f t="shared" ca="1" si="461"/>
        <v>#NAME?</v>
      </c>
      <c r="BO509" s="344" t="e">
        <f t="shared" ca="1" si="418"/>
        <v>#NAME?</v>
      </c>
      <c r="BP509" s="320" t="e">
        <f t="shared" ca="1" si="462"/>
        <v>#NAME?</v>
      </c>
      <c r="BQ509" s="344" t="e">
        <f t="shared" ca="1" si="419"/>
        <v>#NAME?</v>
      </c>
      <c r="BR509" s="347" t="e">
        <f t="shared" ca="1" si="420"/>
        <v>#NAME?</v>
      </c>
      <c r="BS509" s="326" t="e">
        <f t="shared" ca="1" si="463"/>
        <v>#NAME?</v>
      </c>
      <c r="BT509" s="437" t="e">
        <f t="shared" ca="1" si="433"/>
        <v>#NAME?</v>
      </c>
      <c r="BU509" s="437" t="e">
        <f t="shared" ca="1" si="434"/>
        <v>#NAME?</v>
      </c>
      <c r="BV509" s="441" t="e">
        <f t="shared" ca="1" si="435"/>
        <v>#NAME?</v>
      </c>
      <c r="BW509" s="442" t="e">
        <f t="shared" ca="1" si="436"/>
        <v>#NAME?</v>
      </c>
      <c r="BX509" s="470" t="e">
        <f t="shared" ca="1" si="409"/>
        <v>#NAME?</v>
      </c>
      <c r="BY509" s="484" t="e">
        <f t="shared" ca="1" si="421"/>
        <v>#NAME?</v>
      </c>
    </row>
    <row r="510" spans="9:77" ht="17.75" customHeight="1" x14ac:dyDescent="0.2">
      <c r="I510" s="366">
        <v>426</v>
      </c>
      <c r="J510" s="414">
        <f t="shared" si="422"/>
        <v>41706.008333334299</v>
      </c>
      <c r="K510" s="435" t="e">
        <f t="shared" ca="1" si="423"/>
        <v>#NAME?</v>
      </c>
      <c r="L510" s="435" t="e">
        <f t="shared" ca="1" si="466"/>
        <v>#NAME?</v>
      </c>
      <c r="M510" s="664" t="e">
        <f t="shared" ca="1" si="464"/>
        <v>#NAME?</v>
      </c>
      <c r="N510" s="664" t="e">
        <f t="shared" ca="1" si="465"/>
        <v>#NAME?</v>
      </c>
      <c r="O510" s="140" t="e">
        <f t="shared" ca="1" si="411"/>
        <v>#NAME?</v>
      </c>
      <c r="P510" s="352" t="e">
        <f t="shared" ca="1" si="424"/>
        <v>#NAME?</v>
      </c>
      <c r="Q510" s="665" t="e">
        <f t="shared" ca="1" si="404"/>
        <v>#NAME?</v>
      </c>
      <c r="R510" s="352" t="e">
        <f t="shared" ca="1" si="437"/>
        <v>#NAME?</v>
      </c>
      <c r="S510" s="662" t="e">
        <f t="shared" ca="1" si="412"/>
        <v>#NAME?</v>
      </c>
      <c r="T510" s="443" t="e">
        <f t="shared" ca="1" si="405"/>
        <v>#NAME?</v>
      </c>
      <c r="U510" s="369" t="e">
        <f t="shared" ca="1" si="406"/>
        <v>#NAME?</v>
      </c>
      <c r="V510" s="454" t="e">
        <f t="shared" ca="1" si="413"/>
        <v>#NAME?</v>
      </c>
      <c r="W510" s="457">
        <f t="shared" si="414"/>
        <v>1000</v>
      </c>
      <c r="X510" s="463" t="e">
        <f t="shared" ca="1" si="415"/>
        <v>#NAME?</v>
      </c>
      <c r="Y510" s="455" t="e">
        <f t="shared" ca="1" si="425"/>
        <v>#NAME?</v>
      </c>
      <c r="Z510" s="699">
        <f t="shared" si="407"/>
        <v>8.5</v>
      </c>
      <c r="AA510" s="355" t="str">
        <f t="shared" si="408"/>
        <v>ON</v>
      </c>
      <c r="AB510" s="357">
        <f t="shared" si="438"/>
        <v>1.4999999999999999E-2</v>
      </c>
      <c r="AC510" s="356" t="e">
        <f ca="1">IF(  Y509=0,0,IF(OR(S510="KCAS",S510="INOP",S510="MEFE"),   ( (5*( (   (((1+0.2*(T510/661.4786)^2)^3.5 -1)  )/( (1-6.8755856*10^-6 *100*Y510)^5.2558797) +1)^(2/7) -1) )^0.5),IF(S510="MACH",T510, IF(S510="LRC",BicubicInterpolation( 'LRC Mach'!$C$4:$AL$21, Y510,U510),  IF(S510="MRC",BicubicInterpolation( 'MRC Mach'!$C$3:$T$18, Y510,U510),  IF(S510="M0.84",0.84,  IF(S510="CI52",BicubicInterpolation('CI=52 Mach'!$C$3:$T$18, Y510,U510),  IF(S510="HOLDING",BicubicInterpolation(  'Holding Mach'!$C$4:$M$13, Y510,U510),                         IF(S510="LRCINOP", BicubicInterpolation('LRC INOP Mach'!$C$4:$AA$21,Y510,U510), IF(S510="HOLDINGINOP",  BicubicInterpolation('Holding INOP Mach'!$N$4:$U$13,Y510,U510),         "XXX" )))))))   )))</f>
        <v>#NAME?</v>
      </c>
      <c r="AD510" s="313" t="e">
        <f t="shared" ca="1" si="439"/>
        <v>#NAME?</v>
      </c>
      <c r="AE510" s="314" t="e">
        <f t="shared" ca="1" si="426"/>
        <v>#NAME?</v>
      </c>
      <c r="AF510" s="313" t="e">
        <f t="shared" ca="1" si="440"/>
        <v>#NAME?</v>
      </c>
      <c r="AG510" s="314" t="e">
        <f t="shared" ca="1" si="427"/>
        <v>#NAME?</v>
      </c>
      <c r="AH510" s="313" t="e">
        <f t="shared" ca="1" si="441"/>
        <v>#NAME?</v>
      </c>
      <c r="AI510" s="314" t="e">
        <f t="shared" ca="1" si="428"/>
        <v>#NAME?</v>
      </c>
      <c r="AJ510" s="315" t="e">
        <f t="shared" ca="1" si="429"/>
        <v>#NAME?</v>
      </c>
      <c r="AK510" s="568" t="e">
        <f t="shared" ca="1" si="442"/>
        <v>#NAME?</v>
      </c>
      <c r="AL510" s="313" t="e">
        <f t="shared" ca="1" si="443"/>
        <v>#NAME?</v>
      </c>
      <c r="AM510" s="313" t="e">
        <f t="shared" ca="1" si="430"/>
        <v>#NAME?</v>
      </c>
      <c r="AN510" s="313" t="e">
        <f t="shared" ca="1" si="431"/>
        <v>#NAME?</v>
      </c>
      <c r="AO510" s="316" t="e">
        <f t="shared" ca="1" si="444"/>
        <v>#NAME?</v>
      </c>
      <c r="AP510" s="313" t="e">
        <f t="shared" ca="1" si="445"/>
        <v>#NAME?</v>
      </c>
      <c r="AQ510" s="314" t="e">
        <f t="shared" ca="1" si="432"/>
        <v>#NAME?</v>
      </c>
      <c r="AR510" s="315" t="e">
        <f t="shared" ca="1" si="446"/>
        <v>#NAME?</v>
      </c>
      <c r="AS510" s="316" t="e">
        <f t="shared" ca="1" si="447"/>
        <v>#NAME?</v>
      </c>
      <c r="AT510" s="315" t="e">
        <f t="shared" ca="1" si="448"/>
        <v>#NAME?</v>
      </c>
      <c r="AU510" s="317">
        <v>427.8</v>
      </c>
      <c r="AV510" s="315" t="e">
        <f t="shared" ca="1" si="449"/>
        <v>#NAME?</v>
      </c>
      <c r="AW510" s="318" t="e">
        <f ca="1">0.0001*BicubicInterpolation('Drag Coef Table'!$B$4:$L$28,AV510,AC510)</f>
        <v>#NAME?</v>
      </c>
      <c r="AX510" s="319" t="e">
        <f t="shared" ca="1" si="450"/>
        <v>#NAME?</v>
      </c>
      <c r="AY510" s="318" t="e">
        <f t="shared" ca="1" si="451"/>
        <v>#NAME?</v>
      </c>
      <c r="AZ510" s="320" t="e">
        <f t="shared" ca="1" si="452"/>
        <v>#NAME?</v>
      </c>
      <c r="BA510" s="321" t="e">
        <f t="shared" ca="1" si="453"/>
        <v>#NAME?</v>
      </c>
      <c r="BB510" s="322" t="e">
        <f t="shared" ca="1" si="454"/>
        <v>#NAME?</v>
      </c>
      <c r="BC510" s="323">
        <v>75.196700000000007</v>
      </c>
      <c r="BD510" s="324" t="e">
        <f t="shared" ca="1" si="455"/>
        <v>#NAME?</v>
      </c>
      <c r="BE510" s="325" t="e">
        <f t="shared" ca="1" si="456"/>
        <v>#NAME?</v>
      </c>
      <c r="BF510" s="324" t="e">
        <f ca="1">BicubicInterpolation('TSFC Eff Table'!$B$4:$E$69,2,BB510)</f>
        <v>#NAME?</v>
      </c>
      <c r="BG510" s="326" t="e">
        <f t="shared" ca="1" si="457"/>
        <v>#NAME?</v>
      </c>
      <c r="BH510" s="694" t="e">
        <f ca="1">IF( S510="LRCINOP",   (1+(0.03/10)*Z510*(1+0.2*AC510^2) )*BicubicInterpolation( 'LRC INOP FF'!$C$4:$AA$21, Y510, U510 )-200, IF(S510 ="HOLDINGINOP", (1+(0.03/10)*Z510*(1+0.2*AC510^2) )*BicubicInterpolation( 'Holding INOP FF'!$C$4:$J$13,  Y510,  U510)/1.05-200,   BA510*BG510))</f>
        <v>#NAME?</v>
      </c>
      <c r="BI510" s="344" t="e">
        <f t="shared" ca="1" si="416"/>
        <v>#NAME?</v>
      </c>
      <c r="BJ510" s="322" t="e">
        <f t="shared" ca="1" si="458"/>
        <v>#NAME?</v>
      </c>
      <c r="BK510" s="338" t="e">
        <f t="shared" ca="1" si="417"/>
        <v>#NAME?</v>
      </c>
      <c r="BL510" s="327" t="e">
        <f t="shared" ca="1" si="459"/>
        <v>#NAME?</v>
      </c>
      <c r="BM510" s="328">
        <f t="shared" si="460"/>
        <v>200</v>
      </c>
      <c r="BN510" s="329" t="e">
        <f t="shared" ca="1" si="461"/>
        <v>#NAME?</v>
      </c>
      <c r="BO510" s="344" t="e">
        <f t="shared" ca="1" si="418"/>
        <v>#NAME?</v>
      </c>
      <c r="BP510" s="320" t="e">
        <f t="shared" ca="1" si="462"/>
        <v>#NAME?</v>
      </c>
      <c r="BQ510" s="344" t="e">
        <f t="shared" ca="1" si="419"/>
        <v>#NAME?</v>
      </c>
      <c r="BR510" s="347" t="e">
        <f t="shared" ca="1" si="420"/>
        <v>#NAME?</v>
      </c>
      <c r="BS510" s="326" t="e">
        <f t="shared" ca="1" si="463"/>
        <v>#NAME?</v>
      </c>
      <c r="BT510" s="437" t="e">
        <f t="shared" ca="1" si="433"/>
        <v>#NAME?</v>
      </c>
      <c r="BU510" s="437" t="e">
        <f t="shared" ca="1" si="434"/>
        <v>#NAME?</v>
      </c>
      <c r="BV510" s="441" t="e">
        <f t="shared" ca="1" si="435"/>
        <v>#NAME?</v>
      </c>
      <c r="BW510" s="442" t="e">
        <f t="shared" ca="1" si="436"/>
        <v>#NAME?</v>
      </c>
      <c r="BX510" s="470" t="e">
        <f t="shared" ca="1" si="409"/>
        <v>#NAME?</v>
      </c>
      <c r="BY510" s="484" t="e">
        <f t="shared" ca="1" si="421"/>
        <v>#NAME?</v>
      </c>
    </row>
    <row r="511" spans="9:77" ht="17.75" customHeight="1" x14ac:dyDescent="0.2">
      <c r="I511" s="366">
        <v>427</v>
      </c>
      <c r="J511" s="414">
        <f t="shared" si="422"/>
        <v>41706.009027778746</v>
      </c>
      <c r="K511" s="435" t="e">
        <f t="shared" ca="1" si="423"/>
        <v>#NAME?</v>
      </c>
      <c r="L511" s="435" t="e">
        <f t="shared" ca="1" si="466"/>
        <v>#NAME?</v>
      </c>
      <c r="M511" s="664" t="e">
        <f t="shared" ca="1" si="464"/>
        <v>#NAME?</v>
      </c>
      <c r="N511" s="664" t="e">
        <f t="shared" ca="1" si="465"/>
        <v>#NAME?</v>
      </c>
      <c r="O511" s="140" t="e">
        <f t="shared" ca="1" si="411"/>
        <v>#NAME?</v>
      </c>
      <c r="P511" s="352" t="e">
        <f t="shared" ca="1" si="424"/>
        <v>#NAME?</v>
      </c>
      <c r="Q511" s="665" t="e">
        <f t="shared" ca="1" si="404"/>
        <v>#NAME?</v>
      </c>
      <c r="R511" s="352" t="e">
        <f t="shared" ca="1" si="437"/>
        <v>#NAME?</v>
      </c>
      <c r="S511" s="662" t="e">
        <f t="shared" ca="1" si="412"/>
        <v>#NAME?</v>
      </c>
      <c r="T511" s="443" t="e">
        <f t="shared" ca="1" si="405"/>
        <v>#NAME?</v>
      </c>
      <c r="U511" s="369" t="e">
        <f t="shared" ca="1" si="406"/>
        <v>#NAME?</v>
      </c>
      <c r="V511" s="454" t="e">
        <f t="shared" ca="1" si="413"/>
        <v>#NAME?</v>
      </c>
      <c r="W511" s="457">
        <f t="shared" si="414"/>
        <v>1000</v>
      </c>
      <c r="X511" s="463" t="e">
        <f t="shared" ca="1" si="415"/>
        <v>#NAME?</v>
      </c>
      <c r="Y511" s="455" t="e">
        <f t="shared" ca="1" si="425"/>
        <v>#NAME?</v>
      </c>
      <c r="Z511" s="699">
        <f t="shared" si="407"/>
        <v>8.5</v>
      </c>
      <c r="AA511" s="355" t="str">
        <f t="shared" si="408"/>
        <v>ON</v>
      </c>
      <c r="AB511" s="357">
        <f t="shared" si="438"/>
        <v>1.4999999999999999E-2</v>
      </c>
      <c r="AC511" s="356" t="e">
        <f ca="1">IF(  Y510=0,0,IF(OR(S511="KCAS",S511="INOP",S511="MEFE"),   ( (5*( (   (((1+0.2*(T511/661.4786)^2)^3.5 -1)  )/( (1-6.8755856*10^-6 *100*Y511)^5.2558797) +1)^(2/7) -1) )^0.5),IF(S511="MACH",T511, IF(S511="LRC",BicubicInterpolation( 'LRC Mach'!$C$4:$AL$21, Y511,U511),  IF(S511="MRC",BicubicInterpolation( 'MRC Mach'!$C$3:$T$18, Y511,U511),  IF(S511="M0.84",0.84,  IF(S511="CI52",BicubicInterpolation('CI=52 Mach'!$C$3:$T$18, Y511,U511),  IF(S511="HOLDING",BicubicInterpolation(  'Holding Mach'!$C$4:$M$13, Y511,U511),                         IF(S511="LRCINOP", BicubicInterpolation('LRC INOP Mach'!$C$4:$AA$21,Y511,U511), IF(S511="HOLDINGINOP",  BicubicInterpolation('Holding INOP Mach'!$N$4:$U$13,Y511,U511),         "XXX" )))))))   )))</f>
        <v>#NAME?</v>
      </c>
      <c r="AD511" s="313" t="e">
        <f t="shared" ca="1" si="439"/>
        <v>#NAME?</v>
      </c>
      <c r="AE511" s="314" t="e">
        <f t="shared" ca="1" si="426"/>
        <v>#NAME?</v>
      </c>
      <c r="AF511" s="313" t="e">
        <f t="shared" ca="1" si="440"/>
        <v>#NAME?</v>
      </c>
      <c r="AG511" s="314" t="e">
        <f t="shared" ca="1" si="427"/>
        <v>#NAME?</v>
      </c>
      <c r="AH511" s="313" t="e">
        <f t="shared" ca="1" si="441"/>
        <v>#NAME?</v>
      </c>
      <c r="AI511" s="314" t="e">
        <f t="shared" ca="1" si="428"/>
        <v>#NAME?</v>
      </c>
      <c r="AJ511" s="315" t="e">
        <f t="shared" ca="1" si="429"/>
        <v>#NAME?</v>
      </c>
      <c r="AK511" s="568" t="e">
        <f t="shared" ca="1" si="442"/>
        <v>#NAME?</v>
      </c>
      <c r="AL511" s="313" t="e">
        <f t="shared" ca="1" si="443"/>
        <v>#NAME?</v>
      </c>
      <c r="AM511" s="313" t="e">
        <f t="shared" ca="1" si="430"/>
        <v>#NAME?</v>
      </c>
      <c r="AN511" s="313" t="e">
        <f t="shared" ca="1" si="431"/>
        <v>#NAME?</v>
      </c>
      <c r="AO511" s="316" t="e">
        <f t="shared" ca="1" si="444"/>
        <v>#NAME?</v>
      </c>
      <c r="AP511" s="313" t="e">
        <f t="shared" ca="1" si="445"/>
        <v>#NAME?</v>
      </c>
      <c r="AQ511" s="314" t="e">
        <f t="shared" ca="1" si="432"/>
        <v>#NAME?</v>
      </c>
      <c r="AR511" s="315" t="e">
        <f t="shared" ca="1" si="446"/>
        <v>#NAME?</v>
      </c>
      <c r="AS511" s="316" t="e">
        <f t="shared" ca="1" si="447"/>
        <v>#NAME?</v>
      </c>
      <c r="AT511" s="315" t="e">
        <f t="shared" ca="1" si="448"/>
        <v>#NAME?</v>
      </c>
      <c r="AU511" s="317">
        <v>427.8</v>
      </c>
      <c r="AV511" s="315" t="e">
        <f t="shared" ca="1" si="449"/>
        <v>#NAME?</v>
      </c>
      <c r="AW511" s="318" t="e">
        <f ca="1">0.0001*BicubicInterpolation('Drag Coef Table'!$B$4:$L$28,AV511,AC511)</f>
        <v>#NAME?</v>
      </c>
      <c r="AX511" s="319" t="e">
        <f t="shared" ca="1" si="450"/>
        <v>#NAME?</v>
      </c>
      <c r="AY511" s="318" t="e">
        <f t="shared" ca="1" si="451"/>
        <v>#NAME?</v>
      </c>
      <c r="AZ511" s="320" t="e">
        <f t="shared" ca="1" si="452"/>
        <v>#NAME?</v>
      </c>
      <c r="BA511" s="321" t="e">
        <f t="shared" ca="1" si="453"/>
        <v>#NAME?</v>
      </c>
      <c r="BB511" s="322" t="e">
        <f t="shared" ca="1" si="454"/>
        <v>#NAME?</v>
      </c>
      <c r="BC511" s="323">
        <v>75.196700000000007</v>
      </c>
      <c r="BD511" s="324" t="e">
        <f t="shared" ca="1" si="455"/>
        <v>#NAME?</v>
      </c>
      <c r="BE511" s="325" t="e">
        <f t="shared" ca="1" si="456"/>
        <v>#NAME?</v>
      </c>
      <c r="BF511" s="324" t="e">
        <f ca="1">BicubicInterpolation('TSFC Eff Table'!$B$4:$E$69,2,BB511)</f>
        <v>#NAME?</v>
      </c>
      <c r="BG511" s="326" t="e">
        <f t="shared" ca="1" si="457"/>
        <v>#NAME?</v>
      </c>
      <c r="BH511" s="694" t="e">
        <f ca="1">IF( S511="LRCINOP",   (1+(0.03/10)*Z511*(1+0.2*AC511^2) )*BicubicInterpolation( 'LRC INOP FF'!$C$4:$AA$21, Y511, U511 )-200, IF(S511 ="HOLDINGINOP", (1+(0.03/10)*Z511*(1+0.2*AC511^2) )*BicubicInterpolation( 'Holding INOP FF'!$C$4:$J$13,  Y511,  U511)/1.05-200,   BA511*BG511))</f>
        <v>#NAME?</v>
      </c>
      <c r="BI511" s="344" t="e">
        <f t="shared" ca="1" si="416"/>
        <v>#NAME?</v>
      </c>
      <c r="BJ511" s="322" t="e">
        <f t="shared" ca="1" si="458"/>
        <v>#NAME?</v>
      </c>
      <c r="BK511" s="338" t="e">
        <f t="shared" ca="1" si="417"/>
        <v>#NAME?</v>
      </c>
      <c r="BL511" s="327" t="e">
        <f t="shared" ca="1" si="459"/>
        <v>#NAME?</v>
      </c>
      <c r="BM511" s="328">
        <f t="shared" si="460"/>
        <v>200</v>
      </c>
      <c r="BN511" s="329" t="e">
        <f t="shared" ca="1" si="461"/>
        <v>#NAME?</v>
      </c>
      <c r="BO511" s="344" t="e">
        <f t="shared" ca="1" si="418"/>
        <v>#NAME?</v>
      </c>
      <c r="BP511" s="320" t="e">
        <f t="shared" ca="1" si="462"/>
        <v>#NAME?</v>
      </c>
      <c r="BQ511" s="344" t="e">
        <f t="shared" ca="1" si="419"/>
        <v>#NAME?</v>
      </c>
      <c r="BR511" s="347" t="e">
        <f t="shared" ca="1" si="420"/>
        <v>#NAME?</v>
      </c>
      <c r="BS511" s="326" t="e">
        <f t="shared" ca="1" si="463"/>
        <v>#NAME?</v>
      </c>
      <c r="BT511" s="437" t="e">
        <f t="shared" ca="1" si="433"/>
        <v>#NAME?</v>
      </c>
      <c r="BU511" s="437" t="e">
        <f t="shared" ca="1" si="434"/>
        <v>#NAME?</v>
      </c>
      <c r="BV511" s="441" t="e">
        <f t="shared" ca="1" si="435"/>
        <v>#NAME?</v>
      </c>
      <c r="BW511" s="442" t="e">
        <f t="shared" ca="1" si="436"/>
        <v>#NAME?</v>
      </c>
      <c r="BX511" s="470" t="e">
        <f t="shared" ca="1" si="409"/>
        <v>#NAME?</v>
      </c>
      <c r="BY511" s="484" t="e">
        <f t="shared" ca="1" si="421"/>
        <v>#NAME?</v>
      </c>
    </row>
    <row r="512" spans="9:77" ht="17.75" customHeight="1" x14ac:dyDescent="0.2">
      <c r="I512" s="366">
        <v>428</v>
      </c>
      <c r="J512" s="414">
        <f t="shared" si="422"/>
        <v>41706.009722223193</v>
      </c>
      <c r="K512" s="435" t="e">
        <f t="shared" ca="1" si="423"/>
        <v>#NAME?</v>
      </c>
      <c r="L512" s="435" t="e">
        <f t="shared" ca="1" si="466"/>
        <v>#NAME?</v>
      </c>
      <c r="M512" s="664" t="e">
        <f t="shared" ca="1" si="464"/>
        <v>#NAME?</v>
      </c>
      <c r="N512" s="664" t="e">
        <f t="shared" ca="1" si="465"/>
        <v>#NAME?</v>
      </c>
      <c r="O512" s="140" t="e">
        <f t="shared" ca="1" si="411"/>
        <v>#NAME?</v>
      </c>
      <c r="P512" s="352" t="e">
        <f t="shared" ca="1" si="424"/>
        <v>#NAME?</v>
      </c>
      <c r="Q512" s="665" t="e">
        <f t="shared" ca="1" si="404"/>
        <v>#NAME?</v>
      </c>
      <c r="R512" s="352" t="e">
        <f t="shared" ca="1" si="437"/>
        <v>#NAME?</v>
      </c>
      <c r="S512" s="662" t="e">
        <f t="shared" ca="1" si="412"/>
        <v>#NAME?</v>
      </c>
      <c r="T512" s="443" t="e">
        <f t="shared" ca="1" si="405"/>
        <v>#NAME?</v>
      </c>
      <c r="U512" s="369" t="e">
        <f t="shared" ca="1" si="406"/>
        <v>#NAME?</v>
      </c>
      <c r="V512" s="454" t="e">
        <f t="shared" ca="1" si="413"/>
        <v>#NAME?</v>
      </c>
      <c r="W512" s="457">
        <f t="shared" si="414"/>
        <v>1000</v>
      </c>
      <c r="X512" s="463" t="e">
        <f t="shared" ca="1" si="415"/>
        <v>#NAME?</v>
      </c>
      <c r="Y512" s="455" t="e">
        <f t="shared" ca="1" si="425"/>
        <v>#NAME?</v>
      </c>
      <c r="Z512" s="699">
        <f t="shared" si="407"/>
        <v>8.5</v>
      </c>
      <c r="AA512" s="355" t="str">
        <f t="shared" si="408"/>
        <v>ON</v>
      </c>
      <c r="AB512" s="357">
        <f t="shared" si="438"/>
        <v>1.4999999999999999E-2</v>
      </c>
      <c r="AC512" s="356" t="e">
        <f ca="1">IF(  Y511=0,0,IF(OR(S512="KCAS",S512="INOP",S512="MEFE"),   ( (5*( (   (((1+0.2*(T512/661.4786)^2)^3.5 -1)  )/( (1-6.8755856*10^-6 *100*Y512)^5.2558797) +1)^(2/7) -1) )^0.5),IF(S512="MACH",T512, IF(S512="LRC",BicubicInterpolation( 'LRC Mach'!$C$4:$AL$21, Y512,U512),  IF(S512="MRC",BicubicInterpolation( 'MRC Mach'!$C$3:$T$18, Y512,U512),  IF(S512="M0.84",0.84,  IF(S512="CI52",BicubicInterpolation('CI=52 Mach'!$C$3:$T$18, Y512,U512),  IF(S512="HOLDING",BicubicInterpolation(  'Holding Mach'!$C$4:$M$13, Y512,U512),                         IF(S512="LRCINOP", BicubicInterpolation('LRC INOP Mach'!$C$4:$AA$21,Y512,U512), IF(S512="HOLDINGINOP",  BicubicInterpolation('Holding INOP Mach'!$N$4:$U$13,Y512,U512),         "XXX" )))))))   )))</f>
        <v>#NAME?</v>
      </c>
      <c r="AD512" s="313" t="e">
        <f t="shared" ca="1" si="439"/>
        <v>#NAME?</v>
      </c>
      <c r="AE512" s="314" t="e">
        <f t="shared" ca="1" si="426"/>
        <v>#NAME?</v>
      </c>
      <c r="AF512" s="313" t="e">
        <f t="shared" ca="1" si="440"/>
        <v>#NAME?</v>
      </c>
      <c r="AG512" s="314" t="e">
        <f t="shared" ca="1" si="427"/>
        <v>#NAME?</v>
      </c>
      <c r="AH512" s="313" t="e">
        <f t="shared" ca="1" si="441"/>
        <v>#NAME?</v>
      </c>
      <c r="AI512" s="314" t="e">
        <f t="shared" ca="1" si="428"/>
        <v>#NAME?</v>
      </c>
      <c r="AJ512" s="315" t="e">
        <f t="shared" ca="1" si="429"/>
        <v>#NAME?</v>
      </c>
      <c r="AK512" s="568" t="e">
        <f t="shared" ca="1" si="442"/>
        <v>#NAME?</v>
      </c>
      <c r="AL512" s="313" t="e">
        <f t="shared" ca="1" si="443"/>
        <v>#NAME?</v>
      </c>
      <c r="AM512" s="313" t="e">
        <f t="shared" ca="1" si="430"/>
        <v>#NAME?</v>
      </c>
      <c r="AN512" s="313" t="e">
        <f t="shared" ca="1" si="431"/>
        <v>#NAME?</v>
      </c>
      <c r="AO512" s="316" t="e">
        <f t="shared" ca="1" si="444"/>
        <v>#NAME?</v>
      </c>
      <c r="AP512" s="313" t="e">
        <f t="shared" ca="1" si="445"/>
        <v>#NAME?</v>
      </c>
      <c r="AQ512" s="314" t="e">
        <f t="shared" ca="1" si="432"/>
        <v>#NAME?</v>
      </c>
      <c r="AR512" s="315" t="e">
        <f t="shared" ca="1" si="446"/>
        <v>#NAME?</v>
      </c>
      <c r="AS512" s="316" t="e">
        <f t="shared" ca="1" si="447"/>
        <v>#NAME?</v>
      </c>
      <c r="AT512" s="315" t="e">
        <f t="shared" ca="1" si="448"/>
        <v>#NAME?</v>
      </c>
      <c r="AU512" s="317">
        <v>427.8</v>
      </c>
      <c r="AV512" s="315" t="e">
        <f t="shared" ca="1" si="449"/>
        <v>#NAME?</v>
      </c>
      <c r="AW512" s="318" t="e">
        <f ca="1">0.0001*BicubicInterpolation('Drag Coef Table'!$B$4:$L$28,AV512,AC512)</f>
        <v>#NAME?</v>
      </c>
      <c r="AX512" s="319" t="e">
        <f t="shared" ca="1" si="450"/>
        <v>#NAME?</v>
      </c>
      <c r="AY512" s="318" t="e">
        <f t="shared" ca="1" si="451"/>
        <v>#NAME?</v>
      </c>
      <c r="AZ512" s="320" t="e">
        <f t="shared" ca="1" si="452"/>
        <v>#NAME?</v>
      </c>
      <c r="BA512" s="321" t="e">
        <f t="shared" ca="1" si="453"/>
        <v>#NAME?</v>
      </c>
      <c r="BB512" s="322" t="e">
        <f t="shared" ca="1" si="454"/>
        <v>#NAME?</v>
      </c>
      <c r="BC512" s="323">
        <v>75.196700000000007</v>
      </c>
      <c r="BD512" s="324" t="e">
        <f t="shared" ca="1" si="455"/>
        <v>#NAME?</v>
      </c>
      <c r="BE512" s="325" t="e">
        <f t="shared" ca="1" si="456"/>
        <v>#NAME?</v>
      </c>
      <c r="BF512" s="324" t="e">
        <f ca="1">BicubicInterpolation('TSFC Eff Table'!$B$4:$E$69,2,BB512)</f>
        <v>#NAME?</v>
      </c>
      <c r="BG512" s="326" t="e">
        <f t="shared" ca="1" si="457"/>
        <v>#NAME?</v>
      </c>
      <c r="BH512" s="694" t="e">
        <f ca="1">IF( S512="LRCINOP",   (1+(0.03/10)*Z512*(1+0.2*AC512^2) )*BicubicInterpolation( 'LRC INOP FF'!$C$4:$AA$21, Y512, U512 )-200, IF(S512 ="HOLDINGINOP", (1+(0.03/10)*Z512*(1+0.2*AC512^2) )*BicubicInterpolation( 'Holding INOP FF'!$C$4:$J$13,  Y512,  U512)/1.05-200,   BA512*BG512))</f>
        <v>#NAME?</v>
      </c>
      <c r="BI512" s="344" t="e">
        <f t="shared" ca="1" si="416"/>
        <v>#NAME?</v>
      </c>
      <c r="BJ512" s="322" t="e">
        <f t="shared" ca="1" si="458"/>
        <v>#NAME?</v>
      </c>
      <c r="BK512" s="338" t="e">
        <f t="shared" ca="1" si="417"/>
        <v>#NAME?</v>
      </c>
      <c r="BL512" s="327" t="e">
        <f t="shared" ca="1" si="459"/>
        <v>#NAME?</v>
      </c>
      <c r="BM512" s="328">
        <f t="shared" si="460"/>
        <v>200</v>
      </c>
      <c r="BN512" s="329" t="e">
        <f t="shared" ca="1" si="461"/>
        <v>#NAME?</v>
      </c>
      <c r="BO512" s="344" t="e">
        <f t="shared" ca="1" si="418"/>
        <v>#NAME?</v>
      </c>
      <c r="BP512" s="320" t="e">
        <f t="shared" ca="1" si="462"/>
        <v>#NAME?</v>
      </c>
      <c r="BQ512" s="344" t="e">
        <f t="shared" ca="1" si="419"/>
        <v>#NAME?</v>
      </c>
      <c r="BR512" s="347" t="e">
        <f t="shared" ca="1" si="420"/>
        <v>#NAME?</v>
      </c>
      <c r="BS512" s="326" t="e">
        <f t="shared" ca="1" si="463"/>
        <v>#NAME?</v>
      </c>
      <c r="BT512" s="437" t="e">
        <f t="shared" ca="1" si="433"/>
        <v>#NAME?</v>
      </c>
      <c r="BU512" s="437" t="e">
        <f t="shared" ca="1" si="434"/>
        <v>#NAME?</v>
      </c>
      <c r="BV512" s="441" t="e">
        <f t="shared" ca="1" si="435"/>
        <v>#NAME?</v>
      </c>
      <c r="BW512" s="442" t="e">
        <f t="shared" ca="1" si="436"/>
        <v>#NAME?</v>
      </c>
      <c r="BX512" s="470" t="e">
        <f t="shared" ca="1" si="409"/>
        <v>#NAME?</v>
      </c>
      <c r="BY512" s="484" t="e">
        <f t="shared" ca="1" si="421"/>
        <v>#NAME?</v>
      </c>
    </row>
    <row r="513" spans="9:77" ht="17.75" customHeight="1" x14ac:dyDescent="0.2">
      <c r="I513" s="366">
        <v>429</v>
      </c>
      <c r="J513" s="414">
        <f t="shared" si="422"/>
        <v>41706.010416667639</v>
      </c>
      <c r="K513" s="435" t="e">
        <f t="shared" ca="1" si="423"/>
        <v>#NAME?</v>
      </c>
      <c r="L513" s="435" t="e">
        <f t="shared" ca="1" si="466"/>
        <v>#NAME?</v>
      </c>
      <c r="M513" s="664" t="e">
        <f t="shared" ca="1" si="464"/>
        <v>#NAME?</v>
      </c>
      <c r="N513" s="664" t="e">
        <f t="shared" ca="1" si="465"/>
        <v>#NAME?</v>
      </c>
      <c r="O513" s="140" t="e">
        <f t="shared" ca="1" si="411"/>
        <v>#NAME?</v>
      </c>
      <c r="P513" s="352" t="e">
        <f t="shared" ca="1" si="424"/>
        <v>#NAME?</v>
      </c>
      <c r="Q513" s="665" t="e">
        <f t="shared" ca="1" si="404"/>
        <v>#NAME?</v>
      </c>
      <c r="R513" s="352" t="e">
        <f t="shared" ca="1" si="437"/>
        <v>#NAME?</v>
      </c>
      <c r="S513" s="662" t="e">
        <f t="shared" ca="1" si="412"/>
        <v>#NAME?</v>
      </c>
      <c r="T513" s="443" t="e">
        <f t="shared" ca="1" si="405"/>
        <v>#NAME?</v>
      </c>
      <c r="U513" s="369" t="e">
        <f t="shared" ca="1" si="406"/>
        <v>#NAME?</v>
      </c>
      <c r="V513" s="454" t="e">
        <f t="shared" ca="1" si="413"/>
        <v>#NAME?</v>
      </c>
      <c r="W513" s="457">
        <f t="shared" si="414"/>
        <v>1000</v>
      </c>
      <c r="X513" s="463" t="e">
        <f t="shared" ca="1" si="415"/>
        <v>#NAME?</v>
      </c>
      <c r="Y513" s="455" t="e">
        <f t="shared" ca="1" si="425"/>
        <v>#NAME?</v>
      </c>
      <c r="Z513" s="699">
        <f t="shared" si="407"/>
        <v>8.5</v>
      </c>
      <c r="AA513" s="355" t="str">
        <f t="shared" si="408"/>
        <v>ON</v>
      </c>
      <c r="AB513" s="357">
        <f t="shared" si="438"/>
        <v>1.4999999999999999E-2</v>
      </c>
      <c r="AC513" s="356" t="e">
        <f ca="1">IF(  Y512=0,0,IF(OR(S513="KCAS",S513="INOP",S513="MEFE"),   ( (5*( (   (((1+0.2*(T513/661.4786)^2)^3.5 -1)  )/( (1-6.8755856*10^-6 *100*Y513)^5.2558797) +1)^(2/7) -1) )^0.5),IF(S513="MACH",T513, IF(S513="LRC",BicubicInterpolation( 'LRC Mach'!$C$4:$AL$21, Y513,U513),  IF(S513="MRC",BicubicInterpolation( 'MRC Mach'!$C$3:$T$18, Y513,U513),  IF(S513="M0.84",0.84,  IF(S513="CI52",BicubicInterpolation('CI=52 Mach'!$C$3:$T$18, Y513,U513),  IF(S513="HOLDING",BicubicInterpolation(  'Holding Mach'!$C$4:$M$13, Y513,U513),                         IF(S513="LRCINOP", BicubicInterpolation('LRC INOP Mach'!$C$4:$AA$21,Y513,U513), IF(S513="HOLDINGINOP",  BicubicInterpolation('Holding INOP Mach'!$N$4:$U$13,Y513,U513),         "XXX" )))))))   )))</f>
        <v>#NAME?</v>
      </c>
      <c r="AD513" s="313" t="e">
        <f t="shared" ca="1" si="439"/>
        <v>#NAME?</v>
      </c>
      <c r="AE513" s="314" t="e">
        <f t="shared" ca="1" si="426"/>
        <v>#NAME?</v>
      </c>
      <c r="AF513" s="313" t="e">
        <f t="shared" ca="1" si="440"/>
        <v>#NAME?</v>
      </c>
      <c r="AG513" s="314" t="e">
        <f t="shared" ca="1" si="427"/>
        <v>#NAME?</v>
      </c>
      <c r="AH513" s="313" t="e">
        <f t="shared" ca="1" si="441"/>
        <v>#NAME?</v>
      </c>
      <c r="AI513" s="314" t="e">
        <f t="shared" ca="1" si="428"/>
        <v>#NAME?</v>
      </c>
      <c r="AJ513" s="315" t="e">
        <f t="shared" ca="1" si="429"/>
        <v>#NAME?</v>
      </c>
      <c r="AK513" s="568" t="e">
        <f t="shared" ca="1" si="442"/>
        <v>#NAME?</v>
      </c>
      <c r="AL513" s="313" t="e">
        <f t="shared" ca="1" si="443"/>
        <v>#NAME?</v>
      </c>
      <c r="AM513" s="313" t="e">
        <f t="shared" ca="1" si="430"/>
        <v>#NAME?</v>
      </c>
      <c r="AN513" s="313" t="e">
        <f t="shared" ca="1" si="431"/>
        <v>#NAME?</v>
      </c>
      <c r="AO513" s="316" t="e">
        <f t="shared" ca="1" si="444"/>
        <v>#NAME?</v>
      </c>
      <c r="AP513" s="313" t="e">
        <f t="shared" ca="1" si="445"/>
        <v>#NAME?</v>
      </c>
      <c r="AQ513" s="314" t="e">
        <f t="shared" ca="1" si="432"/>
        <v>#NAME?</v>
      </c>
      <c r="AR513" s="315" t="e">
        <f t="shared" ca="1" si="446"/>
        <v>#NAME?</v>
      </c>
      <c r="AS513" s="316" t="e">
        <f t="shared" ca="1" si="447"/>
        <v>#NAME?</v>
      </c>
      <c r="AT513" s="315" t="e">
        <f t="shared" ca="1" si="448"/>
        <v>#NAME?</v>
      </c>
      <c r="AU513" s="317">
        <v>427.8</v>
      </c>
      <c r="AV513" s="315" t="e">
        <f t="shared" ca="1" si="449"/>
        <v>#NAME?</v>
      </c>
      <c r="AW513" s="318" t="e">
        <f ca="1">0.0001*BicubicInterpolation('Drag Coef Table'!$B$4:$L$28,AV513,AC513)</f>
        <v>#NAME?</v>
      </c>
      <c r="AX513" s="319" t="e">
        <f t="shared" ca="1" si="450"/>
        <v>#NAME?</v>
      </c>
      <c r="AY513" s="318" t="e">
        <f t="shared" ca="1" si="451"/>
        <v>#NAME?</v>
      </c>
      <c r="AZ513" s="320" t="e">
        <f t="shared" ca="1" si="452"/>
        <v>#NAME?</v>
      </c>
      <c r="BA513" s="321" t="e">
        <f t="shared" ca="1" si="453"/>
        <v>#NAME?</v>
      </c>
      <c r="BB513" s="322" t="e">
        <f t="shared" ca="1" si="454"/>
        <v>#NAME?</v>
      </c>
      <c r="BC513" s="323">
        <v>75.196700000000007</v>
      </c>
      <c r="BD513" s="324" t="e">
        <f t="shared" ca="1" si="455"/>
        <v>#NAME?</v>
      </c>
      <c r="BE513" s="325" t="e">
        <f t="shared" ca="1" si="456"/>
        <v>#NAME?</v>
      </c>
      <c r="BF513" s="324" t="e">
        <f ca="1">BicubicInterpolation('TSFC Eff Table'!$B$4:$E$69,2,BB513)</f>
        <v>#NAME?</v>
      </c>
      <c r="BG513" s="326" t="e">
        <f t="shared" ca="1" si="457"/>
        <v>#NAME?</v>
      </c>
      <c r="BH513" s="694" t="e">
        <f ca="1">IF( S513="LRCINOP",   (1+(0.03/10)*Z513*(1+0.2*AC513^2) )*BicubicInterpolation( 'LRC INOP FF'!$C$4:$AA$21, Y513, U513 )-200, IF(S513 ="HOLDINGINOP", (1+(0.03/10)*Z513*(1+0.2*AC513^2) )*BicubicInterpolation( 'Holding INOP FF'!$C$4:$J$13,  Y513,  U513)/1.05-200,   BA513*BG513))</f>
        <v>#NAME?</v>
      </c>
      <c r="BI513" s="344" t="e">
        <f t="shared" ca="1" si="416"/>
        <v>#NAME?</v>
      </c>
      <c r="BJ513" s="322" t="e">
        <f t="shared" ca="1" si="458"/>
        <v>#NAME?</v>
      </c>
      <c r="BK513" s="338" t="e">
        <f t="shared" ca="1" si="417"/>
        <v>#NAME?</v>
      </c>
      <c r="BL513" s="327" t="e">
        <f t="shared" ca="1" si="459"/>
        <v>#NAME?</v>
      </c>
      <c r="BM513" s="328">
        <f t="shared" si="460"/>
        <v>200</v>
      </c>
      <c r="BN513" s="329" t="e">
        <f t="shared" ca="1" si="461"/>
        <v>#NAME?</v>
      </c>
      <c r="BO513" s="344" t="e">
        <f t="shared" ca="1" si="418"/>
        <v>#NAME?</v>
      </c>
      <c r="BP513" s="320" t="e">
        <f t="shared" ca="1" si="462"/>
        <v>#NAME?</v>
      </c>
      <c r="BQ513" s="344" t="e">
        <f t="shared" ca="1" si="419"/>
        <v>#NAME?</v>
      </c>
      <c r="BR513" s="347" t="e">
        <f t="shared" ca="1" si="420"/>
        <v>#NAME?</v>
      </c>
      <c r="BS513" s="326" t="e">
        <f t="shared" ca="1" si="463"/>
        <v>#NAME?</v>
      </c>
      <c r="BT513" s="437" t="e">
        <f t="shared" ca="1" si="433"/>
        <v>#NAME?</v>
      </c>
      <c r="BU513" s="437" t="e">
        <f t="shared" ca="1" si="434"/>
        <v>#NAME?</v>
      </c>
      <c r="BV513" s="441" t="e">
        <f t="shared" ca="1" si="435"/>
        <v>#NAME?</v>
      </c>
      <c r="BW513" s="442" t="e">
        <f t="shared" ca="1" si="436"/>
        <v>#NAME?</v>
      </c>
      <c r="BX513" s="470" t="e">
        <f t="shared" ca="1" si="409"/>
        <v>#NAME?</v>
      </c>
      <c r="BY513" s="484" t="e">
        <f t="shared" ca="1" si="421"/>
        <v>#NAME?</v>
      </c>
    </row>
    <row r="514" spans="9:77" ht="17.75" customHeight="1" x14ac:dyDescent="0.2">
      <c r="I514" s="366">
        <v>430</v>
      </c>
      <c r="J514" s="414">
        <f t="shared" si="422"/>
        <v>41706.011111112086</v>
      </c>
      <c r="K514" s="435" t="e">
        <f t="shared" ca="1" si="423"/>
        <v>#NAME?</v>
      </c>
      <c r="L514" s="435" t="e">
        <f t="shared" ca="1" si="466"/>
        <v>#NAME?</v>
      </c>
      <c r="M514" s="664" t="e">
        <f t="shared" ca="1" si="464"/>
        <v>#NAME?</v>
      </c>
      <c r="N514" s="664" t="e">
        <f t="shared" ca="1" si="465"/>
        <v>#NAME?</v>
      </c>
      <c r="O514" s="140" t="e">
        <f t="shared" ca="1" si="411"/>
        <v>#NAME?</v>
      </c>
      <c r="P514" s="352" t="e">
        <f t="shared" ca="1" si="424"/>
        <v>#NAME?</v>
      </c>
      <c r="Q514" s="665" t="e">
        <f t="shared" ca="1" si="404"/>
        <v>#NAME?</v>
      </c>
      <c r="R514" s="352" t="e">
        <f t="shared" ca="1" si="437"/>
        <v>#NAME?</v>
      </c>
      <c r="S514" s="662" t="e">
        <f t="shared" ca="1" si="412"/>
        <v>#NAME?</v>
      </c>
      <c r="T514" s="443" t="e">
        <f t="shared" ca="1" si="405"/>
        <v>#NAME?</v>
      </c>
      <c r="U514" s="369" t="e">
        <f t="shared" ca="1" si="406"/>
        <v>#NAME?</v>
      </c>
      <c r="V514" s="454" t="e">
        <f t="shared" ca="1" si="413"/>
        <v>#NAME?</v>
      </c>
      <c r="W514" s="457">
        <f t="shared" si="414"/>
        <v>1000</v>
      </c>
      <c r="X514" s="463" t="e">
        <f t="shared" ca="1" si="415"/>
        <v>#NAME?</v>
      </c>
      <c r="Y514" s="455" t="e">
        <f t="shared" ca="1" si="425"/>
        <v>#NAME?</v>
      </c>
      <c r="Z514" s="699">
        <f t="shared" si="407"/>
        <v>8.5</v>
      </c>
      <c r="AA514" s="355" t="str">
        <f t="shared" si="408"/>
        <v>ON</v>
      </c>
      <c r="AB514" s="357">
        <f t="shared" si="438"/>
        <v>1.4999999999999999E-2</v>
      </c>
      <c r="AC514" s="356" t="e">
        <f ca="1">IF(  Y513=0,0,IF(OR(S514="KCAS",S514="INOP",S514="MEFE"),   ( (5*( (   (((1+0.2*(T514/661.4786)^2)^3.5 -1)  )/( (1-6.8755856*10^-6 *100*Y514)^5.2558797) +1)^(2/7) -1) )^0.5),IF(S514="MACH",T514, IF(S514="LRC",BicubicInterpolation( 'LRC Mach'!$C$4:$AL$21, Y514,U514),  IF(S514="MRC",BicubicInterpolation( 'MRC Mach'!$C$3:$T$18, Y514,U514),  IF(S514="M0.84",0.84,  IF(S514="CI52",BicubicInterpolation('CI=52 Mach'!$C$3:$T$18, Y514,U514),  IF(S514="HOLDING",BicubicInterpolation(  'Holding Mach'!$C$4:$M$13, Y514,U514),                         IF(S514="LRCINOP", BicubicInterpolation('LRC INOP Mach'!$C$4:$AA$21,Y514,U514), IF(S514="HOLDINGINOP",  BicubicInterpolation('Holding INOP Mach'!$N$4:$U$13,Y514,U514),         "XXX" )))))))   )))</f>
        <v>#NAME?</v>
      </c>
      <c r="AD514" s="313" t="e">
        <f t="shared" ca="1" si="439"/>
        <v>#NAME?</v>
      </c>
      <c r="AE514" s="314" t="e">
        <f t="shared" ca="1" si="426"/>
        <v>#NAME?</v>
      </c>
      <c r="AF514" s="313" t="e">
        <f t="shared" ca="1" si="440"/>
        <v>#NAME?</v>
      </c>
      <c r="AG514" s="314" t="e">
        <f t="shared" ca="1" si="427"/>
        <v>#NAME?</v>
      </c>
      <c r="AH514" s="313" t="e">
        <f t="shared" ca="1" si="441"/>
        <v>#NAME?</v>
      </c>
      <c r="AI514" s="314" t="e">
        <f t="shared" ca="1" si="428"/>
        <v>#NAME?</v>
      </c>
      <c r="AJ514" s="315" t="e">
        <f t="shared" ca="1" si="429"/>
        <v>#NAME?</v>
      </c>
      <c r="AK514" s="568" t="e">
        <f t="shared" ca="1" si="442"/>
        <v>#NAME?</v>
      </c>
      <c r="AL514" s="313" t="e">
        <f t="shared" ca="1" si="443"/>
        <v>#NAME?</v>
      </c>
      <c r="AM514" s="313" t="e">
        <f t="shared" ca="1" si="430"/>
        <v>#NAME?</v>
      </c>
      <c r="AN514" s="313" t="e">
        <f t="shared" ca="1" si="431"/>
        <v>#NAME?</v>
      </c>
      <c r="AO514" s="316" t="e">
        <f t="shared" ca="1" si="444"/>
        <v>#NAME?</v>
      </c>
      <c r="AP514" s="313" t="e">
        <f t="shared" ca="1" si="445"/>
        <v>#NAME?</v>
      </c>
      <c r="AQ514" s="314" t="e">
        <f t="shared" ca="1" si="432"/>
        <v>#NAME?</v>
      </c>
      <c r="AR514" s="315" t="e">
        <f t="shared" ca="1" si="446"/>
        <v>#NAME?</v>
      </c>
      <c r="AS514" s="316" t="e">
        <f t="shared" ca="1" si="447"/>
        <v>#NAME?</v>
      </c>
      <c r="AT514" s="315" t="e">
        <f t="shared" ca="1" si="448"/>
        <v>#NAME?</v>
      </c>
      <c r="AU514" s="317">
        <v>427.8</v>
      </c>
      <c r="AV514" s="315" t="e">
        <f t="shared" ca="1" si="449"/>
        <v>#NAME?</v>
      </c>
      <c r="AW514" s="318" t="e">
        <f ca="1">0.0001*BicubicInterpolation('Drag Coef Table'!$B$4:$L$28,AV514,AC514)</f>
        <v>#NAME?</v>
      </c>
      <c r="AX514" s="319" t="e">
        <f t="shared" ca="1" si="450"/>
        <v>#NAME?</v>
      </c>
      <c r="AY514" s="318" t="e">
        <f t="shared" ca="1" si="451"/>
        <v>#NAME?</v>
      </c>
      <c r="AZ514" s="320" t="e">
        <f t="shared" ca="1" si="452"/>
        <v>#NAME?</v>
      </c>
      <c r="BA514" s="321" t="e">
        <f t="shared" ca="1" si="453"/>
        <v>#NAME?</v>
      </c>
      <c r="BB514" s="322" t="e">
        <f t="shared" ca="1" si="454"/>
        <v>#NAME?</v>
      </c>
      <c r="BC514" s="323">
        <v>75.196700000000007</v>
      </c>
      <c r="BD514" s="324" t="e">
        <f t="shared" ca="1" si="455"/>
        <v>#NAME?</v>
      </c>
      <c r="BE514" s="325" t="e">
        <f t="shared" ca="1" si="456"/>
        <v>#NAME?</v>
      </c>
      <c r="BF514" s="324" t="e">
        <f ca="1">BicubicInterpolation('TSFC Eff Table'!$B$4:$E$69,2,BB514)</f>
        <v>#NAME?</v>
      </c>
      <c r="BG514" s="326" t="e">
        <f t="shared" ca="1" si="457"/>
        <v>#NAME?</v>
      </c>
      <c r="BH514" s="694" t="e">
        <f ca="1">IF( S514="LRCINOP",   (1+(0.03/10)*Z514*(1+0.2*AC514^2) )*BicubicInterpolation( 'LRC INOP FF'!$C$4:$AA$21, Y514, U514 )-200, IF(S514 ="HOLDINGINOP", (1+(0.03/10)*Z514*(1+0.2*AC514^2) )*BicubicInterpolation( 'Holding INOP FF'!$C$4:$J$13,  Y514,  U514)/1.05-200,   BA514*BG514))</f>
        <v>#NAME?</v>
      </c>
      <c r="BI514" s="344" t="e">
        <f t="shared" ca="1" si="416"/>
        <v>#NAME?</v>
      </c>
      <c r="BJ514" s="322" t="e">
        <f t="shared" ca="1" si="458"/>
        <v>#NAME?</v>
      </c>
      <c r="BK514" s="338" t="e">
        <f t="shared" ca="1" si="417"/>
        <v>#NAME?</v>
      </c>
      <c r="BL514" s="327" t="e">
        <f t="shared" ca="1" si="459"/>
        <v>#NAME?</v>
      </c>
      <c r="BM514" s="328">
        <f t="shared" si="460"/>
        <v>200</v>
      </c>
      <c r="BN514" s="329" t="e">
        <f t="shared" ca="1" si="461"/>
        <v>#NAME?</v>
      </c>
      <c r="BO514" s="344" t="e">
        <f t="shared" ca="1" si="418"/>
        <v>#NAME?</v>
      </c>
      <c r="BP514" s="320" t="e">
        <f t="shared" ca="1" si="462"/>
        <v>#NAME?</v>
      </c>
      <c r="BQ514" s="344" t="e">
        <f t="shared" ca="1" si="419"/>
        <v>#NAME?</v>
      </c>
      <c r="BR514" s="347" t="e">
        <f t="shared" ca="1" si="420"/>
        <v>#NAME?</v>
      </c>
      <c r="BS514" s="326" t="e">
        <f t="shared" ca="1" si="463"/>
        <v>#NAME?</v>
      </c>
      <c r="BT514" s="437" t="e">
        <f t="shared" ca="1" si="433"/>
        <v>#NAME?</v>
      </c>
      <c r="BU514" s="437" t="e">
        <f t="shared" ca="1" si="434"/>
        <v>#NAME?</v>
      </c>
      <c r="BV514" s="441" t="e">
        <f t="shared" ca="1" si="435"/>
        <v>#NAME?</v>
      </c>
      <c r="BW514" s="442" t="e">
        <f t="shared" ca="1" si="436"/>
        <v>#NAME?</v>
      </c>
      <c r="BX514" s="470" t="e">
        <f t="shared" ca="1" si="409"/>
        <v>#NAME?</v>
      </c>
      <c r="BY514" s="484" t="e">
        <f t="shared" ca="1" si="421"/>
        <v>#NAME?</v>
      </c>
    </row>
    <row r="515" spans="9:77" ht="17.75" customHeight="1" x14ac:dyDescent="0.2">
      <c r="I515" s="366">
        <v>431</v>
      </c>
      <c r="J515" s="414">
        <f t="shared" si="422"/>
        <v>41706.011805556533</v>
      </c>
      <c r="K515" s="435" t="e">
        <f t="shared" ca="1" si="423"/>
        <v>#NAME?</v>
      </c>
      <c r="L515" s="435" t="e">
        <f t="shared" ca="1" si="466"/>
        <v>#NAME?</v>
      </c>
      <c r="M515" s="664" t="e">
        <f t="shared" ca="1" si="464"/>
        <v>#NAME?</v>
      </c>
      <c r="N515" s="664" t="e">
        <f t="shared" ca="1" si="465"/>
        <v>#NAME?</v>
      </c>
      <c r="O515" s="140" t="e">
        <f t="shared" ca="1" si="411"/>
        <v>#NAME?</v>
      </c>
      <c r="P515" s="352" t="e">
        <f t="shared" ca="1" si="424"/>
        <v>#NAME?</v>
      </c>
      <c r="Q515" s="665" t="e">
        <f t="shared" ca="1" si="404"/>
        <v>#NAME?</v>
      </c>
      <c r="R515" s="352" t="e">
        <f t="shared" ca="1" si="437"/>
        <v>#NAME?</v>
      </c>
      <c r="S515" s="662" t="e">
        <f t="shared" ca="1" si="412"/>
        <v>#NAME?</v>
      </c>
      <c r="T515" s="443" t="e">
        <f t="shared" ca="1" si="405"/>
        <v>#NAME?</v>
      </c>
      <c r="U515" s="369" t="e">
        <f t="shared" ca="1" si="406"/>
        <v>#NAME?</v>
      </c>
      <c r="V515" s="454" t="e">
        <f t="shared" ca="1" si="413"/>
        <v>#NAME?</v>
      </c>
      <c r="W515" s="457">
        <f t="shared" si="414"/>
        <v>1000</v>
      </c>
      <c r="X515" s="463" t="e">
        <f t="shared" ca="1" si="415"/>
        <v>#NAME?</v>
      </c>
      <c r="Y515" s="455" t="e">
        <f t="shared" ca="1" si="425"/>
        <v>#NAME?</v>
      </c>
      <c r="Z515" s="699">
        <f t="shared" si="407"/>
        <v>8.5</v>
      </c>
      <c r="AA515" s="355" t="str">
        <f t="shared" si="408"/>
        <v>ON</v>
      </c>
      <c r="AB515" s="357">
        <f t="shared" si="438"/>
        <v>1.4999999999999999E-2</v>
      </c>
      <c r="AC515" s="356" t="e">
        <f ca="1">IF(  Y514=0,0,IF(OR(S515="KCAS",S515="INOP",S515="MEFE"),   ( (5*( (   (((1+0.2*(T515/661.4786)^2)^3.5 -1)  )/( (1-6.8755856*10^-6 *100*Y515)^5.2558797) +1)^(2/7) -1) )^0.5),IF(S515="MACH",T515, IF(S515="LRC",BicubicInterpolation( 'LRC Mach'!$C$4:$AL$21, Y515,U515),  IF(S515="MRC",BicubicInterpolation( 'MRC Mach'!$C$3:$T$18, Y515,U515),  IF(S515="M0.84",0.84,  IF(S515="CI52",BicubicInterpolation('CI=52 Mach'!$C$3:$T$18, Y515,U515),  IF(S515="HOLDING",BicubicInterpolation(  'Holding Mach'!$C$4:$M$13, Y515,U515),                         IF(S515="LRCINOP", BicubicInterpolation('LRC INOP Mach'!$C$4:$AA$21,Y515,U515), IF(S515="HOLDINGINOP",  BicubicInterpolation('Holding INOP Mach'!$N$4:$U$13,Y515,U515),         "XXX" )))))))   )))</f>
        <v>#NAME?</v>
      </c>
      <c r="AD515" s="313" t="e">
        <f t="shared" ca="1" si="439"/>
        <v>#NAME?</v>
      </c>
      <c r="AE515" s="314" t="e">
        <f t="shared" ca="1" si="426"/>
        <v>#NAME?</v>
      </c>
      <c r="AF515" s="313" t="e">
        <f t="shared" ca="1" si="440"/>
        <v>#NAME?</v>
      </c>
      <c r="AG515" s="314" t="e">
        <f t="shared" ca="1" si="427"/>
        <v>#NAME?</v>
      </c>
      <c r="AH515" s="313" t="e">
        <f t="shared" ca="1" si="441"/>
        <v>#NAME?</v>
      </c>
      <c r="AI515" s="314" t="e">
        <f t="shared" ca="1" si="428"/>
        <v>#NAME?</v>
      </c>
      <c r="AJ515" s="315" t="e">
        <f t="shared" ca="1" si="429"/>
        <v>#NAME?</v>
      </c>
      <c r="AK515" s="568" t="e">
        <f t="shared" ca="1" si="442"/>
        <v>#NAME?</v>
      </c>
      <c r="AL515" s="313" t="e">
        <f t="shared" ca="1" si="443"/>
        <v>#NAME?</v>
      </c>
      <c r="AM515" s="313" t="e">
        <f t="shared" ca="1" si="430"/>
        <v>#NAME?</v>
      </c>
      <c r="AN515" s="313" t="e">
        <f t="shared" ca="1" si="431"/>
        <v>#NAME?</v>
      </c>
      <c r="AO515" s="316" t="e">
        <f t="shared" ca="1" si="444"/>
        <v>#NAME?</v>
      </c>
      <c r="AP515" s="313" t="e">
        <f t="shared" ca="1" si="445"/>
        <v>#NAME?</v>
      </c>
      <c r="AQ515" s="314" t="e">
        <f t="shared" ca="1" si="432"/>
        <v>#NAME?</v>
      </c>
      <c r="AR515" s="315" t="e">
        <f t="shared" ca="1" si="446"/>
        <v>#NAME?</v>
      </c>
      <c r="AS515" s="316" t="e">
        <f t="shared" ca="1" si="447"/>
        <v>#NAME?</v>
      </c>
      <c r="AT515" s="315" t="e">
        <f t="shared" ca="1" si="448"/>
        <v>#NAME?</v>
      </c>
      <c r="AU515" s="317">
        <v>427.8</v>
      </c>
      <c r="AV515" s="315" t="e">
        <f t="shared" ca="1" si="449"/>
        <v>#NAME?</v>
      </c>
      <c r="AW515" s="318" t="e">
        <f ca="1">0.0001*BicubicInterpolation('Drag Coef Table'!$B$4:$L$28,AV515,AC515)</f>
        <v>#NAME?</v>
      </c>
      <c r="AX515" s="319" t="e">
        <f t="shared" ca="1" si="450"/>
        <v>#NAME?</v>
      </c>
      <c r="AY515" s="318" t="e">
        <f t="shared" ca="1" si="451"/>
        <v>#NAME?</v>
      </c>
      <c r="AZ515" s="320" t="e">
        <f t="shared" ca="1" si="452"/>
        <v>#NAME?</v>
      </c>
      <c r="BA515" s="321" t="e">
        <f t="shared" ca="1" si="453"/>
        <v>#NAME?</v>
      </c>
      <c r="BB515" s="322" t="e">
        <f t="shared" ca="1" si="454"/>
        <v>#NAME?</v>
      </c>
      <c r="BC515" s="323">
        <v>75.196700000000007</v>
      </c>
      <c r="BD515" s="324" t="e">
        <f t="shared" ca="1" si="455"/>
        <v>#NAME?</v>
      </c>
      <c r="BE515" s="325" t="e">
        <f t="shared" ca="1" si="456"/>
        <v>#NAME?</v>
      </c>
      <c r="BF515" s="324" t="e">
        <f ca="1">BicubicInterpolation('TSFC Eff Table'!$B$4:$E$69,2,BB515)</f>
        <v>#NAME?</v>
      </c>
      <c r="BG515" s="326" t="e">
        <f t="shared" ca="1" si="457"/>
        <v>#NAME?</v>
      </c>
      <c r="BH515" s="694" t="e">
        <f ca="1">IF( S515="LRCINOP",   (1+(0.03/10)*Z515*(1+0.2*AC515^2) )*BicubicInterpolation( 'LRC INOP FF'!$C$4:$AA$21, Y515, U515 )-200, IF(S515 ="HOLDINGINOP", (1+(0.03/10)*Z515*(1+0.2*AC515^2) )*BicubicInterpolation( 'Holding INOP FF'!$C$4:$J$13,  Y515,  U515)/1.05-200,   BA515*BG515))</f>
        <v>#NAME?</v>
      </c>
      <c r="BI515" s="344" t="e">
        <f t="shared" ca="1" si="416"/>
        <v>#NAME?</v>
      </c>
      <c r="BJ515" s="322" t="e">
        <f t="shared" ca="1" si="458"/>
        <v>#NAME?</v>
      </c>
      <c r="BK515" s="338" t="e">
        <f t="shared" ca="1" si="417"/>
        <v>#NAME?</v>
      </c>
      <c r="BL515" s="327" t="e">
        <f t="shared" ca="1" si="459"/>
        <v>#NAME?</v>
      </c>
      <c r="BM515" s="328">
        <f t="shared" si="460"/>
        <v>200</v>
      </c>
      <c r="BN515" s="329" t="e">
        <f t="shared" ca="1" si="461"/>
        <v>#NAME?</v>
      </c>
      <c r="BO515" s="344" t="e">
        <f t="shared" ca="1" si="418"/>
        <v>#NAME?</v>
      </c>
      <c r="BP515" s="320" t="e">
        <f t="shared" ca="1" si="462"/>
        <v>#NAME?</v>
      </c>
      <c r="BQ515" s="344" t="e">
        <f t="shared" ca="1" si="419"/>
        <v>#NAME?</v>
      </c>
      <c r="BR515" s="347" t="e">
        <f t="shared" ca="1" si="420"/>
        <v>#NAME?</v>
      </c>
      <c r="BS515" s="326" t="e">
        <f t="shared" ca="1" si="463"/>
        <v>#NAME?</v>
      </c>
      <c r="BT515" s="437" t="e">
        <f t="shared" ca="1" si="433"/>
        <v>#NAME?</v>
      </c>
      <c r="BU515" s="437" t="e">
        <f t="shared" ca="1" si="434"/>
        <v>#NAME?</v>
      </c>
      <c r="BV515" s="441" t="e">
        <f t="shared" ca="1" si="435"/>
        <v>#NAME?</v>
      </c>
      <c r="BW515" s="442" t="e">
        <f t="shared" ca="1" si="436"/>
        <v>#NAME?</v>
      </c>
      <c r="BX515" s="470" t="e">
        <f t="shared" ca="1" si="409"/>
        <v>#NAME?</v>
      </c>
      <c r="BY515" s="484" t="e">
        <f t="shared" ca="1" si="421"/>
        <v>#NAME?</v>
      </c>
    </row>
    <row r="516" spans="9:77" ht="17.75" customHeight="1" x14ac:dyDescent="0.2">
      <c r="I516" s="366">
        <v>432</v>
      </c>
      <c r="J516" s="414">
        <f t="shared" si="422"/>
        <v>41706.012500000979</v>
      </c>
      <c r="K516" s="435" t="e">
        <f t="shared" ca="1" si="423"/>
        <v>#NAME?</v>
      </c>
      <c r="L516" s="435" t="e">
        <f t="shared" ca="1" si="466"/>
        <v>#NAME?</v>
      </c>
      <c r="M516" s="664" t="e">
        <f t="shared" ca="1" si="464"/>
        <v>#NAME?</v>
      </c>
      <c r="N516" s="664" t="e">
        <f t="shared" ca="1" si="465"/>
        <v>#NAME?</v>
      </c>
      <c r="O516" s="140" t="e">
        <f t="shared" ca="1" si="411"/>
        <v>#NAME?</v>
      </c>
      <c r="P516" s="352" t="e">
        <f t="shared" ca="1" si="424"/>
        <v>#NAME?</v>
      </c>
      <c r="Q516" s="665" t="e">
        <f t="shared" ca="1" si="404"/>
        <v>#NAME?</v>
      </c>
      <c r="R516" s="352" t="e">
        <f t="shared" ca="1" si="437"/>
        <v>#NAME?</v>
      </c>
      <c r="S516" s="662" t="e">
        <f t="shared" ca="1" si="412"/>
        <v>#NAME?</v>
      </c>
      <c r="T516" s="443" t="e">
        <f t="shared" ca="1" si="405"/>
        <v>#NAME?</v>
      </c>
      <c r="U516" s="369" t="e">
        <f t="shared" ca="1" si="406"/>
        <v>#NAME?</v>
      </c>
      <c r="V516" s="454" t="e">
        <f t="shared" ca="1" si="413"/>
        <v>#NAME?</v>
      </c>
      <c r="W516" s="457">
        <f t="shared" si="414"/>
        <v>1000</v>
      </c>
      <c r="X516" s="463" t="e">
        <f t="shared" ca="1" si="415"/>
        <v>#NAME?</v>
      </c>
      <c r="Y516" s="455" t="e">
        <f t="shared" ca="1" si="425"/>
        <v>#NAME?</v>
      </c>
      <c r="Z516" s="699">
        <f t="shared" si="407"/>
        <v>8.5</v>
      </c>
      <c r="AA516" s="355" t="str">
        <f t="shared" si="408"/>
        <v>ON</v>
      </c>
      <c r="AB516" s="357">
        <f t="shared" si="438"/>
        <v>1.4999999999999999E-2</v>
      </c>
      <c r="AC516" s="356" t="e">
        <f ca="1">IF(  Y515=0,0,IF(OR(S516="KCAS",S516="INOP",S516="MEFE"),   ( (5*( (   (((1+0.2*(T516/661.4786)^2)^3.5 -1)  )/( (1-6.8755856*10^-6 *100*Y516)^5.2558797) +1)^(2/7) -1) )^0.5),IF(S516="MACH",T516, IF(S516="LRC",BicubicInterpolation( 'LRC Mach'!$C$4:$AL$21, Y516,U516),  IF(S516="MRC",BicubicInterpolation( 'MRC Mach'!$C$3:$T$18, Y516,U516),  IF(S516="M0.84",0.84,  IF(S516="CI52",BicubicInterpolation('CI=52 Mach'!$C$3:$T$18, Y516,U516),  IF(S516="HOLDING",BicubicInterpolation(  'Holding Mach'!$C$4:$M$13, Y516,U516),                         IF(S516="LRCINOP", BicubicInterpolation('LRC INOP Mach'!$C$4:$AA$21,Y516,U516), IF(S516="HOLDINGINOP",  BicubicInterpolation('Holding INOP Mach'!$N$4:$U$13,Y516,U516),         "XXX" )))))))   )))</f>
        <v>#NAME?</v>
      </c>
      <c r="AD516" s="313" t="e">
        <f t="shared" ca="1" si="439"/>
        <v>#NAME?</v>
      </c>
      <c r="AE516" s="314" t="e">
        <f t="shared" ca="1" si="426"/>
        <v>#NAME?</v>
      </c>
      <c r="AF516" s="313" t="e">
        <f t="shared" ca="1" si="440"/>
        <v>#NAME?</v>
      </c>
      <c r="AG516" s="314" t="e">
        <f t="shared" ca="1" si="427"/>
        <v>#NAME?</v>
      </c>
      <c r="AH516" s="313" t="e">
        <f t="shared" ca="1" si="441"/>
        <v>#NAME?</v>
      </c>
      <c r="AI516" s="314" t="e">
        <f t="shared" ca="1" si="428"/>
        <v>#NAME?</v>
      </c>
      <c r="AJ516" s="315" t="e">
        <f t="shared" ca="1" si="429"/>
        <v>#NAME?</v>
      </c>
      <c r="AK516" s="568" t="e">
        <f t="shared" ca="1" si="442"/>
        <v>#NAME?</v>
      </c>
      <c r="AL516" s="313" t="e">
        <f t="shared" ca="1" si="443"/>
        <v>#NAME?</v>
      </c>
      <c r="AM516" s="313" t="e">
        <f t="shared" ca="1" si="430"/>
        <v>#NAME?</v>
      </c>
      <c r="AN516" s="313" t="e">
        <f t="shared" ca="1" si="431"/>
        <v>#NAME?</v>
      </c>
      <c r="AO516" s="316" t="e">
        <f t="shared" ca="1" si="444"/>
        <v>#NAME?</v>
      </c>
      <c r="AP516" s="313" t="e">
        <f t="shared" ca="1" si="445"/>
        <v>#NAME?</v>
      </c>
      <c r="AQ516" s="314" t="e">
        <f t="shared" ca="1" si="432"/>
        <v>#NAME?</v>
      </c>
      <c r="AR516" s="315" t="e">
        <f t="shared" ca="1" si="446"/>
        <v>#NAME?</v>
      </c>
      <c r="AS516" s="316" t="e">
        <f t="shared" ca="1" si="447"/>
        <v>#NAME?</v>
      </c>
      <c r="AT516" s="315" t="e">
        <f t="shared" ca="1" si="448"/>
        <v>#NAME?</v>
      </c>
      <c r="AU516" s="317">
        <v>427.8</v>
      </c>
      <c r="AV516" s="315" t="e">
        <f t="shared" ca="1" si="449"/>
        <v>#NAME?</v>
      </c>
      <c r="AW516" s="318" t="e">
        <f ca="1">0.0001*BicubicInterpolation('Drag Coef Table'!$B$4:$L$28,AV516,AC516)</f>
        <v>#NAME?</v>
      </c>
      <c r="AX516" s="319" t="e">
        <f t="shared" ca="1" si="450"/>
        <v>#NAME?</v>
      </c>
      <c r="AY516" s="318" t="e">
        <f t="shared" ca="1" si="451"/>
        <v>#NAME?</v>
      </c>
      <c r="AZ516" s="320" t="e">
        <f t="shared" ca="1" si="452"/>
        <v>#NAME?</v>
      </c>
      <c r="BA516" s="321" t="e">
        <f t="shared" ca="1" si="453"/>
        <v>#NAME?</v>
      </c>
      <c r="BB516" s="322" t="e">
        <f t="shared" ca="1" si="454"/>
        <v>#NAME?</v>
      </c>
      <c r="BC516" s="323">
        <v>75.196700000000007</v>
      </c>
      <c r="BD516" s="324" t="e">
        <f t="shared" ca="1" si="455"/>
        <v>#NAME?</v>
      </c>
      <c r="BE516" s="325" t="e">
        <f t="shared" ca="1" si="456"/>
        <v>#NAME?</v>
      </c>
      <c r="BF516" s="324" t="e">
        <f ca="1">BicubicInterpolation('TSFC Eff Table'!$B$4:$E$69,2,BB516)</f>
        <v>#NAME?</v>
      </c>
      <c r="BG516" s="326" t="e">
        <f t="shared" ca="1" si="457"/>
        <v>#NAME?</v>
      </c>
      <c r="BH516" s="694" t="e">
        <f ca="1">IF( S516="LRCINOP",   (1+(0.03/10)*Z516*(1+0.2*AC516^2) )*BicubicInterpolation( 'LRC INOP FF'!$C$4:$AA$21, Y516, U516 )-200, IF(S516 ="HOLDINGINOP", (1+(0.03/10)*Z516*(1+0.2*AC516^2) )*BicubicInterpolation( 'Holding INOP FF'!$C$4:$J$13,  Y516,  U516)/1.05-200,   BA516*BG516))</f>
        <v>#NAME?</v>
      </c>
      <c r="BI516" s="344" t="e">
        <f t="shared" ca="1" si="416"/>
        <v>#NAME?</v>
      </c>
      <c r="BJ516" s="322" t="e">
        <f t="shared" ca="1" si="458"/>
        <v>#NAME?</v>
      </c>
      <c r="BK516" s="338" t="e">
        <f t="shared" ca="1" si="417"/>
        <v>#NAME?</v>
      </c>
      <c r="BL516" s="327" t="e">
        <f t="shared" ca="1" si="459"/>
        <v>#NAME?</v>
      </c>
      <c r="BM516" s="328">
        <f t="shared" si="460"/>
        <v>200</v>
      </c>
      <c r="BN516" s="329" t="e">
        <f t="shared" ca="1" si="461"/>
        <v>#NAME?</v>
      </c>
      <c r="BO516" s="344" t="e">
        <f t="shared" ca="1" si="418"/>
        <v>#NAME?</v>
      </c>
      <c r="BP516" s="320" t="e">
        <f t="shared" ca="1" si="462"/>
        <v>#NAME?</v>
      </c>
      <c r="BQ516" s="344" t="e">
        <f t="shared" ca="1" si="419"/>
        <v>#NAME?</v>
      </c>
      <c r="BR516" s="347" t="e">
        <f t="shared" ca="1" si="420"/>
        <v>#NAME?</v>
      </c>
      <c r="BS516" s="326" t="e">
        <f t="shared" ca="1" si="463"/>
        <v>#NAME?</v>
      </c>
      <c r="BT516" s="437" t="e">
        <f t="shared" ca="1" si="433"/>
        <v>#NAME?</v>
      </c>
      <c r="BU516" s="437" t="e">
        <f t="shared" ca="1" si="434"/>
        <v>#NAME?</v>
      </c>
      <c r="BV516" s="441" t="e">
        <f t="shared" ca="1" si="435"/>
        <v>#NAME?</v>
      </c>
      <c r="BW516" s="442" t="e">
        <f t="shared" ca="1" si="436"/>
        <v>#NAME?</v>
      </c>
      <c r="BX516" s="470" t="e">
        <f t="shared" ca="1" si="409"/>
        <v>#NAME?</v>
      </c>
      <c r="BY516" s="484" t="e">
        <f t="shared" ca="1" si="421"/>
        <v>#NAME?</v>
      </c>
    </row>
    <row r="517" spans="9:77" ht="17.75" customHeight="1" x14ac:dyDescent="0.2">
      <c r="I517" s="366">
        <v>433</v>
      </c>
      <c r="J517" s="414">
        <f t="shared" si="422"/>
        <v>41706.013194445426</v>
      </c>
      <c r="K517" s="435" t="e">
        <f t="shared" ca="1" si="423"/>
        <v>#NAME?</v>
      </c>
      <c r="L517" s="435" t="e">
        <f t="shared" ca="1" si="466"/>
        <v>#NAME?</v>
      </c>
      <c r="M517" s="664" t="e">
        <f t="shared" ca="1" si="464"/>
        <v>#NAME?</v>
      </c>
      <c r="N517" s="664" t="e">
        <f t="shared" ca="1" si="465"/>
        <v>#NAME?</v>
      </c>
      <c r="O517" s="140" t="e">
        <f t="shared" ca="1" si="411"/>
        <v>#NAME?</v>
      </c>
      <c r="P517" s="352" t="e">
        <f t="shared" ca="1" si="424"/>
        <v>#NAME?</v>
      </c>
      <c r="Q517" s="665" t="e">
        <f t="shared" ref="Q517:Q580" ca="1" si="467">IF(S517="MEFE",  0,    IF(S517="INOP",    $C$36*AQ517/0.2243,     IF(V517&lt;Y516,             IF(OR(S517="KCAS",S517="HOLDING",S517="HOLDINGINOP",S517="LRCINOP"),   $C$32,    (1+$C$30*ABS(X517)/1000)*BN517  ),      IF(V517&gt;Y516,   BN517*(1+$C$29*W517/1000),   IF(AND($C$34=1, OR(S517="HOLDING", S517="HOLDINGINOP")  ),1.05,1)*BN517    ))))</f>
        <v>#NAME?</v>
      </c>
      <c r="R517" s="352" t="e">
        <f t="shared" ca="1" si="437"/>
        <v>#NAME?</v>
      </c>
      <c r="S517" s="662" t="e">
        <f t="shared" ca="1" si="412"/>
        <v>#NAME?</v>
      </c>
      <c r="T517" s="443" t="e">
        <f t="shared" ca="1" si="405"/>
        <v>#NAME?</v>
      </c>
      <c r="U517" s="369" t="e">
        <f t="shared" ca="1" si="406"/>
        <v>#NAME?</v>
      </c>
      <c r="V517" s="454" t="e">
        <f t="shared" ca="1" si="413"/>
        <v>#NAME?</v>
      </c>
      <c r="W517" s="457">
        <f t="shared" si="414"/>
        <v>1000</v>
      </c>
      <c r="X517" s="463" t="e">
        <f t="shared" ca="1" si="415"/>
        <v>#NAME?</v>
      </c>
      <c r="Y517" s="455" t="e">
        <f t="shared" ca="1" si="425"/>
        <v>#NAME?</v>
      </c>
      <c r="Z517" s="699">
        <f t="shared" si="407"/>
        <v>8.5</v>
      </c>
      <c r="AA517" s="355" t="str">
        <f t="shared" si="408"/>
        <v>ON</v>
      </c>
      <c r="AB517" s="357">
        <f t="shared" si="438"/>
        <v>1.4999999999999999E-2</v>
      </c>
      <c r="AC517" s="356" t="e">
        <f ca="1">IF(  Y516=0,0,IF(OR(S517="KCAS",S517="INOP",S517="MEFE"),   ( (5*( (   (((1+0.2*(T517/661.4786)^2)^3.5 -1)  )/( (1-6.8755856*10^-6 *100*Y517)^5.2558797) +1)^(2/7) -1) )^0.5),IF(S517="MACH",T517, IF(S517="LRC",BicubicInterpolation( 'LRC Mach'!$C$4:$AL$21, Y517,U517),  IF(S517="MRC",BicubicInterpolation( 'MRC Mach'!$C$3:$T$18, Y517,U517),  IF(S517="M0.84",0.84,  IF(S517="CI52",BicubicInterpolation('CI=52 Mach'!$C$3:$T$18, Y517,U517),  IF(S517="HOLDING",BicubicInterpolation(  'Holding Mach'!$C$4:$M$13, Y517,U517),                         IF(S517="LRCINOP", BicubicInterpolation('LRC INOP Mach'!$C$4:$AA$21,Y517,U517), IF(S517="HOLDINGINOP",  BicubicInterpolation('Holding INOP Mach'!$N$4:$U$13,Y517,U517),         "XXX" )))))))   )))</f>
        <v>#NAME?</v>
      </c>
      <c r="AD517" s="313" t="e">
        <f t="shared" ca="1" si="439"/>
        <v>#NAME?</v>
      </c>
      <c r="AE517" s="314" t="e">
        <f t="shared" ca="1" si="426"/>
        <v>#NAME?</v>
      </c>
      <c r="AF517" s="313" t="e">
        <f t="shared" ca="1" si="440"/>
        <v>#NAME?</v>
      </c>
      <c r="AG517" s="314" t="e">
        <f t="shared" ca="1" si="427"/>
        <v>#NAME?</v>
      </c>
      <c r="AH517" s="313" t="e">
        <f t="shared" ca="1" si="441"/>
        <v>#NAME?</v>
      </c>
      <c r="AI517" s="314" t="e">
        <f t="shared" ca="1" si="428"/>
        <v>#NAME?</v>
      </c>
      <c r="AJ517" s="315" t="e">
        <f t="shared" ca="1" si="429"/>
        <v>#NAME?</v>
      </c>
      <c r="AK517" s="568" t="e">
        <f t="shared" ca="1" si="442"/>
        <v>#NAME?</v>
      </c>
      <c r="AL517" s="313" t="e">
        <f t="shared" ca="1" si="443"/>
        <v>#NAME?</v>
      </c>
      <c r="AM517" s="313" t="e">
        <f t="shared" ca="1" si="430"/>
        <v>#NAME?</v>
      </c>
      <c r="AN517" s="313" t="e">
        <f t="shared" ca="1" si="431"/>
        <v>#NAME?</v>
      </c>
      <c r="AO517" s="316" t="e">
        <f t="shared" ca="1" si="444"/>
        <v>#NAME?</v>
      </c>
      <c r="AP517" s="313" t="e">
        <f t="shared" ca="1" si="445"/>
        <v>#NAME?</v>
      </c>
      <c r="AQ517" s="314" t="e">
        <f t="shared" ca="1" si="432"/>
        <v>#NAME?</v>
      </c>
      <c r="AR517" s="315" t="e">
        <f t="shared" ca="1" si="446"/>
        <v>#NAME?</v>
      </c>
      <c r="AS517" s="316" t="e">
        <f t="shared" ca="1" si="447"/>
        <v>#NAME?</v>
      </c>
      <c r="AT517" s="315" t="e">
        <f t="shared" ca="1" si="448"/>
        <v>#NAME?</v>
      </c>
      <c r="AU517" s="317">
        <v>427.8</v>
      </c>
      <c r="AV517" s="315" t="e">
        <f t="shared" ca="1" si="449"/>
        <v>#NAME?</v>
      </c>
      <c r="AW517" s="318" t="e">
        <f ca="1">0.0001*BicubicInterpolation('Drag Coef Table'!$B$4:$L$28,AV517,AC517)</f>
        <v>#NAME?</v>
      </c>
      <c r="AX517" s="319" t="e">
        <f t="shared" ca="1" si="450"/>
        <v>#NAME?</v>
      </c>
      <c r="AY517" s="318" t="e">
        <f t="shared" ca="1" si="451"/>
        <v>#NAME?</v>
      </c>
      <c r="AZ517" s="320" t="e">
        <f t="shared" ca="1" si="452"/>
        <v>#NAME?</v>
      </c>
      <c r="BA517" s="321" t="e">
        <f t="shared" ca="1" si="453"/>
        <v>#NAME?</v>
      </c>
      <c r="BB517" s="322" t="e">
        <f t="shared" ca="1" si="454"/>
        <v>#NAME?</v>
      </c>
      <c r="BC517" s="323">
        <v>75.196700000000007</v>
      </c>
      <c r="BD517" s="324" t="e">
        <f t="shared" ca="1" si="455"/>
        <v>#NAME?</v>
      </c>
      <c r="BE517" s="325" t="e">
        <f t="shared" ca="1" si="456"/>
        <v>#NAME?</v>
      </c>
      <c r="BF517" s="324" t="e">
        <f ca="1">BicubicInterpolation('TSFC Eff Table'!$B$4:$E$69,2,BB517)</f>
        <v>#NAME?</v>
      </c>
      <c r="BG517" s="326" t="e">
        <f t="shared" ca="1" si="457"/>
        <v>#NAME?</v>
      </c>
      <c r="BH517" s="694" t="e">
        <f ca="1">IF( S517="LRCINOP",   (1+(0.03/10)*Z517*(1+0.2*AC517^2) )*BicubicInterpolation( 'LRC INOP FF'!$C$4:$AA$21, Y517, U517 )-200, IF(S517 ="HOLDINGINOP", (1+(0.03/10)*Z517*(1+0.2*AC517^2) )*BicubicInterpolation( 'Holding INOP FF'!$C$4:$J$13,  Y517,  U517)/1.05-200,   BA517*BG517))</f>
        <v>#NAME?</v>
      </c>
      <c r="BI517" s="344" t="e">
        <f t="shared" ca="1" si="416"/>
        <v>#NAME?</v>
      </c>
      <c r="BJ517" s="322" t="e">
        <f t="shared" ca="1" si="458"/>
        <v>#NAME?</v>
      </c>
      <c r="BK517" s="338" t="e">
        <f t="shared" ca="1" si="417"/>
        <v>#NAME?</v>
      </c>
      <c r="BL517" s="327" t="e">
        <f t="shared" ca="1" si="459"/>
        <v>#NAME?</v>
      </c>
      <c r="BM517" s="328">
        <f t="shared" si="460"/>
        <v>200</v>
      </c>
      <c r="BN517" s="329" t="e">
        <f t="shared" ca="1" si="461"/>
        <v>#NAME?</v>
      </c>
      <c r="BO517" s="344" t="e">
        <f t="shared" ca="1" si="418"/>
        <v>#NAME?</v>
      </c>
      <c r="BP517" s="320" t="e">
        <f t="shared" ca="1" si="462"/>
        <v>#NAME?</v>
      </c>
      <c r="BQ517" s="344" t="e">
        <f t="shared" ca="1" si="419"/>
        <v>#NAME?</v>
      </c>
      <c r="BR517" s="347" t="e">
        <f t="shared" ca="1" si="420"/>
        <v>#NAME?</v>
      </c>
      <c r="BS517" s="326" t="e">
        <f t="shared" ca="1" si="463"/>
        <v>#NAME?</v>
      </c>
      <c r="BT517" s="437" t="e">
        <f t="shared" ca="1" si="433"/>
        <v>#NAME?</v>
      </c>
      <c r="BU517" s="437" t="e">
        <f t="shared" ca="1" si="434"/>
        <v>#NAME?</v>
      </c>
      <c r="BV517" s="441" t="e">
        <f t="shared" ca="1" si="435"/>
        <v>#NAME?</v>
      </c>
      <c r="BW517" s="442" t="e">
        <f t="shared" ca="1" si="436"/>
        <v>#NAME?</v>
      </c>
      <c r="BX517" s="470" t="e">
        <f t="shared" ca="1" si="409"/>
        <v>#NAME?</v>
      </c>
      <c r="BY517" s="484" t="e">
        <f t="shared" ca="1" si="421"/>
        <v>#NAME?</v>
      </c>
    </row>
    <row r="518" spans="9:77" ht="17.75" customHeight="1" x14ac:dyDescent="0.2">
      <c r="I518" s="366">
        <v>434</v>
      </c>
      <c r="J518" s="414">
        <f t="shared" si="422"/>
        <v>41706.013888889873</v>
      </c>
      <c r="K518" s="435" t="e">
        <f t="shared" ca="1" si="423"/>
        <v>#NAME?</v>
      </c>
      <c r="L518" s="435" t="e">
        <f t="shared" ca="1" si="466"/>
        <v>#NAME?</v>
      </c>
      <c r="M518" s="664" t="e">
        <f t="shared" ca="1" si="464"/>
        <v>#NAME?</v>
      </c>
      <c r="N518" s="664" t="e">
        <f t="shared" ca="1" si="465"/>
        <v>#NAME?</v>
      </c>
      <c r="O518" s="140" t="e">
        <f t="shared" ca="1" si="411"/>
        <v>#NAME?</v>
      </c>
      <c r="P518" s="352" t="e">
        <f t="shared" ca="1" si="424"/>
        <v>#NAME?</v>
      </c>
      <c r="Q518" s="665" t="e">
        <f t="shared" ca="1" si="467"/>
        <v>#NAME?</v>
      </c>
      <c r="R518" s="352" t="e">
        <f t="shared" ca="1" si="437"/>
        <v>#NAME?</v>
      </c>
      <c r="S518" s="662" t="e">
        <f t="shared" ca="1" si="412"/>
        <v>#NAME?</v>
      </c>
      <c r="T518" s="443" t="e">
        <f t="shared" ca="1" si="405"/>
        <v>#NAME?</v>
      </c>
      <c r="U518" s="369" t="e">
        <f t="shared" ca="1" si="406"/>
        <v>#NAME?</v>
      </c>
      <c r="V518" s="454" t="e">
        <f t="shared" ca="1" si="413"/>
        <v>#NAME?</v>
      </c>
      <c r="W518" s="457">
        <f t="shared" si="414"/>
        <v>1000</v>
      </c>
      <c r="X518" s="463" t="e">
        <f t="shared" ca="1" si="415"/>
        <v>#NAME?</v>
      </c>
      <c r="Y518" s="455" t="e">
        <f t="shared" ca="1" si="425"/>
        <v>#NAME?</v>
      </c>
      <c r="Z518" s="699">
        <f t="shared" si="407"/>
        <v>8.5</v>
      </c>
      <c r="AA518" s="355" t="str">
        <f t="shared" si="408"/>
        <v>ON</v>
      </c>
      <c r="AB518" s="357">
        <f t="shared" si="438"/>
        <v>1.4999999999999999E-2</v>
      </c>
      <c r="AC518" s="356" t="e">
        <f ca="1">IF(  Y517=0,0,IF(OR(S518="KCAS",S518="INOP",S518="MEFE"),   ( (5*( (   (((1+0.2*(T518/661.4786)^2)^3.5 -1)  )/( (1-6.8755856*10^-6 *100*Y518)^5.2558797) +1)^(2/7) -1) )^0.5),IF(S518="MACH",T518, IF(S518="LRC",BicubicInterpolation( 'LRC Mach'!$C$4:$AL$21, Y518,U518),  IF(S518="MRC",BicubicInterpolation( 'MRC Mach'!$C$3:$T$18, Y518,U518),  IF(S518="M0.84",0.84,  IF(S518="CI52",BicubicInterpolation('CI=52 Mach'!$C$3:$T$18, Y518,U518),  IF(S518="HOLDING",BicubicInterpolation(  'Holding Mach'!$C$4:$M$13, Y518,U518),                         IF(S518="LRCINOP", BicubicInterpolation('LRC INOP Mach'!$C$4:$AA$21,Y518,U518), IF(S518="HOLDINGINOP",  BicubicInterpolation('Holding INOP Mach'!$N$4:$U$13,Y518,U518),         "XXX" )))))))   )))</f>
        <v>#NAME?</v>
      </c>
      <c r="AD518" s="313" t="e">
        <f t="shared" ca="1" si="439"/>
        <v>#NAME?</v>
      </c>
      <c r="AE518" s="314" t="e">
        <f t="shared" ca="1" si="426"/>
        <v>#NAME?</v>
      </c>
      <c r="AF518" s="313" t="e">
        <f t="shared" ca="1" si="440"/>
        <v>#NAME?</v>
      </c>
      <c r="AG518" s="314" t="e">
        <f t="shared" ca="1" si="427"/>
        <v>#NAME?</v>
      </c>
      <c r="AH518" s="313" t="e">
        <f t="shared" ca="1" si="441"/>
        <v>#NAME?</v>
      </c>
      <c r="AI518" s="314" t="e">
        <f t="shared" ca="1" si="428"/>
        <v>#NAME?</v>
      </c>
      <c r="AJ518" s="315" t="e">
        <f t="shared" ca="1" si="429"/>
        <v>#NAME?</v>
      </c>
      <c r="AK518" s="568" t="e">
        <f t="shared" ca="1" si="442"/>
        <v>#NAME?</v>
      </c>
      <c r="AL518" s="313" t="e">
        <f t="shared" ca="1" si="443"/>
        <v>#NAME?</v>
      </c>
      <c r="AM518" s="313" t="e">
        <f t="shared" ca="1" si="430"/>
        <v>#NAME?</v>
      </c>
      <c r="AN518" s="313" t="e">
        <f t="shared" ca="1" si="431"/>
        <v>#NAME?</v>
      </c>
      <c r="AO518" s="316" t="e">
        <f t="shared" ca="1" si="444"/>
        <v>#NAME?</v>
      </c>
      <c r="AP518" s="313" t="e">
        <f t="shared" ca="1" si="445"/>
        <v>#NAME?</v>
      </c>
      <c r="AQ518" s="314" t="e">
        <f t="shared" ca="1" si="432"/>
        <v>#NAME?</v>
      </c>
      <c r="AR518" s="315" t="e">
        <f t="shared" ca="1" si="446"/>
        <v>#NAME?</v>
      </c>
      <c r="AS518" s="316" t="e">
        <f t="shared" ca="1" si="447"/>
        <v>#NAME?</v>
      </c>
      <c r="AT518" s="315" t="e">
        <f t="shared" ca="1" si="448"/>
        <v>#NAME?</v>
      </c>
      <c r="AU518" s="317">
        <v>427.8</v>
      </c>
      <c r="AV518" s="315" t="e">
        <f t="shared" ca="1" si="449"/>
        <v>#NAME?</v>
      </c>
      <c r="AW518" s="318" t="e">
        <f ca="1">0.0001*BicubicInterpolation('Drag Coef Table'!$B$4:$L$28,AV518,AC518)</f>
        <v>#NAME?</v>
      </c>
      <c r="AX518" s="319" t="e">
        <f t="shared" ca="1" si="450"/>
        <v>#NAME?</v>
      </c>
      <c r="AY518" s="318" t="e">
        <f t="shared" ca="1" si="451"/>
        <v>#NAME?</v>
      </c>
      <c r="AZ518" s="320" t="e">
        <f t="shared" ca="1" si="452"/>
        <v>#NAME?</v>
      </c>
      <c r="BA518" s="321" t="e">
        <f t="shared" ca="1" si="453"/>
        <v>#NAME?</v>
      </c>
      <c r="BB518" s="322" t="e">
        <f t="shared" ca="1" si="454"/>
        <v>#NAME?</v>
      </c>
      <c r="BC518" s="323">
        <v>75.196700000000007</v>
      </c>
      <c r="BD518" s="324" t="e">
        <f t="shared" ca="1" si="455"/>
        <v>#NAME?</v>
      </c>
      <c r="BE518" s="325" t="e">
        <f t="shared" ca="1" si="456"/>
        <v>#NAME?</v>
      </c>
      <c r="BF518" s="324" t="e">
        <f ca="1">BicubicInterpolation('TSFC Eff Table'!$B$4:$E$69,2,BB518)</f>
        <v>#NAME?</v>
      </c>
      <c r="BG518" s="326" t="e">
        <f t="shared" ca="1" si="457"/>
        <v>#NAME?</v>
      </c>
      <c r="BH518" s="694" t="e">
        <f ca="1">IF( S518="LRCINOP",   (1+(0.03/10)*Z518*(1+0.2*AC518^2) )*BicubicInterpolation( 'LRC INOP FF'!$C$4:$AA$21, Y518, U518 )-200, IF(S518 ="HOLDINGINOP", (1+(0.03/10)*Z518*(1+0.2*AC518^2) )*BicubicInterpolation( 'Holding INOP FF'!$C$4:$J$13,  Y518,  U518)/1.05-200,   BA518*BG518))</f>
        <v>#NAME?</v>
      </c>
      <c r="BI518" s="344" t="e">
        <f t="shared" ca="1" si="416"/>
        <v>#NAME?</v>
      </c>
      <c r="BJ518" s="322" t="e">
        <f t="shared" ca="1" si="458"/>
        <v>#NAME?</v>
      </c>
      <c r="BK518" s="338" t="e">
        <f t="shared" ca="1" si="417"/>
        <v>#NAME?</v>
      </c>
      <c r="BL518" s="327" t="e">
        <f t="shared" ca="1" si="459"/>
        <v>#NAME?</v>
      </c>
      <c r="BM518" s="328">
        <f t="shared" si="460"/>
        <v>200</v>
      </c>
      <c r="BN518" s="329" t="e">
        <f t="shared" ca="1" si="461"/>
        <v>#NAME?</v>
      </c>
      <c r="BO518" s="344" t="e">
        <f t="shared" ca="1" si="418"/>
        <v>#NAME?</v>
      </c>
      <c r="BP518" s="320" t="e">
        <f t="shared" ca="1" si="462"/>
        <v>#NAME?</v>
      </c>
      <c r="BQ518" s="344" t="e">
        <f t="shared" ca="1" si="419"/>
        <v>#NAME?</v>
      </c>
      <c r="BR518" s="347" t="e">
        <f t="shared" ca="1" si="420"/>
        <v>#NAME?</v>
      </c>
      <c r="BS518" s="326" t="e">
        <f t="shared" ca="1" si="463"/>
        <v>#NAME?</v>
      </c>
      <c r="BT518" s="437" t="e">
        <f t="shared" ca="1" si="433"/>
        <v>#NAME?</v>
      </c>
      <c r="BU518" s="437" t="e">
        <f t="shared" ca="1" si="434"/>
        <v>#NAME?</v>
      </c>
      <c r="BV518" s="441" t="e">
        <f t="shared" ca="1" si="435"/>
        <v>#NAME?</v>
      </c>
      <c r="BW518" s="442" t="e">
        <f t="shared" ca="1" si="436"/>
        <v>#NAME?</v>
      </c>
      <c r="BX518" s="470" t="e">
        <f t="shared" ca="1" si="409"/>
        <v>#NAME?</v>
      </c>
      <c r="BY518" s="484" t="e">
        <f t="shared" ca="1" si="421"/>
        <v>#NAME?</v>
      </c>
    </row>
    <row r="519" spans="9:77" ht="17.75" customHeight="1" x14ac:dyDescent="0.2">
      <c r="I519" s="366">
        <v>435</v>
      </c>
      <c r="J519" s="414">
        <f t="shared" si="422"/>
        <v>41706.014583334319</v>
      </c>
      <c r="K519" s="435" t="e">
        <f t="shared" ca="1" si="423"/>
        <v>#NAME?</v>
      </c>
      <c r="L519" s="435" t="e">
        <f t="shared" ca="1" si="466"/>
        <v>#NAME?</v>
      </c>
      <c r="M519" s="664" t="e">
        <f t="shared" ca="1" si="464"/>
        <v>#NAME?</v>
      </c>
      <c r="N519" s="664" t="e">
        <f t="shared" ca="1" si="465"/>
        <v>#NAME?</v>
      </c>
      <c r="O519" s="140" t="e">
        <f t="shared" ca="1" si="411"/>
        <v>#NAME?</v>
      </c>
      <c r="P519" s="352" t="e">
        <f t="shared" ca="1" si="424"/>
        <v>#NAME?</v>
      </c>
      <c r="Q519" s="665" t="e">
        <f t="shared" ca="1" si="467"/>
        <v>#NAME?</v>
      </c>
      <c r="R519" s="352" t="e">
        <f t="shared" ca="1" si="437"/>
        <v>#NAME?</v>
      </c>
      <c r="S519" s="662" t="e">
        <f t="shared" ca="1" si="412"/>
        <v>#NAME?</v>
      </c>
      <c r="T519" s="443" t="e">
        <f t="shared" ca="1" si="405"/>
        <v>#NAME?</v>
      </c>
      <c r="U519" s="369" t="e">
        <f t="shared" ca="1" si="406"/>
        <v>#NAME?</v>
      </c>
      <c r="V519" s="454" t="e">
        <f t="shared" ca="1" si="413"/>
        <v>#NAME?</v>
      </c>
      <c r="W519" s="457">
        <f t="shared" si="414"/>
        <v>1000</v>
      </c>
      <c r="X519" s="463" t="e">
        <f t="shared" ca="1" si="415"/>
        <v>#NAME?</v>
      </c>
      <c r="Y519" s="455" t="e">
        <f t="shared" ca="1" si="425"/>
        <v>#NAME?</v>
      </c>
      <c r="Z519" s="699">
        <f t="shared" si="407"/>
        <v>8.5</v>
      </c>
      <c r="AA519" s="355" t="str">
        <f t="shared" si="408"/>
        <v>ON</v>
      </c>
      <c r="AB519" s="357">
        <f t="shared" si="438"/>
        <v>1.4999999999999999E-2</v>
      </c>
      <c r="AC519" s="356" t="e">
        <f ca="1">IF(  Y518=0,0,IF(OR(S519="KCAS",S519="INOP",S519="MEFE"),   ( (5*( (   (((1+0.2*(T519/661.4786)^2)^3.5 -1)  )/( (1-6.8755856*10^-6 *100*Y519)^5.2558797) +1)^(2/7) -1) )^0.5),IF(S519="MACH",T519, IF(S519="LRC",BicubicInterpolation( 'LRC Mach'!$C$4:$AL$21, Y519,U519),  IF(S519="MRC",BicubicInterpolation( 'MRC Mach'!$C$3:$T$18, Y519,U519),  IF(S519="M0.84",0.84,  IF(S519="CI52",BicubicInterpolation('CI=52 Mach'!$C$3:$T$18, Y519,U519),  IF(S519="HOLDING",BicubicInterpolation(  'Holding Mach'!$C$4:$M$13, Y519,U519),                         IF(S519="LRCINOP", BicubicInterpolation('LRC INOP Mach'!$C$4:$AA$21,Y519,U519), IF(S519="HOLDINGINOP",  BicubicInterpolation('Holding INOP Mach'!$N$4:$U$13,Y519,U519),         "XXX" )))))))   )))</f>
        <v>#NAME?</v>
      </c>
      <c r="AD519" s="313" t="e">
        <f t="shared" ca="1" si="439"/>
        <v>#NAME?</v>
      </c>
      <c r="AE519" s="314" t="e">
        <f t="shared" ca="1" si="426"/>
        <v>#NAME?</v>
      </c>
      <c r="AF519" s="313" t="e">
        <f t="shared" ca="1" si="440"/>
        <v>#NAME?</v>
      </c>
      <c r="AG519" s="314" t="e">
        <f t="shared" ca="1" si="427"/>
        <v>#NAME?</v>
      </c>
      <c r="AH519" s="313" t="e">
        <f t="shared" ca="1" si="441"/>
        <v>#NAME?</v>
      </c>
      <c r="AI519" s="314" t="e">
        <f t="shared" ca="1" si="428"/>
        <v>#NAME?</v>
      </c>
      <c r="AJ519" s="315" t="e">
        <f t="shared" ca="1" si="429"/>
        <v>#NAME?</v>
      </c>
      <c r="AK519" s="568" t="e">
        <f t="shared" ca="1" si="442"/>
        <v>#NAME?</v>
      </c>
      <c r="AL519" s="313" t="e">
        <f t="shared" ca="1" si="443"/>
        <v>#NAME?</v>
      </c>
      <c r="AM519" s="313" t="e">
        <f t="shared" ca="1" si="430"/>
        <v>#NAME?</v>
      </c>
      <c r="AN519" s="313" t="e">
        <f t="shared" ca="1" si="431"/>
        <v>#NAME?</v>
      </c>
      <c r="AO519" s="316" t="e">
        <f t="shared" ca="1" si="444"/>
        <v>#NAME?</v>
      </c>
      <c r="AP519" s="313" t="e">
        <f t="shared" ca="1" si="445"/>
        <v>#NAME?</v>
      </c>
      <c r="AQ519" s="314" t="e">
        <f t="shared" ca="1" si="432"/>
        <v>#NAME?</v>
      </c>
      <c r="AR519" s="315" t="e">
        <f t="shared" ca="1" si="446"/>
        <v>#NAME?</v>
      </c>
      <c r="AS519" s="316" t="e">
        <f t="shared" ca="1" si="447"/>
        <v>#NAME?</v>
      </c>
      <c r="AT519" s="315" t="e">
        <f t="shared" ca="1" si="448"/>
        <v>#NAME?</v>
      </c>
      <c r="AU519" s="317">
        <v>427.8</v>
      </c>
      <c r="AV519" s="315" t="e">
        <f t="shared" ca="1" si="449"/>
        <v>#NAME?</v>
      </c>
      <c r="AW519" s="318" t="e">
        <f ca="1">0.0001*BicubicInterpolation('Drag Coef Table'!$B$4:$L$28,AV519,AC519)</f>
        <v>#NAME?</v>
      </c>
      <c r="AX519" s="319" t="e">
        <f t="shared" ca="1" si="450"/>
        <v>#NAME?</v>
      </c>
      <c r="AY519" s="318" t="e">
        <f t="shared" ca="1" si="451"/>
        <v>#NAME?</v>
      </c>
      <c r="AZ519" s="320" t="e">
        <f t="shared" ca="1" si="452"/>
        <v>#NAME?</v>
      </c>
      <c r="BA519" s="321" t="e">
        <f t="shared" ca="1" si="453"/>
        <v>#NAME?</v>
      </c>
      <c r="BB519" s="322" t="e">
        <f t="shared" ca="1" si="454"/>
        <v>#NAME?</v>
      </c>
      <c r="BC519" s="323">
        <v>75.196700000000007</v>
      </c>
      <c r="BD519" s="324" t="e">
        <f t="shared" ca="1" si="455"/>
        <v>#NAME?</v>
      </c>
      <c r="BE519" s="325" t="e">
        <f t="shared" ca="1" si="456"/>
        <v>#NAME?</v>
      </c>
      <c r="BF519" s="324" t="e">
        <f ca="1">BicubicInterpolation('TSFC Eff Table'!$B$4:$E$69,2,BB519)</f>
        <v>#NAME?</v>
      </c>
      <c r="BG519" s="326" t="e">
        <f t="shared" ca="1" si="457"/>
        <v>#NAME?</v>
      </c>
      <c r="BH519" s="694" t="e">
        <f ca="1">IF( S519="LRCINOP",   (1+(0.03/10)*Z519*(1+0.2*AC519^2) )*BicubicInterpolation( 'LRC INOP FF'!$C$4:$AA$21, Y519, U519 )-200, IF(S519 ="HOLDINGINOP", (1+(0.03/10)*Z519*(1+0.2*AC519^2) )*BicubicInterpolation( 'Holding INOP FF'!$C$4:$J$13,  Y519,  U519)/1.05-200,   BA519*BG519))</f>
        <v>#NAME?</v>
      </c>
      <c r="BI519" s="344" t="e">
        <f t="shared" ca="1" si="416"/>
        <v>#NAME?</v>
      </c>
      <c r="BJ519" s="322" t="e">
        <f t="shared" ca="1" si="458"/>
        <v>#NAME?</v>
      </c>
      <c r="BK519" s="338" t="e">
        <f t="shared" ca="1" si="417"/>
        <v>#NAME?</v>
      </c>
      <c r="BL519" s="327" t="e">
        <f t="shared" ca="1" si="459"/>
        <v>#NAME?</v>
      </c>
      <c r="BM519" s="328">
        <f t="shared" si="460"/>
        <v>200</v>
      </c>
      <c r="BN519" s="329" t="e">
        <f t="shared" ca="1" si="461"/>
        <v>#NAME?</v>
      </c>
      <c r="BO519" s="344" t="e">
        <f t="shared" ca="1" si="418"/>
        <v>#NAME?</v>
      </c>
      <c r="BP519" s="320" t="e">
        <f t="shared" ca="1" si="462"/>
        <v>#NAME?</v>
      </c>
      <c r="BQ519" s="344" t="e">
        <f t="shared" ca="1" si="419"/>
        <v>#NAME?</v>
      </c>
      <c r="BR519" s="347" t="e">
        <f t="shared" ca="1" si="420"/>
        <v>#NAME?</v>
      </c>
      <c r="BS519" s="326" t="e">
        <f t="shared" ca="1" si="463"/>
        <v>#NAME?</v>
      </c>
      <c r="BT519" s="437" t="e">
        <f t="shared" ca="1" si="433"/>
        <v>#NAME?</v>
      </c>
      <c r="BU519" s="437" t="e">
        <f t="shared" ca="1" si="434"/>
        <v>#NAME?</v>
      </c>
      <c r="BV519" s="441" t="e">
        <f t="shared" ca="1" si="435"/>
        <v>#NAME?</v>
      </c>
      <c r="BW519" s="442" t="e">
        <f t="shared" ca="1" si="436"/>
        <v>#NAME?</v>
      </c>
      <c r="BX519" s="470" t="e">
        <f t="shared" ca="1" si="409"/>
        <v>#NAME?</v>
      </c>
      <c r="BY519" s="484" t="e">
        <f t="shared" ca="1" si="421"/>
        <v>#NAME?</v>
      </c>
    </row>
    <row r="520" spans="9:77" ht="17.75" customHeight="1" x14ac:dyDescent="0.2">
      <c r="I520" s="366">
        <v>436</v>
      </c>
      <c r="J520" s="414">
        <f t="shared" si="422"/>
        <v>41706.015277778766</v>
      </c>
      <c r="K520" s="435" t="e">
        <f t="shared" ca="1" si="423"/>
        <v>#NAME?</v>
      </c>
      <c r="L520" s="435" t="e">
        <f t="shared" ca="1" si="466"/>
        <v>#NAME?</v>
      </c>
      <c r="M520" s="664" t="e">
        <f t="shared" ca="1" si="464"/>
        <v>#NAME?</v>
      </c>
      <c r="N520" s="664" t="e">
        <f t="shared" ca="1" si="465"/>
        <v>#NAME?</v>
      </c>
      <c r="O520" s="140" t="e">
        <f t="shared" ca="1" si="411"/>
        <v>#NAME?</v>
      </c>
      <c r="P520" s="352" t="e">
        <f t="shared" ca="1" si="424"/>
        <v>#NAME?</v>
      </c>
      <c r="Q520" s="665" t="e">
        <f t="shared" ca="1" si="467"/>
        <v>#NAME?</v>
      </c>
      <c r="R520" s="352" t="e">
        <f t="shared" ca="1" si="437"/>
        <v>#NAME?</v>
      </c>
      <c r="S520" s="662" t="e">
        <f t="shared" ca="1" si="412"/>
        <v>#NAME?</v>
      </c>
      <c r="T520" s="443" t="e">
        <f t="shared" ca="1" si="405"/>
        <v>#NAME?</v>
      </c>
      <c r="U520" s="369" t="e">
        <f t="shared" ca="1" si="406"/>
        <v>#NAME?</v>
      </c>
      <c r="V520" s="454" t="e">
        <f t="shared" ca="1" si="413"/>
        <v>#NAME?</v>
      </c>
      <c r="W520" s="457">
        <f t="shared" si="414"/>
        <v>1000</v>
      </c>
      <c r="X520" s="463" t="e">
        <f t="shared" ca="1" si="415"/>
        <v>#NAME?</v>
      </c>
      <c r="Y520" s="455" t="e">
        <f t="shared" ca="1" si="425"/>
        <v>#NAME?</v>
      </c>
      <c r="Z520" s="699">
        <f t="shared" si="407"/>
        <v>8.5</v>
      </c>
      <c r="AA520" s="355" t="str">
        <f t="shared" si="408"/>
        <v>ON</v>
      </c>
      <c r="AB520" s="357">
        <f t="shared" si="438"/>
        <v>1.4999999999999999E-2</v>
      </c>
      <c r="AC520" s="356" t="e">
        <f ca="1">IF(  Y519=0,0,IF(OR(S520="KCAS",S520="INOP",S520="MEFE"),   ( (5*( (   (((1+0.2*(T520/661.4786)^2)^3.5 -1)  )/( (1-6.8755856*10^-6 *100*Y520)^5.2558797) +1)^(2/7) -1) )^0.5),IF(S520="MACH",T520, IF(S520="LRC",BicubicInterpolation( 'LRC Mach'!$C$4:$AL$21, Y520,U520),  IF(S520="MRC",BicubicInterpolation( 'MRC Mach'!$C$3:$T$18, Y520,U520),  IF(S520="M0.84",0.84,  IF(S520="CI52",BicubicInterpolation('CI=52 Mach'!$C$3:$T$18, Y520,U520),  IF(S520="HOLDING",BicubicInterpolation(  'Holding Mach'!$C$4:$M$13, Y520,U520),                         IF(S520="LRCINOP", BicubicInterpolation('LRC INOP Mach'!$C$4:$AA$21,Y520,U520), IF(S520="HOLDINGINOP",  BicubicInterpolation('Holding INOP Mach'!$N$4:$U$13,Y520,U520),         "XXX" )))))))   )))</f>
        <v>#NAME?</v>
      </c>
      <c r="AD520" s="313" t="e">
        <f t="shared" ca="1" si="439"/>
        <v>#NAME?</v>
      </c>
      <c r="AE520" s="314" t="e">
        <f t="shared" ca="1" si="426"/>
        <v>#NAME?</v>
      </c>
      <c r="AF520" s="313" t="e">
        <f t="shared" ca="1" si="440"/>
        <v>#NAME?</v>
      </c>
      <c r="AG520" s="314" t="e">
        <f t="shared" ca="1" si="427"/>
        <v>#NAME?</v>
      </c>
      <c r="AH520" s="313" t="e">
        <f t="shared" ca="1" si="441"/>
        <v>#NAME?</v>
      </c>
      <c r="AI520" s="314" t="e">
        <f t="shared" ca="1" si="428"/>
        <v>#NAME?</v>
      </c>
      <c r="AJ520" s="315" t="e">
        <f t="shared" ca="1" si="429"/>
        <v>#NAME?</v>
      </c>
      <c r="AK520" s="568" t="e">
        <f t="shared" ca="1" si="442"/>
        <v>#NAME?</v>
      </c>
      <c r="AL520" s="313" t="e">
        <f t="shared" ca="1" si="443"/>
        <v>#NAME?</v>
      </c>
      <c r="AM520" s="313" t="e">
        <f t="shared" ca="1" si="430"/>
        <v>#NAME?</v>
      </c>
      <c r="AN520" s="313" t="e">
        <f t="shared" ca="1" si="431"/>
        <v>#NAME?</v>
      </c>
      <c r="AO520" s="316" t="e">
        <f t="shared" ca="1" si="444"/>
        <v>#NAME?</v>
      </c>
      <c r="AP520" s="313" t="e">
        <f t="shared" ca="1" si="445"/>
        <v>#NAME?</v>
      </c>
      <c r="AQ520" s="314" t="e">
        <f t="shared" ca="1" si="432"/>
        <v>#NAME?</v>
      </c>
      <c r="AR520" s="315" t="e">
        <f t="shared" ca="1" si="446"/>
        <v>#NAME?</v>
      </c>
      <c r="AS520" s="316" t="e">
        <f t="shared" ca="1" si="447"/>
        <v>#NAME?</v>
      </c>
      <c r="AT520" s="315" t="e">
        <f t="shared" ca="1" si="448"/>
        <v>#NAME?</v>
      </c>
      <c r="AU520" s="317">
        <v>427.8</v>
      </c>
      <c r="AV520" s="315" t="e">
        <f t="shared" ca="1" si="449"/>
        <v>#NAME?</v>
      </c>
      <c r="AW520" s="318" t="e">
        <f ca="1">0.0001*BicubicInterpolation('Drag Coef Table'!$B$4:$L$28,AV520,AC520)</f>
        <v>#NAME?</v>
      </c>
      <c r="AX520" s="319" t="e">
        <f t="shared" ca="1" si="450"/>
        <v>#NAME?</v>
      </c>
      <c r="AY520" s="318" t="e">
        <f t="shared" ca="1" si="451"/>
        <v>#NAME?</v>
      </c>
      <c r="AZ520" s="320" t="e">
        <f t="shared" ca="1" si="452"/>
        <v>#NAME?</v>
      </c>
      <c r="BA520" s="321" t="e">
        <f t="shared" ca="1" si="453"/>
        <v>#NAME?</v>
      </c>
      <c r="BB520" s="322" t="e">
        <f t="shared" ca="1" si="454"/>
        <v>#NAME?</v>
      </c>
      <c r="BC520" s="323">
        <v>75.196700000000007</v>
      </c>
      <c r="BD520" s="324" t="e">
        <f t="shared" ca="1" si="455"/>
        <v>#NAME?</v>
      </c>
      <c r="BE520" s="325" t="e">
        <f t="shared" ca="1" si="456"/>
        <v>#NAME?</v>
      </c>
      <c r="BF520" s="324" t="e">
        <f ca="1">BicubicInterpolation('TSFC Eff Table'!$B$4:$E$69,2,BB520)</f>
        <v>#NAME?</v>
      </c>
      <c r="BG520" s="326" t="e">
        <f t="shared" ca="1" si="457"/>
        <v>#NAME?</v>
      </c>
      <c r="BH520" s="694" t="e">
        <f ca="1">IF( S520="LRCINOP",   (1+(0.03/10)*Z520*(1+0.2*AC520^2) )*BicubicInterpolation( 'LRC INOP FF'!$C$4:$AA$21, Y520, U520 )-200, IF(S520 ="HOLDINGINOP", (1+(0.03/10)*Z520*(1+0.2*AC520^2) )*BicubicInterpolation( 'Holding INOP FF'!$C$4:$J$13,  Y520,  U520)/1.05-200,   BA520*BG520))</f>
        <v>#NAME?</v>
      </c>
      <c r="BI520" s="344" t="e">
        <f t="shared" ca="1" si="416"/>
        <v>#NAME?</v>
      </c>
      <c r="BJ520" s="322" t="e">
        <f t="shared" ca="1" si="458"/>
        <v>#NAME?</v>
      </c>
      <c r="BK520" s="338" t="e">
        <f t="shared" ca="1" si="417"/>
        <v>#NAME?</v>
      </c>
      <c r="BL520" s="327" t="e">
        <f t="shared" ca="1" si="459"/>
        <v>#NAME?</v>
      </c>
      <c r="BM520" s="328">
        <f t="shared" si="460"/>
        <v>200</v>
      </c>
      <c r="BN520" s="329" t="e">
        <f t="shared" ca="1" si="461"/>
        <v>#NAME?</v>
      </c>
      <c r="BO520" s="344" t="e">
        <f t="shared" ca="1" si="418"/>
        <v>#NAME?</v>
      </c>
      <c r="BP520" s="320" t="e">
        <f t="shared" ca="1" si="462"/>
        <v>#NAME?</v>
      </c>
      <c r="BQ520" s="344" t="e">
        <f t="shared" ca="1" si="419"/>
        <v>#NAME?</v>
      </c>
      <c r="BR520" s="347" t="e">
        <f t="shared" ca="1" si="420"/>
        <v>#NAME?</v>
      </c>
      <c r="BS520" s="326" t="e">
        <f t="shared" ca="1" si="463"/>
        <v>#NAME?</v>
      </c>
      <c r="BT520" s="437" t="e">
        <f t="shared" ca="1" si="433"/>
        <v>#NAME?</v>
      </c>
      <c r="BU520" s="437" t="e">
        <f t="shared" ca="1" si="434"/>
        <v>#NAME?</v>
      </c>
      <c r="BV520" s="441" t="e">
        <f t="shared" ca="1" si="435"/>
        <v>#NAME?</v>
      </c>
      <c r="BW520" s="442" t="e">
        <f t="shared" ca="1" si="436"/>
        <v>#NAME?</v>
      </c>
      <c r="BX520" s="470" t="e">
        <f t="shared" ca="1" si="409"/>
        <v>#NAME?</v>
      </c>
      <c r="BY520" s="484" t="e">
        <f t="shared" ca="1" si="421"/>
        <v>#NAME?</v>
      </c>
    </row>
    <row r="521" spans="9:77" ht="17.75" customHeight="1" x14ac:dyDescent="0.2">
      <c r="I521" s="366">
        <v>437</v>
      </c>
      <c r="J521" s="414">
        <f t="shared" si="422"/>
        <v>41706.015972223213</v>
      </c>
      <c r="K521" s="435" t="e">
        <f t="shared" ca="1" si="423"/>
        <v>#NAME?</v>
      </c>
      <c r="L521" s="435" t="e">
        <f t="shared" ca="1" si="466"/>
        <v>#NAME?</v>
      </c>
      <c r="M521" s="664" t="e">
        <f t="shared" ca="1" si="464"/>
        <v>#NAME?</v>
      </c>
      <c r="N521" s="664" t="e">
        <f t="shared" ca="1" si="465"/>
        <v>#NAME?</v>
      </c>
      <c r="O521" s="140" t="e">
        <f t="shared" ca="1" si="411"/>
        <v>#NAME?</v>
      </c>
      <c r="P521" s="352" t="e">
        <f t="shared" ca="1" si="424"/>
        <v>#NAME?</v>
      </c>
      <c r="Q521" s="665" t="e">
        <f t="shared" ca="1" si="467"/>
        <v>#NAME?</v>
      </c>
      <c r="R521" s="352" t="e">
        <f t="shared" ca="1" si="437"/>
        <v>#NAME?</v>
      </c>
      <c r="S521" s="662" t="e">
        <f t="shared" ca="1" si="412"/>
        <v>#NAME?</v>
      </c>
      <c r="T521" s="443" t="e">
        <f t="shared" ca="1" si="405"/>
        <v>#NAME?</v>
      </c>
      <c r="U521" s="369" t="e">
        <f t="shared" ca="1" si="406"/>
        <v>#NAME?</v>
      </c>
      <c r="V521" s="454" t="e">
        <f t="shared" ca="1" si="413"/>
        <v>#NAME?</v>
      </c>
      <c r="W521" s="457">
        <f t="shared" si="414"/>
        <v>1000</v>
      </c>
      <c r="X521" s="463" t="e">
        <f t="shared" ca="1" si="415"/>
        <v>#NAME?</v>
      </c>
      <c r="Y521" s="455" t="e">
        <f t="shared" ca="1" si="425"/>
        <v>#NAME?</v>
      </c>
      <c r="Z521" s="699">
        <f t="shared" si="407"/>
        <v>8.5</v>
      </c>
      <c r="AA521" s="355" t="str">
        <f t="shared" si="408"/>
        <v>ON</v>
      </c>
      <c r="AB521" s="357">
        <f t="shared" si="438"/>
        <v>1.4999999999999999E-2</v>
      </c>
      <c r="AC521" s="356" t="e">
        <f ca="1">IF(  Y520=0,0,IF(OR(S521="KCAS",S521="INOP",S521="MEFE"),   ( (5*( (   (((1+0.2*(T521/661.4786)^2)^3.5 -1)  )/( (1-6.8755856*10^-6 *100*Y521)^5.2558797) +1)^(2/7) -1) )^0.5),IF(S521="MACH",T521, IF(S521="LRC",BicubicInterpolation( 'LRC Mach'!$C$4:$AL$21, Y521,U521),  IF(S521="MRC",BicubicInterpolation( 'MRC Mach'!$C$3:$T$18, Y521,U521),  IF(S521="M0.84",0.84,  IF(S521="CI52",BicubicInterpolation('CI=52 Mach'!$C$3:$T$18, Y521,U521),  IF(S521="HOLDING",BicubicInterpolation(  'Holding Mach'!$C$4:$M$13, Y521,U521),                         IF(S521="LRCINOP", BicubicInterpolation('LRC INOP Mach'!$C$4:$AA$21,Y521,U521), IF(S521="HOLDINGINOP",  BicubicInterpolation('Holding INOP Mach'!$N$4:$U$13,Y521,U521),         "XXX" )))))))   )))</f>
        <v>#NAME?</v>
      </c>
      <c r="AD521" s="313" t="e">
        <f t="shared" ca="1" si="439"/>
        <v>#NAME?</v>
      </c>
      <c r="AE521" s="314" t="e">
        <f t="shared" ca="1" si="426"/>
        <v>#NAME?</v>
      </c>
      <c r="AF521" s="313" t="e">
        <f t="shared" ca="1" si="440"/>
        <v>#NAME?</v>
      </c>
      <c r="AG521" s="314" t="e">
        <f t="shared" ca="1" si="427"/>
        <v>#NAME?</v>
      </c>
      <c r="AH521" s="313" t="e">
        <f t="shared" ca="1" si="441"/>
        <v>#NAME?</v>
      </c>
      <c r="AI521" s="314" t="e">
        <f t="shared" ca="1" si="428"/>
        <v>#NAME?</v>
      </c>
      <c r="AJ521" s="315" t="e">
        <f t="shared" ca="1" si="429"/>
        <v>#NAME?</v>
      </c>
      <c r="AK521" s="568" t="e">
        <f t="shared" ca="1" si="442"/>
        <v>#NAME?</v>
      </c>
      <c r="AL521" s="313" t="e">
        <f t="shared" ca="1" si="443"/>
        <v>#NAME?</v>
      </c>
      <c r="AM521" s="313" t="e">
        <f t="shared" ca="1" si="430"/>
        <v>#NAME?</v>
      </c>
      <c r="AN521" s="313" t="e">
        <f t="shared" ca="1" si="431"/>
        <v>#NAME?</v>
      </c>
      <c r="AO521" s="316" t="e">
        <f t="shared" ca="1" si="444"/>
        <v>#NAME?</v>
      </c>
      <c r="AP521" s="313" t="e">
        <f t="shared" ca="1" si="445"/>
        <v>#NAME?</v>
      </c>
      <c r="AQ521" s="314" t="e">
        <f t="shared" ca="1" si="432"/>
        <v>#NAME?</v>
      </c>
      <c r="AR521" s="315" t="e">
        <f t="shared" ca="1" si="446"/>
        <v>#NAME?</v>
      </c>
      <c r="AS521" s="316" t="e">
        <f t="shared" ca="1" si="447"/>
        <v>#NAME?</v>
      </c>
      <c r="AT521" s="315" t="e">
        <f t="shared" ca="1" si="448"/>
        <v>#NAME?</v>
      </c>
      <c r="AU521" s="317">
        <v>427.8</v>
      </c>
      <c r="AV521" s="315" t="e">
        <f t="shared" ca="1" si="449"/>
        <v>#NAME?</v>
      </c>
      <c r="AW521" s="318" t="e">
        <f ca="1">0.0001*BicubicInterpolation('Drag Coef Table'!$B$4:$L$28,AV521,AC521)</f>
        <v>#NAME?</v>
      </c>
      <c r="AX521" s="319" t="e">
        <f t="shared" ca="1" si="450"/>
        <v>#NAME?</v>
      </c>
      <c r="AY521" s="318" t="e">
        <f t="shared" ca="1" si="451"/>
        <v>#NAME?</v>
      </c>
      <c r="AZ521" s="320" t="e">
        <f t="shared" ca="1" si="452"/>
        <v>#NAME?</v>
      </c>
      <c r="BA521" s="321" t="e">
        <f t="shared" ca="1" si="453"/>
        <v>#NAME?</v>
      </c>
      <c r="BB521" s="322" t="e">
        <f t="shared" ca="1" si="454"/>
        <v>#NAME?</v>
      </c>
      <c r="BC521" s="323">
        <v>75.196700000000007</v>
      </c>
      <c r="BD521" s="324" t="e">
        <f t="shared" ca="1" si="455"/>
        <v>#NAME?</v>
      </c>
      <c r="BE521" s="325" t="e">
        <f t="shared" ca="1" si="456"/>
        <v>#NAME?</v>
      </c>
      <c r="BF521" s="324" t="e">
        <f ca="1">BicubicInterpolation('TSFC Eff Table'!$B$4:$E$69,2,BB521)</f>
        <v>#NAME?</v>
      </c>
      <c r="BG521" s="326" t="e">
        <f t="shared" ca="1" si="457"/>
        <v>#NAME?</v>
      </c>
      <c r="BH521" s="694" t="e">
        <f ca="1">IF( S521="LRCINOP",   (1+(0.03/10)*Z521*(1+0.2*AC521^2) )*BicubicInterpolation( 'LRC INOP FF'!$C$4:$AA$21, Y521, U521 )-200, IF(S521 ="HOLDINGINOP", (1+(0.03/10)*Z521*(1+0.2*AC521^2) )*BicubicInterpolation( 'Holding INOP FF'!$C$4:$J$13,  Y521,  U521)/1.05-200,   BA521*BG521))</f>
        <v>#NAME?</v>
      </c>
      <c r="BI521" s="344" t="e">
        <f t="shared" ca="1" si="416"/>
        <v>#NAME?</v>
      </c>
      <c r="BJ521" s="322" t="e">
        <f t="shared" ca="1" si="458"/>
        <v>#NAME?</v>
      </c>
      <c r="BK521" s="338" t="e">
        <f t="shared" ca="1" si="417"/>
        <v>#NAME?</v>
      </c>
      <c r="BL521" s="327" t="e">
        <f t="shared" ca="1" si="459"/>
        <v>#NAME?</v>
      </c>
      <c r="BM521" s="328">
        <f t="shared" si="460"/>
        <v>200</v>
      </c>
      <c r="BN521" s="329" t="e">
        <f t="shared" ca="1" si="461"/>
        <v>#NAME?</v>
      </c>
      <c r="BO521" s="344" t="e">
        <f t="shared" ca="1" si="418"/>
        <v>#NAME?</v>
      </c>
      <c r="BP521" s="320" t="e">
        <f t="shared" ca="1" si="462"/>
        <v>#NAME?</v>
      </c>
      <c r="BQ521" s="344" t="e">
        <f t="shared" ca="1" si="419"/>
        <v>#NAME?</v>
      </c>
      <c r="BR521" s="347" t="e">
        <f t="shared" ca="1" si="420"/>
        <v>#NAME?</v>
      </c>
      <c r="BS521" s="326" t="e">
        <f t="shared" ca="1" si="463"/>
        <v>#NAME?</v>
      </c>
      <c r="BT521" s="437" t="e">
        <f t="shared" ca="1" si="433"/>
        <v>#NAME?</v>
      </c>
      <c r="BU521" s="437" t="e">
        <f t="shared" ca="1" si="434"/>
        <v>#NAME?</v>
      </c>
      <c r="BV521" s="441" t="e">
        <f t="shared" ca="1" si="435"/>
        <v>#NAME?</v>
      </c>
      <c r="BW521" s="442" t="e">
        <f t="shared" ca="1" si="436"/>
        <v>#NAME?</v>
      </c>
      <c r="BX521" s="470" t="e">
        <f t="shared" ca="1" si="409"/>
        <v>#NAME?</v>
      </c>
      <c r="BY521" s="484" t="e">
        <f t="shared" ca="1" si="421"/>
        <v>#NAME?</v>
      </c>
    </row>
    <row r="522" spans="9:77" ht="17.75" customHeight="1" x14ac:dyDescent="0.2">
      <c r="I522" s="366">
        <v>438</v>
      </c>
      <c r="J522" s="414">
        <f t="shared" si="422"/>
        <v>41706.01666666766</v>
      </c>
      <c r="K522" s="435" t="e">
        <f t="shared" ca="1" si="423"/>
        <v>#NAME?</v>
      </c>
      <c r="L522" s="435" t="e">
        <f t="shared" ca="1" si="466"/>
        <v>#NAME?</v>
      </c>
      <c r="M522" s="664" t="e">
        <f t="shared" ca="1" si="464"/>
        <v>#NAME?</v>
      </c>
      <c r="N522" s="664" t="e">
        <f t="shared" ca="1" si="465"/>
        <v>#NAME?</v>
      </c>
      <c r="O522" s="140" t="e">
        <f t="shared" ca="1" si="411"/>
        <v>#NAME?</v>
      </c>
      <c r="P522" s="352" t="e">
        <f t="shared" ca="1" si="424"/>
        <v>#NAME?</v>
      </c>
      <c r="Q522" s="665" t="e">
        <f t="shared" ca="1" si="467"/>
        <v>#NAME?</v>
      </c>
      <c r="R522" s="352" t="e">
        <f t="shared" ca="1" si="437"/>
        <v>#NAME?</v>
      </c>
      <c r="S522" s="662" t="e">
        <f t="shared" ca="1" si="412"/>
        <v>#NAME?</v>
      </c>
      <c r="T522" s="443" t="e">
        <f t="shared" ca="1" si="405"/>
        <v>#NAME?</v>
      </c>
      <c r="U522" s="369" t="e">
        <f t="shared" ca="1" si="406"/>
        <v>#NAME?</v>
      </c>
      <c r="V522" s="454" t="e">
        <f t="shared" ca="1" si="413"/>
        <v>#NAME?</v>
      </c>
      <c r="W522" s="457">
        <f t="shared" si="414"/>
        <v>1000</v>
      </c>
      <c r="X522" s="463" t="e">
        <f t="shared" ca="1" si="415"/>
        <v>#NAME?</v>
      </c>
      <c r="Y522" s="455" t="e">
        <f t="shared" ca="1" si="425"/>
        <v>#NAME?</v>
      </c>
      <c r="Z522" s="699">
        <f t="shared" si="407"/>
        <v>8.5</v>
      </c>
      <c r="AA522" s="355" t="str">
        <f t="shared" si="408"/>
        <v>ON</v>
      </c>
      <c r="AB522" s="357">
        <f t="shared" si="438"/>
        <v>1.4999999999999999E-2</v>
      </c>
      <c r="AC522" s="356" t="e">
        <f ca="1">IF(  Y521=0,0,IF(OR(S522="KCAS",S522="INOP",S522="MEFE"),   ( (5*( (   (((1+0.2*(T522/661.4786)^2)^3.5 -1)  )/( (1-6.8755856*10^-6 *100*Y522)^5.2558797) +1)^(2/7) -1) )^0.5),IF(S522="MACH",T522, IF(S522="LRC",BicubicInterpolation( 'LRC Mach'!$C$4:$AL$21, Y522,U522),  IF(S522="MRC",BicubicInterpolation( 'MRC Mach'!$C$3:$T$18, Y522,U522),  IF(S522="M0.84",0.84,  IF(S522="CI52",BicubicInterpolation('CI=52 Mach'!$C$3:$T$18, Y522,U522),  IF(S522="HOLDING",BicubicInterpolation(  'Holding Mach'!$C$4:$M$13, Y522,U522),                         IF(S522="LRCINOP", BicubicInterpolation('LRC INOP Mach'!$C$4:$AA$21,Y522,U522), IF(S522="HOLDINGINOP",  BicubicInterpolation('Holding INOP Mach'!$N$4:$U$13,Y522,U522),         "XXX" )))))))   )))</f>
        <v>#NAME?</v>
      </c>
      <c r="AD522" s="313" t="e">
        <f t="shared" ca="1" si="439"/>
        <v>#NAME?</v>
      </c>
      <c r="AE522" s="314" t="e">
        <f t="shared" ca="1" si="426"/>
        <v>#NAME?</v>
      </c>
      <c r="AF522" s="313" t="e">
        <f t="shared" ca="1" si="440"/>
        <v>#NAME?</v>
      </c>
      <c r="AG522" s="314" t="e">
        <f t="shared" ca="1" si="427"/>
        <v>#NAME?</v>
      </c>
      <c r="AH522" s="313" t="e">
        <f t="shared" ca="1" si="441"/>
        <v>#NAME?</v>
      </c>
      <c r="AI522" s="314" t="e">
        <f t="shared" ca="1" si="428"/>
        <v>#NAME?</v>
      </c>
      <c r="AJ522" s="315" t="e">
        <f t="shared" ca="1" si="429"/>
        <v>#NAME?</v>
      </c>
      <c r="AK522" s="568" t="e">
        <f t="shared" ca="1" si="442"/>
        <v>#NAME?</v>
      </c>
      <c r="AL522" s="313" t="e">
        <f t="shared" ca="1" si="443"/>
        <v>#NAME?</v>
      </c>
      <c r="AM522" s="313" t="e">
        <f t="shared" ca="1" si="430"/>
        <v>#NAME?</v>
      </c>
      <c r="AN522" s="313" t="e">
        <f t="shared" ca="1" si="431"/>
        <v>#NAME?</v>
      </c>
      <c r="AO522" s="316" t="e">
        <f t="shared" ca="1" si="444"/>
        <v>#NAME?</v>
      </c>
      <c r="AP522" s="313" t="e">
        <f t="shared" ca="1" si="445"/>
        <v>#NAME?</v>
      </c>
      <c r="AQ522" s="314" t="e">
        <f t="shared" ca="1" si="432"/>
        <v>#NAME?</v>
      </c>
      <c r="AR522" s="315" t="e">
        <f t="shared" ca="1" si="446"/>
        <v>#NAME?</v>
      </c>
      <c r="AS522" s="316" t="e">
        <f t="shared" ca="1" si="447"/>
        <v>#NAME?</v>
      </c>
      <c r="AT522" s="315" t="e">
        <f t="shared" ca="1" si="448"/>
        <v>#NAME?</v>
      </c>
      <c r="AU522" s="317">
        <v>427.8</v>
      </c>
      <c r="AV522" s="315" t="e">
        <f t="shared" ca="1" si="449"/>
        <v>#NAME?</v>
      </c>
      <c r="AW522" s="318" t="e">
        <f ca="1">0.0001*BicubicInterpolation('Drag Coef Table'!$B$4:$L$28,AV522,AC522)</f>
        <v>#NAME?</v>
      </c>
      <c r="AX522" s="319" t="e">
        <f t="shared" ca="1" si="450"/>
        <v>#NAME?</v>
      </c>
      <c r="AY522" s="318" t="e">
        <f t="shared" ca="1" si="451"/>
        <v>#NAME?</v>
      </c>
      <c r="AZ522" s="320" t="e">
        <f t="shared" ca="1" si="452"/>
        <v>#NAME?</v>
      </c>
      <c r="BA522" s="321" t="e">
        <f t="shared" ca="1" si="453"/>
        <v>#NAME?</v>
      </c>
      <c r="BB522" s="322" t="e">
        <f t="shared" ca="1" si="454"/>
        <v>#NAME?</v>
      </c>
      <c r="BC522" s="323">
        <v>75.196700000000007</v>
      </c>
      <c r="BD522" s="324" t="e">
        <f t="shared" ca="1" si="455"/>
        <v>#NAME?</v>
      </c>
      <c r="BE522" s="325" t="e">
        <f t="shared" ca="1" si="456"/>
        <v>#NAME?</v>
      </c>
      <c r="BF522" s="324" t="e">
        <f ca="1">BicubicInterpolation('TSFC Eff Table'!$B$4:$E$69,2,BB522)</f>
        <v>#NAME?</v>
      </c>
      <c r="BG522" s="326" t="e">
        <f t="shared" ca="1" si="457"/>
        <v>#NAME?</v>
      </c>
      <c r="BH522" s="694" t="e">
        <f ca="1">IF( S522="LRCINOP",   (1+(0.03/10)*Z522*(1+0.2*AC522^2) )*BicubicInterpolation( 'LRC INOP FF'!$C$4:$AA$21, Y522, U522 )-200, IF(S522 ="HOLDINGINOP", (1+(0.03/10)*Z522*(1+0.2*AC522^2) )*BicubicInterpolation( 'Holding INOP FF'!$C$4:$J$13,  Y522,  U522)/1.05-200,   BA522*BG522))</f>
        <v>#NAME?</v>
      </c>
      <c r="BI522" s="344" t="e">
        <f t="shared" ca="1" si="416"/>
        <v>#NAME?</v>
      </c>
      <c r="BJ522" s="322" t="e">
        <f t="shared" ca="1" si="458"/>
        <v>#NAME?</v>
      </c>
      <c r="BK522" s="338" t="e">
        <f t="shared" ca="1" si="417"/>
        <v>#NAME?</v>
      </c>
      <c r="BL522" s="327" t="e">
        <f t="shared" ca="1" si="459"/>
        <v>#NAME?</v>
      </c>
      <c r="BM522" s="328">
        <f t="shared" si="460"/>
        <v>200</v>
      </c>
      <c r="BN522" s="329" t="e">
        <f t="shared" ca="1" si="461"/>
        <v>#NAME?</v>
      </c>
      <c r="BO522" s="344" t="e">
        <f t="shared" ca="1" si="418"/>
        <v>#NAME?</v>
      </c>
      <c r="BP522" s="320" t="e">
        <f t="shared" ca="1" si="462"/>
        <v>#NAME?</v>
      </c>
      <c r="BQ522" s="344" t="e">
        <f t="shared" ca="1" si="419"/>
        <v>#NAME?</v>
      </c>
      <c r="BR522" s="347" t="e">
        <f t="shared" ca="1" si="420"/>
        <v>#NAME?</v>
      </c>
      <c r="BS522" s="326" t="e">
        <f t="shared" ca="1" si="463"/>
        <v>#NAME?</v>
      </c>
      <c r="BT522" s="437" t="e">
        <f t="shared" ca="1" si="433"/>
        <v>#NAME?</v>
      </c>
      <c r="BU522" s="437" t="e">
        <f t="shared" ca="1" si="434"/>
        <v>#NAME?</v>
      </c>
      <c r="BV522" s="441" t="e">
        <f t="shared" ca="1" si="435"/>
        <v>#NAME?</v>
      </c>
      <c r="BW522" s="442" t="e">
        <f t="shared" ca="1" si="436"/>
        <v>#NAME?</v>
      </c>
      <c r="BX522" s="470" t="e">
        <f t="shared" ca="1" si="409"/>
        <v>#NAME?</v>
      </c>
      <c r="BY522" s="484" t="e">
        <f t="shared" ca="1" si="421"/>
        <v>#NAME?</v>
      </c>
    </row>
    <row r="523" spans="9:77" ht="17.75" customHeight="1" x14ac:dyDescent="0.2">
      <c r="I523" s="366">
        <v>439</v>
      </c>
      <c r="J523" s="414">
        <f t="shared" si="422"/>
        <v>41706.017361112106</v>
      </c>
      <c r="K523" s="435" t="e">
        <f t="shared" ca="1" si="423"/>
        <v>#NAME?</v>
      </c>
      <c r="L523" s="435" t="e">
        <f t="shared" ca="1" si="466"/>
        <v>#NAME?</v>
      </c>
      <c r="M523" s="664" t="e">
        <f t="shared" ca="1" si="464"/>
        <v>#NAME?</v>
      </c>
      <c r="N523" s="664" t="e">
        <f t="shared" ca="1" si="465"/>
        <v>#NAME?</v>
      </c>
      <c r="O523" s="140" t="e">
        <f t="shared" ca="1" si="411"/>
        <v>#NAME?</v>
      </c>
      <c r="P523" s="352" t="e">
        <f t="shared" ca="1" si="424"/>
        <v>#NAME?</v>
      </c>
      <c r="Q523" s="665" t="e">
        <f t="shared" ca="1" si="467"/>
        <v>#NAME?</v>
      </c>
      <c r="R523" s="352" t="e">
        <f t="shared" ca="1" si="437"/>
        <v>#NAME?</v>
      </c>
      <c r="S523" s="662" t="e">
        <f t="shared" ca="1" si="412"/>
        <v>#NAME?</v>
      </c>
      <c r="T523" s="443" t="e">
        <f t="shared" ca="1" si="405"/>
        <v>#NAME?</v>
      </c>
      <c r="U523" s="369" t="e">
        <f t="shared" ca="1" si="406"/>
        <v>#NAME?</v>
      </c>
      <c r="V523" s="454" t="e">
        <f t="shared" ca="1" si="413"/>
        <v>#NAME?</v>
      </c>
      <c r="W523" s="457">
        <f t="shared" si="414"/>
        <v>1000</v>
      </c>
      <c r="X523" s="463" t="e">
        <f t="shared" ca="1" si="415"/>
        <v>#NAME?</v>
      </c>
      <c r="Y523" s="455" t="e">
        <f t="shared" ca="1" si="425"/>
        <v>#NAME?</v>
      </c>
      <c r="Z523" s="699">
        <f t="shared" si="407"/>
        <v>8.5</v>
      </c>
      <c r="AA523" s="355" t="str">
        <f t="shared" si="408"/>
        <v>ON</v>
      </c>
      <c r="AB523" s="357">
        <f t="shared" si="438"/>
        <v>1.4999999999999999E-2</v>
      </c>
      <c r="AC523" s="356" t="e">
        <f ca="1">IF(  Y522=0,0,IF(OR(S523="KCAS",S523="INOP",S523="MEFE"),   ( (5*( (   (((1+0.2*(T523/661.4786)^2)^3.5 -1)  )/( (1-6.8755856*10^-6 *100*Y523)^5.2558797) +1)^(2/7) -1) )^0.5),IF(S523="MACH",T523, IF(S523="LRC",BicubicInterpolation( 'LRC Mach'!$C$4:$AL$21, Y523,U523),  IF(S523="MRC",BicubicInterpolation( 'MRC Mach'!$C$3:$T$18, Y523,U523),  IF(S523="M0.84",0.84,  IF(S523="CI52",BicubicInterpolation('CI=52 Mach'!$C$3:$T$18, Y523,U523),  IF(S523="HOLDING",BicubicInterpolation(  'Holding Mach'!$C$4:$M$13, Y523,U523),                         IF(S523="LRCINOP", BicubicInterpolation('LRC INOP Mach'!$C$4:$AA$21,Y523,U523), IF(S523="HOLDINGINOP",  BicubicInterpolation('Holding INOP Mach'!$N$4:$U$13,Y523,U523),         "XXX" )))))))   )))</f>
        <v>#NAME?</v>
      </c>
      <c r="AD523" s="313" t="e">
        <f t="shared" ca="1" si="439"/>
        <v>#NAME?</v>
      </c>
      <c r="AE523" s="314" t="e">
        <f t="shared" ca="1" si="426"/>
        <v>#NAME?</v>
      </c>
      <c r="AF523" s="313" t="e">
        <f t="shared" ca="1" si="440"/>
        <v>#NAME?</v>
      </c>
      <c r="AG523" s="314" t="e">
        <f t="shared" ca="1" si="427"/>
        <v>#NAME?</v>
      </c>
      <c r="AH523" s="313" t="e">
        <f t="shared" ca="1" si="441"/>
        <v>#NAME?</v>
      </c>
      <c r="AI523" s="314" t="e">
        <f t="shared" ca="1" si="428"/>
        <v>#NAME?</v>
      </c>
      <c r="AJ523" s="315" t="e">
        <f t="shared" ca="1" si="429"/>
        <v>#NAME?</v>
      </c>
      <c r="AK523" s="568" t="e">
        <f t="shared" ca="1" si="442"/>
        <v>#NAME?</v>
      </c>
      <c r="AL523" s="313" t="e">
        <f t="shared" ca="1" si="443"/>
        <v>#NAME?</v>
      </c>
      <c r="AM523" s="313" t="e">
        <f t="shared" ca="1" si="430"/>
        <v>#NAME?</v>
      </c>
      <c r="AN523" s="313" t="e">
        <f t="shared" ca="1" si="431"/>
        <v>#NAME?</v>
      </c>
      <c r="AO523" s="316" t="e">
        <f t="shared" ca="1" si="444"/>
        <v>#NAME?</v>
      </c>
      <c r="AP523" s="313" t="e">
        <f t="shared" ca="1" si="445"/>
        <v>#NAME?</v>
      </c>
      <c r="AQ523" s="314" t="e">
        <f t="shared" ca="1" si="432"/>
        <v>#NAME?</v>
      </c>
      <c r="AR523" s="315" t="e">
        <f t="shared" ca="1" si="446"/>
        <v>#NAME?</v>
      </c>
      <c r="AS523" s="316" t="e">
        <f t="shared" ca="1" si="447"/>
        <v>#NAME?</v>
      </c>
      <c r="AT523" s="315" t="e">
        <f t="shared" ca="1" si="448"/>
        <v>#NAME?</v>
      </c>
      <c r="AU523" s="317">
        <v>427.8</v>
      </c>
      <c r="AV523" s="315" t="e">
        <f t="shared" ca="1" si="449"/>
        <v>#NAME?</v>
      </c>
      <c r="AW523" s="318" t="e">
        <f ca="1">0.0001*BicubicInterpolation('Drag Coef Table'!$B$4:$L$28,AV523,AC523)</f>
        <v>#NAME?</v>
      </c>
      <c r="AX523" s="319" t="e">
        <f t="shared" ca="1" si="450"/>
        <v>#NAME?</v>
      </c>
      <c r="AY523" s="318" t="e">
        <f t="shared" ca="1" si="451"/>
        <v>#NAME?</v>
      </c>
      <c r="AZ523" s="320" t="e">
        <f t="shared" ca="1" si="452"/>
        <v>#NAME?</v>
      </c>
      <c r="BA523" s="321" t="e">
        <f t="shared" ca="1" si="453"/>
        <v>#NAME?</v>
      </c>
      <c r="BB523" s="322" t="e">
        <f t="shared" ca="1" si="454"/>
        <v>#NAME?</v>
      </c>
      <c r="BC523" s="323">
        <v>75.196700000000007</v>
      </c>
      <c r="BD523" s="324" t="e">
        <f t="shared" ca="1" si="455"/>
        <v>#NAME?</v>
      </c>
      <c r="BE523" s="325" t="e">
        <f t="shared" ca="1" si="456"/>
        <v>#NAME?</v>
      </c>
      <c r="BF523" s="324" t="e">
        <f ca="1">BicubicInterpolation('TSFC Eff Table'!$B$4:$E$69,2,BB523)</f>
        <v>#NAME?</v>
      </c>
      <c r="BG523" s="326" t="e">
        <f t="shared" ca="1" si="457"/>
        <v>#NAME?</v>
      </c>
      <c r="BH523" s="694" t="e">
        <f ca="1">IF( S523="LRCINOP",   (1+(0.03/10)*Z523*(1+0.2*AC523^2) )*BicubicInterpolation( 'LRC INOP FF'!$C$4:$AA$21, Y523, U523 )-200, IF(S523 ="HOLDINGINOP", (1+(0.03/10)*Z523*(1+0.2*AC523^2) )*BicubicInterpolation( 'Holding INOP FF'!$C$4:$J$13,  Y523,  U523)/1.05-200,   BA523*BG523))</f>
        <v>#NAME?</v>
      </c>
      <c r="BI523" s="344" t="e">
        <f t="shared" ca="1" si="416"/>
        <v>#NAME?</v>
      </c>
      <c r="BJ523" s="322" t="e">
        <f t="shared" ca="1" si="458"/>
        <v>#NAME?</v>
      </c>
      <c r="BK523" s="338" t="e">
        <f t="shared" ca="1" si="417"/>
        <v>#NAME?</v>
      </c>
      <c r="BL523" s="327" t="e">
        <f t="shared" ca="1" si="459"/>
        <v>#NAME?</v>
      </c>
      <c r="BM523" s="328">
        <f t="shared" si="460"/>
        <v>200</v>
      </c>
      <c r="BN523" s="329" t="e">
        <f t="shared" ca="1" si="461"/>
        <v>#NAME?</v>
      </c>
      <c r="BO523" s="344" t="e">
        <f t="shared" ca="1" si="418"/>
        <v>#NAME?</v>
      </c>
      <c r="BP523" s="320" t="e">
        <f t="shared" ca="1" si="462"/>
        <v>#NAME?</v>
      </c>
      <c r="BQ523" s="344" t="e">
        <f t="shared" ca="1" si="419"/>
        <v>#NAME?</v>
      </c>
      <c r="BR523" s="347" t="e">
        <f t="shared" ca="1" si="420"/>
        <v>#NAME?</v>
      </c>
      <c r="BS523" s="326" t="e">
        <f t="shared" ca="1" si="463"/>
        <v>#NAME?</v>
      </c>
      <c r="BT523" s="437" t="e">
        <f t="shared" ca="1" si="433"/>
        <v>#NAME?</v>
      </c>
      <c r="BU523" s="437" t="e">
        <f t="shared" ca="1" si="434"/>
        <v>#NAME?</v>
      </c>
      <c r="BV523" s="441" t="e">
        <f t="shared" ca="1" si="435"/>
        <v>#NAME?</v>
      </c>
      <c r="BW523" s="442" t="e">
        <f t="shared" ca="1" si="436"/>
        <v>#NAME?</v>
      </c>
      <c r="BX523" s="470" t="e">
        <f t="shared" ca="1" si="409"/>
        <v>#NAME?</v>
      </c>
      <c r="BY523" s="484" t="e">
        <f t="shared" ca="1" si="421"/>
        <v>#NAME?</v>
      </c>
    </row>
    <row r="524" spans="9:77" ht="17.75" customHeight="1" x14ac:dyDescent="0.2">
      <c r="I524" s="366">
        <v>440</v>
      </c>
      <c r="J524" s="414">
        <f t="shared" si="422"/>
        <v>41706.018055556553</v>
      </c>
      <c r="K524" s="435" t="e">
        <f t="shared" ca="1" si="423"/>
        <v>#NAME?</v>
      </c>
      <c r="L524" s="435" t="e">
        <f t="shared" ca="1" si="466"/>
        <v>#NAME?</v>
      </c>
      <c r="M524" s="664" t="e">
        <f t="shared" ca="1" si="464"/>
        <v>#NAME?</v>
      </c>
      <c r="N524" s="664" t="e">
        <f t="shared" ca="1" si="465"/>
        <v>#NAME?</v>
      </c>
      <c r="O524" s="140" t="e">
        <f t="shared" ca="1" si="411"/>
        <v>#NAME?</v>
      </c>
      <c r="P524" s="352" t="e">
        <f t="shared" ca="1" si="424"/>
        <v>#NAME?</v>
      </c>
      <c r="Q524" s="665" t="e">
        <f t="shared" ca="1" si="467"/>
        <v>#NAME?</v>
      </c>
      <c r="R524" s="352" t="e">
        <f t="shared" ca="1" si="437"/>
        <v>#NAME?</v>
      </c>
      <c r="S524" s="662" t="e">
        <f t="shared" ca="1" si="412"/>
        <v>#NAME?</v>
      </c>
      <c r="T524" s="443" t="e">
        <f t="shared" ca="1" si="405"/>
        <v>#NAME?</v>
      </c>
      <c r="U524" s="369" t="e">
        <f t="shared" ca="1" si="406"/>
        <v>#NAME?</v>
      </c>
      <c r="V524" s="454" t="e">
        <f t="shared" ca="1" si="413"/>
        <v>#NAME?</v>
      </c>
      <c r="W524" s="457">
        <f t="shared" si="414"/>
        <v>1000</v>
      </c>
      <c r="X524" s="463" t="e">
        <f t="shared" ca="1" si="415"/>
        <v>#NAME?</v>
      </c>
      <c r="Y524" s="455" t="e">
        <f t="shared" ca="1" si="425"/>
        <v>#NAME?</v>
      </c>
      <c r="Z524" s="699">
        <f t="shared" si="407"/>
        <v>8.5</v>
      </c>
      <c r="AA524" s="355" t="str">
        <f t="shared" si="408"/>
        <v>ON</v>
      </c>
      <c r="AB524" s="357">
        <f t="shared" si="438"/>
        <v>1.4999999999999999E-2</v>
      </c>
      <c r="AC524" s="356" t="e">
        <f ca="1">IF(  Y523=0,0,IF(OR(S524="KCAS",S524="INOP",S524="MEFE"),   ( (5*( (   (((1+0.2*(T524/661.4786)^2)^3.5 -1)  )/( (1-6.8755856*10^-6 *100*Y524)^5.2558797) +1)^(2/7) -1) )^0.5),IF(S524="MACH",T524, IF(S524="LRC",BicubicInterpolation( 'LRC Mach'!$C$4:$AL$21, Y524,U524),  IF(S524="MRC",BicubicInterpolation( 'MRC Mach'!$C$3:$T$18, Y524,U524),  IF(S524="M0.84",0.84,  IF(S524="CI52",BicubicInterpolation('CI=52 Mach'!$C$3:$T$18, Y524,U524),  IF(S524="HOLDING",BicubicInterpolation(  'Holding Mach'!$C$4:$M$13, Y524,U524),                         IF(S524="LRCINOP", BicubicInterpolation('LRC INOP Mach'!$C$4:$AA$21,Y524,U524), IF(S524="HOLDINGINOP",  BicubicInterpolation('Holding INOP Mach'!$N$4:$U$13,Y524,U524),         "XXX" )))))))   )))</f>
        <v>#NAME?</v>
      </c>
      <c r="AD524" s="313" t="e">
        <f t="shared" ca="1" si="439"/>
        <v>#NAME?</v>
      </c>
      <c r="AE524" s="314" t="e">
        <f t="shared" ca="1" si="426"/>
        <v>#NAME?</v>
      </c>
      <c r="AF524" s="313" t="e">
        <f t="shared" ca="1" si="440"/>
        <v>#NAME?</v>
      </c>
      <c r="AG524" s="314" t="e">
        <f t="shared" ca="1" si="427"/>
        <v>#NAME?</v>
      </c>
      <c r="AH524" s="313" t="e">
        <f t="shared" ca="1" si="441"/>
        <v>#NAME?</v>
      </c>
      <c r="AI524" s="314" t="e">
        <f t="shared" ca="1" si="428"/>
        <v>#NAME?</v>
      </c>
      <c r="AJ524" s="315" t="e">
        <f t="shared" ca="1" si="429"/>
        <v>#NAME?</v>
      </c>
      <c r="AK524" s="568" t="e">
        <f t="shared" ca="1" si="442"/>
        <v>#NAME?</v>
      </c>
      <c r="AL524" s="313" t="e">
        <f t="shared" ca="1" si="443"/>
        <v>#NAME?</v>
      </c>
      <c r="AM524" s="313" t="e">
        <f t="shared" ca="1" si="430"/>
        <v>#NAME?</v>
      </c>
      <c r="AN524" s="313" t="e">
        <f t="shared" ca="1" si="431"/>
        <v>#NAME?</v>
      </c>
      <c r="AO524" s="316" t="e">
        <f t="shared" ca="1" si="444"/>
        <v>#NAME?</v>
      </c>
      <c r="AP524" s="313" t="e">
        <f t="shared" ca="1" si="445"/>
        <v>#NAME?</v>
      </c>
      <c r="AQ524" s="314" t="e">
        <f t="shared" ca="1" si="432"/>
        <v>#NAME?</v>
      </c>
      <c r="AR524" s="315" t="e">
        <f t="shared" ca="1" si="446"/>
        <v>#NAME?</v>
      </c>
      <c r="AS524" s="316" t="e">
        <f t="shared" ca="1" si="447"/>
        <v>#NAME?</v>
      </c>
      <c r="AT524" s="315" t="e">
        <f t="shared" ca="1" si="448"/>
        <v>#NAME?</v>
      </c>
      <c r="AU524" s="317">
        <v>427.8</v>
      </c>
      <c r="AV524" s="315" t="e">
        <f t="shared" ca="1" si="449"/>
        <v>#NAME?</v>
      </c>
      <c r="AW524" s="318" t="e">
        <f ca="1">0.0001*BicubicInterpolation('Drag Coef Table'!$B$4:$L$28,AV524,AC524)</f>
        <v>#NAME?</v>
      </c>
      <c r="AX524" s="319" t="e">
        <f t="shared" ca="1" si="450"/>
        <v>#NAME?</v>
      </c>
      <c r="AY524" s="318" t="e">
        <f t="shared" ca="1" si="451"/>
        <v>#NAME?</v>
      </c>
      <c r="AZ524" s="320" t="e">
        <f t="shared" ca="1" si="452"/>
        <v>#NAME?</v>
      </c>
      <c r="BA524" s="321" t="e">
        <f t="shared" ca="1" si="453"/>
        <v>#NAME?</v>
      </c>
      <c r="BB524" s="322" t="e">
        <f t="shared" ca="1" si="454"/>
        <v>#NAME?</v>
      </c>
      <c r="BC524" s="323">
        <v>75.196700000000007</v>
      </c>
      <c r="BD524" s="324" t="e">
        <f t="shared" ca="1" si="455"/>
        <v>#NAME?</v>
      </c>
      <c r="BE524" s="325" t="e">
        <f t="shared" ca="1" si="456"/>
        <v>#NAME?</v>
      </c>
      <c r="BF524" s="324" t="e">
        <f ca="1">BicubicInterpolation('TSFC Eff Table'!$B$4:$E$69,2,BB524)</f>
        <v>#NAME?</v>
      </c>
      <c r="BG524" s="326" t="e">
        <f t="shared" ca="1" si="457"/>
        <v>#NAME?</v>
      </c>
      <c r="BH524" s="694" t="e">
        <f ca="1">IF( S524="LRCINOP",   (1+(0.03/10)*Z524*(1+0.2*AC524^2) )*BicubicInterpolation( 'LRC INOP FF'!$C$4:$AA$21, Y524, U524 )-200, IF(S524 ="HOLDINGINOP", (1+(0.03/10)*Z524*(1+0.2*AC524^2) )*BicubicInterpolation( 'Holding INOP FF'!$C$4:$J$13,  Y524,  U524)/1.05-200,   BA524*BG524))</f>
        <v>#NAME?</v>
      </c>
      <c r="BI524" s="344" t="e">
        <f t="shared" ca="1" si="416"/>
        <v>#NAME?</v>
      </c>
      <c r="BJ524" s="322" t="e">
        <f t="shared" ca="1" si="458"/>
        <v>#NAME?</v>
      </c>
      <c r="BK524" s="338" t="e">
        <f t="shared" ca="1" si="417"/>
        <v>#NAME?</v>
      </c>
      <c r="BL524" s="327" t="e">
        <f t="shared" ca="1" si="459"/>
        <v>#NAME?</v>
      </c>
      <c r="BM524" s="328">
        <f t="shared" si="460"/>
        <v>200</v>
      </c>
      <c r="BN524" s="329" t="e">
        <f t="shared" ca="1" si="461"/>
        <v>#NAME?</v>
      </c>
      <c r="BO524" s="344" t="e">
        <f t="shared" ca="1" si="418"/>
        <v>#NAME?</v>
      </c>
      <c r="BP524" s="320" t="e">
        <f t="shared" ca="1" si="462"/>
        <v>#NAME?</v>
      </c>
      <c r="BQ524" s="344" t="e">
        <f t="shared" ca="1" si="419"/>
        <v>#NAME?</v>
      </c>
      <c r="BR524" s="347" t="e">
        <f t="shared" ca="1" si="420"/>
        <v>#NAME?</v>
      </c>
      <c r="BS524" s="326" t="e">
        <f t="shared" ca="1" si="463"/>
        <v>#NAME?</v>
      </c>
      <c r="BT524" s="437" t="e">
        <f t="shared" ca="1" si="433"/>
        <v>#NAME?</v>
      </c>
      <c r="BU524" s="437" t="e">
        <f t="shared" ca="1" si="434"/>
        <v>#NAME?</v>
      </c>
      <c r="BV524" s="441" t="e">
        <f t="shared" ca="1" si="435"/>
        <v>#NAME?</v>
      </c>
      <c r="BW524" s="442" t="e">
        <f t="shared" ca="1" si="436"/>
        <v>#NAME?</v>
      </c>
      <c r="BX524" s="470" t="e">
        <f t="shared" ca="1" si="409"/>
        <v>#NAME?</v>
      </c>
      <c r="BY524" s="484" t="e">
        <f t="shared" ca="1" si="421"/>
        <v>#NAME?</v>
      </c>
    </row>
    <row r="525" spans="9:77" ht="17.75" customHeight="1" x14ac:dyDescent="0.2">
      <c r="I525" s="366">
        <v>441</v>
      </c>
      <c r="J525" s="414">
        <f t="shared" si="422"/>
        <v>41706.018750001</v>
      </c>
      <c r="K525" s="435" t="e">
        <f t="shared" ca="1" si="423"/>
        <v>#NAME?</v>
      </c>
      <c r="L525" s="435" t="e">
        <f t="shared" ca="1" si="466"/>
        <v>#NAME?</v>
      </c>
      <c r="M525" s="664" t="e">
        <f t="shared" ca="1" si="464"/>
        <v>#NAME?</v>
      </c>
      <c r="N525" s="664" t="e">
        <f t="shared" ca="1" si="465"/>
        <v>#NAME?</v>
      </c>
      <c r="O525" s="140" t="e">
        <f t="shared" ca="1" si="411"/>
        <v>#NAME?</v>
      </c>
      <c r="P525" s="352" t="e">
        <f t="shared" ca="1" si="424"/>
        <v>#NAME?</v>
      </c>
      <c r="Q525" s="665" t="e">
        <f t="shared" ca="1" si="467"/>
        <v>#NAME?</v>
      </c>
      <c r="R525" s="352" t="e">
        <f t="shared" ca="1" si="437"/>
        <v>#NAME?</v>
      </c>
      <c r="S525" s="662" t="e">
        <f t="shared" ca="1" si="412"/>
        <v>#NAME?</v>
      </c>
      <c r="T525" s="443" t="e">
        <f t="shared" ca="1" si="405"/>
        <v>#NAME?</v>
      </c>
      <c r="U525" s="369" t="e">
        <f t="shared" ca="1" si="406"/>
        <v>#NAME?</v>
      </c>
      <c r="V525" s="454" t="e">
        <f t="shared" ca="1" si="413"/>
        <v>#NAME?</v>
      </c>
      <c r="W525" s="457">
        <f t="shared" si="414"/>
        <v>1000</v>
      </c>
      <c r="X525" s="463" t="e">
        <f t="shared" ca="1" si="415"/>
        <v>#NAME?</v>
      </c>
      <c r="Y525" s="455" t="e">
        <f t="shared" ca="1" si="425"/>
        <v>#NAME?</v>
      </c>
      <c r="Z525" s="699">
        <f t="shared" si="407"/>
        <v>8.5</v>
      </c>
      <c r="AA525" s="355" t="str">
        <f t="shared" si="408"/>
        <v>ON</v>
      </c>
      <c r="AB525" s="357">
        <f t="shared" si="438"/>
        <v>1.4999999999999999E-2</v>
      </c>
      <c r="AC525" s="356" t="e">
        <f ca="1">IF(  Y524=0,0,IF(OR(S525="KCAS",S525="INOP",S525="MEFE"),   ( (5*( (   (((1+0.2*(T525/661.4786)^2)^3.5 -1)  )/( (1-6.8755856*10^-6 *100*Y525)^5.2558797) +1)^(2/7) -1) )^0.5),IF(S525="MACH",T525, IF(S525="LRC",BicubicInterpolation( 'LRC Mach'!$C$4:$AL$21, Y525,U525),  IF(S525="MRC",BicubicInterpolation( 'MRC Mach'!$C$3:$T$18, Y525,U525),  IF(S525="M0.84",0.84,  IF(S525="CI52",BicubicInterpolation('CI=52 Mach'!$C$3:$T$18, Y525,U525),  IF(S525="HOLDING",BicubicInterpolation(  'Holding Mach'!$C$4:$M$13, Y525,U525),                         IF(S525="LRCINOP", BicubicInterpolation('LRC INOP Mach'!$C$4:$AA$21,Y525,U525), IF(S525="HOLDINGINOP",  BicubicInterpolation('Holding INOP Mach'!$N$4:$U$13,Y525,U525),         "XXX" )))))))   )))</f>
        <v>#NAME?</v>
      </c>
      <c r="AD525" s="313" t="e">
        <f t="shared" ca="1" si="439"/>
        <v>#NAME?</v>
      </c>
      <c r="AE525" s="314" t="e">
        <f t="shared" ca="1" si="426"/>
        <v>#NAME?</v>
      </c>
      <c r="AF525" s="313" t="e">
        <f t="shared" ca="1" si="440"/>
        <v>#NAME?</v>
      </c>
      <c r="AG525" s="314" t="e">
        <f t="shared" ca="1" si="427"/>
        <v>#NAME?</v>
      </c>
      <c r="AH525" s="313" t="e">
        <f t="shared" ca="1" si="441"/>
        <v>#NAME?</v>
      </c>
      <c r="AI525" s="314" t="e">
        <f t="shared" ca="1" si="428"/>
        <v>#NAME?</v>
      </c>
      <c r="AJ525" s="315" t="e">
        <f t="shared" ca="1" si="429"/>
        <v>#NAME?</v>
      </c>
      <c r="AK525" s="568" t="e">
        <f t="shared" ca="1" si="442"/>
        <v>#NAME?</v>
      </c>
      <c r="AL525" s="313" t="e">
        <f t="shared" ca="1" si="443"/>
        <v>#NAME?</v>
      </c>
      <c r="AM525" s="313" t="e">
        <f t="shared" ca="1" si="430"/>
        <v>#NAME?</v>
      </c>
      <c r="AN525" s="313" t="e">
        <f t="shared" ca="1" si="431"/>
        <v>#NAME?</v>
      </c>
      <c r="AO525" s="316" t="e">
        <f t="shared" ca="1" si="444"/>
        <v>#NAME?</v>
      </c>
      <c r="AP525" s="313" t="e">
        <f t="shared" ca="1" si="445"/>
        <v>#NAME?</v>
      </c>
      <c r="AQ525" s="314" t="e">
        <f t="shared" ca="1" si="432"/>
        <v>#NAME?</v>
      </c>
      <c r="AR525" s="315" t="e">
        <f t="shared" ca="1" si="446"/>
        <v>#NAME?</v>
      </c>
      <c r="AS525" s="316" t="e">
        <f t="shared" ca="1" si="447"/>
        <v>#NAME?</v>
      </c>
      <c r="AT525" s="315" t="e">
        <f t="shared" ca="1" si="448"/>
        <v>#NAME?</v>
      </c>
      <c r="AU525" s="317">
        <v>427.8</v>
      </c>
      <c r="AV525" s="315" t="e">
        <f t="shared" ca="1" si="449"/>
        <v>#NAME?</v>
      </c>
      <c r="AW525" s="318" t="e">
        <f ca="1">0.0001*BicubicInterpolation('Drag Coef Table'!$B$4:$L$28,AV525,AC525)</f>
        <v>#NAME?</v>
      </c>
      <c r="AX525" s="319" t="e">
        <f t="shared" ca="1" si="450"/>
        <v>#NAME?</v>
      </c>
      <c r="AY525" s="318" t="e">
        <f t="shared" ca="1" si="451"/>
        <v>#NAME?</v>
      </c>
      <c r="AZ525" s="320" t="e">
        <f t="shared" ca="1" si="452"/>
        <v>#NAME?</v>
      </c>
      <c r="BA525" s="321" t="e">
        <f t="shared" ca="1" si="453"/>
        <v>#NAME?</v>
      </c>
      <c r="BB525" s="322" t="e">
        <f t="shared" ca="1" si="454"/>
        <v>#NAME?</v>
      </c>
      <c r="BC525" s="323">
        <v>75.196700000000007</v>
      </c>
      <c r="BD525" s="324" t="e">
        <f t="shared" ca="1" si="455"/>
        <v>#NAME?</v>
      </c>
      <c r="BE525" s="325" t="e">
        <f t="shared" ca="1" si="456"/>
        <v>#NAME?</v>
      </c>
      <c r="BF525" s="324" t="e">
        <f ca="1">BicubicInterpolation('TSFC Eff Table'!$B$4:$E$69,2,BB525)</f>
        <v>#NAME?</v>
      </c>
      <c r="BG525" s="326" t="e">
        <f t="shared" ca="1" si="457"/>
        <v>#NAME?</v>
      </c>
      <c r="BH525" s="694" t="e">
        <f ca="1">IF( S525="LRCINOP",   (1+(0.03/10)*Z525*(1+0.2*AC525^2) )*BicubicInterpolation( 'LRC INOP FF'!$C$4:$AA$21, Y525, U525 )-200, IF(S525 ="HOLDINGINOP", (1+(0.03/10)*Z525*(1+0.2*AC525^2) )*BicubicInterpolation( 'Holding INOP FF'!$C$4:$J$13,  Y525,  U525)/1.05-200,   BA525*BG525))</f>
        <v>#NAME?</v>
      </c>
      <c r="BI525" s="344" t="e">
        <f t="shared" ca="1" si="416"/>
        <v>#NAME?</v>
      </c>
      <c r="BJ525" s="322" t="e">
        <f t="shared" ca="1" si="458"/>
        <v>#NAME?</v>
      </c>
      <c r="BK525" s="338" t="e">
        <f t="shared" ca="1" si="417"/>
        <v>#NAME?</v>
      </c>
      <c r="BL525" s="327" t="e">
        <f t="shared" ca="1" si="459"/>
        <v>#NAME?</v>
      </c>
      <c r="BM525" s="328">
        <f t="shared" si="460"/>
        <v>200</v>
      </c>
      <c r="BN525" s="329" t="e">
        <f t="shared" ca="1" si="461"/>
        <v>#NAME?</v>
      </c>
      <c r="BO525" s="344" t="e">
        <f t="shared" ca="1" si="418"/>
        <v>#NAME?</v>
      </c>
      <c r="BP525" s="320" t="e">
        <f t="shared" ca="1" si="462"/>
        <v>#NAME?</v>
      </c>
      <c r="BQ525" s="344" t="e">
        <f t="shared" ca="1" si="419"/>
        <v>#NAME?</v>
      </c>
      <c r="BR525" s="347" t="e">
        <f t="shared" ca="1" si="420"/>
        <v>#NAME?</v>
      </c>
      <c r="BS525" s="326" t="e">
        <f t="shared" ca="1" si="463"/>
        <v>#NAME?</v>
      </c>
      <c r="BT525" s="437" t="e">
        <f t="shared" ca="1" si="433"/>
        <v>#NAME?</v>
      </c>
      <c r="BU525" s="437" t="e">
        <f t="shared" ca="1" si="434"/>
        <v>#NAME?</v>
      </c>
      <c r="BV525" s="441" t="e">
        <f t="shared" ca="1" si="435"/>
        <v>#NAME?</v>
      </c>
      <c r="BW525" s="442" t="e">
        <f t="shared" ca="1" si="436"/>
        <v>#NAME?</v>
      </c>
      <c r="BX525" s="470" t="e">
        <f t="shared" ca="1" si="409"/>
        <v>#NAME?</v>
      </c>
      <c r="BY525" s="484" t="e">
        <f t="shared" ca="1" si="421"/>
        <v>#NAME?</v>
      </c>
    </row>
    <row r="526" spans="9:77" ht="17.75" customHeight="1" x14ac:dyDescent="0.2">
      <c r="I526" s="366">
        <v>442</v>
      </c>
      <c r="J526" s="414">
        <f t="shared" si="422"/>
        <v>41706.019444445446</v>
      </c>
      <c r="K526" s="435" t="e">
        <f t="shared" ca="1" si="423"/>
        <v>#NAME?</v>
      </c>
      <c r="L526" s="435" t="e">
        <f t="shared" ca="1" si="466"/>
        <v>#NAME?</v>
      </c>
      <c r="M526" s="664" t="e">
        <f t="shared" ca="1" si="464"/>
        <v>#NAME?</v>
      </c>
      <c r="N526" s="664" t="e">
        <f t="shared" ca="1" si="465"/>
        <v>#NAME?</v>
      </c>
      <c r="O526" s="140" t="e">
        <f t="shared" ca="1" si="411"/>
        <v>#NAME?</v>
      </c>
      <c r="P526" s="352" t="e">
        <f t="shared" ca="1" si="424"/>
        <v>#NAME?</v>
      </c>
      <c r="Q526" s="665" t="e">
        <f t="shared" ca="1" si="467"/>
        <v>#NAME?</v>
      </c>
      <c r="R526" s="352" t="e">
        <f t="shared" ca="1" si="437"/>
        <v>#NAME?</v>
      </c>
      <c r="S526" s="662" t="e">
        <f t="shared" ca="1" si="412"/>
        <v>#NAME?</v>
      </c>
      <c r="T526" s="443" t="e">
        <f t="shared" ca="1" si="405"/>
        <v>#NAME?</v>
      </c>
      <c r="U526" s="369" t="e">
        <f t="shared" ca="1" si="406"/>
        <v>#NAME?</v>
      </c>
      <c r="V526" s="454" t="e">
        <f t="shared" ca="1" si="413"/>
        <v>#NAME?</v>
      </c>
      <c r="W526" s="457">
        <f t="shared" si="414"/>
        <v>1000</v>
      </c>
      <c r="X526" s="463" t="e">
        <f t="shared" ca="1" si="415"/>
        <v>#NAME?</v>
      </c>
      <c r="Y526" s="455" t="e">
        <f t="shared" ca="1" si="425"/>
        <v>#NAME?</v>
      </c>
      <c r="Z526" s="699">
        <f t="shared" si="407"/>
        <v>8.5</v>
      </c>
      <c r="AA526" s="355" t="str">
        <f t="shared" si="408"/>
        <v>ON</v>
      </c>
      <c r="AB526" s="357">
        <f t="shared" si="438"/>
        <v>1.4999999999999999E-2</v>
      </c>
      <c r="AC526" s="356" t="e">
        <f ca="1">IF(  Y525=0,0,IF(OR(S526="KCAS",S526="INOP",S526="MEFE"),   ( (5*( (   (((1+0.2*(T526/661.4786)^2)^3.5 -1)  )/( (1-6.8755856*10^-6 *100*Y526)^5.2558797) +1)^(2/7) -1) )^0.5),IF(S526="MACH",T526, IF(S526="LRC",BicubicInterpolation( 'LRC Mach'!$C$4:$AL$21, Y526,U526),  IF(S526="MRC",BicubicInterpolation( 'MRC Mach'!$C$3:$T$18, Y526,U526),  IF(S526="M0.84",0.84,  IF(S526="CI52",BicubicInterpolation('CI=52 Mach'!$C$3:$T$18, Y526,U526),  IF(S526="HOLDING",BicubicInterpolation(  'Holding Mach'!$C$4:$M$13, Y526,U526),                         IF(S526="LRCINOP", BicubicInterpolation('LRC INOP Mach'!$C$4:$AA$21,Y526,U526), IF(S526="HOLDINGINOP",  BicubicInterpolation('Holding INOP Mach'!$N$4:$U$13,Y526,U526),         "XXX" )))))))   )))</f>
        <v>#NAME?</v>
      </c>
      <c r="AD526" s="313" t="e">
        <f t="shared" ca="1" si="439"/>
        <v>#NAME?</v>
      </c>
      <c r="AE526" s="314" t="e">
        <f t="shared" ca="1" si="426"/>
        <v>#NAME?</v>
      </c>
      <c r="AF526" s="313" t="e">
        <f t="shared" ca="1" si="440"/>
        <v>#NAME?</v>
      </c>
      <c r="AG526" s="314" t="e">
        <f t="shared" ca="1" si="427"/>
        <v>#NAME?</v>
      </c>
      <c r="AH526" s="313" t="e">
        <f t="shared" ca="1" si="441"/>
        <v>#NAME?</v>
      </c>
      <c r="AI526" s="314" t="e">
        <f t="shared" ca="1" si="428"/>
        <v>#NAME?</v>
      </c>
      <c r="AJ526" s="315" t="e">
        <f t="shared" ca="1" si="429"/>
        <v>#NAME?</v>
      </c>
      <c r="AK526" s="568" t="e">
        <f t="shared" ca="1" si="442"/>
        <v>#NAME?</v>
      </c>
      <c r="AL526" s="313" t="e">
        <f t="shared" ca="1" si="443"/>
        <v>#NAME?</v>
      </c>
      <c r="AM526" s="313" t="e">
        <f t="shared" ca="1" si="430"/>
        <v>#NAME?</v>
      </c>
      <c r="AN526" s="313" t="e">
        <f t="shared" ca="1" si="431"/>
        <v>#NAME?</v>
      </c>
      <c r="AO526" s="316" t="e">
        <f t="shared" ca="1" si="444"/>
        <v>#NAME?</v>
      </c>
      <c r="AP526" s="313" t="e">
        <f t="shared" ca="1" si="445"/>
        <v>#NAME?</v>
      </c>
      <c r="AQ526" s="314" t="e">
        <f t="shared" ca="1" si="432"/>
        <v>#NAME?</v>
      </c>
      <c r="AR526" s="315" t="e">
        <f t="shared" ca="1" si="446"/>
        <v>#NAME?</v>
      </c>
      <c r="AS526" s="316" t="e">
        <f t="shared" ca="1" si="447"/>
        <v>#NAME?</v>
      </c>
      <c r="AT526" s="315" t="e">
        <f t="shared" ca="1" si="448"/>
        <v>#NAME?</v>
      </c>
      <c r="AU526" s="317">
        <v>427.8</v>
      </c>
      <c r="AV526" s="315" t="e">
        <f t="shared" ca="1" si="449"/>
        <v>#NAME?</v>
      </c>
      <c r="AW526" s="318" t="e">
        <f ca="1">0.0001*BicubicInterpolation('Drag Coef Table'!$B$4:$L$28,AV526,AC526)</f>
        <v>#NAME?</v>
      </c>
      <c r="AX526" s="319" t="e">
        <f t="shared" ca="1" si="450"/>
        <v>#NAME?</v>
      </c>
      <c r="AY526" s="318" t="e">
        <f t="shared" ca="1" si="451"/>
        <v>#NAME?</v>
      </c>
      <c r="AZ526" s="320" t="e">
        <f t="shared" ca="1" si="452"/>
        <v>#NAME?</v>
      </c>
      <c r="BA526" s="321" t="e">
        <f t="shared" ca="1" si="453"/>
        <v>#NAME?</v>
      </c>
      <c r="BB526" s="322" t="e">
        <f t="shared" ca="1" si="454"/>
        <v>#NAME?</v>
      </c>
      <c r="BC526" s="323">
        <v>75.196700000000007</v>
      </c>
      <c r="BD526" s="324" t="e">
        <f t="shared" ca="1" si="455"/>
        <v>#NAME?</v>
      </c>
      <c r="BE526" s="325" t="e">
        <f t="shared" ca="1" si="456"/>
        <v>#NAME?</v>
      </c>
      <c r="BF526" s="324" t="e">
        <f ca="1">BicubicInterpolation('TSFC Eff Table'!$B$4:$E$69,2,BB526)</f>
        <v>#NAME?</v>
      </c>
      <c r="BG526" s="326" t="e">
        <f t="shared" ca="1" si="457"/>
        <v>#NAME?</v>
      </c>
      <c r="BH526" s="694" t="e">
        <f ca="1">IF( S526="LRCINOP",   (1+(0.03/10)*Z526*(1+0.2*AC526^2) )*BicubicInterpolation( 'LRC INOP FF'!$C$4:$AA$21, Y526, U526 )-200, IF(S526 ="HOLDINGINOP", (1+(0.03/10)*Z526*(1+0.2*AC526^2) )*BicubicInterpolation( 'Holding INOP FF'!$C$4:$J$13,  Y526,  U526)/1.05-200,   BA526*BG526))</f>
        <v>#NAME?</v>
      </c>
      <c r="BI526" s="344" t="e">
        <f t="shared" ca="1" si="416"/>
        <v>#NAME?</v>
      </c>
      <c r="BJ526" s="322" t="e">
        <f t="shared" ca="1" si="458"/>
        <v>#NAME?</v>
      </c>
      <c r="BK526" s="338" t="e">
        <f t="shared" ca="1" si="417"/>
        <v>#NAME?</v>
      </c>
      <c r="BL526" s="327" t="e">
        <f t="shared" ca="1" si="459"/>
        <v>#NAME?</v>
      </c>
      <c r="BM526" s="328">
        <f t="shared" si="460"/>
        <v>200</v>
      </c>
      <c r="BN526" s="329" t="e">
        <f t="shared" ca="1" si="461"/>
        <v>#NAME?</v>
      </c>
      <c r="BO526" s="344" t="e">
        <f t="shared" ca="1" si="418"/>
        <v>#NAME?</v>
      </c>
      <c r="BP526" s="320" t="e">
        <f t="shared" ca="1" si="462"/>
        <v>#NAME?</v>
      </c>
      <c r="BQ526" s="344" t="e">
        <f t="shared" ca="1" si="419"/>
        <v>#NAME?</v>
      </c>
      <c r="BR526" s="347" t="e">
        <f t="shared" ca="1" si="420"/>
        <v>#NAME?</v>
      </c>
      <c r="BS526" s="326" t="e">
        <f t="shared" ca="1" si="463"/>
        <v>#NAME?</v>
      </c>
      <c r="BT526" s="437" t="e">
        <f t="shared" ca="1" si="433"/>
        <v>#NAME?</v>
      </c>
      <c r="BU526" s="437" t="e">
        <f t="shared" ca="1" si="434"/>
        <v>#NAME?</v>
      </c>
      <c r="BV526" s="441" t="e">
        <f t="shared" ca="1" si="435"/>
        <v>#NAME?</v>
      </c>
      <c r="BW526" s="442" t="e">
        <f t="shared" ca="1" si="436"/>
        <v>#NAME?</v>
      </c>
      <c r="BX526" s="470" t="e">
        <f t="shared" ca="1" si="409"/>
        <v>#NAME?</v>
      </c>
      <c r="BY526" s="484" t="e">
        <f t="shared" ca="1" si="421"/>
        <v>#NAME?</v>
      </c>
    </row>
    <row r="527" spans="9:77" ht="17.75" customHeight="1" x14ac:dyDescent="0.2">
      <c r="I527" s="366">
        <v>443</v>
      </c>
      <c r="J527" s="414">
        <f t="shared" si="422"/>
        <v>41706.020138889893</v>
      </c>
      <c r="K527" s="435" t="e">
        <f t="shared" ca="1" si="423"/>
        <v>#NAME?</v>
      </c>
      <c r="L527" s="435" t="e">
        <f t="shared" ca="1" si="466"/>
        <v>#NAME?</v>
      </c>
      <c r="M527" s="664" t="e">
        <f t="shared" ca="1" si="464"/>
        <v>#NAME?</v>
      </c>
      <c r="N527" s="664" t="e">
        <f t="shared" ca="1" si="465"/>
        <v>#NAME?</v>
      </c>
      <c r="O527" s="140" t="e">
        <f t="shared" ca="1" si="411"/>
        <v>#NAME?</v>
      </c>
      <c r="P527" s="352" t="e">
        <f t="shared" ca="1" si="424"/>
        <v>#NAME?</v>
      </c>
      <c r="Q527" s="665" t="e">
        <f t="shared" ca="1" si="467"/>
        <v>#NAME?</v>
      </c>
      <c r="R527" s="352" t="e">
        <f t="shared" ca="1" si="437"/>
        <v>#NAME?</v>
      </c>
      <c r="S527" s="662" t="e">
        <f t="shared" ca="1" si="412"/>
        <v>#NAME?</v>
      </c>
      <c r="T527" s="443" t="e">
        <f t="shared" ca="1" si="405"/>
        <v>#NAME?</v>
      </c>
      <c r="U527" s="369" t="e">
        <f t="shared" ca="1" si="406"/>
        <v>#NAME?</v>
      </c>
      <c r="V527" s="454" t="e">
        <f t="shared" ca="1" si="413"/>
        <v>#NAME?</v>
      </c>
      <c r="W527" s="457">
        <f t="shared" si="414"/>
        <v>1000</v>
      </c>
      <c r="X527" s="463" t="e">
        <f t="shared" ca="1" si="415"/>
        <v>#NAME?</v>
      </c>
      <c r="Y527" s="455" t="e">
        <f t="shared" ca="1" si="425"/>
        <v>#NAME?</v>
      </c>
      <c r="Z527" s="699">
        <f t="shared" si="407"/>
        <v>8.5</v>
      </c>
      <c r="AA527" s="355" t="str">
        <f t="shared" si="408"/>
        <v>ON</v>
      </c>
      <c r="AB527" s="357">
        <f t="shared" si="438"/>
        <v>1.4999999999999999E-2</v>
      </c>
      <c r="AC527" s="356" t="e">
        <f ca="1">IF(  Y526=0,0,IF(OR(S527="KCAS",S527="INOP",S527="MEFE"),   ( (5*( (   (((1+0.2*(T527/661.4786)^2)^3.5 -1)  )/( (1-6.8755856*10^-6 *100*Y527)^5.2558797) +1)^(2/7) -1) )^0.5),IF(S527="MACH",T527, IF(S527="LRC",BicubicInterpolation( 'LRC Mach'!$C$4:$AL$21, Y527,U527),  IF(S527="MRC",BicubicInterpolation( 'MRC Mach'!$C$3:$T$18, Y527,U527),  IF(S527="M0.84",0.84,  IF(S527="CI52",BicubicInterpolation('CI=52 Mach'!$C$3:$T$18, Y527,U527),  IF(S527="HOLDING",BicubicInterpolation(  'Holding Mach'!$C$4:$M$13, Y527,U527),                         IF(S527="LRCINOP", BicubicInterpolation('LRC INOP Mach'!$C$4:$AA$21,Y527,U527), IF(S527="HOLDINGINOP",  BicubicInterpolation('Holding INOP Mach'!$N$4:$U$13,Y527,U527),         "XXX" )))))))   )))</f>
        <v>#NAME?</v>
      </c>
      <c r="AD527" s="313" t="e">
        <f t="shared" ca="1" si="439"/>
        <v>#NAME?</v>
      </c>
      <c r="AE527" s="314" t="e">
        <f t="shared" ca="1" si="426"/>
        <v>#NAME?</v>
      </c>
      <c r="AF527" s="313" t="e">
        <f t="shared" ca="1" si="440"/>
        <v>#NAME?</v>
      </c>
      <c r="AG527" s="314" t="e">
        <f t="shared" ca="1" si="427"/>
        <v>#NAME?</v>
      </c>
      <c r="AH527" s="313" t="e">
        <f t="shared" ca="1" si="441"/>
        <v>#NAME?</v>
      </c>
      <c r="AI527" s="314" t="e">
        <f t="shared" ca="1" si="428"/>
        <v>#NAME?</v>
      </c>
      <c r="AJ527" s="315" t="e">
        <f t="shared" ca="1" si="429"/>
        <v>#NAME?</v>
      </c>
      <c r="AK527" s="568" t="e">
        <f t="shared" ca="1" si="442"/>
        <v>#NAME?</v>
      </c>
      <c r="AL527" s="313" t="e">
        <f t="shared" ca="1" si="443"/>
        <v>#NAME?</v>
      </c>
      <c r="AM527" s="313" t="e">
        <f t="shared" ca="1" si="430"/>
        <v>#NAME?</v>
      </c>
      <c r="AN527" s="313" t="e">
        <f t="shared" ca="1" si="431"/>
        <v>#NAME?</v>
      </c>
      <c r="AO527" s="316" t="e">
        <f t="shared" ca="1" si="444"/>
        <v>#NAME?</v>
      </c>
      <c r="AP527" s="313" t="e">
        <f t="shared" ca="1" si="445"/>
        <v>#NAME?</v>
      </c>
      <c r="AQ527" s="314" t="e">
        <f t="shared" ca="1" si="432"/>
        <v>#NAME?</v>
      </c>
      <c r="AR527" s="315" t="e">
        <f t="shared" ca="1" si="446"/>
        <v>#NAME?</v>
      </c>
      <c r="AS527" s="316" t="e">
        <f t="shared" ca="1" si="447"/>
        <v>#NAME?</v>
      </c>
      <c r="AT527" s="315" t="e">
        <f t="shared" ca="1" si="448"/>
        <v>#NAME?</v>
      </c>
      <c r="AU527" s="317">
        <v>427.8</v>
      </c>
      <c r="AV527" s="315" t="e">
        <f t="shared" ca="1" si="449"/>
        <v>#NAME?</v>
      </c>
      <c r="AW527" s="318" t="e">
        <f ca="1">0.0001*BicubicInterpolation('Drag Coef Table'!$B$4:$L$28,AV527,AC527)</f>
        <v>#NAME?</v>
      </c>
      <c r="AX527" s="319" t="e">
        <f t="shared" ca="1" si="450"/>
        <v>#NAME?</v>
      </c>
      <c r="AY527" s="318" t="e">
        <f t="shared" ca="1" si="451"/>
        <v>#NAME?</v>
      </c>
      <c r="AZ527" s="320" t="e">
        <f t="shared" ca="1" si="452"/>
        <v>#NAME?</v>
      </c>
      <c r="BA527" s="321" t="e">
        <f t="shared" ca="1" si="453"/>
        <v>#NAME?</v>
      </c>
      <c r="BB527" s="322" t="e">
        <f t="shared" ca="1" si="454"/>
        <v>#NAME?</v>
      </c>
      <c r="BC527" s="323">
        <v>75.196700000000007</v>
      </c>
      <c r="BD527" s="324" t="e">
        <f t="shared" ca="1" si="455"/>
        <v>#NAME?</v>
      </c>
      <c r="BE527" s="325" t="e">
        <f t="shared" ca="1" si="456"/>
        <v>#NAME?</v>
      </c>
      <c r="BF527" s="324" t="e">
        <f ca="1">BicubicInterpolation('TSFC Eff Table'!$B$4:$E$69,2,BB527)</f>
        <v>#NAME?</v>
      </c>
      <c r="BG527" s="326" t="e">
        <f t="shared" ca="1" si="457"/>
        <v>#NAME?</v>
      </c>
      <c r="BH527" s="694" t="e">
        <f ca="1">IF( S527="LRCINOP",   (1+(0.03/10)*Z527*(1+0.2*AC527^2) )*BicubicInterpolation( 'LRC INOP FF'!$C$4:$AA$21, Y527, U527 )-200, IF(S527 ="HOLDINGINOP", (1+(0.03/10)*Z527*(1+0.2*AC527^2) )*BicubicInterpolation( 'Holding INOP FF'!$C$4:$J$13,  Y527,  U527)/1.05-200,   BA527*BG527))</f>
        <v>#NAME?</v>
      </c>
      <c r="BI527" s="344" t="e">
        <f t="shared" ca="1" si="416"/>
        <v>#NAME?</v>
      </c>
      <c r="BJ527" s="322" t="e">
        <f t="shared" ca="1" si="458"/>
        <v>#NAME?</v>
      </c>
      <c r="BK527" s="338" t="e">
        <f t="shared" ca="1" si="417"/>
        <v>#NAME?</v>
      </c>
      <c r="BL527" s="327" t="e">
        <f t="shared" ca="1" si="459"/>
        <v>#NAME?</v>
      </c>
      <c r="BM527" s="328">
        <f t="shared" si="460"/>
        <v>200</v>
      </c>
      <c r="BN527" s="329" t="e">
        <f t="shared" ca="1" si="461"/>
        <v>#NAME?</v>
      </c>
      <c r="BO527" s="344" t="e">
        <f t="shared" ca="1" si="418"/>
        <v>#NAME?</v>
      </c>
      <c r="BP527" s="320" t="e">
        <f t="shared" ca="1" si="462"/>
        <v>#NAME?</v>
      </c>
      <c r="BQ527" s="344" t="e">
        <f t="shared" ca="1" si="419"/>
        <v>#NAME?</v>
      </c>
      <c r="BR527" s="347" t="e">
        <f t="shared" ca="1" si="420"/>
        <v>#NAME?</v>
      </c>
      <c r="BS527" s="326" t="e">
        <f t="shared" ca="1" si="463"/>
        <v>#NAME?</v>
      </c>
      <c r="BT527" s="437" t="e">
        <f t="shared" ca="1" si="433"/>
        <v>#NAME?</v>
      </c>
      <c r="BU527" s="437" t="e">
        <f t="shared" ca="1" si="434"/>
        <v>#NAME?</v>
      </c>
      <c r="BV527" s="441" t="e">
        <f t="shared" ca="1" si="435"/>
        <v>#NAME?</v>
      </c>
      <c r="BW527" s="442" t="e">
        <f t="shared" ca="1" si="436"/>
        <v>#NAME?</v>
      </c>
      <c r="BX527" s="470" t="e">
        <f t="shared" ca="1" si="409"/>
        <v>#NAME?</v>
      </c>
      <c r="BY527" s="484" t="e">
        <f t="shared" ca="1" si="421"/>
        <v>#NAME?</v>
      </c>
    </row>
    <row r="528" spans="9:77" ht="17.75" customHeight="1" x14ac:dyDescent="0.2">
      <c r="I528" s="366">
        <v>444</v>
      </c>
      <c r="J528" s="414">
        <f t="shared" si="422"/>
        <v>41706.02083333434</v>
      </c>
      <c r="K528" s="435" t="e">
        <f t="shared" ca="1" si="423"/>
        <v>#NAME?</v>
      </c>
      <c r="L528" s="435" t="e">
        <f t="shared" ca="1" si="466"/>
        <v>#NAME?</v>
      </c>
      <c r="M528" s="664" t="e">
        <f t="shared" ca="1" si="464"/>
        <v>#NAME?</v>
      </c>
      <c r="N528" s="664" t="e">
        <f t="shared" ca="1" si="465"/>
        <v>#NAME?</v>
      </c>
      <c r="O528" s="140" t="e">
        <f t="shared" ca="1" si="411"/>
        <v>#NAME?</v>
      </c>
      <c r="P528" s="352" t="e">
        <f t="shared" ca="1" si="424"/>
        <v>#NAME?</v>
      </c>
      <c r="Q528" s="665" t="e">
        <f t="shared" ca="1" si="467"/>
        <v>#NAME?</v>
      </c>
      <c r="R528" s="352" t="e">
        <f t="shared" ca="1" si="437"/>
        <v>#NAME?</v>
      </c>
      <c r="S528" s="662" t="e">
        <f t="shared" ca="1" si="412"/>
        <v>#NAME?</v>
      </c>
      <c r="T528" s="443" t="e">
        <f t="shared" ca="1" si="405"/>
        <v>#NAME?</v>
      </c>
      <c r="U528" s="369" t="e">
        <f t="shared" ca="1" si="406"/>
        <v>#NAME?</v>
      </c>
      <c r="V528" s="454" t="e">
        <f t="shared" ca="1" si="413"/>
        <v>#NAME?</v>
      </c>
      <c r="W528" s="457">
        <f t="shared" si="414"/>
        <v>1000</v>
      </c>
      <c r="X528" s="463" t="e">
        <f t="shared" ca="1" si="415"/>
        <v>#NAME?</v>
      </c>
      <c r="Y528" s="455" t="e">
        <f t="shared" ca="1" si="425"/>
        <v>#NAME?</v>
      </c>
      <c r="Z528" s="699">
        <f t="shared" si="407"/>
        <v>8.5</v>
      </c>
      <c r="AA528" s="355" t="str">
        <f t="shared" si="408"/>
        <v>ON</v>
      </c>
      <c r="AB528" s="357">
        <f t="shared" si="438"/>
        <v>1.4999999999999999E-2</v>
      </c>
      <c r="AC528" s="356" t="e">
        <f ca="1">IF(  Y527=0,0,IF(OR(S528="KCAS",S528="INOP",S528="MEFE"),   ( (5*( (   (((1+0.2*(T528/661.4786)^2)^3.5 -1)  )/( (1-6.8755856*10^-6 *100*Y528)^5.2558797) +1)^(2/7) -1) )^0.5),IF(S528="MACH",T528, IF(S528="LRC",BicubicInterpolation( 'LRC Mach'!$C$4:$AL$21, Y528,U528),  IF(S528="MRC",BicubicInterpolation( 'MRC Mach'!$C$3:$T$18, Y528,U528),  IF(S528="M0.84",0.84,  IF(S528="CI52",BicubicInterpolation('CI=52 Mach'!$C$3:$T$18, Y528,U528),  IF(S528="HOLDING",BicubicInterpolation(  'Holding Mach'!$C$4:$M$13, Y528,U528),                         IF(S528="LRCINOP", BicubicInterpolation('LRC INOP Mach'!$C$4:$AA$21,Y528,U528), IF(S528="HOLDINGINOP",  BicubicInterpolation('Holding INOP Mach'!$N$4:$U$13,Y528,U528),         "XXX" )))))))   )))</f>
        <v>#NAME?</v>
      </c>
      <c r="AD528" s="313" t="e">
        <f t="shared" ca="1" si="439"/>
        <v>#NAME?</v>
      </c>
      <c r="AE528" s="314" t="e">
        <f t="shared" ca="1" si="426"/>
        <v>#NAME?</v>
      </c>
      <c r="AF528" s="313" t="e">
        <f t="shared" ca="1" si="440"/>
        <v>#NAME?</v>
      </c>
      <c r="AG528" s="314" t="e">
        <f t="shared" ca="1" si="427"/>
        <v>#NAME?</v>
      </c>
      <c r="AH528" s="313" t="e">
        <f t="shared" ca="1" si="441"/>
        <v>#NAME?</v>
      </c>
      <c r="AI528" s="314" t="e">
        <f t="shared" ca="1" si="428"/>
        <v>#NAME?</v>
      </c>
      <c r="AJ528" s="315" t="e">
        <f t="shared" ca="1" si="429"/>
        <v>#NAME?</v>
      </c>
      <c r="AK528" s="568" t="e">
        <f t="shared" ca="1" si="442"/>
        <v>#NAME?</v>
      </c>
      <c r="AL528" s="313" t="e">
        <f t="shared" ca="1" si="443"/>
        <v>#NAME?</v>
      </c>
      <c r="AM528" s="313" t="e">
        <f t="shared" ca="1" si="430"/>
        <v>#NAME?</v>
      </c>
      <c r="AN528" s="313" t="e">
        <f t="shared" ca="1" si="431"/>
        <v>#NAME?</v>
      </c>
      <c r="AO528" s="316" t="e">
        <f t="shared" ca="1" si="444"/>
        <v>#NAME?</v>
      </c>
      <c r="AP528" s="313" t="e">
        <f t="shared" ca="1" si="445"/>
        <v>#NAME?</v>
      </c>
      <c r="AQ528" s="314" t="e">
        <f t="shared" ca="1" si="432"/>
        <v>#NAME?</v>
      </c>
      <c r="AR528" s="315" t="e">
        <f t="shared" ca="1" si="446"/>
        <v>#NAME?</v>
      </c>
      <c r="AS528" s="316" t="e">
        <f t="shared" ca="1" si="447"/>
        <v>#NAME?</v>
      </c>
      <c r="AT528" s="315" t="e">
        <f t="shared" ca="1" si="448"/>
        <v>#NAME?</v>
      </c>
      <c r="AU528" s="317">
        <v>427.8</v>
      </c>
      <c r="AV528" s="315" t="e">
        <f t="shared" ca="1" si="449"/>
        <v>#NAME?</v>
      </c>
      <c r="AW528" s="318" t="e">
        <f ca="1">0.0001*BicubicInterpolation('Drag Coef Table'!$B$4:$L$28,AV528,AC528)</f>
        <v>#NAME?</v>
      </c>
      <c r="AX528" s="319" t="e">
        <f t="shared" ca="1" si="450"/>
        <v>#NAME?</v>
      </c>
      <c r="AY528" s="318" t="e">
        <f t="shared" ca="1" si="451"/>
        <v>#NAME?</v>
      </c>
      <c r="AZ528" s="320" t="e">
        <f t="shared" ca="1" si="452"/>
        <v>#NAME?</v>
      </c>
      <c r="BA528" s="321" t="e">
        <f t="shared" ca="1" si="453"/>
        <v>#NAME?</v>
      </c>
      <c r="BB528" s="322" t="e">
        <f t="shared" ca="1" si="454"/>
        <v>#NAME?</v>
      </c>
      <c r="BC528" s="323">
        <v>75.196700000000007</v>
      </c>
      <c r="BD528" s="324" t="e">
        <f t="shared" ca="1" si="455"/>
        <v>#NAME?</v>
      </c>
      <c r="BE528" s="325" t="e">
        <f t="shared" ca="1" si="456"/>
        <v>#NAME?</v>
      </c>
      <c r="BF528" s="324" t="e">
        <f ca="1">BicubicInterpolation('TSFC Eff Table'!$B$4:$E$69,2,BB528)</f>
        <v>#NAME?</v>
      </c>
      <c r="BG528" s="326" t="e">
        <f t="shared" ca="1" si="457"/>
        <v>#NAME?</v>
      </c>
      <c r="BH528" s="694" t="e">
        <f ca="1">IF( S528="LRCINOP",   (1+(0.03/10)*Z528*(1+0.2*AC528^2) )*BicubicInterpolation( 'LRC INOP FF'!$C$4:$AA$21, Y528, U528 )-200, IF(S528 ="HOLDINGINOP", (1+(0.03/10)*Z528*(1+0.2*AC528^2) )*BicubicInterpolation( 'Holding INOP FF'!$C$4:$J$13,  Y528,  U528)/1.05-200,   BA528*BG528))</f>
        <v>#NAME?</v>
      </c>
      <c r="BI528" s="344" t="e">
        <f t="shared" ca="1" si="416"/>
        <v>#NAME?</v>
      </c>
      <c r="BJ528" s="322" t="e">
        <f t="shared" ca="1" si="458"/>
        <v>#NAME?</v>
      </c>
      <c r="BK528" s="338" t="e">
        <f t="shared" ca="1" si="417"/>
        <v>#NAME?</v>
      </c>
      <c r="BL528" s="327" t="e">
        <f t="shared" ca="1" si="459"/>
        <v>#NAME?</v>
      </c>
      <c r="BM528" s="328">
        <f t="shared" si="460"/>
        <v>200</v>
      </c>
      <c r="BN528" s="329" t="e">
        <f t="shared" ca="1" si="461"/>
        <v>#NAME?</v>
      </c>
      <c r="BO528" s="344" t="e">
        <f t="shared" ca="1" si="418"/>
        <v>#NAME?</v>
      </c>
      <c r="BP528" s="320" t="e">
        <f t="shared" ca="1" si="462"/>
        <v>#NAME?</v>
      </c>
      <c r="BQ528" s="344" t="e">
        <f t="shared" ca="1" si="419"/>
        <v>#NAME?</v>
      </c>
      <c r="BR528" s="347" t="e">
        <f t="shared" ca="1" si="420"/>
        <v>#NAME?</v>
      </c>
      <c r="BS528" s="326" t="e">
        <f t="shared" ca="1" si="463"/>
        <v>#NAME?</v>
      </c>
      <c r="BT528" s="437" t="e">
        <f t="shared" ca="1" si="433"/>
        <v>#NAME?</v>
      </c>
      <c r="BU528" s="437" t="e">
        <f t="shared" ca="1" si="434"/>
        <v>#NAME?</v>
      </c>
      <c r="BV528" s="441" t="e">
        <f t="shared" ca="1" si="435"/>
        <v>#NAME?</v>
      </c>
      <c r="BW528" s="442" t="e">
        <f t="shared" ca="1" si="436"/>
        <v>#NAME?</v>
      </c>
      <c r="BX528" s="470" t="e">
        <f t="shared" ca="1" si="409"/>
        <v>#NAME?</v>
      </c>
      <c r="BY528" s="484" t="e">
        <f t="shared" ca="1" si="421"/>
        <v>#NAME?</v>
      </c>
    </row>
    <row r="529" spans="9:77" ht="17.75" customHeight="1" x14ac:dyDescent="0.2">
      <c r="I529" s="366">
        <v>445</v>
      </c>
      <c r="J529" s="414">
        <f t="shared" si="422"/>
        <v>41706.021527778787</v>
      </c>
      <c r="K529" s="435" t="e">
        <f t="shared" ca="1" si="423"/>
        <v>#NAME?</v>
      </c>
      <c r="L529" s="435" t="e">
        <f t="shared" ca="1" si="466"/>
        <v>#NAME?</v>
      </c>
      <c r="M529" s="664" t="e">
        <f t="shared" ca="1" si="464"/>
        <v>#NAME?</v>
      </c>
      <c r="N529" s="664" t="e">
        <f t="shared" ca="1" si="465"/>
        <v>#NAME?</v>
      </c>
      <c r="O529" s="140" t="e">
        <f t="shared" ca="1" si="411"/>
        <v>#NAME?</v>
      </c>
      <c r="P529" s="352" t="e">
        <f t="shared" ca="1" si="424"/>
        <v>#NAME?</v>
      </c>
      <c r="Q529" s="665" t="e">
        <f t="shared" ca="1" si="467"/>
        <v>#NAME?</v>
      </c>
      <c r="R529" s="352" t="e">
        <f t="shared" ca="1" si="437"/>
        <v>#NAME?</v>
      </c>
      <c r="S529" s="662" t="e">
        <f t="shared" ca="1" si="412"/>
        <v>#NAME?</v>
      </c>
      <c r="T529" s="443" t="e">
        <f t="shared" ca="1" si="405"/>
        <v>#NAME?</v>
      </c>
      <c r="U529" s="369" t="e">
        <f t="shared" ca="1" si="406"/>
        <v>#NAME?</v>
      </c>
      <c r="V529" s="454" t="e">
        <f t="shared" ca="1" si="413"/>
        <v>#NAME?</v>
      </c>
      <c r="W529" s="457">
        <f t="shared" si="414"/>
        <v>1000</v>
      </c>
      <c r="X529" s="463" t="e">
        <f t="shared" ca="1" si="415"/>
        <v>#NAME?</v>
      </c>
      <c r="Y529" s="455" t="e">
        <f t="shared" ca="1" si="425"/>
        <v>#NAME?</v>
      </c>
      <c r="Z529" s="699">
        <f t="shared" si="407"/>
        <v>8.5</v>
      </c>
      <c r="AA529" s="355" t="str">
        <f t="shared" si="408"/>
        <v>ON</v>
      </c>
      <c r="AB529" s="357">
        <f t="shared" si="438"/>
        <v>1.4999999999999999E-2</v>
      </c>
      <c r="AC529" s="356" t="e">
        <f ca="1">IF(  Y528=0,0,IF(OR(S529="KCAS",S529="INOP",S529="MEFE"),   ( (5*( (   (((1+0.2*(T529/661.4786)^2)^3.5 -1)  )/( (1-6.8755856*10^-6 *100*Y529)^5.2558797) +1)^(2/7) -1) )^0.5),IF(S529="MACH",T529, IF(S529="LRC",BicubicInterpolation( 'LRC Mach'!$C$4:$AL$21, Y529,U529),  IF(S529="MRC",BicubicInterpolation( 'MRC Mach'!$C$3:$T$18, Y529,U529),  IF(S529="M0.84",0.84,  IF(S529="CI52",BicubicInterpolation('CI=52 Mach'!$C$3:$T$18, Y529,U529),  IF(S529="HOLDING",BicubicInterpolation(  'Holding Mach'!$C$4:$M$13, Y529,U529),                         IF(S529="LRCINOP", BicubicInterpolation('LRC INOP Mach'!$C$4:$AA$21,Y529,U529), IF(S529="HOLDINGINOP",  BicubicInterpolation('Holding INOP Mach'!$N$4:$U$13,Y529,U529),         "XXX" )))))))   )))</f>
        <v>#NAME?</v>
      </c>
      <c r="AD529" s="313" t="e">
        <f t="shared" ca="1" si="439"/>
        <v>#NAME?</v>
      </c>
      <c r="AE529" s="314" t="e">
        <f t="shared" ca="1" si="426"/>
        <v>#NAME?</v>
      </c>
      <c r="AF529" s="313" t="e">
        <f t="shared" ca="1" si="440"/>
        <v>#NAME?</v>
      </c>
      <c r="AG529" s="314" t="e">
        <f t="shared" ca="1" si="427"/>
        <v>#NAME?</v>
      </c>
      <c r="AH529" s="313" t="e">
        <f t="shared" ca="1" si="441"/>
        <v>#NAME?</v>
      </c>
      <c r="AI529" s="314" t="e">
        <f t="shared" ca="1" si="428"/>
        <v>#NAME?</v>
      </c>
      <c r="AJ529" s="315" t="e">
        <f t="shared" ca="1" si="429"/>
        <v>#NAME?</v>
      </c>
      <c r="AK529" s="568" t="e">
        <f t="shared" ca="1" si="442"/>
        <v>#NAME?</v>
      </c>
      <c r="AL529" s="313" t="e">
        <f t="shared" ca="1" si="443"/>
        <v>#NAME?</v>
      </c>
      <c r="AM529" s="313" t="e">
        <f t="shared" ca="1" si="430"/>
        <v>#NAME?</v>
      </c>
      <c r="AN529" s="313" t="e">
        <f t="shared" ca="1" si="431"/>
        <v>#NAME?</v>
      </c>
      <c r="AO529" s="316" t="e">
        <f t="shared" ca="1" si="444"/>
        <v>#NAME?</v>
      </c>
      <c r="AP529" s="313" t="e">
        <f t="shared" ca="1" si="445"/>
        <v>#NAME?</v>
      </c>
      <c r="AQ529" s="314" t="e">
        <f t="shared" ca="1" si="432"/>
        <v>#NAME?</v>
      </c>
      <c r="AR529" s="315" t="e">
        <f t="shared" ca="1" si="446"/>
        <v>#NAME?</v>
      </c>
      <c r="AS529" s="316" t="e">
        <f t="shared" ca="1" si="447"/>
        <v>#NAME?</v>
      </c>
      <c r="AT529" s="315" t="e">
        <f t="shared" ca="1" si="448"/>
        <v>#NAME?</v>
      </c>
      <c r="AU529" s="317">
        <v>427.8</v>
      </c>
      <c r="AV529" s="315" t="e">
        <f t="shared" ca="1" si="449"/>
        <v>#NAME?</v>
      </c>
      <c r="AW529" s="318" t="e">
        <f ca="1">0.0001*BicubicInterpolation('Drag Coef Table'!$B$4:$L$28,AV529,AC529)</f>
        <v>#NAME?</v>
      </c>
      <c r="AX529" s="319" t="e">
        <f t="shared" ca="1" si="450"/>
        <v>#NAME?</v>
      </c>
      <c r="AY529" s="318" t="e">
        <f t="shared" ca="1" si="451"/>
        <v>#NAME?</v>
      </c>
      <c r="AZ529" s="320" t="e">
        <f t="shared" ca="1" si="452"/>
        <v>#NAME?</v>
      </c>
      <c r="BA529" s="321" t="e">
        <f t="shared" ca="1" si="453"/>
        <v>#NAME?</v>
      </c>
      <c r="BB529" s="322" t="e">
        <f t="shared" ca="1" si="454"/>
        <v>#NAME?</v>
      </c>
      <c r="BC529" s="323">
        <v>75.196700000000007</v>
      </c>
      <c r="BD529" s="324" t="e">
        <f t="shared" ca="1" si="455"/>
        <v>#NAME?</v>
      </c>
      <c r="BE529" s="325" t="e">
        <f t="shared" ca="1" si="456"/>
        <v>#NAME?</v>
      </c>
      <c r="BF529" s="324" t="e">
        <f ca="1">BicubicInterpolation('TSFC Eff Table'!$B$4:$E$69,2,BB529)</f>
        <v>#NAME?</v>
      </c>
      <c r="BG529" s="326" t="e">
        <f t="shared" ca="1" si="457"/>
        <v>#NAME?</v>
      </c>
      <c r="BH529" s="694" t="e">
        <f ca="1">IF( S529="LRCINOP",   (1+(0.03/10)*Z529*(1+0.2*AC529^2) )*BicubicInterpolation( 'LRC INOP FF'!$C$4:$AA$21, Y529, U529 )-200, IF(S529 ="HOLDINGINOP", (1+(0.03/10)*Z529*(1+0.2*AC529^2) )*BicubicInterpolation( 'Holding INOP FF'!$C$4:$J$13,  Y529,  U529)/1.05-200,   BA529*BG529))</f>
        <v>#NAME?</v>
      </c>
      <c r="BI529" s="344" t="e">
        <f t="shared" ca="1" si="416"/>
        <v>#NAME?</v>
      </c>
      <c r="BJ529" s="322" t="e">
        <f t="shared" ca="1" si="458"/>
        <v>#NAME?</v>
      </c>
      <c r="BK529" s="338" t="e">
        <f t="shared" ca="1" si="417"/>
        <v>#NAME?</v>
      </c>
      <c r="BL529" s="327" t="e">
        <f t="shared" ca="1" si="459"/>
        <v>#NAME?</v>
      </c>
      <c r="BM529" s="328">
        <f t="shared" si="460"/>
        <v>200</v>
      </c>
      <c r="BN529" s="329" t="e">
        <f t="shared" ca="1" si="461"/>
        <v>#NAME?</v>
      </c>
      <c r="BO529" s="344" t="e">
        <f t="shared" ca="1" si="418"/>
        <v>#NAME?</v>
      </c>
      <c r="BP529" s="320" t="e">
        <f t="shared" ca="1" si="462"/>
        <v>#NAME?</v>
      </c>
      <c r="BQ529" s="344" t="e">
        <f t="shared" ca="1" si="419"/>
        <v>#NAME?</v>
      </c>
      <c r="BR529" s="347" t="e">
        <f t="shared" ca="1" si="420"/>
        <v>#NAME?</v>
      </c>
      <c r="BS529" s="326" t="e">
        <f t="shared" ca="1" si="463"/>
        <v>#NAME?</v>
      </c>
      <c r="BT529" s="437" t="e">
        <f t="shared" ca="1" si="433"/>
        <v>#NAME?</v>
      </c>
      <c r="BU529" s="437" t="e">
        <f t="shared" ca="1" si="434"/>
        <v>#NAME?</v>
      </c>
      <c r="BV529" s="441" t="e">
        <f t="shared" ca="1" si="435"/>
        <v>#NAME?</v>
      </c>
      <c r="BW529" s="442" t="e">
        <f t="shared" ca="1" si="436"/>
        <v>#NAME?</v>
      </c>
      <c r="BX529" s="470" t="e">
        <f t="shared" ca="1" si="409"/>
        <v>#NAME?</v>
      </c>
      <c r="BY529" s="484" t="e">
        <f t="shared" ca="1" si="421"/>
        <v>#NAME?</v>
      </c>
    </row>
    <row r="530" spans="9:77" ht="17.75" customHeight="1" x14ac:dyDescent="0.2">
      <c r="I530" s="366">
        <v>446</v>
      </c>
      <c r="J530" s="414">
        <f t="shared" si="422"/>
        <v>41706.022222223233</v>
      </c>
      <c r="K530" s="435" t="e">
        <f t="shared" ca="1" si="423"/>
        <v>#NAME?</v>
      </c>
      <c r="L530" s="435" t="e">
        <f t="shared" ca="1" si="466"/>
        <v>#NAME?</v>
      </c>
      <c r="M530" s="664" t="e">
        <f t="shared" ca="1" si="464"/>
        <v>#NAME?</v>
      </c>
      <c r="N530" s="664" t="e">
        <f t="shared" ca="1" si="465"/>
        <v>#NAME?</v>
      </c>
      <c r="O530" s="140" t="e">
        <f t="shared" ca="1" si="411"/>
        <v>#NAME?</v>
      </c>
      <c r="P530" s="352" t="e">
        <f t="shared" ca="1" si="424"/>
        <v>#NAME?</v>
      </c>
      <c r="Q530" s="665" t="e">
        <f t="shared" ca="1" si="467"/>
        <v>#NAME?</v>
      </c>
      <c r="R530" s="352" t="e">
        <f t="shared" ca="1" si="437"/>
        <v>#NAME?</v>
      </c>
      <c r="S530" s="662" t="e">
        <f t="shared" ca="1" si="412"/>
        <v>#NAME?</v>
      </c>
      <c r="T530" s="443" t="e">
        <f t="shared" ca="1" si="405"/>
        <v>#NAME?</v>
      </c>
      <c r="U530" s="369" t="e">
        <f t="shared" ca="1" si="406"/>
        <v>#NAME?</v>
      </c>
      <c r="V530" s="454" t="e">
        <f t="shared" ca="1" si="413"/>
        <v>#NAME?</v>
      </c>
      <c r="W530" s="457">
        <f t="shared" si="414"/>
        <v>1000</v>
      </c>
      <c r="X530" s="463" t="e">
        <f t="shared" ca="1" si="415"/>
        <v>#NAME?</v>
      </c>
      <c r="Y530" s="455" t="e">
        <f t="shared" ca="1" si="425"/>
        <v>#NAME?</v>
      </c>
      <c r="Z530" s="699">
        <f t="shared" si="407"/>
        <v>8.5</v>
      </c>
      <c r="AA530" s="355" t="str">
        <f t="shared" si="408"/>
        <v>ON</v>
      </c>
      <c r="AB530" s="357">
        <f t="shared" si="438"/>
        <v>1.4999999999999999E-2</v>
      </c>
      <c r="AC530" s="356" t="e">
        <f ca="1">IF(  Y529=0,0,IF(OR(S530="KCAS",S530="INOP",S530="MEFE"),   ( (5*( (   (((1+0.2*(T530/661.4786)^2)^3.5 -1)  )/( (1-6.8755856*10^-6 *100*Y530)^5.2558797) +1)^(2/7) -1) )^0.5),IF(S530="MACH",T530, IF(S530="LRC",BicubicInterpolation( 'LRC Mach'!$C$4:$AL$21, Y530,U530),  IF(S530="MRC",BicubicInterpolation( 'MRC Mach'!$C$3:$T$18, Y530,U530),  IF(S530="M0.84",0.84,  IF(S530="CI52",BicubicInterpolation('CI=52 Mach'!$C$3:$T$18, Y530,U530),  IF(S530="HOLDING",BicubicInterpolation(  'Holding Mach'!$C$4:$M$13, Y530,U530),                         IF(S530="LRCINOP", BicubicInterpolation('LRC INOP Mach'!$C$4:$AA$21,Y530,U530), IF(S530="HOLDINGINOP",  BicubicInterpolation('Holding INOP Mach'!$N$4:$U$13,Y530,U530),         "XXX" )))))))   )))</f>
        <v>#NAME?</v>
      </c>
      <c r="AD530" s="313" t="e">
        <f t="shared" ca="1" si="439"/>
        <v>#NAME?</v>
      </c>
      <c r="AE530" s="314" t="e">
        <f t="shared" ca="1" si="426"/>
        <v>#NAME?</v>
      </c>
      <c r="AF530" s="313" t="e">
        <f t="shared" ca="1" si="440"/>
        <v>#NAME?</v>
      </c>
      <c r="AG530" s="314" t="e">
        <f t="shared" ca="1" si="427"/>
        <v>#NAME?</v>
      </c>
      <c r="AH530" s="313" t="e">
        <f t="shared" ca="1" si="441"/>
        <v>#NAME?</v>
      </c>
      <c r="AI530" s="314" t="e">
        <f t="shared" ca="1" si="428"/>
        <v>#NAME?</v>
      </c>
      <c r="AJ530" s="315" t="e">
        <f t="shared" ca="1" si="429"/>
        <v>#NAME?</v>
      </c>
      <c r="AK530" s="568" t="e">
        <f t="shared" ca="1" si="442"/>
        <v>#NAME?</v>
      </c>
      <c r="AL530" s="313" t="e">
        <f t="shared" ca="1" si="443"/>
        <v>#NAME?</v>
      </c>
      <c r="AM530" s="313" t="e">
        <f t="shared" ca="1" si="430"/>
        <v>#NAME?</v>
      </c>
      <c r="AN530" s="313" t="e">
        <f t="shared" ca="1" si="431"/>
        <v>#NAME?</v>
      </c>
      <c r="AO530" s="316" t="e">
        <f t="shared" ca="1" si="444"/>
        <v>#NAME?</v>
      </c>
      <c r="AP530" s="313" t="e">
        <f t="shared" ca="1" si="445"/>
        <v>#NAME?</v>
      </c>
      <c r="AQ530" s="314" t="e">
        <f t="shared" ca="1" si="432"/>
        <v>#NAME?</v>
      </c>
      <c r="AR530" s="315" t="e">
        <f t="shared" ca="1" si="446"/>
        <v>#NAME?</v>
      </c>
      <c r="AS530" s="316" t="e">
        <f t="shared" ca="1" si="447"/>
        <v>#NAME?</v>
      </c>
      <c r="AT530" s="315" t="e">
        <f t="shared" ca="1" si="448"/>
        <v>#NAME?</v>
      </c>
      <c r="AU530" s="317">
        <v>427.8</v>
      </c>
      <c r="AV530" s="315" t="e">
        <f t="shared" ca="1" si="449"/>
        <v>#NAME?</v>
      </c>
      <c r="AW530" s="318" t="e">
        <f ca="1">0.0001*BicubicInterpolation('Drag Coef Table'!$B$4:$L$28,AV530,AC530)</f>
        <v>#NAME?</v>
      </c>
      <c r="AX530" s="319" t="e">
        <f t="shared" ca="1" si="450"/>
        <v>#NAME?</v>
      </c>
      <c r="AY530" s="318" t="e">
        <f t="shared" ca="1" si="451"/>
        <v>#NAME?</v>
      </c>
      <c r="AZ530" s="320" t="e">
        <f t="shared" ca="1" si="452"/>
        <v>#NAME?</v>
      </c>
      <c r="BA530" s="321" t="e">
        <f t="shared" ca="1" si="453"/>
        <v>#NAME?</v>
      </c>
      <c r="BB530" s="322" t="e">
        <f t="shared" ca="1" si="454"/>
        <v>#NAME?</v>
      </c>
      <c r="BC530" s="323">
        <v>75.196700000000007</v>
      </c>
      <c r="BD530" s="324" t="e">
        <f t="shared" ca="1" si="455"/>
        <v>#NAME?</v>
      </c>
      <c r="BE530" s="325" t="e">
        <f t="shared" ca="1" si="456"/>
        <v>#NAME?</v>
      </c>
      <c r="BF530" s="324" t="e">
        <f ca="1">BicubicInterpolation('TSFC Eff Table'!$B$4:$E$69,2,BB530)</f>
        <v>#NAME?</v>
      </c>
      <c r="BG530" s="326" t="e">
        <f t="shared" ca="1" si="457"/>
        <v>#NAME?</v>
      </c>
      <c r="BH530" s="694" t="e">
        <f ca="1">IF( S530="LRCINOP",   (1+(0.03/10)*Z530*(1+0.2*AC530^2) )*BicubicInterpolation( 'LRC INOP FF'!$C$4:$AA$21, Y530, U530 )-200, IF(S530 ="HOLDINGINOP", (1+(0.03/10)*Z530*(1+0.2*AC530^2) )*BicubicInterpolation( 'Holding INOP FF'!$C$4:$J$13,  Y530,  U530)/1.05-200,   BA530*BG530))</f>
        <v>#NAME?</v>
      </c>
      <c r="BI530" s="344" t="e">
        <f t="shared" ca="1" si="416"/>
        <v>#NAME?</v>
      </c>
      <c r="BJ530" s="322" t="e">
        <f t="shared" ca="1" si="458"/>
        <v>#NAME?</v>
      </c>
      <c r="BK530" s="338" t="e">
        <f t="shared" ca="1" si="417"/>
        <v>#NAME?</v>
      </c>
      <c r="BL530" s="327" t="e">
        <f t="shared" ca="1" si="459"/>
        <v>#NAME?</v>
      </c>
      <c r="BM530" s="328">
        <f t="shared" si="460"/>
        <v>200</v>
      </c>
      <c r="BN530" s="329" t="e">
        <f t="shared" ca="1" si="461"/>
        <v>#NAME?</v>
      </c>
      <c r="BO530" s="344" t="e">
        <f t="shared" ca="1" si="418"/>
        <v>#NAME?</v>
      </c>
      <c r="BP530" s="320" t="e">
        <f t="shared" ca="1" si="462"/>
        <v>#NAME?</v>
      </c>
      <c r="BQ530" s="344" t="e">
        <f t="shared" ca="1" si="419"/>
        <v>#NAME?</v>
      </c>
      <c r="BR530" s="347" t="e">
        <f t="shared" ca="1" si="420"/>
        <v>#NAME?</v>
      </c>
      <c r="BS530" s="326" t="e">
        <f t="shared" ca="1" si="463"/>
        <v>#NAME?</v>
      </c>
      <c r="BT530" s="437" t="e">
        <f t="shared" ca="1" si="433"/>
        <v>#NAME?</v>
      </c>
      <c r="BU530" s="437" t="e">
        <f t="shared" ca="1" si="434"/>
        <v>#NAME?</v>
      </c>
      <c r="BV530" s="441" t="e">
        <f t="shared" ca="1" si="435"/>
        <v>#NAME?</v>
      </c>
      <c r="BW530" s="442" t="e">
        <f t="shared" ca="1" si="436"/>
        <v>#NAME?</v>
      </c>
      <c r="BX530" s="470" t="e">
        <f t="shared" ca="1" si="409"/>
        <v>#NAME?</v>
      </c>
      <c r="BY530" s="484" t="e">
        <f t="shared" ca="1" si="421"/>
        <v>#NAME?</v>
      </c>
    </row>
    <row r="531" spans="9:77" ht="17.75" customHeight="1" x14ac:dyDescent="0.2">
      <c r="I531" s="366">
        <v>447</v>
      </c>
      <c r="J531" s="414">
        <f t="shared" si="422"/>
        <v>41706.02291666768</v>
      </c>
      <c r="K531" s="435" t="e">
        <f t="shared" ca="1" si="423"/>
        <v>#NAME?</v>
      </c>
      <c r="L531" s="435" t="e">
        <f t="shared" ca="1" si="466"/>
        <v>#NAME?</v>
      </c>
      <c r="M531" s="664" t="e">
        <f t="shared" ca="1" si="464"/>
        <v>#NAME?</v>
      </c>
      <c r="N531" s="664" t="e">
        <f t="shared" ca="1" si="465"/>
        <v>#NAME?</v>
      </c>
      <c r="O531" s="140" t="e">
        <f t="shared" ca="1" si="411"/>
        <v>#NAME?</v>
      </c>
      <c r="P531" s="352" t="e">
        <f t="shared" ca="1" si="424"/>
        <v>#NAME?</v>
      </c>
      <c r="Q531" s="665" t="e">
        <f t="shared" ca="1" si="467"/>
        <v>#NAME?</v>
      </c>
      <c r="R531" s="352" t="e">
        <f t="shared" ca="1" si="437"/>
        <v>#NAME?</v>
      </c>
      <c r="S531" s="662" t="e">
        <f t="shared" ca="1" si="412"/>
        <v>#NAME?</v>
      </c>
      <c r="T531" s="443" t="e">
        <f t="shared" ca="1" si="405"/>
        <v>#NAME?</v>
      </c>
      <c r="U531" s="369" t="e">
        <f t="shared" ca="1" si="406"/>
        <v>#NAME?</v>
      </c>
      <c r="V531" s="454" t="e">
        <f t="shared" ca="1" si="413"/>
        <v>#NAME?</v>
      </c>
      <c r="W531" s="457">
        <f t="shared" si="414"/>
        <v>1000</v>
      </c>
      <c r="X531" s="463" t="e">
        <f t="shared" ca="1" si="415"/>
        <v>#NAME?</v>
      </c>
      <c r="Y531" s="455" t="e">
        <f t="shared" ca="1" si="425"/>
        <v>#NAME?</v>
      </c>
      <c r="Z531" s="699">
        <f t="shared" si="407"/>
        <v>8.5</v>
      </c>
      <c r="AA531" s="355" t="str">
        <f t="shared" si="408"/>
        <v>ON</v>
      </c>
      <c r="AB531" s="357">
        <f t="shared" si="438"/>
        <v>1.4999999999999999E-2</v>
      </c>
      <c r="AC531" s="356" t="e">
        <f ca="1">IF(  Y530=0,0,IF(OR(S531="KCAS",S531="INOP",S531="MEFE"),   ( (5*( (   (((1+0.2*(T531/661.4786)^2)^3.5 -1)  )/( (1-6.8755856*10^-6 *100*Y531)^5.2558797) +1)^(2/7) -1) )^0.5),IF(S531="MACH",T531, IF(S531="LRC",BicubicInterpolation( 'LRC Mach'!$C$4:$AL$21, Y531,U531),  IF(S531="MRC",BicubicInterpolation( 'MRC Mach'!$C$3:$T$18, Y531,U531),  IF(S531="M0.84",0.84,  IF(S531="CI52",BicubicInterpolation('CI=52 Mach'!$C$3:$T$18, Y531,U531),  IF(S531="HOLDING",BicubicInterpolation(  'Holding Mach'!$C$4:$M$13, Y531,U531),                         IF(S531="LRCINOP", BicubicInterpolation('LRC INOP Mach'!$C$4:$AA$21,Y531,U531), IF(S531="HOLDINGINOP",  BicubicInterpolation('Holding INOP Mach'!$N$4:$U$13,Y531,U531),         "XXX" )))))))   )))</f>
        <v>#NAME?</v>
      </c>
      <c r="AD531" s="313" t="e">
        <f t="shared" ca="1" si="439"/>
        <v>#NAME?</v>
      </c>
      <c r="AE531" s="314" t="e">
        <f t="shared" ca="1" si="426"/>
        <v>#NAME?</v>
      </c>
      <c r="AF531" s="313" t="e">
        <f t="shared" ca="1" si="440"/>
        <v>#NAME?</v>
      </c>
      <c r="AG531" s="314" t="e">
        <f t="shared" ca="1" si="427"/>
        <v>#NAME?</v>
      </c>
      <c r="AH531" s="313" t="e">
        <f t="shared" ca="1" si="441"/>
        <v>#NAME?</v>
      </c>
      <c r="AI531" s="314" t="e">
        <f t="shared" ca="1" si="428"/>
        <v>#NAME?</v>
      </c>
      <c r="AJ531" s="315" t="e">
        <f t="shared" ca="1" si="429"/>
        <v>#NAME?</v>
      </c>
      <c r="AK531" s="568" t="e">
        <f t="shared" ca="1" si="442"/>
        <v>#NAME?</v>
      </c>
      <c r="AL531" s="313" t="e">
        <f t="shared" ca="1" si="443"/>
        <v>#NAME?</v>
      </c>
      <c r="AM531" s="313" t="e">
        <f t="shared" ca="1" si="430"/>
        <v>#NAME?</v>
      </c>
      <c r="AN531" s="313" t="e">
        <f t="shared" ca="1" si="431"/>
        <v>#NAME?</v>
      </c>
      <c r="AO531" s="316" t="e">
        <f t="shared" ca="1" si="444"/>
        <v>#NAME?</v>
      </c>
      <c r="AP531" s="313" t="e">
        <f t="shared" ca="1" si="445"/>
        <v>#NAME?</v>
      </c>
      <c r="AQ531" s="314" t="e">
        <f t="shared" ca="1" si="432"/>
        <v>#NAME?</v>
      </c>
      <c r="AR531" s="315" t="e">
        <f t="shared" ca="1" si="446"/>
        <v>#NAME?</v>
      </c>
      <c r="AS531" s="316" t="e">
        <f t="shared" ca="1" si="447"/>
        <v>#NAME?</v>
      </c>
      <c r="AT531" s="315" t="e">
        <f t="shared" ca="1" si="448"/>
        <v>#NAME?</v>
      </c>
      <c r="AU531" s="317">
        <v>427.8</v>
      </c>
      <c r="AV531" s="315" t="e">
        <f t="shared" ca="1" si="449"/>
        <v>#NAME?</v>
      </c>
      <c r="AW531" s="318" t="e">
        <f ca="1">0.0001*BicubicInterpolation('Drag Coef Table'!$B$4:$L$28,AV531,AC531)</f>
        <v>#NAME?</v>
      </c>
      <c r="AX531" s="319" t="e">
        <f t="shared" ca="1" si="450"/>
        <v>#NAME?</v>
      </c>
      <c r="AY531" s="318" t="e">
        <f t="shared" ca="1" si="451"/>
        <v>#NAME?</v>
      </c>
      <c r="AZ531" s="320" t="e">
        <f t="shared" ca="1" si="452"/>
        <v>#NAME?</v>
      </c>
      <c r="BA531" s="321" t="e">
        <f t="shared" ca="1" si="453"/>
        <v>#NAME?</v>
      </c>
      <c r="BB531" s="322" t="e">
        <f t="shared" ca="1" si="454"/>
        <v>#NAME?</v>
      </c>
      <c r="BC531" s="323">
        <v>75.196700000000007</v>
      </c>
      <c r="BD531" s="324" t="e">
        <f t="shared" ca="1" si="455"/>
        <v>#NAME?</v>
      </c>
      <c r="BE531" s="325" t="e">
        <f t="shared" ca="1" si="456"/>
        <v>#NAME?</v>
      </c>
      <c r="BF531" s="324" t="e">
        <f ca="1">BicubicInterpolation('TSFC Eff Table'!$B$4:$E$69,2,BB531)</f>
        <v>#NAME?</v>
      </c>
      <c r="BG531" s="326" t="e">
        <f t="shared" ca="1" si="457"/>
        <v>#NAME?</v>
      </c>
      <c r="BH531" s="694" t="e">
        <f ca="1">IF( S531="LRCINOP",   (1+(0.03/10)*Z531*(1+0.2*AC531^2) )*BicubicInterpolation( 'LRC INOP FF'!$C$4:$AA$21, Y531, U531 )-200, IF(S531 ="HOLDINGINOP", (1+(0.03/10)*Z531*(1+0.2*AC531^2) )*BicubicInterpolation( 'Holding INOP FF'!$C$4:$J$13,  Y531,  U531)/1.05-200,   BA531*BG531))</f>
        <v>#NAME?</v>
      </c>
      <c r="BI531" s="344" t="e">
        <f t="shared" ca="1" si="416"/>
        <v>#NAME?</v>
      </c>
      <c r="BJ531" s="322" t="e">
        <f t="shared" ca="1" si="458"/>
        <v>#NAME?</v>
      </c>
      <c r="BK531" s="338" t="e">
        <f t="shared" ca="1" si="417"/>
        <v>#NAME?</v>
      </c>
      <c r="BL531" s="327" t="e">
        <f t="shared" ca="1" si="459"/>
        <v>#NAME?</v>
      </c>
      <c r="BM531" s="328">
        <f t="shared" si="460"/>
        <v>200</v>
      </c>
      <c r="BN531" s="329" t="e">
        <f t="shared" ca="1" si="461"/>
        <v>#NAME?</v>
      </c>
      <c r="BO531" s="344" t="e">
        <f t="shared" ca="1" si="418"/>
        <v>#NAME?</v>
      </c>
      <c r="BP531" s="320" t="e">
        <f t="shared" ca="1" si="462"/>
        <v>#NAME?</v>
      </c>
      <c r="BQ531" s="344" t="e">
        <f t="shared" ca="1" si="419"/>
        <v>#NAME?</v>
      </c>
      <c r="BR531" s="347" t="e">
        <f t="shared" ca="1" si="420"/>
        <v>#NAME?</v>
      </c>
      <c r="BS531" s="326" t="e">
        <f t="shared" ca="1" si="463"/>
        <v>#NAME?</v>
      </c>
      <c r="BT531" s="437" t="e">
        <f t="shared" ca="1" si="433"/>
        <v>#NAME?</v>
      </c>
      <c r="BU531" s="437" t="e">
        <f t="shared" ca="1" si="434"/>
        <v>#NAME?</v>
      </c>
      <c r="BV531" s="441" t="e">
        <f t="shared" ca="1" si="435"/>
        <v>#NAME?</v>
      </c>
      <c r="BW531" s="442" t="e">
        <f t="shared" ca="1" si="436"/>
        <v>#NAME?</v>
      </c>
      <c r="BX531" s="470" t="e">
        <f t="shared" ca="1" si="409"/>
        <v>#NAME?</v>
      </c>
      <c r="BY531" s="484" t="e">
        <f t="shared" ca="1" si="421"/>
        <v>#NAME?</v>
      </c>
    </row>
    <row r="532" spans="9:77" ht="17.75" customHeight="1" x14ac:dyDescent="0.2">
      <c r="I532" s="366">
        <v>448</v>
      </c>
      <c r="J532" s="414">
        <f t="shared" si="422"/>
        <v>41706.023611112127</v>
      </c>
      <c r="K532" s="435" t="e">
        <f t="shared" ca="1" si="423"/>
        <v>#NAME?</v>
      </c>
      <c r="L532" s="435" t="e">
        <f t="shared" ca="1" si="466"/>
        <v>#NAME?</v>
      </c>
      <c r="M532" s="664" t="e">
        <f t="shared" ca="1" si="464"/>
        <v>#NAME?</v>
      </c>
      <c r="N532" s="664" t="e">
        <f t="shared" ca="1" si="465"/>
        <v>#NAME?</v>
      </c>
      <c r="O532" s="140" t="e">
        <f t="shared" ca="1" si="411"/>
        <v>#NAME?</v>
      </c>
      <c r="P532" s="352" t="e">
        <f t="shared" ca="1" si="424"/>
        <v>#NAME?</v>
      </c>
      <c r="Q532" s="665" t="e">
        <f t="shared" ca="1" si="467"/>
        <v>#NAME?</v>
      </c>
      <c r="R532" s="352" t="e">
        <f t="shared" ca="1" si="437"/>
        <v>#NAME?</v>
      </c>
      <c r="S532" s="662" t="e">
        <f t="shared" ca="1" si="412"/>
        <v>#NAME?</v>
      </c>
      <c r="T532" s="443" t="e">
        <f t="shared" ca="1" si="405"/>
        <v>#NAME?</v>
      </c>
      <c r="U532" s="369" t="e">
        <f t="shared" ca="1" si="406"/>
        <v>#NAME?</v>
      </c>
      <c r="V532" s="454" t="e">
        <f t="shared" ca="1" si="413"/>
        <v>#NAME?</v>
      </c>
      <c r="W532" s="457">
        <f t="shared" si="414"/>
        <v>1000</v>
      </c>
      <c r="X532" s="463" t="e">
        <f t="shared" ca="1" si="415"/>
        <v>#NAME?</v>
      </c>
      <c r="Y532" s="455" t="e">
        <f t="shared" ca="1" si="425"/>
        <v>#NAME?</v>
      </c>
      <c r="Z532" s="699">
        <f t="shared" si="407"/>
        <v>8.5</v>
      </c>
      <c r="AA532" s="355" t="str">
        <f t="shared" si="408"/>
        <v>ON</v>
      </c>
      <c r="AB532" s="357">
        <f t="shared" si="438"/>
        <v>1.4999999999999999E-2</v>
      </c>
      <c r="AC532" s="356" t="e">
        <f ca="1">IF(  Y531=0,0,IF(OR(S532="KCAS",S532="INOP",S532="MEFE"),   ( (5*( (   (((1+0.2*(T532/661.4786)^2)^3.5 -1)  )/( (1-6.8755856*10^-6 *100*Y532)^5.2558797) +1)^(2/7) -1) )^0.5),IF(S532="MACH",T532, IF(S532="LRC",BicubicInterpolation( 'LRC Mach'!$C$4:$AL$21, Y532,U532),  IF(S532="MRC",BicubicInterpolation( 'MRC Mach'!$C$3:$T$18, Y532,U532),  IF(S532="M0.84",0.84,  IF(S532="CI52",BicubicInterpolation('CI=52 Mach'!$C$3:$T$18, Y532,U532),  IF(S532="HOLDING",BicubicInterpolation(  'Holding Mach'!$C$4:$M$13, Y532,U532),                         IF(S532="LRCINOP", BicubicInterpolation('LRC INOP Mach'!$C$4:$AA$21,Y532,U532), IF(S532="HOLDINGINOP",  BicubicInterpolation('Holding INOP Mach'!$N$4:$U$13,Y532,U532),         "XXX" )))))))   )))</f>
        <v>#NAME?</v>
      </c>
      <c r="AD532" s="313" t="e">
        <f t="shared" ca="1" si="439"/>
        <v>#NAME?</v>
      </c>
      <c r="AE532" s="314" t="e">
        <f t="shared" ca="1" si="426"/>
        <v>#NAME?</v>
      </c>
      <c r="AF532" s="313" t="e">
        <f t="shared" ca="1" si="440"/>
        <v>#NAME?</v>
      </c>
      <c r="AG532" s="314" t="e">
        <f t="shared" ca="1" si="427"/>
        <v>#NAME?</v>
      </c>
      <c r="AH532" s="313" t="e">
        <f t="shared" ca="1" si="441"/>
        <v>#NAME?</v>
      </c>
      <c r="AI532" s="314" t="e">
        <f t="shared" ca="1" si="428"/>
        <v>#NAME?</v>
      </c>
      <c r="AJ532" s="315" t="e">
        <f t="shared" ca="1" si="429"/>
        <v>#NAME?</v>
      </c>
      <c r="AK532" s="568" t="e">
        <f t="shared" ca="1" si="442"/>
        <v>#NAME?</v>
      </c>
      <c r="AL532" s="313" t="e">
        <f t="shared" ca="1" si="443"/>
        <v>#NAME?</v>
      </c>
      <c r="AM532" s="313" t="e">
        <f t="shared" ca="1" si="430"/>
        <v>#NAME?</v>
      </c>
      <c r="AN532" s="313" t="e">
        <f t="shared" ca="1" si="431"/>
        <v>#NAME?</v>
      </c>
      <c r="AO532" s="316" t="e">
        <f t="shared" ca="1" si="444"/>
        <v>#NAME?</v>
      </c>
      <c r="AP532" s="313" t="e">
        <f t="shared" ca="1" si="445"/>
        <v>#NAME?</v>
      </c>
      <c r="AQ532" s="314" t="e">
        <f t="shared" ca="1" si="432"/>
        <v>#NAME?</v>
      </c>
      <c r="AR532" s="315" t="e">
        <f t="shared" ca="1" si="446"/>
        <v>#NAME?</v>
      </c>
      <c r="AS532" s="316" t="e">
        <f t="shared" ca="1" si="447"/>
        <v>#NAME?</v>
      </c>
      <c r="AT532" s="315" t="e">
        <f t="shared" ca="1" si="448"/>
        <v>#NAME?</v>
      </c>
      <c r="AU532" s="317">
        <v>427.8</v>
      </c>
      <c r="AV532" s="315" t="e">
        <f t="shared" ca="1" si="449"/>
        <v>#NAME?</v>
      </c>
      <c r="AW532" s="318" t="e">
        <f ca="1">0.0001*BicubicInterpolation('Drag Coef Table'!$B$4:$L$28,AV532,AC532)</f>
        <v>#NAME?</v>
      </c>
      <c r="AX532" s="319" t="e">
        <f t="shared" ca="1" si="450"/>
        <v>#NAME?</v>
      </c>
      <c r="AY532" s="318" t="e">
        <f t="shared" ca="1" si="451"/>
        <v>#NAME?</v>
      </c>
      <c r="AZ532" s="320" t="e">
        <f t="shared" ca="1" si="452"/>
        <v>#NAME?</v>
      </c>
      <c r="BA532" s="321" t="e">
        <f t="shared" ca="1" si="453"/>
        <v>#NAME?</v>
      </c>
      <c r="BB532" s="322" t="e">
        <f t="shared" ca="1" si="454"/>
        <v>#NAME?</v>
      </c>
      <c r="BC532" s="323">
        <v>75.196700000000007</v>
      </c>
      <c r="BD532" s="324" t="e">
        <f t="shared" ca="1" si="455"/>
        <v>#NAME?</v>
      </c>
      <c r="BE532" s="325" t="e">
        <f t="shared" ca="1" si="456"/>
        <v>#NAME?</v>
      </c>
      <c r="BF532" s="324" t="e">
        <f ca="1">BicubicInterpolation('TSFC Eff Table'!$B$4:$E$69,2,BB532)</f>
        <v>#NAME?</v>
      </c>
      <c r="BG532" s="326" t="e">
        <f t="shared" ca="1" si="457"/>
        <v>#NAME?</v>
      </c>
      <c r="BH532" s="694" t="e">
        <f ca="1">IF( S532="LRCINOP",   (1+(0.03/10)*Z532*(1+0.2*AC532^2) )*BicubicInterpolation( 'LRC INOP FF'!$C$4:$AA$21, Y532, U532 )-200, IF(S532 ="HOLDINGINOP", (1+(0.03/10)*Z532*(1+0.2*AC532^2) )*BicubicInterpolation( 'Holding INOP FF'!$C$4:$J$13,  Y532,  U532)/1.05-200,   BA532*BG532))</f>
        <v>#NAME?</v>
      </c>
      <c r="BI532" s="344" t="e">
        <f t="shared" ca="1" si="416"/>
        <v>#NAME?</v>
      </c>
      <c r="BJ532" s="322" t="e">
        <f t="shared" ca="1" si="458"/>
        <v>#NAME?</v>
      </c>
      <c r="BK532" s="338" t="e">
        <f t="shared" ca="1" si="417"/>
        <v>#NAME?</v>
      </c>
      <c r="BL532" s="327" t="e">
        <f t="shared" ca="1" si="459"/>
        <v>#NAME?</v>
      </c>
      <c r="BM532" s="328">
        <f t="shared" si="460"/>
        <v>200</v>
      </c>
      <c r="BN532" s="329" t="e">
        <f t="shared" ca="1" si="461"/>
        <v>#NAME?</v>
      </c>
      <c r="BO532" s="344" t="e">
        <f t="shared" ca="1" si="418"/>
        <v>#NAME?</v>
      </c>
      <c r="BP532" s="320" t="e">
        <f t="shared" ca="1" si="462"/>
        <v>#NAME?</v>
      </c>
      <c r="BQ532" s="344" t="e">
        <f t="shared" ca="1" si="419"/>
        <v>#NAME?</v>
      </c>
      <c r="BR532" s="347" t="e">
        <f t="shared" ca="1" si="420"/>
        <v>#NAME?</v>
      </c>
      <c r="BS532" s="326" t="e">
        <f t="shared" ca="1" si="463"/>
        <v>#NAME?</v>
      </c>
      <c r="BT532" s="437" t="e">
        <f t="shared" ca="1" si="433"/>
        <v>#NAME?</v>
      </c>
      <c r="BU532" s="437" t="e">
        <f t="shared" ca="1" si="434"/>
        <v>#NAME?</v>
      </c>
      <c r="BV532" s="441" t="e">
        <f t="shared" ca="1" si="435"/>
        <v>#NAME?</v>
      </c>
      <c r="BW532" s="442" t="e">
        <f t="shared" ca="1" si="436"/>
        <v>#NAME?</v>
      </c>
      <c r="BX532" s="470" t="e">
        <f t="shared" ca="1" si="409"/>
        <v>#NAME?</v>
      </c>
      <c r="BY532" s="484" t="e">
        <f t="shared" ca="1" si="421"/>
        <v>#NAME?</v>
      </c>
    </row>
    <row r="533" spans="9:77" ht="17.75" customHeight="1" x14ac:dyDescent="0.2">
      <c r="I533" s="366">
        <v>449</v>
      </c>
      <c r="J533" s="414">
        <f t="shared" si="422"/>
        <v>41706.024305556573</v>
      </c>
      <c r="K533" s="435" t="e">
        <f t="shared" ca="1" si="423"/>
        <v>#NAME?</v>
      </c>
      <c r="L533" s="435" t="e">
        <f t="shared" ca="1" si="466"/>
        <v>#NAME?</v>
      </c>
      <c r="M533" s="664" t="e">
        <f t="shared" ca="1" si="464"/>
        <v>#NAME?</v>
      </c>
      <c r="N533" s="664" t="e">
        <f t="shared" ca="1" si="465"/>
        <v>#NAME?</v>
      </c>
      <c r="O533" s="140" t="e">
        <f t="shared" ca="1" si="411"/>
        <v>#NAME?</v>
      </c>
      <c r="P533" s="352" t="e">
        <f t="shared" ca="1" si="424"/>
        <v>#NAME?</v>
      </c>
      <c r="Q533" s="665" t="e">
        <f t="shared" ca="1" si="467"/>
        <v>#NAME?</v>
      </c>
      <c r="R533" s="352" t="e">
        <f t="shared" ca="1" si="437"/>
        <v>#NAME?</v>
      </c>
      <c r="S533" s="662" t="e">
        <f t="shared" ca="1" si="412"/>
        <v>#NAME?</v>
      </c>
      <c r="T533" s="443" t="e">
        <f t="shared" ref="T533:T596" ca="1" si="468">IF(AND(S533="MEFE",  S532="MEFE"), MAX(T532+$C$43,$C$39), IF(AND(S532="INOP",S533="MEFE"),  MAX(T532+$C$38,$C$39), IF(AND(S533="INOP",S532="INOP"), MAX(T532+$C$38,$C$39),IF(S533="INOP", AO532,IF($J533&lt;$C$12,$C$6,IF($J533&lt;$C$18,$C$14,$C$20))))))</f>
        <v>#NAME?</v>
      </c>
      <c r="U533" s="369" t="e">
        <f t="shared" ref="U533:U596" ca="1" si="469">P533</f>
        <v>#NAME?</v>
      </c>
      <c r="V533" s="454" t="e">
        <f t="shared" ca="1" si="413"/>
        <v>#NAME?</v>
      </c>
      <c r="W533" s="457">
        <f t="shared" si="414"/>
        <v>1000</v>
      </c>
      <c r="X533" s="463" t="e">
        <f t="shared" ca="1" si="415"/>
        <v>#NAME?</v>
      </c>
      <c r="Y533" s="455" t="e">
        <f t="shared" ca="1" si="425"/>
        <v>#NAME?</v>
      </c>
      <c r="Z533" s="699">
        <f t="shared" ref="Z533:Z596" si="470">IF(I533&gt;$M$83-1,$C$22,IF(I533&gt;$K$83-1,$C$16,$C$8))</f>
        <v>8.5</v>
      </c>
      <c r="AA533" s="355" t="str">
        <f t="shared" ref="AA533:AA596" si="471">IF(I533&lt;$K$83,$C$9, IF( I533&lt;$L$83, $C$17,$C$23))</f>
        <v>ON</v>
      </c>
      <c r="AB533" s="357">
        <f t="shared" si="438"/>
        <v>1.4999999999999999E-2</v>
      </c>
      <c r="AC533" s="356" t="e">
        <f ca="1">IF(  Y532=0,0,IF(OR(S533="KCAS",S533="INOP",S533="MEFE"),   ( (5*( (   (((1+0.2*(T533/661.4786)^2)^3.5 -1)  )/( (1-6.8755856*10^-6 *100*Y533)^5.2558797) +1)^(2/7) -1) )^0.5),IF(S533="MACH",T533, IF(S533="LRC",BicubicInterpolation( 'LRC Mach'!$C$4:$AL$21, Y533,U533),  IF(S533="MRC",BicubicInterpolation( 'MRC Mach'!$C$3:$T$18, Y533,U533),  IF(S533="M0.84",0.84,  IF(S533="CI52",BicubicInterpolation('CI=52 Mach'!$C$3:$T$18, Y533,U533),  IF(S533="HOLDING",BicubicInterpolation(  'Holding Mach'!$C$4:$M$13, Y533,U533),                         IF(S533="LRCINOP", BicubicInterpolation('LRC INOP Mach'!$C$4:$AA$21,Y533,U533), IF(S533="HOLDINGINOP",  BicubicInterpolation('Holding INOP Mach'!$N$4:$U$13,Y533,U533),         "XXX" )))))))   )))</f>
        <v>#NAME?</v>
      </c>
      <c r="AD533" s="313" t="e">
        <f t="shared" ca="1" si="439"/>
        <v>#NAME?</v>
      </c>
      <c r="AE533" s="314" t="e">
        <f t="shared" ca="1" si="426"/>
        <v>#NAME?</v>
      </c>
      <c r="AF533" s="313" t="e">
        <f t="shared" ca="1" si="440"/>
        <v>#NAME?</v>
      </c>
      <c r="AG533" s="314" t="e">
        <f t="shared" ca="1" si="427"/>
        <v>#NAME?</v>
      </c>
      <c r="AH533" s="313" t="e">
        <f t="shared" ca="1" si="441"/>
        <v>#NAME?</v>
      </c>
      <c r="AI533" s="314" t="e">
        <f t="shared" ca="1" si="428"/>
        <v>#NAME?</v>
      </c>
      <c r="AJ533" s="315" t="e">
        <f t="shared" ca="1" si="429"/>
        <v>#NAME?</v>
      </c>
      <c r="AK533" s="568" t="e">
        <f t="shared" ca="1" si="442"/>
        <v>#NAME?</v>
      </c>
      <c r="AL533" s="313" t="e">
        <f t="shared" ca="1" si="443"/>
        <v>#NAME?</v>
      </c>
      <c r="AM533" s="313" t="e">
        <f t="shared" ca="1" si="430"/>
        <v>#NAME?</v>
      </c>
      <c r="AN533" s="313" t="e">
        <f t="shared" ca="1" si="431"/>
        <v>#NAME?</v>
      </c>
      <c r="AO533" s="316" t="e">
        <f t="shared" ca="1" si="444"/>
        <v>#NAME?</v>
      </c>
      <c r="AP533" s="313" t="e">
        <f t="shared" ca="1" si="445"/>
        <v>#NAME?</v>
      </c>
      <c r="AQ533" s="314" t="e">
        <f t="shared" ca="1" si="432"/>
        <v>#NAME?</v>
      </c>
      <c r="AR533" s="315" t="e">
        <f t="shared" ca="1" si="446"/>
        <v>#NAME?</v>
      </c>
      <c r="AS533" s="316" t="e">
        <f t="shared" ca="1" si="447"/>
        <v>#NAME?</v>
      </c>
      <c r="AT533" s="315" t="e">
        <f t="shared" ca="1" si="448"/>
        <v>#NAME?</v>
      </c>
      <c r="AU533" s="317">
        <v>427.8</v>
      </c>
      <c r="AV533" s="315" t="e">
        <f t="shared" ca="1" si="449"/>
        <v>#NAME?</v>
      </c>
      <c r="AW533" s="318" t="e">
        <f ca="1">0.0001*BicubicInterpolation('Drag Coef Table'!$B$4:$L$28,AV533,AC533)</f>
        <v>#NAME?</v>
      </c>
      <c r="AX533" s="319" t="e">
        <f t="shared" ca="1" si="450"/>
        <v>#NAME?</v>
      </c>
      <c r="AY533" s="318" t="e">
        <f t="shared" ca="1" si="451"/>
        <v>#NAME?</v>
      </c>
      <c r="AZ533" s="320" t="e">
        <f t="shared" ca="1" si="452"/>
        <v>#NAME?</v>
      </c>
      <c r="BA533" s="321" t="e">
        <f t="shared" ca="1" si="453"/>
        <v>#NAME?</v>
      </c>
      <c r="BB533" s="322" t="e">
        <f t="shared" ca="1" si="454"/>
        <v>#NAME?</v>
      </c>
      <c r="BC533" s="323">
        <v>75.196700000000007</v>
      </c>
      <c r="BD533" s="324" t="e">
        <f t="shared" ca="1" si="455"/>
        <v>#NAME?</v>
      </c>
      <c r="BE533" s="325" t="e">
        <f t="shared" ca="1" si="456"/>
        <v>#NAME?</v>
      </c>
      <c r="BF533" s="324" t="e">
        <f ca="1">BicubicInterpolation('TSFC Eff Table'!$B$4:$E$69,2,BB533)</f>
        <v>#NAME?</v>
      </c>
      <c r="BG533" s="326" t="e">
        <f t="shared" ca="1" si="457"/>
        <v>#NAME?</v>
      </c>
      <c r="BH533" s="694" t="e">
        <f ca="1">IF( S533="LRCINOP",   (1+(0.03/10)*Z533*(1+0.2*AC533^2) )*BicubicInterpolation( 'LRC INOP FF'!$C$4:$AA$21, Y533, U533 )-200, IF(S533 ="HOLDINGINOP", (1+(0.03/10)*Z533*(1+0.2*AC533^2) )*BicubicInterpolation( 'Holding INOP FF'!$C$4:$J$13,  Y533,  U533)/1.05-200,   BA533*BG533))</f>
        <v>#NAME?</v>
      </c>
      <c r="BI533" s="344" t="e">
        <f t="shared" ca="1" si="416"/>
        <v>#NAME?</v>
      </c>
      <c r="BJ533" s="322" t="e">
        <f t="shared" ca="1" si="458"/>
        <v>#NAME?</v>
      </c>
      <c r="BK533" s="338" t="e">
        <f t="shared" ca="1" si="417"/>
        <v>#NAME?</v>
      </c>
      <c r="BL533" s="327" t="e">
        <f t="shared" ca="1" si="459"/>
        <v>#NAME?</v>
      </c>
      <c r="BM533" s="328">
        <f t="shared" si="460"/>
        <v>200</v>
      </c>
      <c r="BN533" s="329" t="e">
        <f t="shared" ca="1" si="461"/>
        <v>#NAME?</v>
      </c>
      <c r="BO533" s="344" t="e">
        <f t="shared" ca="1" si="418"/>
        <v>#NAME?</v>
      </c>
      <c r="BP533" s="320" t="e">
        <f t="shared" ca="1" si="462"/>
        <v>#NAME?</v>
      </c>
      <c r="BQ533" s="344" t="e">
        <f t="shared" ca="1" si="419"/>
        <v>#NAME?</v>
      </c>
      <c r="BR533" s="347" t="e">
        <f t="shared" ca="1" si="420"/>
        <v>#NAME?</v>
      </c>
      <c r="BS533" s="326" t="e">
        <f t="shared" ca="1" si="463"/>
        <v>#NAME?</v>
      </c>
      <c r="BT533" s="437" t="e">
        <f t="shared" ca="1" si="433"/>
        <v>#NAME?</v>
      </c>
      <c r="BU533" s="437" t="e">
        <f t="shared" ca="1" si="434"/>
        <v>#NAME?</v>
      </c>
      <c r="BV533" s="441" t="e">
        <f t="shared" ca="1" si="435"/>
        <v>#NAME?</v>
      </c>
      <c r="BW533" s="442" t="e">
        <f t="shared" ca="1" si="436"/>
        <v>#NAME?</v>
      </c>
      <c r="BX533" s="470" t="e">
        <f t="shared" ref="BX533:BX596" ca="1" si="472">IF(Y533=0,I533,"")</f>
        <v>#NAME?</v>
      </c>
      <c r="BY533" s="484" t="e">
        <f t="shared" ca="1" si="421"/>
        <v>#NAME?</v>
      </c>
    </row>
    <row r="534" spans="9:77" ht="17.75" customHeight="1" x14ac:dyDescent="0.2">
      <c r="I534" s="366">
        <v>450</v>
      </c>
      <c r="J534" s="414">
        <f t="shared" si="422"/>
        <v>41706.02500000102</v>
      </c>
      <c r="K534" s="435" t="e">
        <f t="shared" ca="1" si="423"/>
        <v>#NAME?</v>
      </c>
      <c r="L534" s="435" t="e">
        <f t="shared" ca="1" si="466"/>
        <v>#NAME?</v>
      </c>
      <c r="M534" s="664" t="e">
        <f t="shared" ca="1" si="464"/>
        <v>#NAME?</v>
      </c>
      <c r="N534" s="664" t="e">
        <f t="shared" ca="1" si="465"/>
        <v>#NAME?</v>
      </c>
      <c r="O534" s="140" t="e">
        <f t="shared" ref="O534:O597" ca="1" si="473">M534+N534</f>
        <v>#NAME?</v>
      </c>
      <c r="P534" s="352" t="e">
        <f t="shared" ca="1" si="424"/>
        <v>#NAME?</v>
      </c>
      <c r="Q534" s="665" t="e">
        <f t="shared" ca="1" si="467"/>
        <v>#NAME?</v>
      </c>
      <c r="R534" s="352" t="e">
        <f t="shared" ca="1" si="437"/>
        <v>#NAME?</v>
      </c>
      <c r="S534" s="662" t="e">
        <f t="shared" ref="S534:S597" ca="1" si="474">IF(O534=0, "MEFE",IF(AND(  NOT(S533="LRCINOP"),NOT(S533="HOLDINGINOP"),  N534=0), "INOP",IF(I534&gt;$M$83-1,$C$19,IF(I534&gt;$K$83-1,$C$13,$C$5))))</f>
        <v>#NAME?</v>
      </c>
      <c r="T534" s="443" t="e">
        <f t="shared" ca="1" si="468"/>
        <v>#NAME?</v>
      </c>
      <c r="U534" s="369" t="e">
        <f t="shared" ca="1" si="469"/>
        <v>#NAME?</v>
      </c>
      <c r="V534" s="454" t="e">
        <f t="shared" ref="V534:V597" ca="1" si="475">IF(S533="MEFE",0,IF(AND(S533="INOP", T534=$C$39 ), MIN($C$40,V533 ),IF(J533&lt;$C$12,$C$7,IF(J533&lt;$C$18,$C$15,$C$21))))</f>
        <v>#NAME?</v>
      </c>
      <c r="W534" s="457">
        <f t="shared" ref="W534:W597" si="476">$C$27</f>
        <v>1000</v>
      </c>
      <c r="X534" s="463" t="e">
        <f t="shared" ref="X534:X597" ca="1" si="477">IF(   Y533=0,  0,   IF(S534="INOP", $C$41, IF(S534="MEFE", $C$42,IF(OR(S534="KCAS",S534="HOLDING"), $C$31,$C$28 ) ))             )</f>
        <v>#NAME?</v>
      </c>
      <c r="Y534" s="455" t="e">
        <f t="shared" ca="1" si="425"/>
        <v>#NAME?</v>
      </c>
      <c r="Z534" s="699">
        <f t="shared" si="470"/>
        <v>8.5</v>
      </c>
      <c r="AA534" s="355" t="str">
        <f t="shared" si="471"/>
        <v>ON</v>
      </c>
      <c r="AB534" s="357">
        <f t="shared" si="438"/>
        <v>1.4999999999999999E-2</v>
      </c>
      <c r="AC534" s="356" t="e">
        <f ca="1">IF(  Y533=0,0,IF(OR(S534="KCAS",S534="INOP",S534="MEFE"),   ( (5*( (   (((1+0.2*(T534/661.4786)^2)^3.5 -1)  )/( (1-6.8755856*10^-6 *100*Y534)^5.2558797) +1)^(2/7) -1) )^0.5),IF(S534="MACH",T534, IF(S534="LRC",BicubicInterpolation( 'LRC Mach'!$C$4:$AL$21, Y534,U534),  IF(S534="MRC",BicubicInterpolation( 'MRC Mach'!$C$3:$T$18, Y534,U534),  IF(S534="M0.84",0.84,  IF(S534="CI52",BicubicInterpolation('CI=52 Mach'!$C$3:$T$18, Y534,U534),  IF(S534="HOLDING",BicubicInterpolation(  'Holding Mach'!$C$4:$M$13, Y534,U534),                         IF(S534="LRCINOP", BicubicInterpolation('LRC INOP Mach'!$C$4:$AA$21,Y534,U534), IF(S534="HOLDINGINOP",  BicubicInterpolation('Holding INOP Mach'!$N$4:$U$13,Y534,U534),         "XXX" )))))))   )))</f>
        <v>#NAME?</v>
      </c>
      <c r="AD534" s="313" t="e">
        <f t="shared" ca="1" si="439"/>
        <v>#NAME?</v>
      </c>
      <c r="AE534" s="314" t="e">
        <f t="shared" ca="1" si="426"/>
        <v>#NAME?</v>
      </c>
      <c r="AF534" s="313" t="e">
        <f t="shared" ca="1" si="440"/>
        <v>#NAME?</v>
      </c>
      <c r="AG534" s="314" t="e">
        <f t="shared" ca="1" si="427"/>
        <v>#NAME?</v>
      </c>
      <c r="AH534" s="313" t="e">
        <f t="shared" ca="1" si="441"/>
        <v>#NAME?</v>
      </c>
      <c r="AI534" s="314" t="e">
        <f t="shared" ca="1" si="428"/>
        <v>#NAME?</v>
      </c>
      <c r="AJ534" s="315" t="e">
        <f t="shared" ca="1" si="429"/>
        <v>#NAME?</v>
      </c>
      <c r="AK534" s="568" t="e">
        <f t="shared" ca="1" si="442"/>
        <v>#NAME?</v>
      </c>
      <c r="AL534" s="313" t="e">
        <f t="shared" ca="1" si="443"/>
        <v>#NAME?</v>
      </c>
      <c r="AM534" s="313" t="e">
        <f t="shared" ca="1" si="430"/>
        <v>#NAME?</v>
      </c>
      <c r="AN534" s="313" t="e">
        <f t="shared" ca="1" si="431"/>
        <v>#NAME?</v>
      </c>
      <c r="AO534" s="316" t="e">
        <f t="shared" ca="1" si="444"/>
        <v>#NAME?</v>
      </c>
      <c r="AP534" s="313" t="e">
        <f t="shared" ca="1" si="445"/>
        <v>#NAME?</v>
      </c>
      <c r="AQ534" s="314" t="e">
        <f t="shared" ca="1" si="432"/>
        <v>#NAME?</v>
      </c>
      <c r="AR534" s="315" t="e">
        <f t="shared" ca="1" si="446"/>
        <v>#NAME?</v>
      </c>
      <c r="AS534" s="316" t="e">
        <f t="shared" ca="1" si="447"/>
        <v>#NAME?</v>
      </c>
      <c r="AT534" s="315" t="e">
        <f t="shared" ca="1" si="448"/>
        <v>#NAME?</v>
      </c>
      <c r="AU534" s="317">
        <v>427.8</v>
      </c>
      <c r="AV534" s="315" t="e">
        <f t="shared" ca="1" si="449"/>
        <v>#NAME?</v>
      </c>
      <c r="AW534" s="318" t="e">
        <f ca="1">0.0001*BicubicInterpolation('Drag Coef Table'!$B$4:$L$28,AV534,AC534)</f>
        <v>#NAME?</v>
      </c>
      <c r="AX534" s="319" t="e">
        <f t="shared" ca="1" si="450"/>
        <v>#NAME?</v>
      </c>
      <c r="AY534" s="318" t="e">
        <f t="shared" ca="1" si="451"/>
        <v>#NAME?</v>
      </c>
      <c r="AZ534" s="320" t="e">
        <f t="shared" ca="1" si="452"/>
        <v>#NAME?</v>
      </c>
      <c r="BA534" s="321" t="e">
        <f t="shared" ca="1" si="453"/>
        <v>#NAME?</v>
      </c>
      <c r="BB534" s="322" t="e">
        <f t="shared" ca="1" si="454"/>
        <v>#NAME?</v>
      </c>
      <c r="BC534" s="323">
        <v>75.196700000000007</v>
      </c>
      <c r="BD534" s="324" t="e">
        <f t="shared" ca="1" si="455"/>
        <v>#NAME?</v>
      </c>
      <c r="BE534" s="325" t="e">
        <f t="shared" ca="1" si="456"/>
        <v>#NAME?</v>
      </c>
      <c r="BF534" s="324" t="e">
        <f ca="1">BicubicInterpolation('TSFC Eff Table'!$B$4:$E$69,2,BB534)</f>
        <v>#NAME?</v>
      </c>
      <c r="BG534" s="326" t="e">
        <f t="shared" ca="1" si="457"/>
        <v>#NAME?</v>
      </c>
      <c r="BH534" s="694" t="e">
        <f ca="1">IF( S534="LRCINOP",   (1+(0.03/10)*Z534*(1+0.2*AC534^2) )*BicubicInterpolation( 'LRC INOP FF'!$C$4:$AA$21, Y534, U534 )-200, IF(S534 ="HOLDINGINOP", (1+(0.03/10)*Z534*(1+0.2*AC534^2) )*BicubicInterpolation( 'Holding INOP FF'!$C$4:$J$13,  Y534,  U534)/1.05-200,   BA534*BG534))</f>
        <v>#NAME?</v>
      </c>
      <c r="BI534" s="344" t="e">
        <f t="shared" ref="BI534:BI597" ca="1" si="478">IF( OR( S534="LRCINOP", S534 ="HOLDINGINOP"),BH534, BH534/2)</f>
        <v>#NAME?</v>
      </c>
      <c r="BJ534" s="322" t="e">
        <f t="shared" ca="1" si="458"/>
        <v>#NAME?</v>
      </c>
      <c r="BK534" s="338" t="e">
        <f t="shared" ref="BK534:BK597" ca="1" si="479">IF( OR( S534="LRCINOP", S534 ="HOLDINGINOP"),BJ534, 2*BJ534)</f>
        <v>#NAME?</v>
      </c>
      <c r="BL534" s="327" t="e">
        <f t="shared" ca="1" si="459"/>
        <v>#NAME?</v>
      </c>
      <c r="BM534" s="328">
        <f t="shared" si="460"/>
        <v>200</v>
      </c>
      <c r="BN534" s="329" t="e">
        <f t="shared" ca="1" si="461"/>
        <v>#NAME?</v>
      </c>
      <c r="BO534" s="344" t="e">
        <f t="shared" ref="BO534:BO597" ca="1" si="480">IF( OR( S534="LRCINOP", S534 ="HOLDINGINOP"), BN534, 2*BN534)</f>
        <v>#NAME?</v>
      </c>
      <c r="BP534" s="320" t="e">
        <f t="shared" ca="1" si="462"/>
        <v>#NAME?</v>
      </c>
      <c r="BQ534" s="344" t="e">
        <f t="shared" ref="BQ534:BQ597" ca="1" si="481">BN534*(1+$C$25)</f>
        <v>#NAME?</v>
      </c>
      <c r="BR534" s="347" t="e">
        <f t="shared" ref="BR534:BR597" ca="1" si="482">BO534*(1+$C$25)</f>
        <v>#NAME?</v>
      </c>
      <c r="BS534" s="326" t="e">
        <f t="shared" ca="1" si="463"/>
        <v>#NAME?</v>
      </c>
      <c r="BT534" s="437" t="e">
        <f t="shared" ca="1" si="433"/>
        <v>#NAME?</v>
      </c>
      <c r="BU534" s="437" t="e">
        <f t="shared" ca="1" si="434"/>
        <v>#NAME?</v>
      </c>
      <c r="BV534" s="441" t="e">
        <f t="shared" ca="1" si="435"/>
        <v>#NAME?</v>
      </c>
      <c r="BW534" s="442" t="e">
        <f t="shared" ca="1" si="436"/>
        <v>#NAME?</v>
      </c>
      <c r="BX534" s="470" t="e">
        <f t="shared" ca="1" si="472"/>
        <v>#NAME?</v>
      </c>
      <c r="BY534" s="484" t="e">
        <f t="shared" ref="BY534:BY597" ca="1" si="483">100*O534</f>
        <v>#NAME?</v>
      </c>
    </row>
    <row r="535" spans="9:77" ht="17.75" customHeight="1" x14ac:dyDescent="0.2">
      <c r="I535" s="366">
        <v>451</v>
      </c>
      <c r="J535" s="414">
        <f t="shared" ref="J535:J598" si="484">J534+1/1440</f>
        <v>41706.025694445467</v>
      </c>
      <c r="K535" s="435" t="e">
        <f t="shared" ref="K535:K598" ca="1" si="485">IF(M535=0,0,Q535*(1+$C$78)/60)</f>
        <v>#NAME?</v>
      </c>
      <c r="L535" s="435" t="e">
        <f t="shared" ca="1" si="466"/>
        <v>#NAME?</v>
      </c>
      <c r="M535" s="664" t="e">
        <f t="shared" ca="1" si="464"/>
        <v>#NAME?</v>
      </c>
      <c r="N535" s="664" t="e">
        <f t="shared" ca="1" si="465"/>
        <v>#NAME?</v>
      </c>
      <c r="O535" s="140" t="e">
        <f t="shared" ca="1" si="473"/>
        <v>#NAME?</v>
      </c>
      <c r="P535" s="352" t="e">
        <f t="shared" ref="P535:P598" ca="1" si="486">MAX(O535+$C$24,$C$24)</f>
        <v>#NAME?</v>
      </c>
      <c r="Q535" s="665" t="e">
        <f t="shared" ca="1" si="467"/>
        <v>#NAME?</v>
      </c>
      <c r="R535" s="352" t="e">
        <f t="shared" ca="1" si="437"/>
        <v>#NAME?</v>
      </c>
      <c r="S535" s="662" t="e">
        <f t="shared" ca="1" si="474"/>
        <v>#NAME?</v>
      </c>
      <c r="T535" s="443" t="e">
        <f t="shared" ca="1" si="468"/>
        <v>#NAME?</v>
      </c>
      <c r="U535" s="369" t="e">
        <f t="shared" ca="1" si="469"/>
        <v>#NAME?</v>
      </c>
      <c r="V535" s="454" t="e">
        <f t="shared" ca="1" si="475"/>
        <v>#NAME?</v>
      </c>
      <c r="W535" s="457">
        <f t="shared" si="476"/>
        <v>1000</v>
      </c>
      <c r="X535" s="463" t="e">
        <f t="shared" ca="1" si="477"/>
        <v>#NAME?</v>
      </c>
      <c r="Y535" s="455" t="e">
        <f t="shared" ref="Y535:Y598" ca="1" si="487">Y534   +   IF(   V535=Y534,   0,   IF(V535-Y534&lt;0, MAX(V535-Y534,X535/100), IF(    V535-Y534&gt;0,    MIN(V535-Y534, W535/100 ))))</f>
        <v>#NAME?</v>
      </c>
      <c r="Z535" s="699">
        <f t="shared" si="470"/>
        <v>8.5</v>
      </c>
      <c r="AA535" s="355" t="str">
        <f t="shared" si="471"/>
        <v>ON</v>
      </c>
      <c r="AB535" s="357">
        <f t="shared" si="438"/>
        <v>1.4999999999999999E-2</v>
      </c>
      <c r="AC535" s="356" t="e">
        <f ca="1">IF(  Y534=0,0,IF(OR(S535="KCAS",S535="INOP",S535="MEFE"),   ( (5*( (   (((1+0.2*(T535/661.4786)^2)^3.5 -1)  )/( (1-6.8755856*10^-6 *100*Y535)^5.2558797) +1)^(2/7) -1) )^0.5),IF(S535="MACH",T535, IF(S535="LRC",BicubicInterpolation( 'LRC Mach'!$C$4:$AL$21, Y535,U535),  IF(S535="MRC",BicubicInterpolation( 'MRC Mach'!$C$3:$T$18, Y535,U535),  IF(S535="M0.84",0.84,  IF(S535="CI52",BicubicInterpolation('CI=52 Mach'!$C$3:$T$18, Y535,U535),  IF(S535="HOLDING",BicubicInterpolation(  'Holding Mach'!$C$4:$M$13, Y535,U535),                         IF(S535="LRCINOP", BicubicInterpolation('LRC INOP Mach'!$C$4:$AA$21,Y535,U535), IF(S535="HOLDINGINOP",  BicubicInterpolation('Holding INOP Mach'!$N$4:$U$13,Y535,U535),         "XXX" )))))))   )))</f>
        <v>#NAME?</v>
      </c>
      <c r="AD535" s="313" t="e">
        <f t="shared" ca="1" si="439"/>
        <v>#NAME?</v>
      </c>
      <c r="AE535" s="314" t="e">
        <f t="shared" ref="AE535:AE598" ca="1" si="488">AD535/288.15</f>
        <v>#NAME?</v>
      </c>
      <c r="AF535" s="313" t="e">
        <f t="shared" ca="1" si="440"/>
        <v>#NAME?</v>
      </c>
      <c r="AG535" s="314" t="e">
        <f t="shared" ref="AG535:AG598" ca="1" si="489">AF535/288.15</f>
        <v>#NAME?</v>
      </c>
      <c r="AH535" s="313" t="e">
        <f t="shared" ca="1" si="441"/>
        <v>#NAME?</v>
      </c>
      <c r="AI535" s="314" t="e">
        <f t="shared" ref="AI535:AI598" ca="1" si="490">AH535/288.15</f>
        <v>#NAME?</v>
      </c>
      <c r="AJ535" s="315" t="e">
        <f t="shared" ref="AJ535:AJ598" ca="1" si="491">AI535^0.68</f>
        <v>#NAME?</v>
      </c>
      <c r="AK535" s="568" t="e">
        <f t="shared" ca="1" si="442"/>
        <v>#NAME?</v>
      </c>
      <c r="AL535" s="313" t="e">
        <f t="shared" ca="1" si="443"/>
        <v>#NAME?</v>
      </c>
      <c r="AM535" s="313" t="e">
        <f t="shared" ref="AM535:AM598" ca="1" si="492">AL535*0.5144444</f>
        <v>#NAME?</v>
      </c>
      <c r="AN535" s="313" t="e">
        <f t="shared" ref="AN535:AN598" ca="1" si="493">AN534+AVERAGE(AL534:AL535)/60</f>
        <v>#NAME?</v>
      </c>
      <c r="AO535" s="316" t="e">
        <f t="shared" ca="1" si="444"/>
        <v>#NAME?</v>
      </c>
      <c r="AP535" s="313" t="e">
        <f t="shared" ca="1" si="445"/>
        <v>#NAME?</v>
      </c>
      <c r="AQ535" s="314" t="e">
        <f t="shared" ref="AQ535:AQ598" ca="1" si="494">AP535/1013.25</f>
        <v>#NAME?</v>
      </c>
      <c r="AR535" s="315" t="e">
        <f t="shared" ca="1" si="446"/>
        <v>#NAME?</v>
      </c>
      <c r="AS535" s="316" t="e">
        <f t="shared" ca="1" si="447"/>
        <v>#NAME?</v>
      </c>
      <c r="AT535" s="315" t="e">
        <f t="shared" ca="1" si="448"/>
        <v>#NAME?</v>
      </c>
      <c r="AU535" s="317">
        <v>427.8</v>
      </c>
      <c r="AV535" s="315" t="e">
        <f t="shared" ca="1" si="449"/>
        <v>#NAME?</v>
      </c>
      <c r="AW535" s="318" t="e">
        <f ca="1">0.0001*BicubicInterpolation('Drag Coef Table'!$B$4:$L$28,AV535,AC535)</f>
        <v>#NAME?</v>
      </c>
      <c r="AX535" s="319" t="e">
        <f t="shared" ca="1" si="450"/>
        <v>#NAME?</v>
      </c>
      <c r="AY535" s="318" t="e">
        <f t="shared" ca="1" si="451"/>
        <v>#NAME?</v>
      </c>
      <c r="AZ535" s="320" t="e">
        <f t="shared" ca="1" si="452"/>
        <v>#NAME?</v>
      </c>
      <c r="BA535" s="321" t="e">
        <f t="shared" ca="1" si="453"/>
        <v>#NAME?</v>
      </c>
      <c r="BB535" s="322" t="e">
        <f t="shared" ca="1" si="454"/>
        <v>#NAME?</v>
      </c>
      <c r="BC535" s="323">
        <v>75.196700000000007</v>
      </c>
      <c r="BD535" s="324" t="e">
        <f t="shared" ca="1" si="455"/>
        <v>#NAME?</v>
      </c>
      <c r="BE535" s="325" t="e">
        <f t="shared" ca="1" si="456"/>
        <v>#NAME?</v>
      </c>
      <c r="BF535" s="324" t="e">
        <f ca="1">BicubicInterpolation('TSFC Eff Table'!$B$4:$E$69,2,BB535)</f>
        <v>#NAME?</v>
      </c>
      <c r="BG535" s="326" t="e">
        <f t="shared" ca="1" si="457"/>
        <v>#NAME?</v>
      </c>
      <c r="BH535" s="694" t="e">
        <f ca="1">IF( S535="LRCINOP",   (1+(0.03/10)*Z535*(1+0.2*AC535^2) )*BicubicInterpolation( 'LRC INOP FF'!$C$4:$AA$21, Y535, U535 )-200, IF(S535 ="HOLDINGINOP", (1+(0.03/10)*Z535*(1+0.2*AC535^2) )*BicubicInterpolation( 'Holding INOP FF'!$C$4:$J$13,  Y535,  U535)/1.05-200,   BA535*BG535))</f>
        <v>#NAME?</v>
      </c>
      <c r="BI535" s="344" t="e">
        <f t="shared" ca="1" si="478"/>
        <v>#NAME?</v>
      </c>
      <c r="BJ535" s="322" t="e">
        <f t="shared" ca="1" si="458"/>
        <v>#NAME?</v>
      </c>
      <c r="BK535" s="338" t="e">
        <f t="shared" ca="1" si="479"/>
        <v>#NAME?</v>
      </c>
      <c r="BL535" s="327" t="e">
        <f t="shared" ca="1" si="459"/>
        <v>#NAME?</v>
      </c>
      <c r="BM535" s="328">
        <f t="shared" si="460"/>
        <v>200</v>
      </c>
      <c r="BN535" s="329" t="e">
        <f t="shared" ca="1" si="461"/>
        <v>#NAME?</v>
      </c>
      <c r="BO535" s="344" t="e">
        <f t="shared" ca="1" si="480"/>
        <v>#NAME?</v>
      </c>
      <c r="BP535" s="320" t="e">
        <f t="shared" ca="1" si="462"/>
        <v>#NAME?</v>
      </c>
      <c r="BQ535" s="344" t="e">
        <f t="shared" ca="1" si="481"/>
        <v>#NAME?</v>
      </c>
      <c r="BR535" s="347" t="e">
        <f t="shared" ca="1" si="482"/>
        <v>#NAME?</v>
      </c>
      <c r="BS535" s="326" t="e">
        <f t="shared" ca="1" si="463"/>
        <v>#NAME?</v>
      </c>
      <c r="BT535" s="437" t="e">
        <f t="shared" ref="BT535:BT598" ca="1" si="495">IF(AND(M535=0,M534&gt;0),I535,"")</f>
        <v>#NAME?</v>
      </c>
      <c r="BU535" s="437" t="e">
        <f t="shared" ref="BU535:BU598" ca="1" si="496">IF(AND(N535=0,N534&gt;0),$I535,"")</f>
        <v>#NAME?</v>
      </c>
      <c r="BV535" s="441" t="e">
        <f t="shared" ref="BV535:BV598" ca="1" si="497">BV534+AC534</f>
        <v>#NAME?</v>
      </c>
      <c r="BW535" s="442" t="e">
        <f t="shared" ref="BW535:BW598" ca="1" si="498">BW534+AL534</f>
        <v>#NAME?</v>
      </c>
      <c r="BX535" s="470" t="e">
        <f t="shared" ca="1" si="472"/>
        <v>#NAME?</v>
      </c>
      <c r="BY535" s="484" t="e">
        <f t="shared" ca="1" si="483"/>
        <v>#NAME?</v>
      </c>
    </row>
    <row r="536" spans="9:77" ht="17.75" customHeight="1" x14ac:dyDescent="0.2">
      <c r="I536" s="366">
        <v>452</v>
      </c>
      <c r="J536" s="414">
        <f t="shared" si="484"/>
        <v>41706.026388889914</v>
      </c>
      <c r="K536" s="435" t="e">
        <f t="shared" ca="1" si="485"/>
        <v>#NAME?</v>
      </c>
      <c r="L536" s="435" t="e">
        <f t="shared" ca="1" si="466"/>
        <v>#NAME?</v>
      </c>
      <c r="M536" s="664" t="e">
        <f t="shared" ca="1" si="464"/>
        <v>#NAME?</v>
      </c>
      <c r="N536" s="664" t="e">
        <f t="shared" ca="1" si="465"/>
        <v>#NAME?</v>
      </c>
      <c r="O536" s="140" t="e">
        <f t="shared" ca="1" si="473"/>
        <v>#NAME?</v>
      </c>
      <c r="P536" s="352" t="e">
        <f t="shared" ca="1" si="486"/>
        <v>#NAME?</v>
      </c>
      <c r="Q536" s="665" t="e">
        <f t="shared" ca="1" si="467"/>
        <v>#NAME?</v>
      </c>
      <c r="R536" s="352" t="e">
        <f t="shared" ca="1" si="437"/>
        <v>#NAME?</v>
      </c>
      <c r="S536" s="662" t="e">
        <f t="shared" ca="1" si="474"/>
        <v>#NAME?</v>
      </c>
      <c r="T536" s="443" t="e">
        <f t="shared" ca="1" si="468"/>
        <v>#NAME?</v>
      </c>
      <c r="U536" s="369" t="e">
        <f t="shared" ca="1" si="469"/>
        <v>#NAME?</v>
      </c>
      <c r="V536" s="454" t="e">
        <f t="shared" ca="1" si="475"/>
        <v>#NAME?</v>
      </c>
      <c r="W536" s="457">
        <f t="shared" si="476"/>
        <v>1000</v>
      </c>
      <c r="X536" s="463" t="e">
        <f t="shared" ca="1" si="477"/>
        <v>#NAME?</v>
      </c>
      <c r="Y536" s="455" t="e">
        <f t="shared" ca="1" si="487"/>
        <v>#NAME?</v>
      </c>
      <c r="Z536" s="699">
        <f t="shared" si="470"/>
        <v>8.5</v>
      </c>
      <c r="AA536" s="355" t="str">
        <f t="shared" si="471"/>
        <v>ON</v>
      </c>
      <c r="AB536" s="357">
        <f t="shared" si="438"/>
        <v>1.4999999999999999E-2</v>
      </c>
      <c r="AC536" s="356" t="e">
        <f ca="1">IF(  Y535=0,0,IF(OR(S536="KCAS",S536="INOP",S536="MEFE"),   ( (5*( (   (((1+0.2*(T536/661.4786)^2)^3.5 -1)  )/( (1-6.8755856*10^-6 *100*Y536)^5.2558797) +1)^(2/7) -1) )^0.5),IF(S536="MACH",T536, IF(S536="LRC",BicubicInterpolation( 'LRC Mach'!$C$4:$AL$21, Y536,U536),  IF(S536="MRC",BicubicInterpolation( 'MRC Mach'!$C$3:$T$18, Y536,U536),  IF(S536="M0.84",0.84,  IF(S536="CI52",BicubicInterpolation('CI=52 Mach'!$C$3:$T$18, Y536,U536),  IF(S536="HOLDING",BicubicInterpolation(  'Holding Mach'!$C$4:$M$13, Y536,U536),                         IF(S536="LRCINOP", BicubicInterpolation('LRC INOP Mach'!$C$4:$AA$21,Y536,U536), IF(S536="HOLDINGINOP",  BicubicInterpolation('Holding INOP Mach'!$N$4:$U$13,Y536,U536),         "XXX" )))))))   )))</f>
        <v>#NAME?</v>
      </c>
      <c r="AD536" s="313" t="e">
        <f t="shared" ca="1" si="439"/>
        <v>#NAME?</v>
      </c>
      <c r="AE536" s="314" t="e">
        <f t="shared" ca="1" si="488"/>
        <v>#NAME?</v>
      </c>
      <c r="AF536" s="313" t="e">
        <f t="shared" ca="1" si="440"/>
        <v>#NAME?</v>
      </c>
      <c r="AG536" s="314" t="e">
        <f t="shared" ca="1" si="489"/>
        <v>#NAME?</v>
      </c>
      <c r="AH536" s="313" t="e">
        <f t="shared" ca="1" si="441"/>
        <v>#NAME?</v>
      </c>
      <c r="AI536" s="314" t="e">
        <f t="shared" ca="1" si="490"/>
        <v>#NAME?</v>
      </c>
      <c r="AJ536" s="315" t="e">
        <f t="shared" ca="1" si="491"/>
        <v>#NAME?</v>
      </c>
      <c r="AK536" s="568" t="e">
        <f t="shared" ca="1" si="442"/>
        <v>#NAME?</v>
      </c>
      <c r="AL536" s="313" t="e">
        <f t="shared" ca="1" si="443"/>
        <v>#NAME?</v>
      </c>
      <c r="AM536" s="313" t="e">
        <f t="shared" ca="1" si="492"/>
        <v>#NAME?</v>
      </c>
      <c r="AN536" s="313" t="e">
        <f t="shared" ca="1" si="493"/>
        <v>#NAME?</v>
      </c>
      <c r="AO536" s="316" t="e">
        <f t="shared" ca="1" si="444"/>
        <v>#NAME?</v>
      </c>
      <c r="AP536" s="313" t="e">
        <f t="shared" ca="1" si="445"/>
        <v>#NAME?</v>
      </c>
      <c r="AQ536" s="314" t="e">
        <f t="shared" ca="1" si="494"/>
        <v>#NAME?</v>
      </c>
      <c r="AR536" s="315" t="e">
        <f t="shared" ca="1" si="446"/>
        <v>#NAME?</v>
      </c>
      <c r="AS536" s="316" t="e">
        <f t="shared" ca="1" si="447"/>
        <v>#NAME?</v>
      </c>
      <c r="AT536" s="315" t="e">
        <f t="shared" ca="1" si="448"/>
        <v>#NAME?</v>
      </c>
      <c r="AU536" s="317">
        <v>427.8</v>
      </c>
      <c r="AV536" s="315" t="e">
        <f t="shared" ca="1" si="449"/>
        <v>#NAME?</v>
      </c>
      <c r="AW536" s="318" t="e">
        <f ca="1">0.0001*BicubicInterpolation('Drag Coef Table'!$B$4:$L$28,AV536,AC536)</f>
        <v>#NAME?</v>
      </c>
      <c r="AX536" s="319" t="e">
        <f t="shared" ca="1" si="450"/>
        <v>#NAME?</v>
      </c>
      <c r="AY536" s="318" t="e">
        <f t="shared" ca="1" si="451"/>
        <v>#NAME?</v>
      </c>
      <c r="AZ536" s="320" t="e">
        <f t="shared" ca="1" si="452"/>
        <v>#NAME?</v>
      </c>
      <c r="BA536" s="321" t="e">
        <f t="shared" ca="1" si="453"/>
        <v>#NAME?</v>
      </c>
      <c r="BB536" s="322" t="e">
        <f t="shared" ca="1" si="454"/>
        <v>#NAME?</v>
      </c>
      <c r="BC536" s="323">
        <v>75.196700000000007</v>
      </c>
      <c r="BD536" s="324" t="e">
        <f t="shared" ca="1" si="455"/>
        <v>#NAME?</v>
      </c>
      <c r="BE536" s="325" t="e">
        <f t="shared" ca="1" si="456"/>
        <v>#NAME?</v>
      </c>
      <c r="BF536" s="324" t="e">
        <f ca="1">BicubicInterpolation('TSFC Eff Table'!$B$4:$E$69,2,BB536)</f>
        <v>#NAME?</v>
      </c>
      <c r="BG536" s="326" t="e">
        <f t="shared" ca="1" si="457"/>
        <v>#NAME?</v>
      </c>
      <c r="BH536" s="694" t="e">
        <f ca="1">IF( S536="LRCINOP",   (1+(0.03/10)*Z536*(1+0.2*AC536^2) )*BicubicInterpolation( 'LRC INOP FF'!$C$4:$AA$21, Y536, U536 )-200, IF(S536 ="HOLDINGINOP", (1+(0.03/10)*Z536*(1+0.2*AC536^2) )*BicubicInterpolation( 'Holding INOP FF'!$C$4:$J$13,  Y536,  U536)/1.05-200,   BA536*BG536))</f>
        <v>#NAME?</v>
      </c>
      <c r="BI536" s="344" t="e">
        <f t="shared" ca="1" si="478"/>
        <v>#NAME?</v>
      </c>
      <c r="BJ536" s="322" t="e">
        <f t="shared" ca="1" si="458"/>
        <v>#NAME?</v>
      </c>
      <c r="BK536" s="338" t="e">
        <f t="shared" ca="1" si="479"/>
        <v>#NAME?</v>
      </c>
      <c r="BL536" s="327" t="e">
        <f t="shared" ca="1" si="459"/>
        <v>#NAME?</v>
      </c>
      <c r="BM536" s="328">
        <f t="shared" si="460"/>
        <v>200</v>
      </c>
      <c r="BN536" s="329" t="e">
        <f t="shared" ca="1" si="461"/>
        <v>#NAME?</v>
      </c>
      <c r="BO536" s="344" t="e">
        <f t="shared" ca="1" si="480"/>
        <v>#NAME?</v>
      </c>
      <c r="BP536" s="320" t="e">
        <f t="shared" ca="1" si="462"/>
        <v>#NAME?</v>
      </c>
      <c r="BQ536" s="344" t="e">
        <f t="shared" ca="1" si="481"/>
        <v>#NAME?</v>
      </c>
      <c r="BR536" s="347" t="e">
        <f t="shared" ca="1" si="482"/>
        <v>#NAME?</v>
      </c>
      <c r="BS536" s="326" t="e">
        <f t="shared" ca="1" si="463"/>
        <v>#NAME?</v>
      </c>
      <c r="BT536" s="437" t="e">
        <f t="shared" ca="1" si="495"/>
        <v>#NAME?</v>
      </c>
      <c r="BU536" s="437" t="e">
        <f t="shared" ca="1" si="496"/>
        <v>#NAME?</v>
      </c>
      <c r="BV536" s="441" t="e">
        <f t="shared" ca="1" si="497"/>
        <v>#NAME?</v>
      </c>
      <c r="BW536" s="442" t="e">
        <f t="shared" ca="1" si="498"/>
        <v>#NAME?</v>
      </c>
      <c r="BX536" s="470" t="e">
        <f t="shared" ca="1" si="472"/>
        <v>#NAME?</v>
      </c>
      <c r="BY536" s="484" t="e">
        <f t="shared" ca="1" si="483"/>
        <v>#NAME?</v>
      </c>
    </row>
    <row r="537" spans="9:77" ht="17.75" customHeight="1" x14ac:dyDescent="0.2">
      <c r="I537" s="366">
        <v>453</v>
      </c>
      <c r="J537" s="414">
        <f t="shared" si="484"/>
        <v>41706.02708333436</v>
      </c>
      <c r="K537" s="435" t="e">
        <f t="shared" ca="1" si="485"/>
        <v>#NAME?</v>
      </c>
      <c r="L537" s="435" t="e">
        <f t="shared" ca="1" si="466"/>
        <v>#NAME?</v>
      </c>
      <c r="M537" s="664" t="e">
        <f t="shared" ca="1" si="464"/>
        <v>#NAME?</v>
      </c>
      <c r="N537" s="664" t="e">
        <f t="shared" ca="1" si="465"/>
        <v>#NAME?</v>
      </c>
      <c r="O537" s="140" t="e">
        <f t="shared" ca="1" si="473"/>
        <v>#NAME?</v>
      </c>
      <c r="P537" s="352" t="e">
        <f t="shared" ca="1" si="486"/>
        <v>#NAME?</v>
      </c>
      <c r="Q537" s="665" t="e">
        <f t="shared" ca="1" si="467"/>
        <v>#NAME?</v>
      </c>
      <c r="R537" s="352" t="e">
        <f t="shared" ca="1" si="437"/>
        <v>#NAME?</v>
      </c>
      <c r="S537" s="662" t="e">
        <f t="shared" ca="1" si="474"/>
        <v>#NAME?</v>
      </c>
      <c r="T537" s="443" t="e">
        <f t="shared" ca="1" si="468"/>
        <v>#NAME?</v>
      </c>
      <c r="U537" s="369" t="e">
        <f t="shared" ca="1" si="469"/>
        <v>#NAME?</v>
      </c>
      <c r="V537" s="454" t="e">
        <f t="shared" ca="1" si="475"/>
        <v>#NAME?</v>
      </c>
      <c r="W537" s="457">
        <f t="shared" si="476"/>
        <v>1000</v>
      </c>
      <c r="X537" s="463" t="e">
        <f t="shared" ca="1" si="477"/>
        <v>#NAME?</v>
      </c>
      <c r="Y537" s="455" t="e">
        <f t="shared" ca="1" si="487"/>
        <v>#NAME?</v>
      </c>
      <c r="Z537" s="699">
        <f t="shared" si="470"/>
        <v>8.5</v>
      </c>
      <c r="AA537" s="355" t="str">
        <f t="shared" si="471"/>
        <v>ON</v>
      </c>
      <c r="AB537" s="357">
        <f t="shared" si="438"/>
        <v>1.4999999999999999E-2</v>
      </c>
      <c r="AC537" s="356" t="e">
        <f ca="1">IF(  Y536=0,0,IF(OR(S537="KCAS",S537="INOP",S537="MEFE"),   ( (5*( (   (((1+0.2*(T537/661.4786)^2)^3.5 -1)  )/( (1-6.8755856*10^-6 *100*Y537)^5.2558797) +1)^(2/7) -1) )^0.5),IF(S537="MACH",T537, IF(S537="LRC",BicubicInterpolation( 'LRC Mach'!$C$4:$AL$21, Y537,U537),  IF(S537="MRC",BicubicInterpolation( 'MRC Mach'!$C$3:$T$18, Y537,U537),  IF(S537="M0.84",0.84,  IF(S537="CI52",BicubicInterpolation('CI=52 Mach'!$C$3:$T$18, Y537,U537),  IF(S537="HOLDING",BicubicInterpolation(  'Holding Mach'!$C$4:$M$13, Y537,U537),                         IF(S537="LRCINOP", BicubicInterpolation('LRC INOP Mach'!$C$4:$AA$21,Y537,U537), IF(S537="HOLDINGINOP",  BicubicInterpolation('Holding INOP Mach'!$N$4:$U$13,Y537,U537),         "XXX" )))))))   )))</f>
        <v>#NAME?</v>
      </c>
      <c r="AD537" s="313" t="e">
        <f t="shared" ca="1" si="439"/>
        <v>#NAME?</v>
      </c>
      <c r="AE537" s="314" t="e">
        <f t="shared" ca="1" si="488"/>
        <v>#NAME?</v>
      </c>
      <c r="AF537" s="313" t="e">
        <f t="shared" ca="1" si="440"/>
        <v>#NAME?</v>
      </c>
      <c r="AG537" s="314" t="e">
        <f t="shared" ca="1" si="489"/>
        <v>#NAME?</v>
      </c>
      <c r="AH537" s="313" t="e">
        <f t="shared" ca="1" si="441"/>
        <v>#NAME?</v>
      </c>
      <c r="AI537" s="314" t="e">
        <f t="shared" ca="1" si="490"/>
        <v>#NAME?</v>
      </c>
      <c r="AJ537" s="315" t="e">
        <f t="shared" ca="1" si="491"/>
        <v>#NAME?</v>
      </c>
      <c r="AK537" s="568" t="e">
        <f t="shared" ca="1" si="442"/>
        <v>#NAME?</v>
      </c>
      <c r="AL537" s="313" t="e">
        <f t="shared" ca="1" si="443"/>
        <v>#NAME?</v>
      </c>
      <c r="AM537" s="313" t="e">
        <f t="shared" ca="1" si="492"/>
        <v>#NAME?</v>
      </c>
      <c r="AN537" s="313" t="e">
        <f t="shared" ca="1" si="493"/>
        <v>#NAME?</v>
      </c>
      <c r="AO537" s="316" t="e">
        <f t="shared" ca="1" si="444"/>
        <v>#NAME?</v>
      </c>
      <c r="AP537" s="313" t="e">
        <f t="shared" ca="1" si="445"/>
        <v>#NAME?</v>
      </c>
      <c r="AQ537" s="314" t="e">
        <f t="shared" ca="1" si="494"/>
        <v>#NAME?</v>
      </c>
      <c r="AR537" s="315" t="e">
        <f t="shared" ca="1" si="446"/>
        <v>#NAME?</v>
      </c>
      <c r="AS537" s="316" t="e">
        <f t="shared" ca="1" si="447"/>
        <v>#NAME?</v>
      </c>
      <c r="AT537" s="315" t="e">
        <f t="shared" ca="1" si="448"/>
        <v>#NAME?</v>
      </c>
      <c r="AU537" s="317">
        <v>427.8</v>
      </c>
      <c r="AV537" s="315" t="e">
        <f t="shared" ca="1" si="449"/>
        <v>#NAME?</v>
      </c>
      <c r="AW537" s="318" t="e">
        <f ca="1">0.0001*BicubicInterpolation('Drag Coef Table'!$B$4:$L$28,AV537,AC537)</f>
        <v>#NAME?</v>
      </c>
      <c r="AX537" s="319" t="e">
        <f t="shared" ca="1" si="450"/>
        <v>#NAME?</v>
      </c>
      <c r="AY537" s="318" t="e">
        <f t="shared" ca="1" si="451"/>
        <v>#NAME?</v>
      </c>
      <c r="AZ537" s="320" t="e">
        <f t="shared" ca="1" si="452"/>
        <v>#NAME?</v>
      </c>
      <c r="BA537" s="321" t="e">
        <f t="shared" ca="1" si="453"/>
        <v>#NAME?</v>
      </c>
      <c r="BB537" s="322" t="e">
        <f t="shared" ca="1" si="454"/>
        <v>#NAME?</v>
      </c>
      <c r="BC537" s="323">
        <v>75.196700000000007</v>
      </c>
      <c r="BD537" s="324" t="e">
        <f t="shared" ca="1" si="455"/>
        <v>#NAME?</v>
      </c>
      <c r="BE537" s="325" t="e">
        <f t="shared" ca="1" si="456"/>
        <v>#NAME?</v>
      </c>
      <c r="BF537" s="324" t="e">
        <f ca="1">BicubicInterpolation('TSFC Eff Table'!$B$4:$E$69,2,BB537)</f>
        <v>#NAME?</v>
      </c>
      <c r="BG537" s="326" t="e">
        <f t="shared" ca="1" si="457"/>
        <v>#NAME?</v>
      </c>
      <c r="BH537" s="694" t="e">
        <f ca="1">IF( S537="LRCINOP",   (1+(0.03/10)*Z537*(1+0.2*AC537^2) )*BicubicInterpolation( 'LRC INOP FF'!$C$4:$AA$21, Y537, U537 )-200, IF(S537 ="HOLDINGINOP", (1+(0.03/10)*Z537*(1+0.2*AC537^2) )*BicubicInterpolation( 'Holding INOP FF'!$C$4:$J$13,  Y537,  U537)/1.05-200,   BA537*BG537))</f>
        <v>#NAME?</v>
      </c>
      <c r="BI537" s="344" t="e">
        <f t="shared" ca="1" si="478"/>
        <v>#NAME?</v>
      </c>
      <c r="BJ537" s="322" t="e">
        <f t="shared" ca="1" si="458"/>
        <v>#NAME?</v>
      </c>
      <c r="BK537" s="338" t="e">
        <f t="shared" ca="1" si="479"/>
        <v>#NAME?</v>
      </c>
      <c r="BL537" s="327" t="e">
        <f t="shared" ca="1" si="459"/>
        <v>#NAME?</v>
      </c>
      <c r="BM537" s="328">
        <f t="shared" si="460"/>
        <v>200</v>
      </c>
      <c r="BN537" s="329" t="e">
        <f t="shared" ca="1" si="461"/>
        <v>#NAME?</v>
      </c>
      <c r="BO537" s="344" t="e">
        <f t="shared" ca="1" si="480"/>
        <v>#NAME?</v>
      </c>
      <c r="BP537" s="320" t="e">
        <f t="shared" ca="1" si="462"/>
        <v>#NAME?</v>
      </c>
      <c r="BQ537" s="344" t="e">
        <f t="shared" ca="1" si="481"/>
        <v>#NAME?</v>
      </c>
      <c r="BR537" s="347" t="e">
        <f t="shared" ca="1" si="482"/>
        <v>#NAME?</v>
      </c>
      <c r="BS537" s="326" t="e">
        <f t="shared" ca="1" si="463"/>
        <v>#NAME?</v>
      </c>
      <c r="BT537" s="437" t="e">
        <f t="shared" ca="1" si="495"/>
        <v>#NAME?</v>
      </c>
      <c r="BU537" s="437" t="e">
        <f t="shared" ca="1" si="496"/>
        <v>#NAME?</v>
      </c>
      <c r="BV537" s="441" t="e">
        <f t="shared" ca="1" si="497"/>
        <v>#NAME?</v>
      </c>
      <c r="BW537" s="442" t="e">
        <f t="shared" ca="1" si="498"/>
        <v>#NAME?</v>
      </c>
      <c r="BX537" s="470" t="e">
        <f t="shared" ca="1" si="472"/>
        <v>#NAME?</v>
      </c>
      <c r="BY537" s="484" t="e">
        <f t="shared" ca="1" si="483"/>
        <v>#NAME?</v>
      </c>
    </row>
    <row r="538" spans="9:77" ht="17.75" customHeight="1" x14ac:dyDescent="0.2">
      <c r="I538" s="366">
        <v>454</v>
      </c>
      <c r="J538" s="414">
        <f t="shared" si="484"/>
        <v>41706.027777778807</v>
      </c>
      <c r="K538" s="435" t="e">
        <f t="shared" ca="1" si="485"/>
        <v>#NAME?</v>
      </c>
      <c r="L538" s="435" t="e">
        <f t="shared" ca="1" si="466"/>
        <v>#NAME?</v>
      </c>
      <c r="M538" s="664" t="e">
        <f t="shared" ca="1" si="464"/>
        <v>#NAME?</v>
      </c>
      <c r="N538" s="664" t="e">
        <f t="shared" ca="1" si="465"/>
        <v>#NAME?</v>
      </c>
      <c r="O538" s="140" t="e">
        <f t="shared" ca="1" si="473"/>
        <v>#NAME?</v>
      </c>
      <c r="P538" s="352" t="e">
        <f t="shared" ca="1" si="486"/>
        <v>#NAME?</v>
      </c>
      <c r="Q538" s="665" t="e">
        <f t="shared" ca="1" si="467"/>
        <v>#NAME?</v>
      </c>
      <c r="R538" s="352" t="e">
        <f t="shared" ca="1" si="437"/>
        <v>#NAME?</v>
      </c>
      <c r="S538" s="662" t="e">
        <f t="shared" ca="1" si="474"/>
        <v>#NAME?</v>
      </c>
      <c r="T538" s="443" t="e">
        <f t="shared" ca="1" si="468"/>
        <v>#NAME?</v>
      </c>
      <c r="U538" s="369" t="e">
        <f t="shared" ca="1" si="469"/>
        <v>#NAME?</v>
      </c>
      <c r="V538" s="454" t="e">
        <f t="shared" ca="1" si="475"/>
        <v>#NAME?</v>
      </c>
      <c r="W538" s="457">
        <f t="shared" si="476"/>
        <v>1000</v>
      </c>
      <c r="X538" s="463" t="e">
        <f t="shared" ca="1" si="477"/>
        <v>#NAME?</v>
      </c>
      <c r="Y538" s="455" t="e">
        <f t="shared" ca="1" si="487"/>
        <v>#NAME?</v>
      </c>
      <c r="Z538" s="699">
        <f t="shared" si="470"/>
        <v>8.5</v>
      </c>
      <c r="AA538" s="355" t="str">
        <f t="shared" si="471"/>
        <v>ON</v>
      </c>
      <c r="AB538" s="357">
        <f t="shared" si="438"/>
        <v>1.4999999999999999E-2</v>
      </c>
      <c r="AC538" s="356" t="e">
        <f ca="1">IF(  Y537=0,0,IF(OR(S538="KCAS",S538="INOP",S538="MEFE"),   ( (5*( (   (((1+0.2*(T538/661.4786)^2)^3.5 -1)  )/( (1-6.8755856*10^-6 *100*Y538)^5.2558797) +1)^(2/7) -1) )^0.5),IF(S538="MACH",T538, IF(S538="LRC",BicubicInterpolation( 'LRC Mach'!$C$4:$AL$21, Y538,U538),  IF(S538="MRC",BicubicInterpolation( 'MRC Mach'!$C$3:$T$18, Y538,U538),  IF(S538="M0.84",0.84,  IF(S538="CI52",BicubicInterpolation('CI=52 Mach'!$C$3:$T$18, Y538,U538),  IF(S538="HOLDING",BicubicInterpolation(  'Holding Mach'!$C$4:$M$13, Y538,U538),                         IF(S538="LRCINOP", BicubicInterpolation('LRC INOP Mach'!$C$4:$AA$21,Y538,U538), IF(S538="HOLDINGINOP",  BicubicInterpolation('Holding INOP Mach'!$N$4:$U$13,Y538,U538),         "XXX" )))))))   )))</f>
        <v>#NAME?</v>
      </c>
      <c r="AD538" s="313" t="e">
        <f t="shared" ca="1" si="439"/>
        <v>#NAME?</v>
      </c>
      <c r="AE538" s="314" t="e">
        <f t="shared" ca="1" si="488"/>
        <v>#NAME?</v>
      </c>
      <c r="AF538" s="313" t="e">
        <f t="shared" ca="1" si="440"/>
        <v>#NAME?</v>
      </c>
      <c r="AG538" s="314" t="e">
        <f t="shared" ca="1" si="489"/>
        <v>#NAME?</v>
      </c>
      <c r="AH538" s="313" t="e">
        <f t="shared" ca="1" si="441"/>
        <v>#NAME?</v>
      </c>
      <c r="AI538" s="314" t="e">
        <f t="shared" ca="1" si="490"/>
        <v>#NAME?</v>
      </c>
      <c r="AJ538" s="315" t="e">
        <f t="shared" ca="1" si="491"/>
        <v>#NAME?</v>
      </c>
      <c r="AK538" s="568" t="e">
        <f t="shared" ca="1" si="442"/>
        <v>#NAME?</v>
      </c>
      <c r="AL538" s="313" t="e">
        <f t="shared" ca="1" si="443"/>
        <v>#NAME?</v>
      </c>
      <c r="AM538" s="313" t="e">
        <f t="shared" ca="1" si="492"/>
        <v>#NAME?</v>
      </c>
      <c r="AN538" s="313" t="e">
        <f t="shared" ca="1" si="493"/>
        <v>#NAME?</v>
      </c>
      <c r="AO538" s="316" t="e">
        <f t="shared" ca="1" si="444"/>
        <v>#NAME?</v>
      </c>
      <c r="AP538" s="313" t="e">
        <f t="shared" ca="1" si="445"/>
        <v>#NAME?</v>
      </c>
      <c r="AQ538" s="314" t="e">
        <f t="shared" ca="1" si="494"/>
        <v>#NAME?</v>
      </c>
      <c r="AR538" s="315" t="e">
        <f t="shared" ca="1" si="446"/>
        <v>#NAME?</v>
      </c>
      <c r="AS538" s="316" t="e">
        <f t="shared" ca="1" si="447"/>
        <v>#NAME?</v>
      </c>
      <c r="AT538" s="315" t="e">
        <f t="shared" ca="1" si="448"/>
        <v>#NAME?</v>
      </c>
      <c r="AU538" s="317">
        <v>427.8</v>
      </c>
      <c r="AV538" s="315" t="e">
        <f t="shared" ca="1" si="449"/>
        <v>#NAME?</v>
      </c>
      <c r="AW538" s="318" t="e">
        <f ca="1">0.0001*BicubicInterpolation('Drag Coef Table'!$B$4:$L$28,AV538,AC538)</f>
        <v>#NAME?</v>
      </c>
      <c r="AX538" s="319" t="e">
        <f t="shared" ca="1" si="450"/>
        <v>#NAME?</v>
      </c>
      <c r="AY538" s="318" t="e">
        <f t="shared" ca="1" si="451"/>
        <v>#NAME?</v>
      </c>
      <c r="AZ538" s="320" t="e">
        <f t="shared" ca="1" si="452"/>
        <v>#NAME?</v>
      </c>
      <c r="BA538" s="321" t="e">
        <f t="shared" ca="1" si="453"/>
        <v>#NAME?</v>
      </c>
      <c r="BB538" s="322" t="e">
        <f t="shared" ca="1" si="454"/>
        <v>#NAME?</v>
      </c>
      <c r="BC538" s="323">
        <v>75.196700000000007</v>
      </c>
      <c r="BD538" s="324" t="e">
        <f t="shared" ca="1" si="455"/>
        <v>#NAME?</v>
      </c>
      <c r="BE538" s="325" t="e">
        <f t="shared" ca="1" si="456"/>
        <v>#NAME?</v>
      </c>
      <c r="BF538" s="324" t="e">
        <f ca="1">BicubicInterpolation('TSFC Eff Table'!$B$4:$E$69,2,BB538)</f>
        <v>#NAME?</v>
      </c>
      <c r="BG538" s="326" t="e">
        <f t="shared" ca="1" si="457"/>
        <v>#NAME?</v>
      </c>
      <c r="BH538" s="694" t="e">
        <f ca="1">IF( S538="LRCINOP",   (1+(0.03/10)*Z538*(1+0.2*AC538^2) )*BicubicInterpolation( 'LRC INOP FF'!$C$4:$AA$21, Y538, U538 )-200, IF(S538 ="HOLDINGINOP", (1+(0.03/10)*Z538*(1+0.2*AC538^2) )*BicubicInterpolation( 'Holding INOP FF'!$C$4:$J$13,  Y538,  U538)/1.05-200,   BA538*BG538))</f>
        <v>#NAME?</v>
      </c>
      <c r="BI538" s="344" t="e">
        <f t="shared" ca="1" si="478"/>
        <v>#NAME?</v>
      </c>
      <c r="BJ538" s="322" t="e">
        <f t="shared" ca="1" si="458"/>
        <v>#NAME?</v>
      </c>
      <c r="BK538" s="338" t="e">
        <f t="shared" ca="1" si="479"/>
        <v>#NAME?</v>
      </c>
      <c r="BL538" s="327" t="e">
        <f t="shared" ca="1" si="459"/>
        <v>#NAME?</v>
      </c>
      <c r="BM538" s="328">
        <f t="shared" si="460"/>
        <v>200</v>
      </c>
      <c r="BN538" s="329" t="e">
        <f t="shared" ca="1" si="461"/>
        <v>#NAME?</v>
      </c>
      <c r="BO538" s="344" t="e">
        <f t="shared" ca="1" si="480"/>
        <v>#NAME?</v>
      </c>
      <c r="BP538" s="320" t="e">
        <f t="shared" ca="1" si="462"/>
        <v>#NAME?</v>
      </c>
      <c r="BQ538" s="344" t="e">
        <f t="shared" ca="1" si="481"/>
        <v>#NAME?</v>
      </c>
      <c r="BR538" s="347" t="e">
        <f t="shared" ca="1" si="482"/>
        <v>#NAME?</v>
      </c>
      <c r="BS538" s="326" t="e">
        <f t="shared" ca="1" si="463"/>
        <v>#NAME?</v>
      </c>
      <c r="BT538" s="437" t="e">
        <f t="shared" ca="1" si="495"/>
        <v>#NAME?</v>
      </c>
      <c r="BU538" s="437" t="e">
        <f t="shared" ca="1" si="496"/>
        <v>#NAME?</v>
      </c>
      <c r="BV538" s="441" t="e">
        <f t="shared" ca="1" si="497"/>
        <v>#NAME?</v>
      </c>
      <c r="BW538" s="442" t="e">
        <f t="shared" ca="1" si="498"/>
        <v>#NAME?</v>
      </c>
      <c r="BX538" s="470" t="e">
        <f t="shared" ca="1" si="472"/>
        <v>#NAME?</v>
      </c>
      <c r="BY538" s="484" t="e">
        <f t="shared" ca="1" si="483"/>
        <v>#NAME?</v>
      </c>
    </row>
    <row r="539" spans="9:77" ht="17.75" customHeight="1" x14ac:dyDescent="0.2">
      <c r="I539" s="366">
        <v>455</v>
      </c>
      <c r="J539" s="414">
        <f t="shared" si="484"/>
        <v>41706.028472223254</v>
      </c>
      <c r="K539" s="435" t="e">
        <f t="shared" ca="1" si="485"/>
        <v>#NAME?</v>
      </c>
      <c r="L539" s="435" t="e">
        <f t="shared" ca="1" si="466"/>
        <v>#NAME?</v>
      </c>
      <c r="M539" s="664" t="e">
        <f t="shared" ca="1" si="464"/>
        <v>#NAME?</v>
      </c>
      <c r="N539" s="664" t="e">
        <f t="shared" ca="1" si="465"/>
        <v>#NAME?</v>
      </c>
      <c r="O539" s="140" t="e">
        <f t="shared" ca="1" si="473"/>
        <v>#NAME?</v>
      </c>
      <c r="P539" s="352" t="e">
        <f t="shared" ca="1" si="486"/>
        <v>#NAME?</v>
      </c>
      <c r="Q539" s="665" t="e">
        <f t="shared" ca="1" si="467"/>
        <v>#NAME?</v>
      </c>
      <c r="R539" s="352" t="e">
        <f t="shared" ca="1" si="437"/>
        <v>#NAME?</v>
      </c>
      <c r="S539" s="662" t="e">
        <f t="shared" ca="1" si="474"/>
        <v>#NAME?</v>
      </c>
      <c r="T539" s="443" t="e">
        <f t="shared" ca="1" si="468"/>
        <v>#NAME?</v>
      </c>
      <c r="U539" s="369" t="e">
        <f t="shared" ca="1" si="469"/>
        <v>#NAME?</v>
      </c>
      <c r="V539" s="454" t="e">
        <f t="shared" ca="1" si="475"/>
        <v>#NAME?</v>
      </c>
      <c r="W539" s="457">
        <f t="shared" si="476"/>
        <v>1000</v>
      </c>
      <c r="X539" s="463" t="e">
        <f t="shared" ca="1" si="477"/>
        <v>#NAME?</v>
      </c>
      <c r="Y539" s="455" t="e">
        <f t="shared" ca="1" si="487"/>
        <v>#NAME?</v>
      </c>
      <c r="Z539" s="699">
        <f t="shared" si="470"/>
        <v>8.5</v>
      </c>
      <c r="AA539" s="355" t="str">
        <f t="shared" si="471"/>
        <v>ON</v>
      </c>
      <c r="AB539" s="357">
        <f t="shared" si="438"/>
        <v>1.4999999999999999E-2</v>
      </c>
      <c r="AC539" s="356" t="e">
        <f ca="1">IF(  Y538=0,0,IF(OR(S539="KCAS",S539="INOP",S539="MEFE"),   ( (5*( (   (((1+0.2*(T539/661.4786)^2)^3.5 -1)  )/( (1-6.8755856*10^-6 *100*Y539)^5.2558797) +1)^(2/7) -1) )^0.5),IF(S539="MACH",T539, IF(S539="LRC",BicubicInterpolation( 'LRC Mach'!$C$4:$AL$21, Y539,U539),  IF(S539="MRC",BicubicInterpolation( 'MRC Mach'!$C$3:$T$18, Y539,U539),  IF(S539="M0.84",0.84,  IF(S539="CI52",BicubicInterpolation('CI=52 Mach'!$C$3:$T$18, Y539,U539),  IF(S539="HOLDING",BicubicInterpolation(  'Holding Mach'!$C$4:$M$13, Y539,U539),                         IF(S539="LRCINOP", BicubicInterpolation('LRC INOP Mach'!$C$4:$AA$21,Y539,U539), IF(S539="HOLDINGINOP",  BicubicInterpolation('Holding INOP Mach'!$N$4:$U$13,Y539,U539),         "XXX" )))))))   )))</f>
        <v>#NAME?</v>
      </c>
      <c r="AD539" s="313" t="e">
        <f t="shared" ca="1" si="439"/>
        <v>#NAME?</v>
      </c>
      <c r="AE539" s="314" t="e">
        <f t="shared" ca="1" si="488"/>
        <v>#NAME?</v>
      </c>
      <c r="AF539" s="313" t="e">
        <f t="shared" ca="1" si="440"/>
        <v>#NAME?</v>
      </c>
      <c r="AG539" s="314" t="e">
        <f t="shared" ca="1" si="489"/>
        <v>#NAME?</v>
      </c>
      <c r="AH539" s="313" t="e">
        <f t="shared" ca="1" si="441"/>
        <v>#NAME?</v>
      </c>
      <c r="AI539" s="314" t="e">
        <f t="shared" ca="1" si="490"/>
        <v>#NAME?</v>
      </c>
      <c r="AJ539" s="315" t="e">
        <f t="shared" ca="1" si="491"/>
        <v>#NAME?</v>
      </c>
      <c r="AK539" s="568" t="e">
        <f t="shared" ca="1" si="442"/>
        <v>#NAME?</v>
      </c>
      <c r="AL539" s="313" t="e">
        <f t="shared" ca="1" si="443"/>
        <v>#NAME?</v>
      </c>
      <c r="AM539" s="313" t="e">
        <f t="shared" ca="1" si="492"/>
        <v>#NAME?</v>
      </c>
      <c r="AN539" s="313" t="e">
        <f t="shared" ca="1" si="493"/>
        <v>#NAME?</v>
      </c>
      <c r="AO539" s="316" t="e">
        <f t="shared" ca="1" si="444"/>
        <v>#NAME?</v>
      </c>
      <c r="AP539" s="313" t="e">
        <f t="shared" ca="1" si="445"/>
        <v>#NAME?</v>
      </c>
      <c r="AQ539" s="314" t="e">
        <f t="shared" ca="1" si="494"/>
        <v>#NAME?</v>
      </c>
      <c r="AR539" s="315" t="e">
        <f t="shared" ca="1" si="446"/>
        <v>#NAME?</v>
      </c>
      <c r="AS539" s="316" t="e">
        <f t="shared" ca="1" si="447"/>
        <v>#NAME?</v>
      </c>
      <c r="AT539" s="315" t="e">
        <f t="shared" ca="1" si="448"/>
        <v>#NAME?</v>
      </c>
      <c r="AU539" s="317">
        <v>427.8</v>
      </c>
      <c r="AV539" s="315" t="e">
        <f t="shared" ca="1" si="449"/>
        <v>#NAME?</v>
      </c>
      <c r="AW539" s="318" t="e">
        <f ca="1">0.0001*BicubicInterpolation('Drag Coef Table'!$B$4:$L$28,AV539,AC539)</f>
        <v>#NAME?</v>
      </c>
      <c r="AX539" s="319" t="e">
        <f t="shared" ca="1" si="450"/>
        <v>#NAME?</v>
      </c>
      <c r="AY539" s="318" t="e">
        <f t="shared" ca="1" si="451"/>
        <v>#NAME?</v>
      </c>
      <c r="AZ539" s="320" t="e">
        <f t="shared" ca="1" si="452"/>
        <v>#NAME?</v>
      </c>
      <c r="BA539" s="321" t="e">
        <f t="shared" ca="1" si="453"/>
        <v>#NAME?</v>
      </c>
      <c r="BB539" s="322" t="e">
        <f t="shared" ca="1" si="454"/>
        <v>#NAME?</v>
      </c>
      <c r="BC539" s="323">
        <v>75.196700000000007</v>
      </c>
      <c r="BD539" s="324" t="e">
        <f t="shared" ca="1" si="455"/>
        <v>#NAME?</v>
      </c>
      <c r="BE539" s="325" t="e">
        <f t="shared" ca="1" si="456"/>
        <v>#NAME?</v>
      </c>
      <c r="BF539" s="324" t="e">
        <f ca="1">BicubicInterpolation('TSFC Eff Table'!$B$4:$E$69,2,BB539)</f>
        <v>#NAME?</v>
      </c>
      <c r="BG539" s="326" t="e">
        <f t="shared" ca="1" si="457"/>
        <v>#NAME?</v>
      </c>
      <c r="BH539" s="694" t="e">
        <f ca="1">IF( S539="LRCINOP",   (1+(0.03/10)*Z539*(1+0.2*AC539^2) )*BicubicInterpolation( 'LRC INOP FF'!$C$4:$AA$21, Y539, U539 )-200, IF(S539 ="HOLDINGINOP", (1+(0.03/10)*Z539*(1+0.2*AC539^2) )*BicubicInterpolation( 'Holding INOP FF'!$C$4:$J$13,  Y539,  U539)/1.05-200,   BA539*BG539))</f>
        <v>#NAME?</v>
      </c>
      <c r="BI539" s="344" t="e">
        <f t="shared" ca="1" si="478"/>
        <v>#NAME?</v>
      </c>
      <c r="BJ539" s="322" t="e">
        <f t="shared" ca="1" si="458"/>
        <v>#NAME?</v>
      </c>
      <c r="BK539" s="338" t="e">
        <f t="shared" ca="1" si="479"/>
        <v>#NAME?</v>
      </c>
      <c r="BL539" s="327" t="e">
        <f t="shared" ca="1" si="459"/>
        <v>#NAME?</v>
      </c>
      <c r="BM539" s="328">
        <f t="shared" si="460"/>
        <v>200</v>
      </c>
      <c r="BN539" s="329" t="e">
        <f t="shared" ca="1" si="461"/>
        <v>#NAME?</v>
      </c>
      <c r="BO539" s="344" t="e">
        <f t="shared" ca="1" si="480"/>
        <v>#NAME?</v>
      </c>
      <c r="BP539" s="320" t="e">
        <f t="shared" ca="1" si="462"/>
        <v>#NAME?</v>
      </c>
      <c r="BQ539" s="344" t="e">
        <f t="shared" ca="1" si="481"/>
        <v>#NAME?</v>
      </c>
      <c r="BR539" s="347" t="e">
        <f t="shared" ca="1" si="482"/>
        <v>#NAME?</v>
      </c>
      <c r="BS539" s="326" t="e">
        <f t="shared" ca="1" si="463"/>
        <v>#NAME?</v>
      </c>
      <c r="BT539" s="437" t="e">
        <f t="shared" ca="1" si="495"/>
        <v>#NAME?</v>
      </c>
      <c r="BU539" s="437" t="e">
        <f t="shared" ca="1" si="496"/>
        <v>#NAME?</v>
      </c>
      <c r="BV539" s="441" t="e">
        <f t="shared" ca="1" si="497"/>
        <v>#NAME?</v>
      </c>
      <c r="BW539" s="442" t="e">
        <f t="shared" ca="1" si="498"/>
        <v>#NAME?</v>
      </c>
      <c r="BX539" s="470" t="e">
        <f t="shared" ca="1" si="472"/>
        <v>#NAME?</v>
      </c>
      <c r="BY539" s="484" t="e">
        <f t="shared" ca="1" si="483"/>
        <v>#NAME?</v>
      </c>
    </row>
    <row r="540" spans="9:77" ht="17.75" customHeight="1" x14ac:dyDescent="0.2">
      <c r="I540" s="366">
        <v>456</v>
      </c>
      <c r="J540" s="414">
        <f t="shared" si="484"/>
        <v>41706.0291666677</v>
      </c>
      <c r="K540" s="435" t="e">
        <f t="shared" ca="1" si="485"/>
        <v>#NAME?</v>
      </c>
      <c r="L540" s="435" t="e">
        <f t="shared" ca="1" si="466"/>
        <v>#NAME?</v>
      </c>
      <c r="M540" s="664" t="e">
        <f t="shared" ca="1" si="464"/>
        <v>#NAME?</v>
      </c>
      <c r="N540" s="664" t="e">
        <f t="shared" ca="1" si="465"/>
        <v>#NAME?</v>
      </c>
      <c r="O540" s="140" t="e">
        <f t="shared" ca="1" si="473"/>
        <v>#NAME?</v>
      </c>
      <c r="P540" s="352" t="e">
        <f t="shared" ca="1" si="486"/>
        <v>#NAME?</v>
      </c>
      <c r="Q540" s="665" t="e">
        <f t="shared" ca="1" si="467"/>
        <v>#NAME?</v>
      </c>
      <c r="R540" s="352" t="e">
        <f t="shared" ca="1" si="437"/>
        <v>#NAME?</v>
      </c>
      <c r="S540" s="662" t="e">
        <f t="shared" ca="1" si="474"/>
        <v>#NAME?</v>
      </c>
      <c r="T540" s="443" t="e">
        <f t="shared" ca="1" si="468"/>
        <v>#NAME?</v>
      </c>
      <c r="U540" s="369" t="e">
        <f t="shared" ca="1" si="469"/>
        <v>#NAME?</v>
      </c>
      <c r="V540" s="454" t="e">
        <f t="shared" ca="1" si="475"/>
        <v>#NAME?</v>
      </c>
      <c r="W540" s="457">
        <f t="shared" si="476"/>
        <v>1000</v>
      </c>
      <c r="X540" s="463" t="e">
        <f t="shared" ca="1" si="477"/>
        <v>#NAME?</v>
      </c>
      <c r="Y540" s="455" t="e">
        <f t="shared" ca="1" si="487"/>
        <v>#NAME?</v>
      </c>
      <c r="Z540" s="699">
        <f t="shared" si="470"/>
        <v>8.5</v>
      </c>
      <c r="AA540" s="355" t="str">
        <f t="shared" si="471"/>
        <v>ON</v>
      </c>
      <c r="AB540" s="357">
        <f t="shared" si="438"/>
        <v>1.4999999999999999E-2</v>
      </c>
      <c r="AC540" s="356" t="e">
        <f ca="1">IF(  Y539=0,0,IF(OR(S540="KCAS",S540="INOP",S540="MEFE"),   ( (5*( (   (((1+0.2*(T540/661.4786)^2)^3.5 -1)  )/( (1-6.8755856*10^-6 *100*Y540)^5.2558797) +1)^(2/7) -1) )^0.5),IF(S540="MACH",T540, IF(S540="LRC",BicubicInterpolation( 'LRC Mach'!$C$4:$AL$21, Y540,U540),  IF(S540="MRC",BicubicInterpolation( 'MRC Mach'!$C$3:$T$18, Y540,U540),  IF(S540="M0.84",0.84,  IF(S540="CI52",BicubicInterpolation('CI=52 Mach'!$C$3:$T$18, Y540,U540),  IF(S540="HOLDING",BicubicInterpolation(  'Holding Mach'!$C$4:$M$13, Y540,U540),                         IF(S540="LRCINOP", BicubicInterpolation('LRC INOP Mach'!$C$4:$AA$21,Y540,U540), IF(S540="HOLDINGINOP",  BicubicInterpolation('Holding INOP Mach'!$N$4:$U$13,Y540,U540),         "XXX" )))))))   )))</f>
        <v>#NAME?</v>
      </c>
      <c r="AD540" s="313" t="e">
        <f t="shared" ca="1" si="439"/>
        <v>#NAME?</v>
      </c>
      <c r="AE540" s="314" t="e">
        <f t="shared" ca="1" si="488"/>
        <v>#NAME?</v>
      </c>
      <c r="AF540" s="313" t="e">
        <f t="shared" ca="1" si="440"/>
        <v>#NAME?</v>
      </c>
      <c r="AG540" s="314" t="e">
        <f t="shared" ca="1" si="489"/>
        <v>#NAME?</v>
      </c>
      <c r="AH540" s="313" t="e">
        <f t="shared" ca="1" si="441"/>
        <v>#NAME?</v>
      </c>
      <c r="AI540" s="314" t="e">
        <f t="shared" ca="1" si="490"/>
        <v>#NAME?</v>
      </c>
      <c r="AJ540" s="315" t="e">
        <f t="shared" ca="1" si="491"/>
        <v>#NAME?</v>
      </c>
      <c r="AK540" s="568" t="e">
        <f t="shared" ca="1" si="442"/>
        <v>#NAME?</v>
      </c>
      <c r="AL540" s="313" t="e">
        <f t="shared" ca="1" si="443"/>
        <v>#NAME?</v>
      </c>
      <c r="AM540" s="313" t="e">
        <f t="shared" ca="1" si="492"/>
        <v>#NAME?</v>
      </c>
      <c r="AN540" s="313" t="e">
        <f t="shared" ca="1" si="493"/>
        <v>#NAME?</v>
      </c>
      <c r="AO540" s="316" t="e">
        <f t="shared" ca="1" si="444"/>
        <v>#NAME?</v>
      </c>
      <c r="AP540" s="313" t="e">
        <f t="shared" ca="1" si="445"/>
        <v>#NAME?</v>
      </c>
      <c r="AQ540" s="314" t="e">
        <f t="shared" ca="1" si="494"/>
        <v>#NAME?</v>
      </c>
      <c r="AR540" s="315" t="e">
        <f t="shared" ca="1" si="446"/>
        <v>#NAME?</v>
      </c>
      <c r="AS540" s="316" t="e">
        <f t="shared" ca="1" si="447"/>
        <v>#NAME?</v>
      </c>
      <c r="AT540" s="315" t="e">
        <f t="shared" ca="1" si="448"/>
        <v>#NAME?</v>
      </c>
      <c r="AU540" s="317">
        <v>427.8</v>
      </c>
      <c r="AV540" s="315" t="e">
        <f t="shared" ca="1" si="449"/>
        <v>#NAME?</v>
      </c>
      <c r="AW540" s="318" t="e">
        <f ca="1">0.0001*BicubicInterpolation('Drag Coef Table'!$B$4:$L$28,AV540,AC540)</f>
        <v>#NAME?</v>
      </c>
      <c r="AX540" s="319" t="e">
        <f t="shared" ca="1" si="450"/>
        <v>#NAME?</v>
      </c>
      <c r="AY540" s="318" t="e">
        <f t="shared" ca="1" si="451"/>
        <v>#NAME?</v>
      </c>
      <c r="AZ540" s="320" t="e">
        <f t="shared" ca="1" si="452"/>
        <v>#NAME?</v>
      </c>
      <c r="BA540" s="321" t="e">
        <f t="shared" ca="1" si="453"/>
        <v>#NAME?</v>
      </c>
      <c r="BB540" s="322" t="e">
        <f t="shared" ca="1" si="454"/>
        <v>#NAME?</v>
      </c>
      <c r="BC540" s="323">
        <v>75.196700000000007</v>
      </c>
      <c r="BD540" s="324" t="e">
        <f t="shared" ca="1" si="455"/>
        <v>#NAME?</v>
      </c>
      <c r="BE540" s="325" t="e">
        <f t="shared" ca="1" si="456"/>
        <v>#NAME?</v>
      </c>
      <c r="BF540" s="324" t="e">
        <f ca="1">BicubicInterpolation('TSFC Eff Table'!$B$4:$E$69,2,BB540)</f>
        <v>#NAME?</v>
      </c>
      <c r="BG540" s="326" t="e">
        <f t="shared" ca="1" si="457"/>
        <v>#NAME?</v>
      </c>
      <c r="BH540" s="694" t="e">
        <f ca="1">IF( S540="LRCINOP",   (1+(0.03/10)*Z540*(1+0.2*AC540^2) )*BicubicInterpolation( 'LRC INOP FF'!$C$4:$AA$21, Y540, U540 )-200, IF(S540 ="HOLDINGINOP", (1+(0.03/10)*Z540*(1+0.2*AC540^2) )*BicubicInterpolation( 'Holding INOP FF'!$C$4:$J$13,  Y540,  U540)/1.05-200,   BA540*BG540))</f>
        <v>#NAME?</v>
      </c>
      <c r="BI540" s="344" t="e">
        <f t="shared" ca="1" si="478"/>
        <v>#NAME?</v>
      </c>
      <c r="BJ540" s="322" t="e">
        <f t="shared" ca="1" si="458"/>
        <v>#NAME?</v>
      </c>
      <c r="BK540" s="338" t="e">
        <f t="shared" ca="1" si="479"/>
        <v>#NAME?</v>
      </c>
      <c r="BL540" s="327" t="e">
        <f t="shared" ca="1" si="459"/>
        <v>#NAME?</v>
      </c>
      <c r="BM540" s="328">
        <f t="shared" si="460"/>
        <v>200</v>
      </c>
      <c r="BN540" s="329" t="e">
        <f t="shared" ca="1" si="461"/>
        <v>#NAME?</v>
      </c>
      <c r="BO540" s="344" t="e">
        <f t="shared" ca="1" si="480"/>
        <v>#NAME?</v>
      </c>
      <c r="BP540" s="320" t="e">
        <f t="shared" ca="1" si="462"/>
        <v>#NAME?</v>
      </c>
      <c r="BQ540" s="344" t="e">
        <f t="shared" ca="1" si="481"/>
        <v>#NAME?</v>
      </c>
      <c r="BR540" s="347" t="e">
        <f t="shared" ca="1" si="482"/>
        <v>#NAME?</v>
      </c>
      <c r="BS540" s="326" t="e">
        <f t="shared" ca="1" si="463"/>
        <v>#NAME?</v>
      </c>
      <c r="BT540" s="437" t="e">
        <f t="shared" ca="1" si="495"/>
        <v>#NAME?</v>
      </c>
      <c r="BU540" s="437" t="e">
        <f t="shared" ca="1" si="496"/>
        <v>#NAME?</v>
      </c>
      <c r="BV540" s="441" t="e">
        <f t="shared" ca="1" si="497"/>
        <v>#NAME?</v>
      </c>
      <c r="BW540" s="442" t="e">
        <f t="shared" ca="1" si="498"/>
        <v>#NAME?</v>
      </c>
      <c r="BX540" s="470" t="e">
        <f t="shared" ca="1" si="472"/>
        <v>#NAME?</v>
      </c>
      <c r="BY540" s="484" t="e">
        <f t="shared" ca="1" si="483"/>
        <v>#NAME?</v>
      </c>
    </row>
    <row r="541" spans="9:77" ht="17.75" customHeight="1" x14ac:dyDescent="0.2">
      <c r="I541" s="366">
        <v>457</v>
      </c>
      <c r="J541" s="414">
        <f t="shared" si="484"/>
        <v>41706.029861112147</v>
      </c>
      <c r="K541" s="435" t="e">
        <f t="shared" ca="1" si="485"/>
        <v>#NAME?</v>
      </c>
      <c r="L541" s="435" t="e">
        <f t="shared" ca="1" si="466"/>
        <v>#NAME?</v>
      </c>
      <c r="M541" s="664" t="e">
        <f t="shared" ca="1" si="464"/>
        <v>#NAME?</v>
      </c>
      <c r="N541" s="664" t="e">
        <f t="shared" ca="1" si="465"/>
        <v>#NAME?</v>
      </c>
      <c r="O541" s="140" t="e">
        <f t="shared" ca="1" si="473"/>
        <v>#NAME?</v>
      </c>
      <c r="P541" s="352" t="e">
        <f t="shared" ca="1" si="486"/>
        <v>#NAME?</v>
      </c>
      <c r="Q541" s="665" t="e">
        <f t="shared" ca="1" si="467"/>
        <v>#NAME?</v>
      </c>
      <c r="R541" s="352" t="e">
        <f t="shared" ca="1" si="437"/>
        <v>#NAME?</v>
      </c>
      <c r="S541" s="662" t="e">
        <f t="shared" ca="1" si="474"/>
        <v>#NAME?</v>
      </c>
      <c r="T541" s="443" t="e">
        <f t="shared" ca="1" si="468"/>
        <v>#NAME?</v>
      </c>
      <c r="U541" s="369" t="e">
        <f t="shared" ca="1" si="469"/>
        <v>#NAME?</v>
      </c>
      <c r="V541" s="454" t="e">
        <f t="shared" ca="1" si="475"/>
        <v>#NAME?</v>
      </c>
      <c r="W541" s="457">
        <f t="shared" si="476"/>
        <v>1000</v>
      </c>
      <c r="X541" s="463" t="e">
        <f t="shared" ca="1" si="477"/>
        <v>#NAME?</v>
      </c>
      <c r="Y541" s="455" t="e">
        <f t="shared" ca="1" si="487"/>
        <v>#NAME?</v>
      </c>
      <c r="Z541" s="699">
        <f t="shared" si="470"/>
        <v>8.5</v>
      </c>
      <c r="AA541" s="355" t="str">
        <f t="shared" si="471"/>
        <v>ON</v>
      </c>
      <c r="AB541" s="357">
        <f t="shared" si="438"/>
        <v>1.4999999999999999E-2</v>
      </c>
      <c r="AC541" s="356" t="e">
        <f ca="1">IF(  Y540=0,0,IF(OR(S541="KCAS",S541="INOP",S541="MEFE"),   ( (5*( (   (((1+0.2*(T541/661.4786)^2)^3.5 -1)  )/( (1-6.8755856*10^-6 *100*Y541)^5.2558797) +1)^(2/7) -1) )^0.5),IF(S541="MACH",T541, IF(S541="LRC",BicubicInterpolation( 'LRC Mach'!$C$4:$AL$21, Y541,U541),  IF(S541="MRC",BicubicInterpolation( 'MRC Mach'!$C$3:$T$18, Y541,U541),  IF(S541="M0.84",0.84,  IF(S541="CI52",BicubicInterpolation('CI=52 Mach'!$C$3:$T$18, Y541,U541),  IF(S541="HOLDING",BicubicInterpolation(  'Holding Mach'!$C$4:$M$13, Y541,U541),                         IF(S541="LRCINOP", BicubicInterpolation('LRC INOP Mach'!$C$4:$AA$21,Y541,U541), IF(S541="HOLDINGINOP",  BicubicInterpolation('Holding INOP Mach'!$N$4:$U$13,Y541,U541),         "XXX" )))))))   )))</f>
        <v>#NAME?</v>
      </c>
      <c r="AD541" s="313" t="e">
        <f t="shared" ca="1" si="439"/>
        <v>#NAME?</v>
      </c>
      <c r="AE541" s="314" t="e">
        <f t="shared" ca="1" si="488"/>
        <v>#NAME?</v>
      </c>
      <c r="AF541" s="313" t="e">
        <f t="shared" ca="1" si="440"/>
        <v>#NAME?</v>
      </c>
      <c r="AG541" s="314" t="e">
        <f t="shared" ca="1" si="489"/>
        <v>#NAME?</v>
      </c>
      <c r="AH541" s="313" t="e">
        <f t="shared" ca="1" si="441"/>
        <v>#NAME?</v>
      </c>
      <c r="AI541" s="314" t="e">
        <f t="shared" ca="1" si="490"/>
        <v>#NAME?</v>
      </c>
      <c r="AJ541" s="315" t="e">
        <f t="shared" ca="1" si="491"/>
        <v>#NAME?</v>
      </c>
      <c r="AK541" s="568" t="e">
        <f t="shared" ca="1" si="442"/>
        <v>#NAME?</v>
      </c>
      <c r="AL541" s="313" t="e">
        <f t="shared" ca="1" si="443"/>
        <v>#NAME?</v>
      </c>
      <c r="AM541" s="313" t="e">
        <f t="shared" ca="1" si="492"/>
        <v>#NAME?</v>
      </c>
      <c r="AN541" s="313" t="e">
        <f t="shared" ca="1" si="493"/>
        <v>#NAME?</v>
      </c>
      <c r="AO541" s="316" t="e">
        <f t="shared" ca="1" si="444"/>
        <v>#NAME?</v>
      </c>
      <c r="AP541" s="313" t="e">
        <f t="shared" ca="1" si="445"/>
        <v>#NAME?</v>
      </c>
      <c r="AQ541" s="314" t="e">
        <f t="shared" ca="1" si="494"/>
        <v>#NAME?</v>
      </c>
      <c r="AR541" s="315" t="e">
        <f t="shared" ca="1" si="446"/>
        <v>#NAME?</v>
      </c>
      <c r="AS541" s="316" t="e">
        <f t="shared" ca="1" si="447"/>
        <v>#NAME?</v>
      </c>
      <c r="AT541" s="315" t="e">
        <f t="shared" ca="1" si="448"/>
        <v>#NAME?</v>
      </c>
      <c r="AU541" s="317">
        <v>427.8</v>
      </c>
      <c r="AV541" s="315" t="e">
        <f t="shared" ca="1" si="449"/>
        <v>#NAME?</v>
      </c>
      <c r="AW541" s="318" t="e">
        <f ca="1">0.0001*BicubicInterpolation('Drag Coef Table'!$B$4:$L$28,AV541,AC541)</f>
        <v>#NAME?</v>
      </c>
      <c r="AX541" s="319" t="e">
        <f t="shared" ca="1" si="450"/>
        <v>#NAME?</v>
      </c>
      <c r="AY541" s="318" t="e">
        <f t="shared" ca="1" si="451"/>
        <v>#NAME?</v>
      </c>
      <c r="AZ541" s="320" t="e">
        <f t="shared" ca="1" si="452"/>
        <v>#NAME?</v>
      </c>
      <c r="BA541" s="321" t="e">
        <f t="shared" ca="1" si="453"/>
        <v>#NAME?</v>
      </c>
      <c r="BB541" s="322" t="e">
        <f t="shared" ca="1" si="454"/>
        <v>#NAME?</v>
      </c>
      <c r="BC541" s="323">
        <v>75.196700000000007</v>
      </c>
      <c r="BD541" s="324" t="e">
        <f t="shared" ca="1" si="455"/>
        <v>#NAME?</v>
      </c>
      <c r="BE541" s="325" t="e">
        <f t="shared" ca="1" si="456"/>
        <v>#NAME?</v>
      </c>
      <c r="BF541" s="324" t="e">
        <f ca="1">BicubicInterpolation('TSFC Eff Table'!$B$4:$E$69,2,BB541)</f>
        <v>#NAME?</v>
      </c>
      <c r="BG541" s="326" t="e">
        <f t="shared" ca="1" si="457"/>
        <v>#NAME?</v>
      </c>
      <c r="BH541" s="694" t="e">
        <f ca="1">IF( S541="LRCINOP",   (1+(0.03/10)*Z541*(1+0.2*AC541^2) )*BicubicInterpolation( 'LRC INOP FF'!$C$4:$AA$21, Y541, U541 )-200, IF(S541 ="HOLDINGINOP", (1+(0.03/10)*Z541*(1+0.2*AC541^2) )*BicubicInterpolation( 'Holding INOP FF'!$C$4:$J$13,  Y541,  U541)/1.05-200,   BA541*BG541))</f>
        <v>#NAME?</v>
      </c>
      <c r="BI541" s="344" t="e">
        <f t="shared" ca="1" si="478"/>
        <v>#NAME?</v>
      </c>
      <c r="BJ541" s="322" t="e">
        <f t="shared" ca="1" si="458"/>
        <v>#NAME?</v>
      </c>
      <c r="BK541" s="338" t="e">
        <f t="shared" ca="1" si="479"/>
        <v>#NAME?</v>
      </c>
      <c r="BL541" s="327" t="e">
        <f t="shared" ca="1" si="459"/>
        <v>#NAME?</v>
      </c>
      <c r="BM541" s="328">
        <f t="shared" si="460"/>
        <v>200</v>
      </c>
      <c r="BN541" s="329" t="e">
        <f t="shared" ca="1" si="461"/>
        <v>#NAME?</v>
      </c>
      <c r="BO541" s="344" t="e">
        <f t="shared" ca="1" si="480"/>
        <v>#NAME?</v>
      </c>
      <c r="BP541" s="320" t="e">
        <f t="shared" ca="1" si="462"/>
        <v>#NAME?</v>
      </c>
      <c r="BQ541" s="344" t="e">
        <f t="shared" ca="1" si="481"/>
        <v>#NAME?</v>
      </c>
      <c r="BR541" s="347" t="e">
        <f t="shared" ca="1" si="482"/>
        <v>#NAME?</v>
      </c>
      <c r="BS541" s="326" t="e">
        <f t="shared" ca="1" si="463"/>
        <v>#NAME?</v>
      </c>
      <c r="BT541" s="437" t="e">
        <f t="shared" ca="1" si="495"/>
        <v>#NAME?</v>
      </c>
      <c r="BU541" s="437" t="e">
        <f t="shared" ca="1" si="496"/>
        <v>#NAME?</v>
      </c>
      <c r="BV541" s="441" t="e">
        <f t="shared" ca="1" si="497"/>
        <v>#NAME?</v>
      </c>
      <c r="BW541" s="442" t="e">
        <f t="shared" ca="1" si="498"/>
        <v>#NAME?</v>
      </c>
      <c r="BX541" s="470" t="e">
        <f t="shared" ca="1" si="472"/>
        <v>#NAME?</v>
      </c>
      <c r="BY541" s="484" t="e">
        <f t="shared" ca="1" si="483"/>
        <v>#NAME?</v>
      </c>
    </row>
    <row r="542" spans="9:77" ht="17.75" customHeight="1" x14ac:dyDescent="0.2">
      <c r="I542" s="366">
        <v>458</v>
      </c>
      <c r="J542" s="414">
        <f t="shared" si="484"/>
        <v>41706.030555556594</v>
      </c>
      <c r="K542" s="435" t="e">
        <f t="shared" ca="1" si="485"/>
        <v>#NAME?</v>
      </c>
      <c r="L542" s="435" t="e">
        <f t="shared" ca="1" si="466"/>
        <v>#NAME?</v>
      </c>
      <c r="M542" s="664" t="e">
        <f t="shared" ca="1" si="464"/>
        <v>#NAME?</v>
      </c>
      <c r="N542" s="664" t="e">
        <f t="shared" ca="1" si="465"/>
        <v>#NAME?</v>
      </c>
      <c r="O542" s="140" t="e">
        <f t="shared" ca="1" si="473"/>
        <v>#NAME?</v>
      </c>
      <c r="P542" s="352" t="e">
        <f t="shared" ca="1" si="486"/>
        <v>#NAME?</v>
      </c>
      <c r="Q542" s="665" t="e">
        <f t="shared" ca="1" si="467"/>
        <v>#NAME?</v>
      </c>
      <c r="R542" s="352" t="e">
        <f t="shared" ca="1" si="437"/>
        <v>#NAME?</v>
      </c>
      <c r="S542" s="662" t="e">
        <f t="shared" ca="1" si="474"/>
        <v>#NAME?</v>
      </c>
      <c r="T542" s="443" t="e">
        <f t="shared" ca="1" si="468"/>
        <v>#NAME?</v>
      </c>
      <c r="U542" s="369" t="e">
        <f t="shared" ca="1" si="469"/>
        <v>#NAME?</v>
      </c>
      <c r="V542" s="454" t="e">
        <f t="shared" ca="1" si="475"/>
        <v>#NAME?</v>
      </c>
      <c r="W542" s="457">
        <f t="shared" si="476"/>
        <v>1000</v>
      </c>
      <c r="X542" s="463" t="e">
        <f t="shared" ca="1" si="477"/>
        <v>#NAME?</v>
      </c>
      <c r="Y542" s="455" t="e">
        <f t="shared" ca="1" si="487"/>
        <v>#NAME?</v>
      </c>
      <c r="Z542" s="699">
        <f t="shared" si="470"/>
        <v>8.5</v>
      </c>
      <c r="AA542" s="355" t="str">
        <f t="shared" si="471"/>
        <v>ON</v>
      </c>
      <c r="AB542" s="357">
        <f t="shared" si="438"/>
        <v>1.4999999999999999E-2</v>
      </c>
      <c r="AC542" s="356" t="e">
        <f ca="1">IF(  Y541=0,0,IF(OR(S542="KCAS",S542="INOP",S542="MEFE"),   ( (5*( (   (((1+0.2*(T542/661.4786)^2)^3.5 -1)  )/( (1-6.8755856*10^-6 *100*Y542)^5.2558797) +1)^(2/7) -1) )^0.5),IF(S542="MACH",T542, IF(S542="LRC",BicubicInterpolation( 'LRC Mach'!$C$4:$AL$21, Y542,U542),  IF(S542="MRC",BicubicInterpolation( 'MRC Mach'!$C$3:$T$18, Y542,U542),  IF(S542="M0.84",0.84,  IF(S542="CI52",BicubicInterpolation('CI=52 Mach'!$C$3:$T$18, Y542,U542),  IF(S542="HOLDING",BicubicInterpolation(  'Holding Mach'!$C$4:$M$13, Y542,U542),                         IF(S542="LRCINOP", BicubicInterpolation('LRC INOP Mach'!$C$4:$AA$21,Y542,U542), IF(S542="HOLDINGINOP",  BicubicInterpolation('Holding INOP Mach'!$N$4:$U$13,Y542,U542),         "XXX" )))))))   )))</f>
        <v>#NAME?</v>
      </c>
      <c r="AD542" s="313" t="e">
        <f t="shared" ca="1" si="439"/>
        <v>#NAME?</v>
      </c>
      <c r="AE542" s="314" t="e">
        <f t="shared" ca="1" si="488"/>
        <v>#NAME?</v>
      </c>
      <c r="AF542" s="313" t="e">
        <f t="shared" ca="1" si="440"/>
        <v>#NAME?</v>
      </c>
      <c r="AG542" s="314" t="e">
        <f t="shared" ca="1" si="489"/>
        <v>#NAME?</v>
      </c>
      <c r="AH542" s="313" t="e">
        <f t="shared" ca="1" si="441"/>
        <v>#NAME?</v>
      </c>
      <c r="AI542" s="314" t="e">
        <f t="shared" ca="1" si="490"/>
        <v>#NAME?</v>
      </c>
      <c r="AJ542" s="315" t="e">
        <f t="shared" ca="1" si="491"/>
        <v>#NAME?</v>
      </c>
      <c r="AK542" s="568" t="e">
        <f t="shared" ca="1" si="442"/>
        <v>#NAME?</v>
      </c>
      <c r="AL542" s="313" t="e">
        <f t="shared" ca="1" si="443"/>
        <v>#NAME?</v>
      </c>
      <c r="AM542" s="313" t="e">
        <f t="shared" ca="1" si="492"/>
        <v>#NAME?</v>
      </c>
      <c r="AN542" s="313" t="e">
        <f t="shared" ca="1" si="493"/>
        <v>#NAME?</v>
      </c>
      <c r="AO542" s="316" t="e">
        <f t="shared" ca="1" si="444"/>
        <v>#NAME?</v>
      </c>
      <c r="AP542" s="313" t="e">
        <f t="shared" ca="1" si="445"/>
        <v>#NAME?</v>
      </c>
      <c r="AQ542" s="314" t="e">
        <f t="shared" ca="1" si="494"/>
        <v>#NAME?</v>
      </c>
      <c r="AR542" s="315" t="e">
        <f t="shared" ca="1" si="446"/>
        <v>#NAME?</v>
      </c>
      <c r="AS542" s="316" t="e">
        <f t="shared" ca="1" si="447"/>
        <v>#NAME?</v>
      </c>
      <c r="AT542" s="315" t="e">
        <f t="shared" ca="1" si="448"/>
        <v>#NAME?</v>
      </c>
      <c r="AU542" s="317">
        <v>427.8</v>
      </c>
      <c r="AV542" s="315" t="e">
        <f t="shared" ca="1" si="449"/>
        <v>#NAME?</v>
      </c>
      <c r="AW542" s="318" t="e">
        <f ca="1">0.0001*BicubicInterpolation('Drag Coef Table'!$B$4:$L$28,AV542,AC542)</f>
        <v>#NAME?</v>
      </c>
      <c r="AX542" s="319" t="e">
        <f t="shared" ca="1" si="450"/>
        <v>#NAME?</v>
      </c>
      <c r="AY542" s="318" t="e">
        <f t="shared" ca="1" si="451"/>
        <v>#NAME?</v>
      </c>
      <c r="AZ542" s="320" t="e">
        <f t="shared" ca="1" si="452"/>
        <v>#NAME?</v>
      </c>
      <c r="BA542" s="321" t="e">
        <f t="shared" ca="1" si="453"/>
        <v>#NAME?</v>
      </c>
      <c r="BB542" s="322" t="e">
        <f t="shared" ca="1" si="454"/>
        <v>#NAME?</v>
      </c>
      <c r="BC542" s="323">
        <v>75.196700000000007</v>
      </c>
      <c r="BD542" s="324" t="e">
        <f t="shared" ca="1" si="455"/>
        <v>#NAME?</v>
      </c>
      <c r="BE542" s="325" t="e">
        <f t="shared" ca="1" si="456"/>
        <v>#NAME?</v>
      </c>
      <c r="BF542" s="324" t="e">
        <f ca="1">BicubicInterpolation('TSFC Eff Table'!$B$4:$E$69,2,BB542)</f>
        <v>#NAME?</v>
      </c>
      <c r="BG542" s="326" t="e">
        <f t="shared" ca="1" si="457"/>
        <v>#NAME?</v>
      </c>
      <c r="BH542" s="694" t="e">
        <f ca="1">IF( S542="LRCINOP",   (1+(0.03/10)*Z542*(1+0.2*AC542^2) )*BicubicInterpolation( 'LRC INOP FF'!$C$4:$AA$21, Y542, U542 )-200, IF(S542 ="HOLDINGINOP", (1+(0.03/10)*Z542*(1+0.2*AC542^2) )*BicubicInterpolation( 'Holding INOP FF'!$C$4:$J$13,  Y542,  U542)/1.05-200,   BA542*BG542))</f>
        <v>#NAME?</v>
      </c>
      <c r="BI542" s="344" t="e">
        <f t="shared" ca="1" si="478"/>
        <v>#NAME?</v>
      </c>
      <c r="BJ542" s="322" t="e">
        <f t="shared" ca="1" si="458"/>
        <v>#NAME?</v>
      </c>
      <c r="BK542" s="338" t="e">
        <f t="shared" ca="1" si="479"/>
        <v>#NAME?</v>
      </c>
      <c r="BL542" s="327" t="e">
        <f t="shared" ca="1" si="459"/>
        <v>#NAME?</v>
      </c>
      <c r="BM542" s="328">
        <f t="shared" si="460"/>
        <v>200</v>
      </c>
      <c r="BN542" s="329" t="e">
        <f t="shared" ca="1" si="461"/>
        <v>#NAME?</v>
      </c>
      <c r="BO542" s="344" t="e">
        <f t="shared" ca="1" si="480"/>
        <v>#NAME?</v>
      </c>
      <c r="BP542" s="320" t="e">
        <f t="shared" ca="1" si="462"/>
        <v>#NAME?</v>
      </c>
      <c r="BQ542" s="344" t="e">
        <f t="shared" ca="1" si="481"/>
        <v>#NAME?</v>
      </c>
      <c r="BR542" s="347" t="e">
        <f t="shared" ca="1" si="482"/>
        <v>#NAME?</v>
      </c>
      <c r="BS542" s="326" t="e">
        <f t="shared" ca="1" si="463"/>
        <v>#NAME?</v>
      </c>
      <c r="BT542" s="437" t="e">
        <f t="shared" ca="1" si="495"/>
        <v>#NAME?</v>
      </c>
      <c r="BU542" s="437" t="e">
        <f t="shared" ca="1" si="496"/>
        <v>#NAME?</v>
      </c>
      <c r="BV542" s="441" t="e">
        <f t="shared" ca="1" si="497"/>
        <v>#NAME?</v>
      </c>
      <c r="BW542" s="442" t="e">
        <f t="shared" ca="1" si="498"/>
        <v>#NAME?</v>
      </c>
      <c r="BX542" s="470" t="e">
        <f t="shared" ca="1" si="472"/>
        <v>#NAME?</v>
      </c>
      <c r="BY542" s="484" t="e">
        <f t="shared" ca="1" si="483"/>
        <v>#NAME?</v>
      </c>
    </row>
    <row r="543" spans="9:77" ht="17.75" customHeight="1" x14ac:dyDescent="0.2">
      <c r="I543" s="366">
        <v>459</v>
      </c>
      <c r="J543" s="414">
        <f t="shared" si="484"/>
        <v>41706.03125000104</v>
      </c>
      <c r="K543" s="435" t="e">
        <f t="shared" ca="1" si="485"/>
        <v>#NAME?</v>
      </c>
      <c r="L543" s="435" t="e">
        <f t="shared" ca="1" si="466"/>
        <v>#NAME?</v>
      </c>
      <c r="M543" s="664" t="e">
        <f t="shared" ca="1" si="464"/>
        <v>#NAME?</v>
      </c>
      <c r="N543" s="664" t="e">
        <f t="shared" ca="1" si="465"/>
        <v>#NAME?</v>
      </c>
      <c r="O543" s="140" t="e">
        <f t="shared" ca="1" si="473"/>
        <v>#NAME?</v>
      </c>
      <c r="P543" s="352" t="e">
        <f t="shared" ca="1" si="486"/>
        <v>#NAME?</v>
      </c>
      <c r="Q543" s="665" t="e">
        <f t="shared" ca="1" si="467"/>
        <v>#NAME?</v>
      </c>
      <c r="R543" s="352" t="e">
        <f t="shared" ref="R543:R606" ca="1" si="499">AC543</f>
        <v>#NAME?</v>
      </c>
      <c r="S543" s="662" t="e">
        <f t="shared" ca="1" si="474"/>
        <v>#NAME?</v>
      </c>
      <c r="T543" s="443" t="e">
        <f t="shared" ca="1" si="468"/>
        <v>#NAME?</v>
      </c>
      <c r="U543" s="369" t="e">
        <f t="shared" ca="1" si="469"/>
        <v>#NAME?</v>
      </c>
      <c r="V543" s="454" t="e">
        <f t="shared" ca="1" si="475"/>
        <v>#NAME?</v>
      </c>
      <c r="W543" s="457">
        <f t="shared" si="476"/>
        <v>1000</v>
      </c>
      <c r="X543" s="463" t="e">
        <f t="shared" ca="1" si="477"/>
        <v>#NAME?</v>
      </c>
      <c r="Y543" s="455" t="e">
        <f t="shared" ca="1" si="487"/>
        <v>#NAME?</v>
      </c>
      <c r="Z543" s="699">
        <f t="shared" si="470"/>
        <v>8.5</v>
      </c>
      <c r="AA543" s="355" t="str">
        <f t="shared" si="471"/>
        <v>ON</v>
      </c>
      <c r="AB543" s="357">
        <f t="shared" ref="AB543:AB606" si="500">AB542</f>
        <v>1.4999999999999999E-2</v>
      </c>
      <c r="AC543" s="356" t="e">
        <f ca="1">IF(  Y542=0,0,IF(OR(S543="KCAS",S543="INOP",S543="MEFE"),   ( (5*( (   (((1+0.2*(T543/661.4786)^2)^3.5 -1)  )/( (1-6.8755856*10^-6 *100*Y543)^5.2558797) +1)^(2/7) -1) )^0.5),IF(S543="MACH",T543, IF(S543="LRC",BicubicInterpolation( 'LRC Mach'!$C$4:$AL$21, Y543,U543),  IF(S543="MRC",BicubicInterpolation( 'MRC Mach'!$C$3:$T$18, Y543,U543),  IF(S543="M0.84",0.84,  IF(S543="CI52",BicubicInterpolation('CI=52 Mach'!$C$3:$T$18, Y543,U543),  IF(S543="HOLDING",BicubicInterpolation(  'Holding Mach'!$C$4:$M$13, Y543,U543),                         IF(S543="LRCINOP", BicubicInterpolation('LRC INOP Mach'!$C$4:$AA$21,Y543,U543), IF(S543="HOLDINGINOP",  BicubicInterpolation('Holding INOP Mach'!$N$4:$U$13,Y543,U543),         "XXX" )))))))   )))</f>
        <v>#NAME?</v>
      </c>
      <c r="AD543" s="313" t="e">
        <f t="shared" ref="AD543:AD606" ca="1" si="501">IF(Y543&lt;360.8924,288.15-1.9812*Y543/10,216.65)</f>
        <v>#NAME?</v>
      </c>
      <c r="AE543" s="314" t="e">
        <f t="shared" ca="1" si="488"/>
        <v>#NAME?</v>
      </c>
      <c r="AF543" s="313" t="e">
        <f t="shared" ref="AF543:AF606" ca="1" si="502">AD543+Z543</f>
        <v>#NAME?</v>
      </c>
      <c r="AG543" s="314" t="e">
        <f t="shared" ca="1" si="489"/>
        <v>#NAME?</v>
      </c>
      <c r="AH543" s="313" t="e">
        <f t="shared" ref="AH543:AH606" ca="1" si="503">AF543*(1+0.2*AC543^2)</f>
        <v>#NAME?</v>
      </c>
      <c r="AI543" s="314" t="e">
        <f t="shared" ca="1" si="490"/>
        <v>#NAME?</v>
      </c>
      <c r="AJ543" s="315" t="e">
        <f t="shared" ca="1" si="491"/>
        <v>#NAME?</v>
      </c>
      <c r="AK543" s="568" t="e">
        <f t="shared" ref="AK543:AK606" ca="1" si="504">661.4786*SQRT(AG543)</f>
        <v>#NAME?</v>
      </c>
      <c r="AL543" s="313" t="e">
        <f t="shared" ref="AL543:AL606" ca="1" si="505">AC543*AK543</f>
        <v>#NAME?</v>
      </c>
      <c r="AM543" s="313" t="e">
        <f t="shared" ca="1" si="492"/>
        <v>#NAME?</v>
      </c>
      <c r="AN543" s="313" t="e">
        <f t="shared" ca="1" si="493"/>
        <v>#NAME?</v>
      </c>
      <c r="AO543" s="316" t="e">
        <f t="shared" ref="AO543:AO606" ca="1" si="506">661.4786*(5*((1 + ( (1-0.00068755856*Y543)^5.2558797)*((1 + AC543^2/5)^3.5 - 1))^(2/7) - 1))^0.5</f>
        <v>#NAME?</v>
      </c>
      <c r="AP543" s="313" t="e">
        <f t="shared" ref="AP543:AP606" ca="1" si="507">IF(Y543&lt;360.8924,1013.25*(1-0.0000068755856*100*Y543)^5.2558797,0.01*0.2233609*101325*EXP(-0.004806346*(Y543-360.8924)))</f>
        <v>#NAME?</v>
      </c>
      <c r="AQ543" s="314" t="e">
        <f t="shared" ca="1" si="494"/>
        <v>#NAME?</v>
      </c>
      <c r="AR543" s="315" t="e">
        <f t="shared" ref="AR543:AR606" ca="1" si="508">AQ543*(1+0.2*AC543^2)^3.5</f>
        <v>#NAME?</v>
      </c>
      <c r="AS543" s="316" t="e">
        <f t="shared" ref="AS543:AS606" ca="1" si="509">U543/AQ543</f>
        <v>#NAME?</v>
      </c>
      <c r="AT543" s="315" t="e">
        <f t="shared" ref="AT543:AT606" ca="1" si="510">1.225*AQ543/AG543</f>
        <v>#NAME?</v>
      </c>
      <c r="AU543" s="317">
        <v>427.8</v>
      </c>
      <c r="AV543" s="315" t="e">
        <f t="shared" ref="AV543:AV606" ca="1" si="511">1000*9.80665*U543/(0.5*AT543*AU543*(AM543)^2)</f>
        <v>#NAME?</v>
      </c>
      <c r="AW543" s="318" t="e">
        <f ca="1">0.0001*BicubicInterpolation('Drag Coef Table'!$B$4:$L$28,AV543,AC543)</f>
        <v>#NAME?</v>
      </c>
      <c r="AX543" s="319" t="e">
        <f t="shared" ref="AX543:AX606" ca="1" si="512">(-45.29)*0.0001*LOG10(  (  ( AG543 + 0.38312 ) / AG543^2    )   /   (   (AE543 +0.38312)/(AE543)^2  ) )</f>
        <v>#NAME?</v>
      </c>
      <c r="AY543" s="318" t="e">
        <f t="shared" ref="AY543:AY606" ca="1" si="513">AW543+AX543</f>
        <v>#NAME?</v>
      </c>
      <c r="AZ543" s="320" t="e">
        <f t="shared" ref="AZ543:AZ606" ca="1" si="514">AV543/AY543</f>
        <v>#NAME?</v>
      </c>
      <c r="BA543" s="321" t="e">
        <f t="shared" ref="BA543:BA606" ca="1" si="515">AY543*0.5*AT543*(AM543^2)*AU543/1000</f>
        <v>#NAME?</v>
      </c>
      <c r="BB543" s="322" t="e">
        <f t="shared" ref="BB543:BB606" ca="1" si="516">BA543/AQ543/9.80665</f>
        <v>#NAME?</v>
      </c>
      <c r="BC543" s="323">
        <v>75.196700000000007</v>
      </c>
      <c r="BD543" s="324" t="e">
        <f t="shared" ref="BD543:BD606" ca="1" si="517">AG543^0.68</f>
        <v>#NAME?</v>
      </c>
      <c r="BE543" s="325" t="e">
        <f t="shared" ref="BE543:BE606" ca="1" si="518">AC543^0.53</f>
        <v>#NAME?</v>
      </c>
      <c r="BF543" s="324" t="e">
        <f ca="1">BicubicInterpolation('TSFC Eff Table'!$B$4:$E$69,2,BB543)</f>
        <v>#NAME?</v>
      </c>
      <c r="BG543" s="326" t="e">
        <f t="shared" ref="BG543:BG606" ca="1" si="519">BC543*BD543*BE543/BF543</f>
        <v>#NAME?</v>
      </c>
      <c r="BH543" s="694" t="e">
        <f ca="1">IF( S543="LRCINOP",   (1+(0.03/10)*Z543*(1+0.2*AC543^2) )*BicubicInterpolation( 'LRC INOP FF'!$C$4:$AA$21, Y543, U543 )-200, IF(S543 ="HOLDINGINOP", (1+(0.03/10)*Z543*(1+0.2*AC543^2) )*BicubicInterpolation( 'Holding INOP FF'!$C$4:$J$13,  Y543,  U543)/1.05-200,   BA543*BG543))</f>
        <v>#NAME?</v>
      </c>
      <c r="BI543" s="344" t="e">
        <f t="shared" ca="1" si="478"/>
        <v>#NAME?</v>
      </c>
      <c r="BJ543" s="322" t="e">
        <f t="shared" ref="BJ543:BJ606" ca="1" si="520">BI543/(AR543*AJ543)/1000</f>
        <v>#NAME?</v>
      </c>
      <c r="BK543" s="338" t="e">
        <f t="shared" ca="1" si="479"/>
        <v>#NAME?</v>
      </c>
      <c r="BL543" s="327" t="e">
        <f t="shared" ref="BL543:BL606" ca="1" si="521">100*BK543/AS543</f>
        <v>#NAME?</v>
      </c>
      <c r="BM543" s="328">
        <f t="shared" ref="BM543:BM606" si="522">200-IF(AA543="OFF",55,0)</f>
        <v>200</v>
      </c>
      <c r="BN543" s="329" t="e">
        <f t="shared" ref="BN543:BN606" ca="1" si="523">BI543+BM543</f>
        <v>#NAME?</v>
      </c>
      <c r="BO543" s="344" t="e">
        <f t="shared" ca="1" si="480"/>
        <v>#NAME?</v>
      </c>
      <c r="BP543" s="320" t="e">
        <f t="shared" ref="BP543:BP606" ca="1" si="524">1000*AL543/BO543</f>
        <v>#NAME?</v>
      </c>
      <c r="BQ543" s="344" t="e">
        <f t="shared" ca="1" si="481"/>
        <v>#NAME?</v>
      </c>
      <c r="BR543" s="347" t="e">
        <f t="shared" ca="1" si="482"/>
        <v>#NAME?</v>
      </c>
      <c r="BS543" s="326" t="e">
        <f t="shared" ref="BS543:BS606" ca="1" si="525">1000*AL543/BR543</f>
        <v>#NAME?</v>
      </c>
      <c r="BT543" s="437" t="e">
        <f t="shared" ca="1" si="495"/>
        <v>#NAME?</v>
      </c>
      <c r="BU543" s="437" t="e">
        <f t="shared" ca="1" si="496"/>
        <v>#NAME?</v>
      </c>
      <c r="BV543" s="441" t="e">
        <f t="shared" ca="1" si="497"/>
        <v>#NAME?</v>
      </c>
      <c r="BW543" s="442" t="e">
        <f t="shared" ca="1" si="498"/>
        <v>#NAME?</v>
      </c>
      <c r="BX543" s="470" t="e">
        <f t="shared" ca="1" si="472"/>
        <v>#NAME?</v>
      </c>
      <c r="BY543" s="484" t="e">
        <f t="shared" ca="1" si="483"/>
        <v>#NAME?</v>
      </c>
    </row>
    <row r="544" spans="9:77" ht="17.75" customHeight="1" x14ac:dyDescent="0.2">
      <c r="I544" s="366">
        <v>460</v>
      </c>
      <c r="J544" s="414">
        <f t="shared" si="484"/>
        <v>41706.031944445487</v>
      </c>
      <c r="K544" s="435" t="e">
        <f t="shared" ca="1" si="485"/>
        <v>#NAME?</v>
      </c>
      <c r="L544" s="435" t="e">
        <f t="shared" ca="1" si="466"/>
        <v>#NAME?</v>
      </c>
      <c r="M544" s="664" t="e">
        <f t="shared" ca="1" si="464"/>
        <v>#NAME?</v>
      </c>
      <c r="N544" s="664" t="e">
        <f t="shared" ca="1" si="465"/>
        <v>#NAME?</v>
      </c>
      <c r="O544" s="140" t="e">
        <f t="shared" ca="1" si="473"/>
        <v>#NAME?</v>
      </c>
      <c r="P544" s="352" t="e">
        <f t="shared" ca="1" si="486"/>
        <v>#NAME?</v>
      </c>
      <c r="Q544" s="665" t="e">
        <f t="shared" ca="1" si="467"/>
        <v>#NAME?</v>
      </c>
      <c r="R544" s="352" t="e">
        <f t="shared" ca="1" si="499"/>
        <v>#NAME?</v>
      </c>
      <c r="S544" s="662" t="e">
        <f t="shared" ca="1" si="474"/>
        <v>#NAME?</v>
      </c>
      <c r="T544" s="443" t="e">
        <f t="shared" ca="1" si="468"/>
        <v>#NAME?</v>
      </c>
      <c r="U544" s="369" t="e">
        <f t="shared" ca="1" si="469"/>
        <v>#NAME?</v>
      </c>
      <c r="V544" s="454" t="e">
        <f t="shared" ca="1" si="475"/>
        <v>#NAME?</v>
      </c>
      <c r="W544" s="457">
        <f t="shared" si="476"/>
        <v>1000</v>
      </c>
      <c r="X544" s="463" t="e">
        <f t="shared" ca="1" si="477"/>
        <v>#NAME?</v>
      </c>
      <c r="Y544" s="455" t="e">
        <f t="shared" ca="1" si="487"/>
        <v>#NAME?</v>
      </c>
      <c r="Z544" s="699">
        <f t="shared" si="470"/>
        <v>8.5</v>
      </c>
      <c r="AA544" s="355" t="str">
        <f t="shared" si="471"/>
        <v>ON</v>
      </c>
      <c r="AB544" s="357">
        <f t="shared" si="500"/>
        <v>1.4999999999999999E-2</v>
      </c>
      <c r="AC544" s="356" t="e">
        <f ca="1">IF(  Y543=0,0,IF(OR(S544="KCAS",S544="INOP",S544="MEFE"),   ( (5*( (   (((1+0.2*(T544/661.4786)^2)^3.5 -1)  )/( (1-6.8755856*10^-6 *100*Y544)^5.2558797) +1)^(2/7) -1) )^0.5),IF(S544="MACH",T544, IF(S544="LRC",BicubicInterpolation( 'LRC Mach'!$C$4:$AL$21, Y544,U544),  IF(S544="MRC",BicubicInterpolation( 'MRC Mach'!$C$3:$T$18, Y544,U544),  IF(S544="M0.84",0.84,  IF(S544="CI52",BicubicInterpolation('CI=52 Mach'!$C$3:$T$18, Y544,U544),  IF(S544="HOLDING",BicubicInterpolation(  'Holding Mach'!$C$4:$M$13, Y544,U544),                         IF(S544="LRCINOP", BicubicInterpolation('LRC INOP Mach'!$C$4:$AA$21,Y544,U544), IF(S544="HOLDINGINOP",  BicubicInterpolation('Holding INOP Mach'!$N$4:$U$13,Y544,U544),         "XXX" )))))))   )))</f>
        <v>#NAME?</v>
      </c>
      <c r="AD544" s="313" t="e">
        <f t="shared" ca="1" si="501"/>
        <v>#NAME?</v>
      </c>
      <c r="AE544" s="314" t="e">
        <f t="shared" ca="1" si="488"/>
        <v>#NAME?</v>
      </c>
      <c r="AF544" s="313" t="e">
        <f t="shared" ca="1" si="502"/>
        <v>#NAME?</v>
      </c>
      <c r="AG544" s="314" t="e">
        <f t="shared" ca="1" si="489"/>
        <v>#NAME?</v>
      </c>
      <c r="AH544" s="313" t="e">
        <f t="shared" ca="1" si="503"/>
        <v>#NAME?</v>
      </c>
      <c r="AI544" s="314" t="e">
        <f t="shared" ca="1" si="490"/>
        <v>#NAME?</v>
      </c>
      <c r="AJ544" s="315" t="e">
        <f t="shared" ca="1" si="491"/>
        <v>#NAME?</v>
      </c>
      <c r="AK544" s="568" t="e">
        <f t="shared" ca="1" si="504"/>
        <v>#NAME?</v>
      </c>
      <c r="AL544" s="313" t="e">
        <f t="shared" ca="1" si="505"/>
        <v>#NAME?</v>
      </c>
      <c r="AM544" s="313" t="e">
        <f t="shared" ca="1" si="492"/>
        <v>#NAME?</v>
      </c>
      <c r="AN544" s="313" t="e">
        <f t="shared" ca="1" si="493"/>
        <v>#NAME?</v>
      </c>
      <c r="AO544" s="316" t="e">
        <f t="shared" ca="1" si="506"/>
        <v>#NAME?</v>
      </c>
      <c r="AP544" s="313" t="e">
        <f t="shared" ca="1" si="507"/>
        <v>#NAME?</v>
      </c>
      <c r="AQ544" s="314" t="e">
        <f t="shared" ca="1" si="494"/>
        <v>#NAME?</v>
      </c>
      <c r="AR544" s="315" t="e">
        <f t="shared" ca="1" si="508"/>
        <v>#NAME?</v>
      </c>
      <c r="AS544" s="316" t="e">
        <f t="shared" ca="1" si="509"/>
        <v>#NAME?</v>
      </c>
      <c r="AT544" s="315" t="e">
        <f t="shared" ca="1" si="510"/>
        <v>#NAME?</v>
      </c>
      <c r="AU544" s="317">
        <v>427.8</v>
      </c>
      <c r="AV544" s="315" t="e">
        <f t="shared" ca="1" si="511"/>
        <v>#NAME?</v>
      </c>
      <c r="AW544" s="318" t="e">
        <f ca="1">0.0001*BicubicInterpolation('Drag Coef Table'!$B$4:$L$28,AV544,AC544)</f>
        <v>#NAME?</v>
      </c>
      <c r="AX544" s="319" t="e">
        <f t="shared" ca="1" si="512"/>
        <v>#NAME?</v>
      </c>
      <c r="AY544" s="318" t="e">
        <f t="shared" ca="1" si="513"/>
        <v>#NAME?</v>
      </c>
      <c r="AZ544" s="320" t="e">
        <f t="shared" ca="1" si="514"/>
        <v>#NAME?</v>
      </c>
      <c r="BA544" s="321" t="e">
        <f t="shared" ca="1" si="515"/>
        <v>#NAME?</v>
      </c>
      <c r="BB544" s="322" t="e">
        <f t="shared" ca="1" si="516"/>
        <v>#NAME?</v>
      </c>
      <c r="BC544" s="323">
        <v>75.196700000000007</v>
      </c>
      <c r="BD544" s="324" t="e">
        <f t="shared" ca="1" si="517"/>
        <v>#NAME?</v>
      </c>
      <c r="BE544" s="325" t="e">
        <f t="shared" ca="1" si="518"/>
        <v>#NAME?</v>
      </c>
      <c r="BF544" s="324" t="e">
        <f ca="1">BicubicInterpolation('TSFC Eff Table'!$B$4:$E$69,2,BB544)</f>
        <v>#NAME?</v>
      </c>
      <c r="BG544" s="326" t="e">
        <f t="shared" ca="1" si="519"/>
        <v>#NAME?</v>
      </c>
      <c r="BH544" s="694" t="e">
        <f ca="1">IF( S544="LRCINOP",   (1+(0.03/10)*Z544*(1+0.2*AC544^2) )*BicubicInterpolation( 'LRC INOP FF'!$C$4:$AA$21, Y544, U544 )-200, IF(S544 ="HOLDINGINOP", (1+(0.03/10)*Z544*(1+0.2*AC544^2) )*BicubicInterpolation( 'Holding INOP FF'!$C$4:$J$13,  Y544,  U544)/1.05-200,   BA544*BG544))</f>
        <v>#NAME?</v>
      </c>
      <c r="BI544" s="344" t="e">
        <f t="shared" ca="1" si="478"/>
        <v>#NAME?</v>
      </c>
      <c r="BJ544" s="322" t="e">
        <f t="shared" ca="1" si="520"/>
        <v>#NAME?</v>
      </c>
      <c r="BK544" s="338" t="e">
        <f t="shared" ca="1" si="479"/>
        <v>#NAME?</v>
      </c>
      <c r="BL544" s="327" t="e">
        <f t="shared" ca="1" si="521"/>
        <v>#NAME?</v>
      </c>
      <c r="BM544" s="328">
        <f t="shared" si="522"/>
        <v>200</v>
      </c>
      <c r="BN544" s="329" t="e">
        <f t="shared" ca="1" si="523"/>
        <v>#NAME?</v>
      </c>
      <c r="BO544" s="344" t="e">
        <f t="shared" ca="1" si="480"/>
        <v>#NAME?</v>
      </c>
      <c r="BP544" s="320" t="e">
        <f t="shared" ca="1" si="524"/>
        <v>#NAME?</v>
      </c>
      <c r="BQ544" s="344" t="e">
        <f t="shared" ca="1" si="481"/>
        <v>#NAME?</v>
      </c>
      <c r="BR544" s="347" t="e">
        <f t="shared" ca="1" si="482"/>
        <v>#NAME?</v>
      </c>
      <c r="BS544" s="326" t="e">
        <f t="shared" ca="1" si="525"/>
        <v>#NAME?</v>
      </c>
      <c r="BT544" s="437" t="e">
        <f t="shared" ca="1" si="495"/>
        <v>#NAME?</v>
      </c>
      <c r="BU544" s="437" t="e">
        <f t="shared" ca="1" si="496"/>
        <v>#NAME?</v>
      </c>
      <c r="BV544" s="441" t="e">
        <f t="shared" ca="1" si="497"/>
        <v>#NAME?</v>
      </c>
      <c r="BW544" s="442" t="e">
        <f t="shared" ca="1" si="498"/>
        <v>#NAME?</v>
      </c>
      <c r="BX544" s="470" t="e">
        <f t="shared" ca="1" si="472"/>
        <v>#NAME?</v>
      </c>
      <c r="BY544" s="484" t="e">
        <f t="shared" ca="1" si="483"/>
        <v>#NAME?</v>
      </c>
    </row>
    <row r="545" spans="9:77" ht="17.75" customHeight="1" x14ac:dyDescent="0.2">
      <c r="I545" s="366">
        <v>461</v>
      </c>
      <c r="J545" s="414">
        <f t="shared" si="484"/>
        <v>41706.032638889934</v>
      </c>
      <c r="K545" s="435" t="e">
        <f t="shared" ca="1" si="485"/>
        <v>#NAME?</v>
      </c>
      <c r="L545" s="435" t="e">
        <f t="shared" ca="1" si="466"/>
        <v>#NAME?</v>
      </c>
      <c r="M545" s="664" t="e">
        <f t="shared" ca="1" si="464"/>
        <v>#NAME?</v>
      </c>
      <c r="N545" s="664" t="e">
        <f t="shared" ca="1" si="465"/>
        <v>#NAME?</v>
      </c>
      <c r="O545" s="140" t="e">
        <f t="shared" ca="1" si="473"/>
        <v>#NAME?</v>
      </c>
      <c r="P545" s="352" t="e">
        <f t="shared" ca="1" si="486"/>
        <v>#NAME?</v>
      </c>
      <c r="Q545" s="665" t="e">
        <f t="shared" ca="1" si="467"/>
        <v>#NAME?</v>
      </c>
      <c r="R545" s="352" t="e">
        <f t="shared" ca="1" si="499"/>
        <v>#NAME?</v>
      </c>
      <c r="S545" s="662" t="e">
        <f t="shared" ca="1" si="474"/>
        <v>#NAME?</v>
      </c>
      <c r="T545" s="443" t="e">
        <f t="shared" ca="1" si="468"/>
        <v>#NAME?</v>
      </c>
      <c r="U545" s="369" t="e">
        <f t="shared" ca="1" si="469"/>
        <v>#NAME?</v>
      </c>
      <c r="V545" s="454" t="e">
        <f t="shared" ca="1" si="475"/>
        <v>#NAME?</v>
      </c>
      <c r="W545" s="457">
        <f t="shared" si="476"/>
        <v>1000</v>
      </c>
      <c r="X545" s="463" t="e">
        <f t="shared" ca="1" si="477"/>
        <v>#NAME?</v>
      </c>
      <c r="Y545" s="455" t="e">
        <f t="shared" ca="1" si="487"/>
        <v>#NAME?</v>
      </c>
      <c r="Z545" s="699">
        <f t="shared" si="470"/>
        <v>8.5</v>
      </c>
      <c r="AA545" s="355" t="str">
        <f t="shared" si="471"/>
        <v>ON</v>
      </c>
      <c r="AB545" s="357">
        <f t="shared" si="500"/>
        <v>1.4999999999999999E-2</v>
      </c>
      <c r="AC545" s="356" t="e">
        <f ca="1">IF(  Y544=0,0,IF(OR(S545="KCAS",S545="INOP",S545="MEFE"),   ( (5*( (   (((1+0.2*(T545/661.4786)^2)^3.5 -1)  )/( (1-6.8755856*10^-6 *100*Y545)^5.2558797) +1)^(2/7) -1) )^0.5),IF(S545="MACH",T545, IF(S545="LRC",BicubicInterpolation( 'LRC Mach'!$C$4:$AL$21, Y545,U545),  IF(S545="MRC",BicubicInterpolation( 'MRC Mach'!$C$3:$T$18, Y545,U545),  IF(S545="M0.84",0.84,  IF(S545="CI52",BicubicInterpolation('CI=52 Mach'!$C$3:$T$18, Y545,U545),  IF(S545="HOLDING",BicubicInterpolation(  'Holding Mach'!$C$4:$M$13, Y545,U545),                         IF(S545="LRCINOP", BicubicInterpolation('LRC INOP Mach'!$C$4:$AA$21,Y545,U545), IF(S545="HOLDINGINOP",  BicubicInterpolation('Holding INOP Mach'!$N$4:$U$13,Y545,U545),         "XXX" )))))))   )))</f>
        <v>#NAME?</v>
      </c>
      <c r="AD545" s="313" t="e">
        <f t="shared" ca="1" si="501"/>
        <v>#NAME?</v>
      </c>
      <c r="AE545" s="314" t="e">
        <f t="shared" ca="1" si="488"/>
        <v>#NAME?</v>
      </c>
      <c r="AF545" s="313" t="e">
        <f t="shared" ca="1" si="502"/>
        <v>#NAME?</v>
      </c>
      <c r="AG545" s="314" t="e">
        <f t="shared" ca="1" si="489"/>
        <v>#NAME?</v>
      </c>
      <c r="AH545" s="313" t="e">
        <f t="shared" ca="1" si="503"/>
        <v>#NAME?</v>
      </c>
      <c r="AI545" s="314" t="e">
        <f t="shared" ca="1" si="490"/>
        <v>#NAME?</v>
      </c>
      <c r="AJ545" s="315" t="e">
        <f t="shared" ca="1" si="491"/>
        <v>#NAME?</v>
      </c>
      <c r="AK545" s="568" t="e">
        <f t="shared" ca="1" si="504"/>
        <v>#NAME?</v>
      </c>
      <c r="AL545" s="313" t="e">
        <f t="shared" ca="1" si="505"/>
        <v>#NAME?</v>
      </c>
      <c r="AM545" s="313" t="e">
        <f t="shared" ca="1" si="492"/>
        <v>#NAME?</v>
      </c>
      <c r="AN545" s="313" t="e">
        <f t="shared" ca="1" si="493"/>
        <v>#NAME?</v>
      </c>
      <c r="AO545" s="316" t="e">
        <f t="shared" ca="1" si="506"/>
        <v>#NAME?</v>
      </c>
      <c r="AP545" s="313" t="e">
        <f t="shared" ca="1" si="507"/>
        <v>#NAME?</v>
      </c>
      <c r="AQ545" s="314" t="e">
        <f t="shared" ca="1" si="494"/>
        <v>#NAME?</v>
      </c>
      <c r="AR545" s="315" t="e">
        <f t="shared" ca="1" si="508"/>
        <v>#NAME?</v>
      </c>
      <c r="AS545" s="316" t="e">
        <f t="shared" ca="1" si="509"/>
        <v>#NAME?</v>
      </c>
      <c r="AT545" s="315" t="e">
        <f t="shared" ca="1" si="510"/>
        <v>#NAME?</v>
      </c>
      <c r="AU545" s="317">
        <v>427.8</v>
      </c>
      <c r="AV545" s="315" t="e">
        <f t="shared" ca="1" si="511"/>
        <v>#NAME?</v>
      </c>
      <c r="AW545" s="318" t="e">
        <f ca="1">0.0001*BicubicInterpolation('Drag Coef Table'!$B$4:$L$28,AV545,AC545)</f>
        <v>#NAME?</v>
      </c>
      <c r="AX545" s="319" t="e">
        <f t="shared" ca="1" si="512"/>
        <v>#NAME?</v>
      </c>
      <c r="AY545" s="318" t="e">
        <f t="shared" ca="1" si="513"/>
        <v>#NAME?</v>
      </c>
      <c r="AZ545" s="320" t="e">
        <f t="shared" ca="1" si="514"/>
        <v>#NAME?</v>
      </c>
      <c r="BA545" s="321" t="e">
        <f t="shared" ca="1" si="515"/>
        <v>#NAME?</v>
      </c>
      <c r="BB545" s="322" t="e">
        <f t="shared" ca="1" si="516"/>
        <v>#NAME?</v>
      </c>
      <c r="BC545" s="323">
        <v>75.196700000000007</v>
      </c>
      <c r="BD545" s="324" t="e">
        <f t="shared" ca="1" si="517"/>
        <v>#NAME?</v>
      </c>
      <c r="BE545" s="325" t="e">
        <f t="shared" ca="1" si="518"/>
        <v>#NAME?</v>
      </c>
      <c r="BF545" s="324" t="e">
        <f ca="1">BicubicInterpolation('TSFC Eff Table'!$B$4:$E$69,2,BB545)</f>
        <v>#NAME?</v>
      </c>
      <c r="BG545" s="326" t="e">
        <f t="shared" ca="1" si="519"/>
        <v>#NAME?</v>
      </c>
      <c r="BH545" s="694" t="e">
        <f ca="1">IF( S545="LRCINOP",   (1+(0.03/10)*Z545*(1+0.2*AC545^2) )*BicubicInterpolation( 'LRC INOP FF'!$C$4:$AA$21, Y545, U545 )-200, IF(S545 ="HOLDINGINOP", (1+(0.03/10)*Z545*(1+0.2*AC545^2) )*BicubicInterpolation( 'Holding INOP FF'!$C$4:$J$13,  Y545,  U545)/1.05-200,   BA545*BG545))</f>
        <v>#NAME?</v>
      </c>
      <c r="BI545" s="344" t="e">
        <f t="shared" ca="1" si="478"/>
        <v>#NAME?</v>
      </c>
      <c r="BJ545" s="322" t="e">
        <f t="shared" ca="1" si="520"/>
        <v>#NAME?</v>
      </c>
      <c r="BK545" s="338" t="e">
        <f t="shared" ca="1" si="479"/>
        <v>#NAME?</v>
      </c>
      <c r="BL545" s="327" t="e">
        <f t="shared" ca="1" si="521"/>
        <v>#NAME?</v>
      </c>
      <c r="BM545" s="328">
        <f t="shared" si="522"/>
        <v>200</v>
      </c>
      <c r="BN545" s="329" t="e">
        <f t="shared" ca="1" si="523"/>
        <v>#NAME?</v>
      </c>
      <c r="BO545" s="344" t="e">
        <f t="shared" ca="1" si="480"/>
        <v>#NAME?</v>
      </c>
      <c r="BP545" s="320" t="e">
        <f t="shared" ca="1" si="524"/>
        <v>#NAME?</v>
      </c>
      <c r="BQ545" s="344" t="e">
        <f t="shared" ca="1" si="481"/>
        <v>#NAME?</v>
      </c>
      <c r="BR545" s="347" t="e">
        <f t="shared" ca="1" si="482"/>
        <v>#NAME?</v>
      </c>
      <c r="BS545" s="326" t="e">
        <f t="shared" ca="1" si="525"/>
        <v>#NAME?</v>
      </c>
      <c r="BT545" s="437" t="e">
        <f t="shared" ca="1" si="495"/>
        <v>#NAME?</v>
      </c>
      <c r="BU545" s="437" t="e">
        <f t="shared" ca="1" si="496"/>
        <v>#NAME?</v>
      </c>
      <c r="BV545" s="441" t="e">
        <f t="shared" ca="1" si="497"/>
        <v>#NAME?</v>
      </c>
      <c r="BW545" s="442" t="e">
        <f t="shared" ca="1" si="498"/>
        <v>#NAME?</v>
      </c>
      <c r="BX545" s="470" t="e">
        <f t="shared" ca="1" si="472"/>
        <v>#NAME?</v>
      </c>
      <c r="BY545" s="484" t="e">
        <f t="shared" ca="1" si="483"/>
        <v>#NAME?</v>
      </c>
    </row>
    <row r="546" spans="9:77" ht="17.75" customHeight="1" x14ac:dyDescent="0.2">
      <c r="I546" s="366">
        <v>462</v>
      </c>
      <c r="J546" s="414">
        <f t="shared" si="484"/>
        <v>41706.033333334381</v>
      </c>
      <c r="K546" s="435" t="e">
        <f t="shared" ca="1" si="485"/>
        <v>#NAME?</v>
      </c>
      <c r="L546" s="435" t="e">
        <f t="shared" ca="1" si="466"/>
        <v>#NAME?</v>
      </c>
      <c r="M546" s="664" t="e">
        <f t="shared" ca="1" si="464"/>
        <v>#NAME?</v>
      </c>
      <c r="N546" s="664" t="e">
        <f t="shared" ca="1" si="465"/>
        <v>#NAME?</v>
      </c>
      <c r="O546" s="140" t="e">
        <f t="shared" ca="1" si="473"/>
        <v>#NAME?</v>
      </c>
      <c r="P546" s="352" t="e">
        <f t="shared" ca="1" si="486"/>
        <v>#NAME?</v>
      </c>
      <c r="Q546" s="665" t="e">
        <f t="shared" ca="1" si="467"/>
        <v>#NAME?</v>
      </c>
      <c r="R546" s="352" t="e">
        <f t="shared" ca="1" si="499"/>
        <v>#NAME?</v>
      </c>
      <c r="S546" s="662" t="e">
        <f t="shared" ca="1" si="474"/>
        <v>#NAME?</v>
      </c>
      <c r="T546" s="443" t="e">
        <f t="shared" ca="1" si="468"/>
        <v>#NAME?</v>
      </c>
      <c r="U546" s="369" t="e">
        <f t="shared" ca="1" si="469"/>
        <v>#NAME?</v>
      </c>
      <c r="V546" s="454" t="e">
        <f t="shared" ca="1" si="475"/>
        <v>#NAME?</v>
      </c>
      <c r="W546" s="457">
        <f t="shared" si="476"/>
        <v>1000</v>
      </c>
      <c r="X546" s="463" t="e">
        <f t="shared" ca="1" si="477"/>
        <v>#NAME?</v>
      </c>
      <c r="Y546" s="455" t="e">
        <f t="shared" ca="1" si="487"/>
        <v>#NAME?</v>
      </c>
      <c r="Z546" s="699">
        <f t="shared" si="470"/>
        <v>8.5</v>
      </c>
      <c r="AA546" s="355" t="str">
        <f t="shared" si="471"/>
        <v>ON</v>
      </c>
      <c r="AB546" s="357">
        <f t="shared" si="500"/>
        <v>1.4999999999999999E-2</v>
      </c>
      <c r="AC546" s="356" t="e">
        <f ca="1">IF(  Y545=0,0,IF(OR(S546="KCAS",S546="INOP",S546="MEFE"),   ( (5*( (   (((1+0.2*(T546/661.4786)^2)^3.5 -1)  )/( (1-6.8755856*10^-6 *100*Y546)^5.2558797) +1)^(2/7) -1) )^0.5),IF(S546="MACH",T546, IF(S546="LRC",BicubicInterpolation( 'LRC Mach'!$C$4:$AL$21, Y546,U546),  IF(S546="MRC",BicubicInterpolation( 'MRC Mach'!$C$3:$T$18, Y546,U546),  IF(S546="M0.84",0.84,  IF(S546="CI52",BicubicInterpolation('CI=52 Mach'!$C$3:$T$18, Y546,U546),  IF(S546="HOLDING",BicubicInterpolation(  'Holding Mach'!$C$4:$M$13, Y546,U546),                         IF(S546="LRCINOP", BicubicInterpolation('LRC INOP Mach'!$C$4:$AA$21,Y546,U546), IF(S546="HOLDINGINOP",  BicubicInterpolation('Holding INOP Mach'!$N$4:$U$13,Y546,U546),         "XXX" )))))))   )))</f>
        <v>#NAME?</v>
      </c>
      <c r="AD546" s="313" t="e">
        <f t="shared" ca="1" si="501"/>
        <v>#NAME?</v>
      </c>
      <c r="AE546" s="314" t="e">
        <f t="shared" ca="1" si="488"/>
        <v>#NAME?</v>
      </c>
      <c r="AF546" s="313" t="e">
        <f t="shared" ca="1" si="502"/>
        <v>#NAME?</v>
      </c>
      <c r="AG546" s="314" t="e">
        <f t="shared" ca="1" si="489"/>
        <v>#NAME?</v>
      </c>
      <c r="AH546" s="313" t="e">
        <f t="shared" ca="1" si="503"/>
        <v>#NAME?</v>
      </c>
      <c r="AI546" s="314" t="e">
        <f t="shared" ca="1" si="490"/>
        <v>#NAME?</v>
      </c>
      <c r="AJ546" s="315" t="e">
        <f t="shared" ca="1" si="491"/>
        <v>#NAME?</v>
      </c>
      <c r="AK546" s="568" t="e">
        <f t="shared" ca="1" si="504"/>
        <v>#NAME?</v>
      </c>
      <c r="AL546" s="313" t="e">
        <f t="shared" ca="1" si="505"/>
        <v>#NAME?</v>
      </c>
      <c r="AM546" s="313" t="e">
        <f t="shared" ca="1" si="492"/>
        <v>#NAME?</v>
      </c>
      <c r="AN546" s="313" t="e">
        <f t="shared" ca="1" si="493"/>
        <v>#NAME?</v>
      </c>
      <c r="AO546" s="316" t="e">
        <f t="shared" ca="1" si="506"/>
        <v>#NAME?</v>
      </c>
      <c r="AP546" s="313" t="e">
        <f t="shared" ca="1" si="507"/>
        <v>#NAME?</v>
      </c>
      <c r="AQ546" s="314" t="e">
        <f t="shared" ca="1" si="494"/>
        <v>#NAME?</v>
      </c>
      <c r="AR546" s="315" t="e">
        <f t="shared" ca="1" si="508"/>
        <v>#NAME?</v>
      </c>
      <c r="AS546" s="316" t="e">
        <f t="shared" ca="1" si="509"/>
        <v>#NAME?</v>
      </c>
      <c r="AT546" s="315" t="e">
        <f t="shared" ca="1" si="510"/>
        <v>#NAME?</v>
      </c>
      <c r="AU546" s="317">
        <v>427.8</v>
      </c>
      <c r="AV546" s="315" t="e">
        <f t="shared" ca="1" si="511"/>
        <v>#NAME?</v>
      </c>
      <c r="AW546" s="318" t="e">
        <f ca="1">0.0001*BicubicInterpolation('Drag Coef Table'!$B$4:$L$28,AV546,AC546)</f>
        <v>#NAME?</v>
      </c>
      <c r="AX546" s="319" t="e">
        <f t="shared" ca="1" si="512"/>
        <v>#NAME?</v>
      </c>
      <c r="AY546" s="318" t="e">
        <f t="shared" ca="1" si="513"/>
        <v>#NAME?</v>
      </c>
      <c r="AZ546" s="320" t="e">
        <f t="shared" ca="1" si="514"/>
        <v>#NAME?</v>
      </c>
      <c r="BA546" s="321" t="e">
        <f t="shared" ca="1" si="515"/>
        <v>#NAME?</v>
      </c>
      <c r="BB546" s="322" t="e">
        <f t="shared" ca="1" si="516"/>
        <v>#NAME?</v>
      </c>
      <c r="BC546" s="323">
        <v>75.196700000000007</v>
      </c>
      <c r="BD546" s="324" t="e">
        <f t="shared" ca="1" si="517"/>
        <v>#NAME?</v>
      </c>
      <c r="BE546" s="325" t="e">
        <f t="shared" ca="1" si="518"/>
        <v>#NAME?</v>
      </c>
      <c r="BF546" s="324" t="e">
        <f ca="1">BicubicInterpolation('TSFC Eff Table'!$B$4:$E$69,2,BB546)</f>
        <v>#NAME?</v>
      </c>
      <c r="BG546" s="326" t="e">
        <f t="shared" ca="1" si="519"/>
        <v>#NAME?</v>
      </c>
      <c r="BH546" s="694" t="e">
        <f ca="1">IF( S546="LRCINOP",   (1+(0.03/10)*Z546*(1+0.2*AC546^2) )*BicubicInterpolation( 'LRC INOP FF'!$C$4:$AA$21, Y546, U546 )-200, IF(S546 ="HOLDINGINOP", (1+(0.03/10)*Z546*(1+0.2*AC546^2) )*BicubicInterpolation( 'Holding INOP FF'!$C$4:$J$13,  Y546,  U546)/1.05-200,   BA546*BG546))</f>
        <v>#NAME?</v>
      </c>
      <c r="BI546" s="344" t="e">
        <f t="shared" ca="1" si="478"/>
        <v>#NAME?</v>
      </c>
      <c r="BJ546" s="322" t="e">
        <f t="shared" ca="1" si="520"/>
        <v>#NAME?</v>
      </c>
      <c r="BK546" s="338" t="e">
        <f t="shared" ca="1" si="479"/>
        <v>#NAME?</v>
      </c>
      <c r="BL546" s="327" t="e">
        <f t="shared" ca="1" si="521"/>
        <v>#NAME?</v>
      </c>
      <c r="BM546" s="328">
        <f t="shared" si="522"/>
        <v>200</v>
      </c>
      <c r="BN546" s="329" t="e">
        <f t="shared" ca="1" si="523"/>
        <v>#NAME?</v>
      </c>
      <c r="BO546" s="344" t="e">
        <f t="shared" ca="1" si="480"/>
        <v>#NAME?</v>
      </c>
      <c r="BP546" s="320" t="e">
        <f t="shared" ca="1" si="524"/>
        <v>#NAME?</v>
      </c>
      <c r="BQ546" s="344" t="e">
        <f t="shared" ca="1" si="481"/>
        <v>#NAME?</v>
      </c>
      <c r="BR546" s="347" t="e">
        <f t="shared" ca="1" si="482"/>
        <v>#NAME?</v>
      </c>
      <c r="BS546" s="326" t="e">
        <f t="shared" ca="1" si="525"/>
        <v>#NAME?</v>
      </c>
      <c r="BT546" s="437" t="e">
        <f t="shared" ca="1" si="495"/>
        <v>#NAME?</v>
      </c>
      <c r="BU546" s="437" t="e">
        <f t="shared" ca="1" si="496"/>
        <v>#NAME?</v>
      </c>
      <c r="BV546" s="441" t="e">
        <f t="shared" ca="1" si="497"/>
        <v>#NAME?</v>
      </c>
      <c r="BW546" s="442" t="e">
        <f t="shared" ca="1" si="498"/>
        <v>#NAME?</v>
      </c>
      <c r="BX546" s="470" t="e">
        <f t="shared" ca="1" si="472"/>
        <v>#NAME?</v>
      </c>
      <c r="BY546" s="484" t="e">
        <f t="shared" ca="1" si="483"/>
        <v>#NAME?</v>
      </c>
    </row>
    <row r="547" spans="9:77" ht="17.75" customHeight="1" x14ac:dyDescent="0.2">
      <c r="I547" s="366">
        <v>463</v>
      </c>
      <c r="J547" s="414">
        <f t="shared" si="484"/>
        <v>41706.034027778827</v>
      </c>
      <c r="K547" s="435" t="e">
        <f t="shared" ca="1" si="485"/>
        <v>#NAME?</v>
      </c>
      <c r="L547" s="435" t="e">
        <f t="shared" ca="1" si="466"/>
        <v>#NAME?</v>
      </c>
      <c r="M547" s="664" t="e">
        <f t="shared" ca="1" si="464"/>
        <v>#NAME?</v>
      </c>
      <c r="N547" s="664" t="e">
        <f t="shared" ca="1" si="465"/>
        <v>#NAME?</v>
      </c>
      <c r="O547" s="140" t="e">
        <f t="shared" ca="1" si="473"/>
        <v>#NAME?</v>
      </c>
      <c r="P547" s="352" t="e">
        <f t="shared" ca="1" si="486"/>
        <v>#NAME?</v>
      </c>
      <c r="Q547" s="665" t="e">
        <f t="shared" ca="1" si="467"/>
        <v>#NAME?</v>
      </c>
      <c r="R547" s="352" t="e">
        <f t="shared" ca="1" si="499"/>
        <v>#NAME?</v>
      </c>
      <c r="S547" s="662" t="e">
        <f t="shared" ca="1" si="474"/>
        <v>#NAME?</v>
      </c>
      <c r="T547" s="443" t="e">
        <f t="shared" ca="1" si="468"/>
        <v>#NAME?</v>
      </c>
      <c r="U547" s="369" t="e">
        <f t="shared" ca="1" si="469"/>
        <v>#NAME?</v>
      </c>
      <c r="V547" s="454" t="e">
        <f t="shared" ca="1" si="475"/>
        <v>#NAME?</v>
      </c>
      <c r="W547" s="457">
        <f t="shared" si="476"/>
        <v>1000</v>
      </c>
      <c r="X547" s="463" t="e">
        <f t="shared" ca="1" si="477"/>
        <v>#NAME?</v>
      </c>
      <c r="Y547" s="455" t="e">
        <f t="shared" ca="1" si="487"/>
        <v>#NAME?</v>
      </c>
      <c r="Z547" s="699">
        <f t="shared" si="470"/>
        <v>8.5</v>
      </c>
      <c r="AA547" s="355" t="str">
        <f t="shared" si="471"/>
        <v>ON</v>
      </c>
      <c r="AB547" s="357">
        <f t="shared" si="500"/>
        <v>1.4999999999999999E-2</v>
      </c>
      <c r="AC547" s="356" t="e">
        <f ca="1">IF(  Y546=0,0,IF(OR(S547="KCAS",S547="INOP",S547="MEFE"),   ( (5*( (   (((1+0.2*(T547/661.4786)^2)^3.5 -1)  )/( (1-6.8755856*10^-6 *100*Y547)^5.2558797) +1)^(2/7) -1) )^0.5),IF(S547="MACH",T547, IF(S547="LRC",BicubicInterpolation( 'LRC Mach'!$C$4:$AL$21, Y547,U547),  IF(S547="MRC",BicubicInterpolation( 'MRC Mach'!$C$3:$T$18, Y547,U547),  IF(S547="M0.84",0.84,  IF(S547="CI52",BicubicInterpolation('CI=52 Mach'!$C$3:$T$18, Y547,U547),  IF(S547="HOLDING",BicubicInterpolation(  'Holding Mach'!$C$4:$M$13, Y547,U547),                         IF(S547="LRCINOP", BicubicInterpolation('LRC INOP Mach'!$C$4:$AA$21,Y547,U547), IF(S547="HOLDINGINOP",  BicubicInterpolation('Holding INOP Mach'!$N$4:$U$13,Y547,U547),         "XXX" )))))))   )))</f>
        <v>#NAME?</v>
      </c>
      <c r="AD547" s="313" t="e">
        <f t="shared" ca="1" si="501"/>
        <v>#NAME?</v>
      </c>
      <c r="AE547" s="314" t="e">
        <f t="shared" ca="1" si="488"/>
        <v>#NAME?</v>
      </c>
      <c r="AF547" s="313" t="e">
        <f t="shared" ca="1" si="502"/>
        <v>#NAME?</v>
      </c>
      <c r="AG547" s="314" t="e">
        <f t="shared" ca="1" si="489"/>
        <v>#NAME?</v>
      </c>
      <c r="AH547" s="313" t="e">
        <f t="shared" ca="1" si="503"/>
        <v>#NAME?</v>
      </c>
      <c r="AI547" s="314" t="e">
        <f t="shared" ca="1" si="490"/>
        <v>#NAME?</v>
      </c>
      <c r="AJ547" s="315" t="e">
        <f t="shared" ca="1" si="491"/>
        <v>#NAME?</v>
      </c>
      <c r="AK547" s="568" t="e">
        <f t="shared" ca="1" si="504"/>
        <v>#NAME?</v>
      </c>
      <c r="AL547" s="313" t="e">
        <f t="shared" ca="1" si="505"/>
        <v>#NAME?</v>
      </c>
      <c r="AM547" s="313" t="e">
        <f t="shared" ca="1" si="492"/>
        <v>#NAME?</v>
      </c>
      <c r="AN547" s="313" t="e">
        <f t="shared" ca="1" si="493"/>
        <v>#NAME?</v>
      </c>
      <c r="AO547" s="316" t="e">
        <f t="shared" ca="1" si="506"/>
        <v>#NAME?</v>
      </c>
      <c r="AP547" s="313" t="e">
        <f t="shared" ca="1" si="507"/>
        <v>#NAME?</v>
      </c>
      <c r="AQ547" s="314" t="e">
        <f t="shared" ca="1" si="494"/>
        <v>#NAME?</v>
      </c>
      <c r="AR547" s="315" t="e">
        <f t="shared" ca="1" si="508"/>
        <v>#NAME?</v>
      </c>
      <c r="AS547" s="316" t="e">
        <f t="shared" ca="1" si="509"/>
        <v>#NAME?</v>
      </c>
      <c r="AT547" s="315" t="e">
        <f t="shared" ca="1" si="510"/>
        <v>#NAME?</v>
      </c>
      <c r="AU547" s="317">
        <v>427.8</v>
      </c>
      <c r="AV547" s="315" t="e">
        <f t="shared" ca="1" si="511"/>
        <v>#NAME?</v>
      </c>
      <c r="AW547" s="318" t="e">
        <f ca="1">0.0001*BicubicInterpolation('Drag Coef Table'!$B$4:$L$28,AV547,AC547)</f>
        <v>#NAME?</v>
      </c>
      <c r="AX547" s="319" t="e">
        <f t="shared" ca="1" si="512"/>
        <v>#NAME?</v>
      </c>
      <c r="AY547" s="318" t="e">
        <f t="shared" ca="1" si="513"/>
        <v>#NAME?</v>
      </c>
      <c r="AZ547" s="320" t="e">
        <f t="shared" ca="1" si="514"/>
        <v>#NAME?</v>
      </c>
      <c r="BA547" s="321" t="e">
        <f t="shared" ca="1" si="515"/>
        <v>#NAME?</v>
      </c>
      <c r="BB547" s="322" t="e">
        <f t="shared" ca="1" si="516"/>
        <v>#NAME?</v>
      </c>
      <c r="BC547" s="323">
        <v>75.196700000000007</v>
      </c>
      <c r="BD547" s="324" t="e">
        <f t="shared" ca="1" si="517"/>
        <v>#NAME?</v>
      </c>
      <c r="BE547" s="325" t="e">
        <f t="shared" ca="1" si="518"/>
        <v>#NAME?</v>
      </c>
      <c r="BF547" s="324" t="e">
        <f ca="1">BicubicInterpolation('TSFC Eff Table'!$B$4:$E$69,2,BB547)</f>
        <v>#NAME?</v>
      </c>
      <c r="BG547" s="326" t="e">
        <f t="shared" ca="1" si="519"/>
        <v>#NAME?</v>
      </c>
      <c r="BH547" s="694" t="e">
        <f ca="1">IF( S547="LRCINOP",   (1+(0.03/10)*Z547*(1+0.2*AC547^2) )*BicubicInterpolation( 'LRC INOP FF'!$C$4:$AA$21, Y547, U547 )-200, IF(S547 ="HOLDINGINOP", (1+(0.03/10)*Z547*(1+0.2*AC547^2) )*BicubicInterpolation( 'Holding INOP FF'!$C$4:$J$13,  Y547,  U547)/1.05-200,   BA547*BG547))</f>
        <v>#NAME?</v>
      </c>
      <c r="BI547" s="344" t="e">
        <f t="shared" ca="1" si="478"/>
        <v>#NAME?</v>
      </c>
      <c r="BJ547" s="322" t="e">
        <f t="shared" ca="1" si="520"/>
        <v>#NAME?</v>
      </c>
      <c r="BK547" s="338" t="e">
        <f t="shared" ca="1" si="479"/>
        <v>#NAME?</v>
      </c>
      <c r="BL547" s="327" t="e">
        <f t="shared" ca="1" si="521"/>
        <v>#NAME?</v>
      </c>
      <c r="BM547" s="328">
        <f t="shared" si="522"/>
        <v>200</v>
      </c>
      <c r="BN547" s="329" t="e">
        <f t="shared" ca="1" si="523"/>
        <v>#NAME?</v>
      </c>
      <c r="BO547" s="344" t="e">
        <f t="shared" ca="1" si="480"/>
        <v>#NAME?</v>
      </c>
      <c r="BP547" s="320" t="e">
        <f t="shared" ca="1" si="524"/>
        <v>#NAME?</v>
      </c>
      <c r="BQ547" s="344" t="e">
        <f t="shared" ca="1" si="481"/>
        <v>#NAME?</v>
      </c>
      <c r="BR547" s="347" t="e">
        <f t="shared" ca="1" si="482"/>
        <v>#NAME?</v>
      </c>
      <c r="BS547" s="326" t="e">
        <f t="shared" ca="1" si="525"/>
        <v>#NAME?</v>
      </c>
      <c r="BT547" s="437" t="e">
        <f t="shared" ca="1" si="495"/>
        <v>#NAME?</v>
      </c>
      <c r="BU547" s="437" t="e">
        <f t="shared" ca="1" si="496"/>
        <v>#NAME?</v>
      </c>
      <c r="BV547" s="441" t="e">
        <f t="shared" ca="1" si="497"/>
        <v>#NAME?</v>
      </c>
      <c r="BW547" s="442" t="e">
        <f t="shared" ca="1" si="498"/>
        <v>#NAME?</v>
      </c>
      <c r="BX547" s="470" t="e">
        <f t="shared" ca="1" si="472"/>
        <v>#NAME?</v>
      </c>
      <c r="BY547" s="484" t="e">
        <f t="shared" ca="1" si="483"/>
        <v>#NAME?</v>
      </c>
    </row>
    <row r="548" spans="9:77" ht="17.75" customHeight="1" x14ac:dyDescent="0.2">
      <c r="I548" s="366">
        <v>464</v>
      </c>
      <c r="J548" s="414">
        <f t="shared" si="484"/>
        <v>41706.034722223274</v>
      </c>
      <c r="K548" s="435" t="e">
        <f t="shared" ca="1" si="485"/>
        <v>#NAME?</v>
      </c>
      <c r="L548" s="435" t="e">
        <f t="shared" ca="1" si="466"/>
        <v>#NAME?</v>
      </c>
      <c r="M548" s="664" t="e">
        <f t="shared" ca="1" si="464"/>
        <v>#NAME?</v>
      </c>
      <c r="N548" s="664" t="e">
        <f t="shared" ca="1" si="465"/>
        <v>#NAME?</v>
      </c>
      <c r="O548" s="140" t="e">
        <f t="shared" ca="1" si="473"/>
        <v>#NAME?</v>
      </c>
      <c r="P548" s="352" t="e">
        <f t="shared" ca="1" si="486"/>
        <v>#NAME?</v>
      </c>
      <c r="Q548" s="665" t="e">
        <f t="shared" ca="1" si="467"/>
        <v>#NAME?</v>
      </c>
      <c r="R548" s="352" t="e">
        <f t="shared" ca="1" si="499"/>
        <v>#NAME?</v>
      </c>
      <c r="S548" s="662" t="e">
        <f t="shared" ca="1" si="474"/>
        <v>#NAME?</v>
      </c>
      <c r="T548" s="443" t="e">
        <f t="shared" ca="1" si="468"/>
        <v>#NAME?</v>
      </c>
      <c r="U548" s="369" t="e">
        <f t="shared" ca="1" si="469"/>
        <v>#NAME?</v>
      </c>
      <c r="V548" s="454" t="e">
        <f t="shared" ca="1" si="475"/>
        <v>#NAME?</v>
      </c>
      <c r="W548" s="457">
        <f t="shared" si="476"/>
        <v>1000</v>
      </c>
      <c r="X548" s="463" t="e">
        <f t="shared" ca="1" si="477"/>
        <v>#NAME?</v>
      </c>
      <c r="Y548" s="455" t="e">
        <f t="shared" ca="1" si="487"/>
        <v>#NAME?</v>
      </c>
      <c r="Z548" s="699">
        <f t="shared" si="470"/>
        <v>8.5</v>
      </c>
      <c r="AA548" s="355" t="str">
        <f t="shared" si="471"/>
        <v>ON</v>
      </c>
      <c r="AB548" s="357">
        <f t="shared" si="500"/>
        <v>1.4999999999999999E-2</v>
      </c>
      <c r="AC548" s="356" t="e">
        <f ca="1">IF(  Y547=0,0,IF(OR(S548="KCAS",S548="INOP",S548="MEFE"),   ( (5*( (   (((1+0.2*(T548/661.4786)^2)^3.5 -1)  )/( (1-6.8755856*10^-6 *100*Y548)^5.2558797) +1)^(2/7) -1) )^0.5),IF(S548="MACH",T548, IF(S548="LRC",BicubicInterpolation( 'LRC Mach'!$C$4:$AL$21, Y548,U548),  IF(S548="MRC",BicubicInterpolation( 'MRC Mach'!$C$3:$T$18, Y548,U548),  IF(S548="M0.84",0.84,  IF(S548="CI52",BicubicInterpolation('CI=52 Mach'!$C$3:$T$18, Y548,U548),  IF(S548="HOLDING",BicubicInterpolation(  'Holding Mach'!$C$4:$M$13, Y548,U548),                         IF(S548="LRCINOP", BicubicInterpolation('LRC INOP Mach'!$C$4:$AA$21,Y548,U548), IF(S548="HOLDINGINOP",  BicubicInterpolation('Holding INOP Mach'!$N$4:$U$13,Y548,U548),         "XXX" )))))))   )))</f>
        <v>#NAME?</v>
      </c>
      <c r="AD548" s="313" t="e">
        <f t="shared" ca="1" si="501"/>
        <v>#NAME?</v>
      </c>
      <c r="AE548" s="314" t="e">
        <f t="shared" ca="1" si="488"/>
        <v>#NAME?</v>
      </c>
      <c r="AF548" s="313" t="e">
        <f t="shared" ca="1" si="502"/>
        <v>#NAME?</v>
      </c>
      <c r="AG548" s="314" t="e">
        <f t="shared" ca="1" si="489"/>
        <v>#NAME?</v>
      </c>
      <c r="AH548" s="313" t="e">
        <f t="shared" ca="1" si="503"/>
        <v>#NAME?</v>
      </c>
      <c r="AI548" s="314" t="e">
        <f t="shared" ca="1" si="490"/>
        <v>#NAME?</v>
      </c>
      <c r="AJ548" s="315" t="e">
        <f t="shared" ca="1" si="491"/>
        <v>#NAME?</v>
      </c>
      <c r="AK548" s="568" t="e">
        <f t="shared" ca="1" si="504"/>
        <v>#NAME?</v>
      </c>
      <c r="AL548" s="313" t="e">
        <f t="shared" ca="1" si="505"/>
        <v>#NAME?</v>
      </c>
      <c r="AM548" s="313" t="e">
        <f t="shared" ca="1" si="492"/>
        <v>#NAME?</v>
      </c>
      <c r="AN548" s="313" t="e">
        <f t="shared" ca="1" si="493"/>
        <v>#NAME?</v>
      </c>
      <c r="AO548" s="316" t="e">
        <f t="shared" ca="1" si="506"/>
        <v>#NAME?</v>
      </c>
      <c r="AP548" s="313" t="e">
        <f t="shared" ca="1" si="507"/>
        <v>#NAME?</v>
      </c>
      <c r="AQ548" s="314" t="e">
        <f t="shared" ca="1" si="494"/>
        <v>#NAME?</v>
      </c>
      <c r="AR548" s="315" t="e">
        <f t="shared" ca="1" si="508"/>
        <v>#NAME?</v>
      </c>
      <c r="AS548" s="316" t="e">
        <f t="shared" ca="1" si="509"/>
        <v>#NAME?</v>
      </c>
      <c r="AT548" s="315" t="e">
        <f t="shared" ca="1" si="510"/>
        <v>#NAME?</v>
      </c>
      <c r="AU548" s="317">
        <v>427.8</v>
      </c>
      <c r="AV548" s="315" t="e">
        <f t="shared" ca="1" si="511"/>
        <v>#NAME?</v>
      </c>
      <c r="AW548" s="318" t="e">
        <f ca="1">0.0001*BicubicInterpolation('Drag Coef Table'!$B$4:$L$28,AV548,AC548)</f>
        <v>#NAME?</v>
      </c>
      <c r="AX548" s="319" t="e">
        <f t="shared" ca="1" si="512"/>
        <v>#NAME?</v>
      </c>
      <c r="AY548" s="318" t="e">
        <f t="shared" ca="1" si="513"/>
        <v>#NAME?</v>
      </c>
      <c r="AZ548" s="320" t="e">
        <f t="shared" ca="1" si="514"/>
        <v>#NAME?</v>
      </c>
      <c r="BA548" s="321" t="e">
        <f t="shared" ca="1" si="515"/>
        <v>#NAME?</v>
      </c>
      <c r="BB548" s="322" t="e">
        <f t="shared" ca="1" si="516"/>
        <v>#NAME?</v>
      </c>
      <c r="BC548" s="323">
        <v>75.196700000000007</v>
      </c>
      <c r="BD548" s="324" t="e">
        <f t="shared" ca="1" si="517"/>
        <v>#NAME?</v>
      </c>
      <c r="BE548" s="325" t="e">
        <f t="shared" ca="1" si="518"/>
        <v>#NAME?</v>
      </c>
      <c r="BF548" s="324" t="e">
        <f ca="1">BicubicInterpolation('TSFC Eff Table'!$B$4:$E$69,2,BB548)</f>
        <v>#NAME?</v>
      </c>
      <c r="BG548" s="326" t="e">
        <f t="shared" ca="1" si="519"/>
        <v>#NAME?</v>
      </c>
      <c r="BH548" s="694" t="e">
        <f ca="1">IF( S548="LRCINOP",   (1+(0.03/10)*Z548*(1+0.2*AC548^2) )*BicubicInterpolation( 'LRC INOP FF'!$C$4:$AA$21, Y548, U548 )-200, IF(S548 ="HOLDINGINOP", (1+(0.03/10)*Z548*(1+0.2*AC548^2) )*BicubicInterpolation( 'Holding INOP FF'!$C$4:$J$13,  Y548,  U548)/1.05-200,   BA548*BG548))</f>
        <v>#NAME?</v>
      </c>
      <c r="BI548" s="344" t="e">
        <f t="shared" ca="1" si="478"/>
        <v>#NAME?</v>
      </c>
      <c r="BJ548" s="322" t="e">
        <f t="shared" ca="1" si="520"/>
        <v>#NAME?</v>
      </c>
      <c r="BK548" s="338" t="e">
        <f t="shared" ca="1" si="479"/>
        <v>#NAME?</v>
      </c>
      <c r="BL548" s="327" t="e">
        <f t="shared" ca="1" si="521"/>
        <v>#NAME?</v>
      </c>
      <c r="BM548" s="328">
        <f t="shared" si="522"/>
        <v>200</v>
      </c>
      <c r="BN548" s="329" t="e">
        <f t="shared" ca="1" si="523"/>
        <v>#NAME?</v>
      </c>
      <c r="BO548" s="344" t="e">
        <f t="shared" ca="1" si="480"/>
        <v>#NAME?</v>
      </c>
      <c r="BP548" s="320" t="e">
        <f t="shared" ca="1" si="524"/>
        <v>#NAME?</v>
      </c>
      <c r="BQ548" s="344" t="e">
        <f t="shared" ca="1" si="481"/>
        <v>#NAME?</v>
      </c>
      <c r="BR548" s="347" t="e">
        <f t="shared" ca="1" si="482"/>
        <v>#NAME?</v>
      </c>
      <c r="BS548" s="326" t="e">
        <f t="shared" ca="1" si="525"/>
        <v>#NAME?</v>
      </c>
      <c r="BT548" s="437" t="e">
        <f t="shared" ca="1" si="495"/>
        <v>#NAME?</v>
      </c>
      <c r="BU548" s="437" t="e">
        <f t="shared" ca="1" si="496"/>
        <v>#NAME?</v>
      </c>
      <c r="BV548" s="441" t="e">
        <f t="shared" ca="1" si="497"/>
        <v>#NAME?</v>
      </c>
      <c r="BW548" s="442" t="e">
        <f t="shared" ca="1" si="498"/>
        <v>#NAME?</v>
      </c>
      <c r="BX548" s="470" t="e">
        <f t="shared" ca="1" si="472"/>
        <v>#NAME?</v>
      </c>
      <c r="BY548" s="484" t="e">
        <f t="shared" ca="1" si="483"/>
        <v>#NAME?</v>
      </c>
    </row>
    <row r="549" spans="9:77" ht="17.75" customHeight="1" x14ac:dyDescent="0.2">
      <c r="I549" s="366">
        <v>465</v>
      </c>
      <c r="J549" s="414">
        <f t="shared" si="484"/>
        <v>41706.035416667721</v>
      </c>
      <c r="K549" s="435" t="e">
        <f t="shared" ca="1" si="485"/>
        <v>#NAME?</v>
      </c>
      <c r="L549" s="435" t="e">
        <f t="shared" ca="1" si="466"/>
        <v>#NAME?</v>
      </c>
      <c r="M549" s="664" t="e">
        <f t="shared" ca="1" si="464"/>
        <v>#NAME?</v>
      </c>
      <c r="N549" s="664" t="e">
        <f t="shared" ca="1" si="465"/>
        <v>#NAME?</v>
      </c>
      <c r="O549" s="140" t="e">
        <f t="shared" ca="1" si="473"/>
        <v>#NAME?</v>
      </c>
      <c r="P549" s="352" t="e">
        <f t="shared" ca="1" si="486"/>
        <v>#NAME?</v>
      </c>
      <c r="Q549" s="665" t="e">
        <f t="shared" ca="1" si="467"/>
        <v>#NAME?</v>
      </c>
      <c r="R549" s="352" t="e">
        <f t="shared" ca="1" si="499"/>
        <v>#NAME?</v>
      </c>
      <c r="S549" s="662" t="e">
        <f t="shared" ca="1" si="474"/>
        <v>#NAME?</v>
      </c>
      <c r="T549" s="443" t="e">
        <f t="shared" ca="1" si="468"/>
        <v>#NAME?</v>
      </c>
      <c r="U549" s="369" t="e">
        <f t="shared" ca="1" si="469"/>
        <v>#NAME?</v>
      </c>
      <c r="V549" s="454" t="e">
        <f t="shared" ca="1" si="475"/>
        <v>#NAME?</v>
      </c>
      <c r="W549" s="457">
        <f t="shared" si="476"/>
        <v>1000</v>
      </c>
      <c r="X549" s="463" t="e">
        <f t="shared" ca="1" si="477"/>
        <v>#NAME?</v>
      </c>
      <c r="Y549" s="455" t="e">
        <f t="shared" ca="1" si="487"/>
        <v>#NAME?</v>
      </c>
      <c r="Z549" s="699">
        <f t="shared" si="470"/>
        <v>8.5</v>
      </c>
      <c r="AA549" s="355" t="str">
        <f t="shared" si="471"/>
        <v>ON</v>
      </c>
      <c r="AB549" s="357">
        <f t="shared" si="500"/>
        <v>1.4999999999999999E-2</v>
      </c>
      <c r="AC549" s="356" t="e">
        <f ca="1">IF(  Y548=0,0,IF(OR(S549="KCAS",S549="INOP",S549="MEFE"),   ( (5*( (   (((1+0.2*(T549/661.4786)^2)^3.5 -1)  )/( (1-6.8755856*10^-6 *100*Y549)^5.2558797) +1)^(2/7) -1) )^0.5),IF(S549="MACH",T549, IF(S549="LRC",BicubicInterpolation( 'LRC Mach'!$C$4:$AL$21, Y549,U549),  IF(S549="MRC",BicubicInterpolation( 'MRC Mach'!$C$3:$T$18, Y549,U549),  IF(S549="M0.84",0.84,  IF(S549="CI52",BicubicInterpolation('CI=52 Mach'!$C$3:$T$18, Y549,U549),  IF(S549="HOLDING",BicubicInterpolation(  'Holding Mach'!$C$4:$M$13, Y549,U549),                         IF(S549="LRCINOP", BicubicInterpolation('LRC INOP Mach'!$C$4:$AA$21,Y549,U549), IF(S549="HOLDINGINOP",  BicubicInterpolation('Holding INOP Mach'!$N$4:$U$13,Y549,U549),         "XXX" )))))))   )))</f>
        <v>#NAME?</v>
      </c>
      <c r="AD549" s="313" t="e">
        <f t="shared" ca="1" si="501"/>
        <v>#NAME?</v>
      </c>
      <c r="AE549" s="314" t="e">
        <f t="shared" ca="1" si="488"/>
        <v>#NAME?</v>
      </c>
      <c r="AF549" s="313" t="e">
        <f t="shared" ca="1" si="502"/>
        <v>#NAME?</v>
      </c>
      <c r="AG549" s="314" t="e">
        <f t="shared" ca="1" si="489"/>
        <v>#NAME?</v>
      </c>
      <c r="AH549" s="313" t="e">
        <f t="shared" ca="1" si="503"/>
        <v>#NAME?</v>
      </c>
      <c r="AI549" s="314" t="e">
        <f t="shared" ca="1" si="490"/>
        <v>#NAME?</v>
      </c>
      <c r="AJ549" s="315" t="e">
        <f t="shared" ca="1" si="491"/>
        <v>#NAME?</v>
      </c>
      <c r="AK549" s="568" t="e">
        <f t="shared" ca="1" si="504"/>
        <v>#NAME?</v>
      </c>
      <c r="AL549" s="313" t="e">
        <f t="shared" ca="1" si="505"/>
        <v>#NAME?</v>
      </c>
      <c r="AM549" s="313" t="e">
        <f t="shared" ca="1" si="492"/>
        <v>#NAME?</v>
      </c>
      <c r="AN549" s="313" t="e">
        <f t="shared" ca="1" si="493"/>
        <v>#NAME?</v>
      </c>
      <c r="AO549" s="316" t="e">
        <f t="shared" ca="1" si="506"/>
        <v>#NAME?</v>
      </c>
      <c r="AP549" s="313" t="e">
        <f t="shared" ca="1" si="507"/>
        <v>#NAME?</v>
      </c>
      <c r="AQ549" s="314" t="e">
        <f t="shared" ca="1" si="494"/>
        <v>#NAME?</v>
      </c>
      <c r="AR549" s="315" t="e">
        <f t="shared" ca="1" si="508"/>
        <v>#NAME?</v>
      </c>
      <c r="AS549" s="316" t="e">
        <f t="shared" ca="1" si="509"/>
        <v>#NAME?</v>
      </c>
      <c r="AT549" s="315" t="e">
        <f t="shared" ca="1" si="510"/>
        <v>#NAME?</v>
      </c>
      <c r="AU549" s="317">
        <v>427.8</v>
      </c>
      <c r="AV549" s="315" t="e">
        <f t="shared" ca="1" si="511"/>
        <v>#NAME?</v>
      </c>
      <c r="AW549" s="318" t="e">
        <f ca="1">0.0001*BicubicInterpolation('Drag Coef Table'!$B$4:$L$28,AV549,AC549)</f>
        <v>#NAME?</v>
      </c>
      <c r="AX549" s="319" t="e">
        <f t="shared" ca="1" si="512"/>
        <v>#NAME?</v>
      </c>
      <c r="AY549" s="318" t="e">
        <f t="shared" ca="1" si="513"/>
        <v>#NAME?</v>
      </c>
      <c r="AZ549" s="320" t="e">
        <f t="shared" ca="1" si="514"/>
        <v>#NAME?</v>
      </c>
      <c r="BA549" s="321" t="e">
        <f t="shared" ca="1" si="515"/>
        <v>#NAME?</v>
      </c>
      <c r="BB549" s="322" t="e">
        <f t="shared" ca="1" si="516"/>
        <v>#NAME?</v>
      </c>
      <c r="BC549" s="323">
        <v>75.196700000000007</v>
      </c>
      <c r="BD549" s="324" t="e">
        <f t="shared" ca="1" si="517"/>
        <v>#NAME?</v>
      </c>
      <c r="BE549" s="325" t="e">
        <f t="shared" ca="1" si="518"/>
        <v>#NAME?</v>
      </c>
      <c r="BF549" s="324" t="e">
        <f ca="1">BicubicInterpolation('TSFC Eff Table'!$B$4:$E$69,2,BB549)</f>
        <v>#NAME?</v>
      </c>
      <c r="BG549" s="326" t="e">
        <f t="shared" ca="1" si="519"/>
        <v>#NAME?</v>
      </c>
      <c r="BH549" s="694" t="e">
        <f ca="1">IF( S549="LRCINOP",   (1+(0.03/10)*Z549*(1+0.2*AC549^2) )*BicubicInterpolation( 'LRC INOP FF'!$C$4:$AA$21, Y549, U549 )-200, IF(S549 ="HOLDINGINOP", (1+(0.03/10)*Z549*(1+0.2*AC549^2) )*BicubicInterpolation( 'Holding INOP FF'!$C$4:$J$13,  Y549,  U549)/1.05-200,   BA549*BG549))</f>
        <v>#NAME?</v>
      </c>
      <c r="BI549" s="344" t="e">
        <f t="shared" ca="1" si="478"/>
        <v>#NAME?</v>
      </c>
      <c r="BJ549" s="322" t="e">
        <f t="shared" ca="1" si="520"/>
        <v>#NAME?</v>
      </c>
      <c r="BK549" s="338" t="e">
        <f t="shared" ca="1" si="479"/>
        <v>#NAME?</v>
      </c>
      <c r="BL549" s="327" t="e">
        <f t="shared" ca="1" si="521"/>
        <v>#NAME?</v>
      </c>
      <c r="BM549" s="328">
        <f t="shared" si="522"/>
        <v>200</v>
      </c>
      <c r="BN549" s="329" t="e">
        <f t="shared" ca="1" si="523"/>
        <v>#NAME?</v>
      </c>
      <c r="BO549" s="344" t="e">
        <f t="shared" ca="1" si="480"/>
        <v>#NAME?</v>
      </c>
      <c r="BP549" s="320" t="e">
        <f t="shared" ca="1" si="524"/>
        <v>#NAME?</v>
      </c>
      <c r="BQ549" s="344" t="e">
        <f t="shared" ca="1" si="481"/>
        <v>#NAME?</v>
      </c>
      <c r="BR549" s="347" t="e">
        <f t="shared" ca="1" si="482"/>
        <v>#NAME?</v>
      </c>
      <c r="BS549" s="326" t="e">
        <f t="shared" ca="1" si="525"/>
        <v>#NAME?</v>
      </c>
      <c r="BT549" s="437" t="e">
        <f t="shared" ca="1" si="495"/>
        <v>#NAME?</v>
      </c>
      <c r="BU549" s="437" t="e">
        <f t="shared" ca="1" si="496"/>
        <v>#NAME?</v>
      </c>
      <c r="BV549" s="441" t="e">
        <f t="shared" ca="1" si="497"/>
        <v>#NAME?</v>
      </c>
      <c r="BW549" s="442" t="e">
        <f t="shared" ca="1" si="498"/>
        <v>#NAME?</v>
      </c>
      <c r="BX549" s="470" t="e">
        <f t="shared" ca="1" si="472"/>
        <v>#NAME?</v>
      </c>
      <c r="BY549" s="484" t="e">
        <f t="shared" ca="1" si="483"/>
        <v>#NAME?</v>
      </c>
    </row>
    <row r="550" spans="9:77" ht="17.75" customHeight="1" x14ac:dyDescent="0.2">
      <c r="I550" s="366">
        <v>466</v>
      </c>
      <c r="J550" s="414">
        <f t="shared" si="484"/>
        <v>41706.036111112167</v>
      </c>
      <c r="K550" s="435" t="e">
        <f t="shared" ca="1" si="485"/>
        <v>#NAME?</v>
      </c>
      <c r="L550" s="435" t="e">
        <f t="shared" ca="1" si="466"/>
        <v>#NAME?</v>
      </c>
      <c r="M550" s="664" t="e">
        <f t="shared" ca="1" si="464"/>
        <v>#NAME?</v>
      </c>
      <c r="N550" s="664" t="e">
        <f t="shared" ca="1" si="465"/>
        <v>#NAME?</v>
      </c>
      <c r="O550" s="140" t="e">
        <f t="shared" ca="1" si="473"/>
        <v>#NAME?</v>
      </c>
      <c r="P550" s="352" t="e">
        <f t="shared" ca="1" si="486"/>
        <v>#NAME?</v>
      </c>
      <c r="Q550" s="665" t="e">
        <f t="shared" ca="1" si="467"/>
        <v>#NAME?</v>
      </c>
      <c r="R550" s="352" t="e">
        <f t="shared" ca="1" si="499"/>
        <v>#NAME?</v>
      </c>
      <c r="S550" s="662" t="e">
        <f t="shared" ca="1" si="474"/>
        <v>#NAME?</v>
      </c>
      <c r="T550" s="443" t="e">
        <f t="shared" ca="1" si="468"/>
        <v>#NAME?</v>
      </c>
      <c r="U550" s="369" t="e">
        <f t="shared" ca="1" si="469"/>
        <v>#NAME?</v>
      </c>
      <c r="V550" s="454" t="e">
        <f t="shared" ca="1" si="475"/>
        <v>#NAME?</v>
      </c>
      <c r="W550" s="457">
        <f t="shared" si="476"/>
        <v>1000</v>
      </c>
      <c r="X550" s="463" t="e">
        <f t="shared" ca="1" si="477"/>
        <v>#NAME?</v>
      </c>
      <c r="Y550" s="455" t="e">
        <f t="shared" ca="1" si="487"/>
        <v>#NAME?</v>
      </c>
      <c r="Z550" s="699">
        <f t="shared" si="470"/>
        <v>8.5</v>
      </c>
      <c r="AA550" s="355" t="str">
        <f t="shared" si="471"/>
        <v>ON</v>
      </c>
      <c r="AB550" s="357">
        <f t="shared" si="500"/>
        <v>1.4999999999999999E-2</v>
      </c>
      <c r="AC550" s="356" t="e">
        <f ca="1">IF(  Y549=0,0,IF(OR(S550="KCAS",S550="INOP",S550="MEFE"),   ( (5*( (   (((1+0.2*(T550/661.4786)^2)^3.5 -1)  )/( (1-6.8755856*10^-6 *100*Y550)^5.2558797) +1)^(2/7) -1) )^0.5),IF(S550="MACH",T550, IF(S550="LRC",BicubicInterpolation( 'LRC Mach'!$C$4:$AL$21, Y550,U550),  IF(S550="MRC",BicubicInterpolation( 'MRC Mach'!$C$3:$T$18, Y550,U550),  IF(S550="M0.84",0.84,  IF(S550="CI52",BicubicInterpolation('CI=52 Mach'!$C$3:$T$18, Y550,U550),  IF(S550="HOLDING",BicubicInterpolation(  'Holding Mach'!$C$4:$M$13, Y550,U550),                         IF(S550="LRCINOP", BicubicInterpolation('LRC INOP Mach'!$C$4:$AA$21,Y550,U550), IF(S550="HOLDINGINOP",  BicubicInterpolation('Holding INOP Mach'!$N$4:$U$13,Y550,U550),         "XXX" )))))))   )))</f>
        <v>#NAME?</v>
      </c>
      <c r="AD550" s="313" t="e">
        <f t="shared" ca="1" si="501"/>
        <v>#NAME?</v>
      </c>
      <c r="AE550" s="314" t="e">
        <f t="shared" ca="1" si="488"/>
        <v>#NAME?</v>
      </c>
      <c r="AF550" s="313" t="e">
        <f t="shared" ca="1" si="502"/>
        <v>#NAME?</v>
      </c>
      <c r="AG550" s="314" t="e">
        <f t="shared" ca="1" si="489"/>
        <v>#NAME?</v>
      </c>
      <c r="AH550" s="313" t="e">
        <f t="shared" ca="1" si="503"/>
        <v>#NAME?</v>
      </c>
      <c r="AI550" s="314" t="e">
        <f t="shared" ca="1" si="490"/>
        <v>#NAME?</v>
      </c>
      <c r="AJ550" s="315" t="e">
        <f t="shared" ca="1" si="491"/>
        <v>#NAME?</v>
      </c>
      <c r="AK550" s="568" t="e">
        <f t="shared" ca="1" si="504"/>
        <v>#NAME?</v>
      </c>
      <c r="AL550" s="313" t="e">
        <f t="shared" ca="1" si="505"/>
        <v>#NAME?</v>
      </c>
      <c r="AM550" s="313" t="e">
        <f t="shared" ca="1" si="492"/>
        <v>#NAME?</v>
      </c>
      <c r="AN550" s="313" t="e">
        <f t="shared" ca="1" si="493"/>
        <v>#NAME?</v>
      </c>
      <c r="AO550" s="316" t="e">
        <f t="shared" ca="1" si="506"/>
        <v>#NAME?</v>
      </c>
      <c r="AP550" s="313" t="e">
        <f t="shared" ca="1" si="507"/>
        <v>#NAME?</v>
      </c>
      <c r="AQ550" s="314" t="e">
        <f t="shared" ca="1" si="494"/>
        <v>#NAME?</v>
      </c>
      <c r="AR550" s="315" t="e">
        <f t="shared" ca="1" si="508"/>
        <v>#NAME?</v>
      </c>
      <c r="AS550" s="316" t="e">
        <f t="shared" ca="1" si="509"/>
        <v>#NAME?</v>
      </c>
      <c r="AT550" s="315" t="e">
        <f t="shared" ca="1" si="510"/>
        <v>#NAME?</v>
      </c>
      <c r="AU550" s="317">
        <v>427.8</v>
      </c>
      <c r="AV550" s="315" t="e">
        <f t="shared" ca="1" si="511"/>
        <v>#NAME?</v>
      </c>
      <c r="AW550" s="318" t="e">
        <f ca="1">0.0001*BicubicInterpolation('Drag Coef Table'!$B$4:$L$28,AV550,AC550)</f>
        <v>#NAME?</v>
      </c>
      <c r="AX550" s="319" t="e">
        <f t="shared" ca="1" si="512"/>
        <v>#NAME?</v>
      </c>
      <c r="AY550" s="318" t="e">
        <f t="shared" ca="1" si="513"/>
        <v>#NAME?</v>
      </c>
      <c r="AZ550" s="320" t="e">
        <f t="shared" ca="1" si="514"/>
        <v>#NAME?</v>
      </c>
      <c r="BA550" s="321" t="e">
        <f t="shared" ca="1" si="515"/>
        <v>#NAME?</v>
      </c>
      <c r="BB550" s="322" t="e">
        <f t="shared" ca="1" si="516"/>
        <v>#NAME?</v>
      </c>
      <c r="BC550" s="323">
        <v>75.196700000000007</v>
      </c>
      <c r="BD550" s="324" t="e">
        <f t="shared" ca="1" si="517"/>
        <v>#NAME?</v>
      </c>
      <c r="BE550" s="325" t="e">
        <f t="shared" ca="1" si="518"/>
        <v>#NAME?</v>
      </c>
      <c r="BF550" s="324" t="e">
        <f ca="1">BicubicInterpolation('TSFC Eff Table'!$B$4:$E$69,2,BB550)</f>
        <v>#NAME?</v>
      </c>
      <c r="BG550" s="326" t="e">
        <f t="shared" ca="1" si="519"/>
        <v>#NAME?</v>
      </c>
      <c r="BH550" s="694" t="e">
        <f ca="1">IF( S550="LRCINOP",   (1+(0.03/10)*Z550*(1+0.2*AC550^2) )*BicubicInterpolation( 'LRC INOP FF'!$C$4:$AA$21, Y550, U550 )-200, IF(S550 ="HOLDINGINOP", (1+(0.03/10)*Z550*(1+0.2*AC550^2) )*BicubicInterpolation( 'Holding INOP FF'!$C$4:$J$13,  Y550,  U550)/1.05-200,   BA550*BG550))</f>
        <v>#NAME?</v>
      </c>
      <c r="BI550" s="344" t="e">
        <f t="shared" ca="1" si="478"/>
        <v>#NAME?</v>
      </c>
      <c r="BJ550" s="322" t="e">
        <f t="shared" ca="1" si="520"/>
        <v>#NAME?</v>
      </c>
      <c r="BK550" s="338" t="e">
        <f t="shared" ca="1" si="479"/>
        <v>#NAME?</v>
      </c>
      <c r="BL550" s="327" t="e">
        <f t="shared" ca="1" si="521"/>
        <v>#NAME?</v>
      </c>
      <c r="BM550" s="328">
        <f t="shared" si="522"/>
        <v>200</v>
      </c>
      <c r="BN550" s="329" t="e">
        <f t="shared" ca="1" si="523"/>
        <v>#NAME?</v>
      </c>
      <c r="BO550" s="344" t="e">
        <f t="shared" ca="1" si="480"/>
        <v>#NAME?</v>
      </c>
      <c r="BP550" s="320" t="e">
        <f t="shared" ca="1" si="524"/>
        <v>#NAME?</v>
      </c>
      <c r="BQ550" s="344" t="e">
        <f t="shared" ca="1" si="481"/>
        <v>#NAME?</v>
      </c>
      <c r="BR550" s="347" t="e">
        <f t="shared" ca="1" si="482"/>
        <v>#NAME?</v>
      </c>
      <c r="BS550" s="326" t="e">
        <f t="shared" ca="1" si="525"/>
        <v>#NAME?</v>
      </c>
      <c r="BT550" s="437" t="e">
        <f t="shared" ca="1" si="495"/>
        <v>#NAME?</v>
      </c>
      <c r="BU550" s="437" t="e">
        <f t="shared" ca="1" si="496"/>
        <v>#NAME?</v>
      </c>
      <c r="BV550" s="441" t="e">
        <f t="shared" ca="1" si="497"/>
        <v>#NAME?</v>
      </c>
      <c r="BW550" s="442" t="e">
        <f t="shared" ca="1" si="498"/>
        <v>#NAME?</v>
      </c>
      <c r="BX550" s="470" t="e">
        <f t="shared" ca="1" si="472"/>
        <v>#NAME?</v>
      </c>
      <c r="BY550" s="484" t="e">
        <f t="shared" ca="1" si="483"/>
        <v>#NAME?</v>
      </c>
    </row>
    <row r="551" spans="9:77" ht="17.75" customHeight="1" x14ac:dyDescent="0.2">
      <c r="I551" s="366">
        <v>467</v>
      </c>
      <c r="J551" s="414">
        <f t="shared" si="484"/>
        <v>41706.036805556614</v>
      </c>
      <c r="K551" s="435" t="e">
        <f t="shared" ca="1" si="485"/>
        <v>#NAME?</v>
      </c>
      <c r="L551" s="435" t="e">
        <f t="shared" ca="1" si="466"/>
        <v>#NAME?</v>
      </c>
      <c r="M551" s="664" t="e">
        <f t="shared" ca="1" si="464"/>
        <v>#NAME?</v>
      </c>
      <c r="N551" s="664" t="e">
        <f t="shared" ca="1" si="465"/>
        <v>#NAME?</v>
      </c>
      <c r="O551" s="140" t="e">
        <f t="shared" ca="1" si="473"/>
        <v>#NAME?</v>
      </c>
      <c r="P551" s="352" t="e">
        <f t="shared" ca="1" si="486"/>
        <v>#NAME?</v>
      </c>
      <c r="Q551" s="665" t="e">
        <f t="shared" ca="1" si="467"/>
        <v>#NAME?</v>
      </c>
      <c r="R551" s="352" t="e">
        <f t="shared" ca="1" si="499"/>
        <v>#NAME?</v>
      </c>
      <c r="S551" s="662" t="e">
        <f t="shared" ca="1" si="474"/>
        <v>#NAME?</v>
      </c>
      <c r="T551" s="443" t="e">
        <f t="shared" ca="1" si="468"/>
        <v>#NAME?</v>
      </c>
      <c r="U551" s="369" t="e">
        <f t="shared" ca="1" si="469"/>
        <v>#NAME?</v>
      </c>
      <c r="V551" s="454" t="e">
        <f t="shared" ca="1" si="475"/>
        <v>#NAME?</v>
      </c>
      <c r="W551" s="457">
        <f t="shared" si="476"/>
        <v>1000</v>
      </c>
      <c r="X551" s="463" t="e">
        <f t="shared" ca="1" si="477"/>
        <v>#NAME?</v>
      </c>
      <c r="Y551" s="455" t="e">
        <f t="shared" ca="1" si="487"/>
        <v>#NAME?</v>
      </c>
      <c r="Z551" s="699">
        <f t="shared" si="470"/>
        <v>8.5</v>
      </c>
      <c r="AA551" s="355" t="str">
        <f t="shared" si="471"/>
        <v>ON</v>
      </c>
      <c r="AB551" s="357">
        <f t="shared" si="500"/>
        <v>1.4999999999999999E-2</v>
      </c>
      <c r="AC551" s="356" t="e">
        <f ca="1">IF(  Y550=0,0,IF(OR(S551="KCAS",S551="INOP",S551="MEFE"),   ( (5*( (   (((1+0.2*(T551/661.4786)^2)^3.5 -1)  )/( (1-6.8755856*10^-6 *100*Y551)^5.2558797) +1)^(2/7) -1) )^0.5),IF(S551="MACH",T551, IF(S551="LRC",BicubicInterpolation( 'LRC Mach'!$C$4:$AL$21, Y551,U551),  IF(S551="MRC",BicubicInterpolation( 'MRC Mach'!$C$3:$T$18, Y551,U551),  IF(S551="M0.84",0.84,  IF(S551="CI52",BicubicInterpolation('CI=52 Mach'!$C$3:$T$18, Y551,U551),  IF(S551="HOLDING",BicubicInterpolation(  'Holding Mach'!$C$4:$M$13, Y551,U551),                         IF(S551="LRCINOP", BicubicInterpolation('LRC INOP Mach'!$C$4:$AA$21,Y551,U551), IF(S551="HOLDINGINOP",  BicubicInterpolation('Holding INOP Mach'!$N$4:$U$13,Y551,U551),         "XXX" )))))))   )))</f>
        <v>#NAME?</v>
      </c>
      <c r="AD551" s="313" t="e">
        <f t="shared" ca="1" si="501"/>
        <v>#NAME?</v>
      </c>
      <c r="AE551" s="314" t="e">
        <f t="shared" ca="1" si="488"/>
        <v>#NAME?</v>
      </c>
      <c r="AF551" s="313" t="e">
        <f t="shared" ca="1" si="502"/>
        <v>#NAME?</v>
      </c>
      <c r="AG551" s="314" t="e">
        <f t="shared" ca="1" si="489"/>
        <v>#NAME?</v>
      </c>
      <c r="AH551" s="313" t="e">
        <f t="shared" ca="1" si="503"/>
        <v>#NAME?</v>
      </c>
      <c r="AI551" s="314" t="e">
        <f t="shared" ca="1" si="490"/>
        <v>#NAME?</v>
      </c>
      <c r="AJ551" s="315" t="e">
        <f t="shared" ca="1" si="491"/>
        <v>#NAME?</v>
      </c>
      <c r="AK551" s="568" t="e">
        <f t="shared" ca="1" si="504"/>
        <v>#NAME?</v>
      </c>
      <c r="AL551" s="313" t="e">
        <f t="shared" ca="1" si="505"/>
        <v>#NAME?</v>
      </c>
      <c r="AM551" s="313" t="e">
        <f t="shared" ca="1" si="492"/>
        <v>#NAME?</v>
      </c>
      <c r="AN551" s="313" t="e">
        <f t="shared" ca="1" si="493"/>
        <v>#NAME?</v>
      </c>
      <c r="AO551" s="316" t="e">
        <f t="shared" ca="1" si="506"/>
        <v>#NAME?</v>
      </c>
      <c r="AP551" s="313" t="e">
        <f t="shared" ca="1" si="507"/>
        <v>#NAME?</v>
      </c>
      <c r="AQ551" s="314" t="e">
        <f t="shared" ca="1" si="494"/>
        <v>#NAME?</v>
      </c>
      <c r="AR551" s="315" t="e">
        <f t="shared" ca="1" si="508"/>
        <v>#NAME?</v>
      </c>
      <c r="AS551" s="316" t="e">
        <f t="shared" ca="1" si="509"/>
        <v>#NAME?</v>
      </c>
      <c r="AT551" s="315" t="e">
        <f t="shared" ca="1" si="510"/>
        <v>#NAME?</v>
      </c>
      <c r="AU551" s="317">
        <v>427.8</v>
      </c>
      <c r="AV551" s="315" t="e">
        <f t="shared" ca="1" si="511"/>
        <v>#NAME?</v>
      </c>
      <c r="AW551" s="318" t="e">
        <f ca="1">0.0001*BicubicInterpolation('Drag Coef Table'!$B$4:$L$28,AV551,AC551)</f>
        <v>#NAME?</v>
      </c>
      <c r="AX551" s="319" t="e">
        <f t="shared" ca="1" si="512"/>
        <v>#NAME?</v>
      </c>
      <c r="AY551" s="318" t="e">
        <f t="shared" ca="1" si="513"/>
        <v>#NAME?</v>
      </c>
      <c r="AZ551" s="320" t="e">
        <f t="shared" ca="1" si="514"/>
        <v>#NAME?</v>
      </c>
      <c r="BA551" s="321" t="e">
        <f t="shared" ca="1" si="515"/>
        <v>#NAME?</v>
      </c>
      <c r="BB551" s="322" t="e">
        <f t="shared" ca="1" si="516"/>
        <v>#NAME?</v>
      </c>
      <c r="BC551" s="323">
        <v>75.196700000000007</v>
      </c>
      <c r="BD551" s="324" t="e">
        <f t="shared" ca="1" si="517"/>
        <v>#NAME?</v>
      </c>
      <c r="BE551" s="325" t="e">
        <f t="shared" ca="1" si="518"/>
        <v>#NAME?</v>
      </c>
      <c r="BF551" s="324" t="e">
        <f ca="1">BicubicInterpolation('TSFC Eff Table'!$B$4:$E$69,2,BB551)</f>
        <v>#NAME?</v>
      </c>
      <c r="BG551" s="326" t="e">
        <f t="shared" ca="1" si="519"/>
        <v>#NAME?</v>
      </c>
      <c r="BH551" s="694" t="e">
        <f ca="1">IF( S551="LRCINOP",   (1+(0.03/10)*Z551*(1+0.2*AC551^2) )*BicubicInterpolation( 'LRC INOP FF'!$C$4:$AA$21, Y551, U551 )-200, IF(S551 ="HOLDINGINOP", (1+(0.03/10)*Z551*(1+0.2*AC551^2) )*BicubicInterpolation( 'Holding INOP FF'!$C$4:$J$13,  Y551,  U551)/1.05-200,   BA551*BG551))</f>
        <v>#NAME?</v>
      </c>
      <c r="BI551" s="344" t="e">
        <f t="shared" ca="1" si="478"/>
        <v>#NAME?</v>
      </c>
      <c r="BJ551" s="322" t="e">
        <f t="shared" ca="1" si="520"/>
        <v>#NAME?</v>
      </c>
      <c r="BK551" s="338" t="e">
        <f t="shared" ca="1" si="479"/>
        <v>#NAME?</v>
      </c>
      <c r="BL551" s="327" t="e">
        <f t="shared" ca="1" si="521"/>
        <v>#NAME?</v>
      </c>
      <c r="BM551" s="328">
        <f t="shared" si="522"/>
        <v>200</v>
      </c>
      <c r="BN551" s="329" t="e">
        <f t="shared" ca="1" si="523"/>
        <v>#NAME?</v>
      </c>
      <c r="BO551" s="344" t="e">
        <f t="shared" ca="1" si="480"/>
        <v>#NAME?</v>
      </c>
      <c r="BP551" s="320" t="e">
        <f t="shared" ca="1" si="524"/>
        <v>#NAME?</v>
      </c>
      <c r="BQ551" s="344" t="e">
        <f t="shared" ca="1" si="481"/>
        <v>#NAME?</v>
      </c>
      <c r="BR551" s="347" t="e">
        <f t="shared" ca="1" si="482"/>
        <v>#NAME?</v>
      </c>
      <c r="BS551" s="326" t="e">
        <f t="shared" ca="1" si="525"/>
        <v>#NAME?</v>
      </c>
      <c r="BT551" s="437" t="e">
        <f t="shared" ca="1" si="495"/>
        <v>#NAME?</v>
      </c>
      <c r="BU551" s="437" t="e">
        <f t="shared" ca="1" si="496"/>
        <v>#NAME?</v>
      </c>
      <c r="BV551" s="441" t="e">
        <f t="shared" ca="1" si="497"/>
        <v>#NAME?</v>
      </c>
      <c r="BW551" s="442" t="e">
        <f t="shared" ca="1" si="498"/>
        <v>#NAME?</v>
      </c>
      <c r="BX551" s="470" t="e">
        <f t="shared" ca="1" si="472"/>
        <v>#NAME?</v>
      </c>
      <c r="BY551" s="484" t="e">
        <f t="shared" ca="1" si="483"/>
        <v>#NAME?</v>
      </c>
    </row>
    <row r="552" spans="9:77" ht="17.75" customHeight="1" x14ac:dyDescent="0.2">
      <c r="I552" s="366">
        <v>468</v>
      </c>
      <c r="J552" s="414">
        <f t="shared" si="484"/>
        <v>41706.037500001061</v>
      </c>
      <c r="K552" s="435" t="e">
        <f t="shared" ca="1" si="485"/>
        <v>#NAME?</v>
      </c>
      <c r="L552" s="435" t="e">
        <f t="shared" ca="1" si="466"/>
        <v>#NAME?</v>
      </c>
      <c r="M552" s="664" t="e">
        <f t="shared" ca="1" si="464"/>
        <v>#NAME?</v>
      </c>
      <c r="N552" s="664" t="e">
        <f t="shared" ca="1" si="465"/>
        <v>#NAME?</v>
      </c>
      <c r="O552" s="140" t="e">
        <f t="shared" ca="1" si="473"/>
        <v>#NAME?</v>
      </c>
      <c r="P552" s="352" t="e">
        <f t="shared" ca="1" si="486"/>
        <v>#NAME?</v>
      </c>
      <c r="Q552" s="665" t="e">
        <f t="shared" ca="1" si="467"/>
        <v>#NAME?</v>
      </c>
      <c r="R552" s="352" t="e">
        <f t="shared" ca="1" si="499"/>
        <v>#NAME?</v>
      </c>
      <c r="S552" s="662" t="e">
        <f t="shared" ca="1" si="474"/>
        <v>#NAME?</v>
      </c>
      <c r="T552" s="443" t="e">
        <f t="shared" ca="1" si="468"/>
        <v>#NAME?</v>
      </c>
      <c r="U552" s="369" t="e">
        <f t="shared" ca="1" si="469"/>
        <v>#NAME?</v>
      </c>
      <c r="V552" s="454" t="e">
        <f t="shared" ca="1" si="475"/>
        <v>#NAME?</v>
      </c>
      <c r="W552" s="457">
        <f t="shared" si="476"/>
        <v>1000</v>
      </c>
      <c r="X552" s="463" t="e">
        <f t="shared" ca="1" si="477"/>
        <v>#NAME?</v>
      </c>
      <c r="Y552" s="455" t="e">
        <f t="shared" ca="1" si="487"/>
        <v>#NAME?</v>
      </c>
      <c r="Z552" s="699">
        <f t="shared" si="470"/>
        <v>8.5</v>
      </c>
      <c r="AA552" s="355" t="str">
        <f t="shared" si="471"/>
        <v>ON</v>
      </c>
      <c r="AB552" s="357">
        <f t="shared" si="500"/>
        <v>1.4999999999999999E-2</v>
      </c>
      <c r="AC552" s="356" t="e">
        <f ca="1">IF(  Y551=0,0,IF(OR(S552="KCAS",S552="INOP",S552="MEFE"),   ( (5*( (   (((1+0.2*(T552/661.4786)^2)^3.5 -1)  )/( (1-6.8755856*10^-6 *100*Y552)^5.2558797) +1)^(2/7) -1) )^0.5),IF(S552="MACH",T552, IF(S552="LRC",BicubicInterpolation( 'LRC Mach'!$C$4:$AL$21, Y552,U552),  IF(S552="MRC",BicubicInterpolation( 'MRC Mach'!$C$3:$T$18, Y552,U552),  IF(S552="M0.84",0.84,  IF(S552="CI52",BicubicInterpolation('CI=52 Mach'!$C$3:$T$18, Y552,U552),  IF(S552="HOLDING",BicubicInterpolation(  'Holding Mach'!$C$4:$M$13, Y552,U552),                         IF(S552="LRCINOP", BicubicInterpolation('LRC INOP Mach'!$C$4:$AA$21,Y552,U552), IF(S552="HOLDINGINOP",  BicubicInterpolation('Holding INOP Mach'!$N$4:$U$13,Y552,U552),         "XXX" )))))))   )))</f>
        <v>#NAME?</v>
      </c>
      <c r="AD552" s="313" t="e">
        <f t="shared" ca="1" si="501"/>
        <v>#NAME?</v>
      </c>
      <c r="AE552" s="314" t="e">
        <f t="shared" ca="1" si="488"/>
        <v>#NAME?</v>
      </c>
      <c r="AF552" s="313" t="e">
        <f t="shared" ca="1" si="502"/>
        <v>#NAME?</v>
      </c>
      <c r="AG552" s="314" t="e">
        <f t="shared" ca="1" si="489"/>
        <v>#NAME?</v>
      </c>
      <c r="AH552" s="313" t="e">
        <f t="shared" ca="1" si="503"/>
        <v>#NAME?</v>
      </c>
      <c r="AI552" s="314" t="e">
        <f t="shared" ca="1" si="490"/>
        <v>#NAME?</v>
      </c>
      <c r="AJ552" s="315" t="e">
        <f t="shared" ca="1" si="491"/>
        <v>#NAME?</v>
      </c>
      <c r="AK552" s="568" t="e">
        <f t="shared" ca="1" si="504"/>
        <v>#NAME?</v>
      </c>
      <c r="AL552" s="313" t="e">
        <f t="shared" ca="1" si="505"/>
        <v>#NAME?</v>
      </c>
      <c r="AM552" s="313" t="e">
        <f t="shared" ca="1" si="492"/>
        <v>#NAME?</v>
      </c>
      <c r="AN552" s="313" t="e">
        <f t="shared" ca="1" si="493"/>
        <v>#NAME?</v>
      </c>
      <c r="AO552" s="316" t="e">
        <f t="shared" ca="1" si="506"/>
        <v>#NAME?</v>
      </c>
      <c r="AP552" s="313" t="e">
        <f t="shared" ca="1" si="507"/>
        <v>#NAME?</v>
      </c>
      <c r="AQ552" s="314" t="e">
        <f t="shared" ca="1" si="494"/>
        <v>#NAME?</v>
      </c>
      <c r="AR552" s="315" t="e">
        <f t="shared" ca="1" si="508"/>
        <v>#NAME?</v>
      </c>
      <c r="AS552" s="316" t="e">
        <f t="shared" ca="1" si="509"/>
        <v>#NAME?</v>
      </c>
      <c r="AT552" s="315" t="e">
        <f t="shared" ca="1" si="510"/>
        <v>#NAME?</v>
      </c>
      <c r="AU552" s="317">
        <v>427.8</v>
      </c>
      <c r="AV552" s="315" t="e">
        <f t="shared" ca="1" si="511"/>
        <v>#NAME?</v>
      </c>
      <c r="AW552" s="318" t="e">
        <f ca="1">0.0001*BicubicInterpolation('Drag Coef Table'!$B$4:$L$28,AV552,AC552)</f>
        <v>#NAME?</v>
      </c>
      <c r="AX552" s="319" t="e">
        <f t="shared" ca="1" si="512"/>
        <v>#NAME?</v>
      </c>
      <c r="AY552" s="318" t="e">
        <f t="shared" ca="1" si="513"/>
        <v>#NAME?</v>
      </c>
      <c r="AZ552" s="320" t="e">
        <f t="shared" ca="1" si="514"/>
        <v>#NAME?</v>
      </c>
      <c r="BA552" s="321" t="e">
        <f t="shared" ca="1" si="515"/>
        <v>#NAME?</v>
      </c>
      <c r="BB552" s="322" t="e">
        <f t="shared" ca="1" si="516"/>
        <v>#NAME?</v>
      </c>
      <c r="BC552" s="323">
        <v>75.196700000000007</v>
      </c>
      <c r="BD552" s="324" t="e">
        <f t="shared" ca="1" si="517"/>
        <v>#NAME?</v>
      </c>
      <c r="BE552" s="325" t="e">
        <f t="shared" ca="1" si="518"/>
        <v>#NAME?</v>
      </c>
      <c r="BF552" s="324" t="e">
        <f ca="1">BicubicInterpolation('TSFC Eff Table'!$B$4:$E$69,2,BB552)</f>
        <v>#NAME?</v>
      </c>
      <c r="BG552" s="326" t="e">
        <f t="shared" ca="1" si="519"/>
        <v>#NAME?</v>
      </c>
      <c r="BH552" s="694" t="e">
        <f ca="1">IF( S552="LRCINOP",   (1+(0.03/10)*Z552*(1+0.2*AC552^2) )*BicubicInterpolation( 'LRC INOP FF'!$C$4:$AA$21, Y552, U552 )-200, IF(S552 ="HOLDINGINOP", (1+(0.03/10)*Z552*(1+0.2*AC552^2) )*BicubicInterpolation( 'Holding INOP FF'!$C$4:$J$13,  Y552,  U552)/1.05-200,   BA552*BG552))</f>
        <v>#NAME?</v>
      </c>
      <c r="BI552" s="344" t="e">
        <f t="shared" ca="1" si="478"/>
        <v>#NAME?</v>
      </c>
      <c r="BJ552" s="322" t="e">
        <f t="shared" ca="1" si="520"/>
        <v>#NAME?</v>
      </c>
      <c r="BK552" s="338" t="e">
        <f t="shared" ca="1" si="479"/>
        <v>#NAME?</v>
      </c>
      <c r="BL552" s="327" t="e">
        <f t="shared" ca="1" si="521"/>
        <v>#NAME?</v>
      </c>
      <c r="BM552" s="328">
        <f t="shared" si="522"/>
        <v>200</v>
      </c>
      <c r="BN552" s="329" t="e">
        <f t="shared" ca="1" si="523"/>
        <v>#NAME?</v>
      </c>
      <c r="BO552" s="344" t="e">
        <f t="shared" ca="1" si="480"/>
        <v>#NAME?</v>
      </c>
      <c r="BP552" s="320" t="e">
        <f t="shared" ca="1" si="524"/>
        <v>#NAME?</v>
      </c>
      <c r="BQ552" s="344" t="e">
        <f t="shared" ca="1" si="481"/>
        <v>#NAME?</v>
      </c>
      <c r="BR552" s="347" t="e">
        <f t="shared" ca="1" si="482"/>
        <v>#NAME?</v>
      </c>
      <c r="BS552" s="326" t="e">
        <f t="shared" ca="1" si="525"/>
        <v>#NAME?</v>
      </c>
      <c r="BT552" s="437" t="e">
        <f t="shared" ca="1" si="495"/>
        <v>#NAME?</v>
      </c>
      <c r="BU552" s="437" t="e">
        <f t="shared" ca="1" si="496"/>
        <v>#NAME?</v>
      </c>
      <c r="BV552" s="441" t="e">
        <f t="shared" ca="1" si="497"/>
        <v>#NAME?</v>
      </c>
      <c r="BW552" s="442" t="e">
        <f t="shared" ca="1" si="498"/>
        <v>#NAME?</v>
      </c>
      <c r="BX552" s="470" t="e">
        <f t="shared" ca="1" si="472"/>
        <v>#NAME?</v>
      </c>
      <c r="BY552" s="484" t="e">
        <f t="shared" ca="1" si="483"/>
        <v>#NAME?</v>
      </c>
    </row>
    <row r="553" spans="9:77" ht="17.75" customHeight="1" x14ac:dyDescent="0.2">
      <c r="I553" s="366">
        <v>469</v>
      </c>
      <c r="J553" s="414">
        <f t="shared" si="484"/>
        <v>41706.038194445508</v>
      </c>
      <c r="K553" s="435" t="e">
        <f t="shared" ca="1" si="485"/>
        <v>#NAME?</v>
      </c>
      <c r="L553" s="435" t="e">
        <f t="shared" ca="1" si="466"/>
        <v>#NAME?</v>
      </c>
      <c r="M553" s="664" t="e">
        <f t="shared" ref="M553:M616" ca="1" si="526">IF(  AND(OR(S552="LRCINOP",S552="HOLDINGINOP"),NOT(S552=S551), $C$35="L"), 0,   IF(  AND(OR(S552="LRCINOP",S552="HOLDINGINOP"),NOT(S552=S551), $C$35="R"),  MAX(M552-K552/1000+N552,0),MAX(M552-K552/1000,0)   ))</f>
        <v>#NAME?</v>
      </c>
      <c r="N553" s="664" t="e">
        <f t="shared" ref="N553:N616" ca="1" si="527">IF(  AND(OR(S552="LRCINOP",S552="HOLDINGINOP"),NOT(S552=S551), $C$35="R"), 0,   IF(  AND(OR(S552="LRCINOP",S552="HOLDINGINOP"),NOT(S552=S551), $C$35="L"),  MAX(N552-L552/1000+M552,0),MAX(N552-L552/1000,0)   ))</f>
        <v>#NAME?</v>
      </c>
      <c r="O553" s="140" t="e">
        <f t="shared" ca="1" si="473"/>
        <v>#NAME?</v>
      </c>
      <c r="P553" s="352" t="e">
        <f t="shared" ca="1" si="486"/>
        <v>#NAME?</v>
      </c>
      <c r="Q553" s="665" t="e">
        <f t="shared" ca="1" si="467"/>
        <v>#NAME?</v>
      </c>
      <c r="R553" s="352" t="e">
        <f t="shared" ca="1" si="499"/>
        <v>#NAME?</v>
      </c>
      <c r="S553" s="662" t="e">
        <f t="shared" ca="1" si="474"/>
        <v>#NAME?</v>
      </c>
      <c r="T553" s="443" t="e">
        <f t="shared" ca="1" si="468"/>
        <v>#NAME?</v>
      </c>
      <c r="U553" s="369" t="e">
        <f t="shared" ca="1" si="469"/>
        <v>#NAME?</v>
      </c>
      <c r="V553" s="454" t="e">
        <f t="shared" ca="1" si="475"/>
        <v>#NAME?</v>
      </c>
      <c r="W553" s="457">
        <f t="shared" si="476"/>
        <v>1000</v>
      </c>
      <c r="X553" s="463" t="e">
        <f t="shared" ca="1" si="477"/>
        <v>#NAME?</v>
      </c>
      <c r="Y553" s="455" t="e">
        <f t="shared" ca="1" si="487"/>
        <v>#NAME?</v>
      </c>
      <c r="Z553" s="699">
        <f t="shared" si="470"/>
        <v>8.5</v>
      </c>
      <c r="AA553" s="355" t="str">
        <f t="shared" si="471"/>
        <v>ON</v>
      </c>
      <c r="AB553" s="357">
        <f t="shared" si="500"/>
        <v>1.4999999999999999E-2</v>
      </c>
      <c r="AC553" s="356" t="e">
        <f ca="1">IF(  Y552=0,0,IF(OR(S553="KCAS",S553="INOP",S553="MEFE"),   ( (5*( (   (((1+0.2*(T553/661.4786)^2)^3.5 -1)  )/( (1-6.8755856*10^-6 *100*Y553)^5.2558797) +1)^(2/7) -1) )^0.5),IF(S553="MACH",T553, IF(S553="LRC",BicubicInterpolation( 'LRC Mach'!$C$4:$AL$21, Y553,U553),  IF(S553="MRC",BicubicInterpolation( 'MRC Mach'!$C$3:$T$18, Y553,U553),  IF(S553="M0.84",0.84,  IF(S553="CI52",BicubicInterpolation('CI=52 Mach'!$C$3:$T$18, Y553,U553),  IF(S553="HOLDING",BicubicInterpolation(  'Holding Mach'!$C$4:$M$13, Y553,U553),                         IF(S553="LRCINOP", BicubicInterpolation('LRC INOP Mach'!$C$4:$AA$21,Y553,U553), IF(S553="HOLDINGINOP",  BicubicInterpolation('Holding INOP Mach'!$N$4:$U$13,Y553,U553),         "XXX" )))))))   )))</f>
        <v>#NAME?</v>
      </c>
      <c r="AD553" s="313" t="e">
        <f t="shared" ca="1" si="501"/>
        <v>#NAME?</v>
      </c>
      <c r="AE553" s="314" t="e">
        <f t="shared" ca="1" si="488"/>
        <v>#NAME?</v>
      </c>
      <c r="AF553" s="313" t="e">
        <f t="shared" ca="1" si="502"/>
        <v>#NAME?</v>
      </c>
      <c r="AG553" s="314" t="e">
        <f t="shared" ca="1" si="489"/>
        <v>#NAME?</v>
      </c>
      <c r="AH553" s="313" t="e">
        <f t="shared" ca="1" si="503"/>
        <v>#NAME?</v>
      </c>
      <c r="AI553" s="314" t="e">
        <f t="shared" ca="1" si="490"/>
        <v>#NAME?</v>
      </c>
      <c r="AJ553" s="315" t="e">
        <f t="shared" ca="1" si="491"/>
        <v>#NAME?</v>
      </c>
      <c r="AK553" s="568" t="e">
        <f t="shared" ca="1" si="504"/>
        <v>#NAME?</v>
      </c>
      <c r="AL553" s="313" t="e">
        <f t="shared" ca="1" si="505"/>
        <v>#NAME?</v>
      </c>
      <c r="AM553" s="313" t="e">
        <f t="shared" ca="1" si="492"/>
        <v>#NAME?</v>
      </c>
      <c r="AN553" s="313" t="e">
        <f t="shared" ca="1" si="493"/>
        <v>#NAME?</v>
      </c>
      <c r="AO553" s="316" t="e">
        <f t="shared" ca="1" si="506"/>
        <v>#NAME?</v>
      </c>
      <c r="AP553" s="313" t="e">
        <f t="shared" ca="1" si="507"/>
        <v>#NAME?</v>
      </c>
      <c r="AQ553" s="314" t="e">
        <f t="shared" ca="1" si="494"/>
        <v>#NAME?</v>
      </c>
      <c r="AR553" s="315" t="e">
        <f t="shared" ca="1" si="508"/>
        <v>#NAME?</v>
      </c>
      <c r="AS553" s="316" t="e">
        <f t="shared" ca="1" si="509"/>
        <v>#NAME?</v>
      </c>
      <c r="AT553" s="315" t="e">
        <f t="shared" ca="1" si="510"/>
        <v>#NAME?</v>
      </c>
      <c r="AU553" s="317">
        <v>427.8</v>
      </c>
      <c r="AV553" s="315" t="e">
        <f t="shared" ca="1" si="511"/>
        <v>#NAME?</v>
      </c>
      <c r="AW553" s="318" t="e">
        <f ca="1">0.0001*BicubicInterpolation('Drag Coef Table'!$B$4:$L$28,AV553,AC553)</f>
        <v>#NAME?</v>
      </c>
      <c r="AX553" s="319" t="e">
        <f t="shared" ca="1" si="512"/>
        <v>#NAME?</v>
      </c>
      <c r="AY553" s="318" t="e">
        <f t="shared" ca="1" si="513"/>
        <v>#NAME?</v>
      </c>
      <c r="AZ553" s="320" t="e">
        <f t="shared" ca="1" si="514"/>
        <v>#NAME?</v>
      </c>
      <c r="BA553" s="321" t="e">
        <f t="shared" ca="1" si="515"/>
        <v>#NAME?</v>
      </c>
      <c r="BB553" s="322" t="e">
        <f t="shared" ca="1" si="516"/>
        <v>#NAME?</v>
      </c>
      <c r="BC553" s="323">
        <v>75.196700000000007</v>
      </c>
      <c r="BD553" s="324" t="e">
        <f t="shared" ca="1" si="517"/>
        <v>#NAME?</v>
      </c>
      <c r="BE553" s="325" t="e">
        <f t="shared" ca="1" si="518"/>
        <v>#NAME?</v>
      </c>
      <c r="BF553" s="324" t="e">
        <f ca="1">BicubicInterpolation('TSFC Eff Table'!$B$4:$E$69,2,BB553)</f>
        <v>#NAME?</v>
      </c>
      <c r="BG553" s="326" t="e">
        <f t="shared" ca="1" si="519"/>
        <v>#NAME?</v>
      </c>
      <c r="BH553" s="694" t="e">
        <f ca="1">IF( S553="LRCINOP",   (1+(0.03/10)*Z553*(1+0.2*AC553^2) )*BicubicInterpolation( 'LRC INOP FF'!$C$4:$AA$21, Y553, U553 )-200, IF(S553 ="HOLDINGINOP", (1+(0.03/10)*Z553*(1+0.2*AC553^2) )*BicubicInterpolation( 'Holding INOP FF'!$C$4:$J$13,  Y553,  U553)/1.05-200,   BA553*BG553))</f>
        <v>#NAME?</v>
      </c>
      <c r="BI553" s="344" t="e">
        <f t="shared" ca="1" si="478"/>
        <v>#NAME?</v>
      </c>
      <c r="BJ553" s="322" t="e">
        <f t="shared" ca="1" si="520"/>
        <v>#NAME?</v>
      </c>
      <c r="BK553" s="338" t="e">
        <f t="shared" ca="1" si="479"/>
        <v>#NAME?</v>
      </c>
      <c r="BL553" s="327" t="e">
        <f t="shared" ca="1" si="521"/>
        <v>#NAME?</v>
      </c>
      <c r="BM553" s="328">
        <f t="shared" si="522"/>
        <v>200</v>
      </c>
      <c r="BN553" s="329" t="e">
        <f t="shared" ca="1" si="523"/>
        <v>#NAME?</v>
      </c>
      <c r="BO553" s="344" t="e">
        <f t="shared" ca="1" si="480"/>
        <v>#NAME?</v>
      </c>
      <c r="BP553" s="320" t="e">
        <f t="shared" ca="1" si="524"/>
        <v>#NAME?</v>
      </c>
      <c r="BQ553" s="344" t="e">
        <f t="shared" ca="1" si="481"/>
        <v>#NAME?</v>
      </c>
      <c r="BR553" s="347" t="e">
        <f t="shared" ca="1" si="482"/>
        <v>#NAME?</v>
      </c>
      <c r="BS553" s="326" t="e">
        <f t="shared" ca="1" si="525"/>
        <v>#NAME?</v>
      </c>
      <c r="BT553" s="437" t="e">
        <f t="shared" ca="1" si="495"/>
        <v>#NAME?</v>
      </c>
      <c r="BU553" s="437" t="e">
        <f t="shared" ca="1" si="496"/>
        <v>#NAME?</v>
      </c>
      <c r="BV553" s="441" t="e">
        <f t="shared" ca="1" si="497"/>
        <v>#NAME?</v>
      </c>
      <c r="BW553" s="442" t="e">
        <f t="shared" ca="1" si="498"/>
        <v>#NAME?</v>
      </c>
      <c r="BX553" s="470" t="e">
        <f t="shared" ca="1" si="472"/>
        <v>#NAME?</v>
      </c>
      <c r="BY553" s="484" t="e">
        <f t="shared" ca="1" si="483"/>
        <v>#NAME?</v>
      </c>
    </row>
    <row r="554" spans="9:77" ht="17.75" customHeight="1" x14ac:dyDescent="0.2">
      <c r="I554" s="366">
        <v>470</v>
      </c>
      <c r="J554" s="414">
        <f t="shared" si="484"/>
        <v>41706.038888889954</v>
      </c>
      <c r="K554" s="435" t="e">
        <f t="shared" ca="1" si="485"/>
        <v>#NAME?</v>
      </c>
      <c r="L554" s="435" t="e">
        <f t="shared" ca="1" si="466"/>
        <v>#NAME?</v>
      </c>
      <c r="M554" s="664" t="e">
        <f t="shared" ca="1" si="526"/>
        <v>#NAME?</v>
      </c>
      <c r="N554" s="664" t="e">
        <f t="shared" ca="1" si="527"/>
        <v>#NAME?</v>
      </c>
      <c r="O554" s="140" t="e">
        <f t="shared" ca="1" si="473"/>
        <v>#NAME?</v>
      </c>
      <c r="P554" s="352" t="e">
        <f t="shared" ca="1" si="486"/>
        <v>#NAME?</v>
      </c>
      <c r="Q554" s="665" t="e">
        <f t="shared" ca="1" si="467"/>
        <v>#NAME?</v>
      </c>
      <c r="R554" s="352" t="e">
        <f t="shared" ca="1" si="499"/>
        <v>#NAME?</v>
      </c>
      <c r="S554" s="662" t="e">
        <f t="shared" ca="1" si="474"/>
        <v>#NAME?</v>
      </c>
      <c r="T554" s="443" t="e">
        <f t="shared" ca="1" si="468"/>
        <v>#NAME?</v>
      </c>
      <c r="U554" s="369" t="e">
        <f t="shared" ca="1" si="469"/>
        <v>#NAME?</v>
      </c>
      <c r="V554" s="454" t="e">
        <f t="shared" ca="1" si="475"/>
        <v>#NAME?</v>
      </c>
      <c r="W554" s="457">
        <f t="shared" si="476"/>
        <v>1000</v>
      </c>
      <c r="X554" s="463" t="e">
        <f t="shared" ca="1" si="477"/>
        <v>#NAME?</v>
      </c>
      <c r="Y554" s="455" t="e">
        <f t="shared" ca="1" si="487"/>
        <v>#NAME?</v>
      </c>
      <c r="Z554" s="699">
        <f t="shared" si="470"/>
        <v>8.5</v>
      </c>
      <c r="AA554" s="355" t="str">
        <f t="shared" si="471"/>
        <v>ON</v>
      </c>
      <c r="AB554" s="357">
        <f t="shared" si="500"/>
        <v>1.4999999999999999E-2</v>
      </c>
      <c r="AC554" s="356" t="e">
        <f ca="1">IF(  Y553=0,0,IF(OR(S554="KCAS",S554="INOP",S554="MEFE"),   ( (5*( (   (((1+0.2*(T554/661.4786)^2)^3.5 -1)  )/( (1-6.8755856*10^-6 *100*Y554)^5.2558797) +1)^(2/7) -1) )^0.5),IF(S554="MACH",T554, IF(S554="LRC",BicubicInterpolation( 'LRC Mach'!$C$4:$AL$21, Y554,U554),  IF(S554="MRC",BicubicInterpolation( 'MRC Mach'!$C$3:$T$18, Y554,U554),  IF(S554="M0.84",0.84,  IF(S554="CI52",BicubicInterpolation('CI=52 Mach'!$C$3:$T$18, Y554,U554),  IF(S554="HOLDING",BicubicInterpolation(  'Holding Mach'!$C$4:$M$13, Y554,U554),                         IF(S554="LRCINOP", BicubicInterpolation('LRC INOP Mach'!$C$4:$AA$21,Y554,U554), IF(S554="HOLDINGINOP",  BicubicInterpolation('Holding INOP Mach'!$N$4:$U$13,Y554,U554),         "XXX" )))))))   )))</f>
        <v>#NAME?</v>
      </c>
      <c r="AD554" s="313" t="e">
        <f t="shared" ca="1" si="501"/>
        <v>#NAME?</v>
      </c>
      <c r="AE554" s="314" t="e">
        <f t="shared" ca="1" si="488"/>
        <v>#NAME?</v>
      </c>
      <c r="AF554" s="313" t="e">
        <f t="shared" ca="1" si="502"/>
        <v>#NAME?</v>
      </c>
      <c r="AG554" s="314" t="e">
        <f t="shared" ca="1" si="489"/>
        <v>#NAME?</v>
      </c>
      <c r="AH554" s="313" t="e">
        <f t="shared" ca="1" si="503"/>
        <v>#NAME?</v>
      </c>
      <c r="AI554" s="314" t="e">
        <f t="shared" ca="1" si="490"/>
        <v>#NAME?</v>
      </c>
      <c r="AJ554" s="315" t="e">
        <f t="shared" ca="1" si="491"/>
        <v>#NAME?</v>
      </c>
      <c r="AK554" s="568" t="e">
        <f t="shared" ca="1" si="504"/>
        <v>#NAME?</v>
      </c>
      <c r="AL554" s="313" t="e">
        <f t="shared" ca="1" si="505"/>
        <v>#NAME?</v>
      </c>
      <c r="AM554" s="313" t="e">
        <f t="shared" ca="1" si="492"/>
        <v>#NAME?</v>
      </c>
      <c r="AN554" s="313" t="e">
        <f t="shared" ca="1" si="493"/>
        <v>#NAME?</v>
      </c>
      <c r="AO554" s="316" t="e">
        <f t="shared" ca="1" si="506"/>
        <v>#NAME?</v>
      </c>
      <c r="AP554" s="313" t="e">
        <f t="shared" ca="1" si="507"/>
        <v>#NAME?</v>
      </c>
      <c r="AQ554" s="314" t="e">
        <f t="shared" ca="1" si="494"/>
        <v>#NAME?</v>
      </c>
      <c r="AR554" s="315" t="e">
        <f t="shared" ca="1" si="508"/>
        <v>#NAME?</v>
      </c>
      <c r="AS554" s="316" t="e">
        <f t="shared" ca="1" si="509"/>
        <v>#NAME?</v>
      </c>
      <c r="AT554" s="315" t="e">
        <f t="shared" ca="1" si="510"/>
        <v>#NAME?</v>
      </c>
      <c r="AU554" s="317">
        <v>427.8</v>
      </c>
      <c r="AV554" s="315" t="e">
        <f t="shared" ca="1" si="511"/>
        <v>#NAME?</v>
      </c>
      <c r="AW554" s="318" t="e">
        <f ca="1">0.0001*BicubicInterpolation('Drag Coef Table'!$B$4:$L$28,AV554,AC554)</f>
        <v>#NAME?</v>
      </c>
      <c r="AX554" s="319" t="e">
        <f t="shared" ca="1" si="512"/>
        <v>#NAME?</v>
      </c>
      <c r="AY554" s="318" t="e">
        <f t="shared" ca="1" si="513"/>
        <v>#NAME?</v>
      </c>
      <c r="AZ554" s="320" t="e">
        <f t="shared" ca="1" si="514"/>
        <v>#NAME?</v>
      </c>
      <c r="BA554" s="321" t="e">
        <f t="shared" ca="1" si="515"/>
        <v>#NAME?</v>
      </c>
      <c r="BB554" s="322" t="e">
        <f t="shared" ca="1" si="516"/>
        <v>#NAME?</v>
      </c>
      <c r="BC554" s="323">
        <v>75.196700000000007</v>
      </c>
      <c r="BD554" s="324" t="e">
        <f t="shared" ca="1" si="517"/>
        <v>#NAME?</v>
      </c>
      <c r="BE554" s="325" t="e">
        <f t="shared" ca="1" si="518"/>
        <v>#NAME?</v>
      </c>
      <c r="BF554" s="324" t="e">
        <f ca="1">BicubicInterpolation('TSFC Eff Table'!$B$4:$E$69,2,BB554)</f>
        <v>#NAME?</v>
      </c>
      <c r="BG554" s="326" t="e">
        <f t="shared" ca="1" si="519"/>
        <v>#NAME?</v>
      </c>
      <c r="BH554" s="694" t="e">
        <f ca="1">IF( S554="LRCINOP",   (1+(0.03/10)*Z554*(1+0.2*AC554^2) )*BicubicInterpolation( 'LRC INOP FF'!$C$4:$AA$21, Y554, U554 )-200, IF(S554 ="HOLDINGINOP", (1+(0.03/10)*Z554*(1+0.2*AC554^2) )*BicubicInterpolation( 'Holding INOP FF'!$C$4:$J$13,  Y554,  U554)/1.05-200,   BA554*BG554))</f>
        <v>#NAME?</v>
      </c>
      <c r="BI554" s="344" t="e">
        <f t="shared" ca="1" si="478"/>
        <v>#NAME?</v>
      </c>
      <c r="BJ554" s="322" t="e">
        <f t="shared" ca="1" si="520"/>
        <v>#NAME?</v>
      </c>
      <c r="BK554" s="338" t="e">
        <f t="shared" ca="1" si="479"/>
        <v>#NAME?</v>
      </c>
      <c r="BL554" s="327" t="e">
        <f t="shared" ca="1" si="521"/>
        <v>#NAME?</v>
      </c>
      <c r="BM554" s="328">
        <f t="shared" si="522"/>
        <v>200</v>
      </c>
      <c r="BN554" s="329" t="e">
        <f t="shared" ca="1" si="523"/>
        <v>#NAME?</v>
      </c>
      <c r="BO554" s="344" t="e">
        <f t="shared" ca="1" si="480"/>
        <v>#NAME?</v>
      </c>
      <c r="BP554" s="320" t="e">
        <f t="shared" ca="1" si="524"/>
        <v>#NAME?</v>
      </c>
      <c r="BQ554" s="344" t="e">
        <f t="shared" ca="1" si="481"/>
        <v>#NAME?</v>
      </c>
      <c r="BR554" s="347" t="e">
        <f t="shared" ca="1" si="482"/>
        <v>#NAME?</v>
      </c>
      <c r="BS554" s="326" t="e">
        <f t="shared" ca="1" si="525"/>
        <v>#NAME?</v>
      </c>
      <c r="BT554" s="437" t="e">
        <f t="shared" ca="1" si="495"/>
        <v>#NAME?</v>
      </c>
      <c r="BU554" s="437" t="e">
        <f t="shared" ca="1" si="496"/>
        <v>#NAME?</v>
      </c>
      <c r="BV554" s="441" t="e">
        <f t="shared" ca="1" si="497"/>
        <v>#NAME?</v>
      </c>
      <c r="BW554" s="442" t="e">
        <f t="shared" ca="1" si="498"/>
        <v>#NAME?</v>
      </c>
      <c r="BX554" s="470" t="e">
        <f t="shared" ca="1" si="472"/>
        <v>#NAME?</v>
      </c>
      <c r="BY554" s="484" t="e">
        <f t="shared" ca="1" si="483"/>
        <v>#NAME?</v>
      </c>
    </row>
    <row r="555" spans="9:77" ht="17.75" customHeight="1" x14ac:dyDescent="0.2">
      <c r="I555" s="366">
        <v>471</v>
      </c>
      <c r="J555" s="414">
        <f t="shared" si="484"/>
        <v>41706.039583334401</v>
      </c>
      <c r="K555" s="435" t="e">
        <f t="shared" ca="1" si="485"/>
        <v>#NAME?</v>
      </c>
      <c r="L555" s="435" t="e">
        <f t="shared" ca="1" si="466"/>
        <v>#NAME?</v>
      </c>
      <c r="M555" s="664" t="e">
        <f t="shared" ca="1" si="526"/>
        <v>#NAME?</v>
      </c>
      <c r="N555" s="664" t="e">
        <f t="shared" ca="1" si="527"/>
        <v>#NAME?</v>
      </c>
      <c r="O555" s="140" t="e">
        <f t="shared" ca="1" si="473"/>
        <v>#NAME?</v>
      </c>
      <c r="P555" s="352" t="e">
        <f t="shared" ca="1" si="486"/>
        <v>#NAME?</v>
      </c>
      <c r="Q555" s="665" t="e">
        <f t="shared" ca="1" si="467"/>
        <v>#NAME?</v>
      </c>
      <c r="R555" s="352" t="e">
        <f t="shared" ca="1" si="499"/>
        <v>#NAME?</v>
      </c>
      <c r="S555" s="662" t="e">
        <f t="shared" ca="1" si="474"/>
        <v>#NAME?</v>
      </c>
      <c r="T555" s="443" t="e">
        <f t="shared" ca="1" si="468"/>
        <v>#NAME?</v>
      </c>
      <c r="U555" s="369" t="e">
        <f t="shared" ca="1" si="469"/>
        <v>#NAME?</v>
      </c>
      <c r="V555" s="454" t="e">
        <f t="shared" ca="1" si="475"/>
        <v>#NAME?</v>
      </c>
      <c r="W555" s="457">
        <f t="shared" si="476"/>
        <v>1000</v>
      </c>
      <c r="X555" s="463" t="e">
        <f t="shared" ca="1" si="477"/>
        <v>#NAME?</v>
      </c>
      <c r="Y555" s="455" t="e">
        <f t="shared" ca="1" si="487"/>
        <v>#NAME?</v>
      </c>
      <c r="Z555" s="699">
        <f t="shared" si="470"/>
        <v>8.5</v>
      </c>
      <c r="AA555" s="355" t="str">
        <f t="shared" si="471"/>
        <v>ON</v>
      </c>
      <c r="AB555" s="357">
        <f t="shared" si="500"/>
        <v>1.4999999999999999E-2</v>
      </c>
      <c r="AC555" s="356" t="e">
        <f ca="1">IF(  Y554=0,0,IF(OR(S555="KCAS",S555="INOP",S555="MEFE"),   ( (5*( (   (((1+0.2*(T555/661.4786)^2)^3.5 -1)  )/( (1-6.8755856*10^-6 *100*Y555)^5.2558797) +1)^(2/7) -1) )^0.5),IF(S555="MACH",T555, IF(S555="LRC",BicubicInterpolation( 'LRC Mach'!$C$4:$AL$21, Y555,U555),  IF(S555="MRC",BicubicInterpolation( 'MRC Mach'!$C$3:$T$18, Y555,U555),  IF(S555="M0.84",0.84,  IF(S555="CI52",BicubicInterpolation('CI=52 Mach'!$C$3:$T$18, Y555,U555),  IF(S555="HOLDING",BicubicInterpolation(  'Holding Mach'!$C$4:$M$13, Y555,U555),                         IF(S555="LRCINOP", BicubicInterpolation('LRC INOP Mach'!$C$4:$AA$21,Y555,U555), IF(S555="HOLDINGINOP",  BicubicInterpolation('Holding INOP Mach'!$N$4:$U$13,Y555,U555),         "XXX" )))))))   )))</f>
        <v>#NAME?</v>
      </c>
      <c r="AD555" s="313" t="e">
        <f t="shared" ca="1" si="501"/>
        <v>#NAME?</v>
      </c>
      <c r="AE555" s="314" t="e">
        <f t="shared" ca="1" si="488"/>
        <v>#NAME?</v>
      </c>
      <c r="AF555" s="313" t="e">
        <f t="shared" ca="1" si="502"/>
        <v>#NAME?</v>
      </c>
      <c r="AG555" s="314" t="e">
        <f t="shared" ca="1" si="489"/>
        <v>#NAME?</v>
      </c>
      <c r="AH555" s="313" t="e">
        <f t="shared" ca="1" si="503"/>
        <v>#NAME?</v>
      </c>
      <c r="AI555" s="314" t="e">
        <f t="shared" ca="1" si="490"/>
        <v>#NAME?</v>
      </c>
      <c r="AJ555" s="315" t="e">
        <f t="shared" ca="1" si="491"/>
        <v>#NAME?</v>
      </c>
      <c r="AK555" s="568" t="e">
        <f t="shared" ca="1" si="504"/>
        <v>#NAME?</v>
      </c>
      <c r="AL555" s="313" t="e">
        <f t="shared" ca="1" si="505"/>
        <v>#NAME?</v>
      </c>
      <c r="AM555" s="313" t="e">
        <f t="shared" ca="1" si="492"/>
        <v>#NAME?</v>
      </c>
      <c r="AN555" s="313" t="e">
        <f t="shared" ca="1" si="493"/>
        <v>#NAME?</v>
      </c>
      <c r="AO555" s="316" t="e">
        <f t="shared" ca="1" si="506"/>
        <v>#NAME?</v>
      </c>
      <c r="AP555" s="313" t="e">
        <f t="shared" ca="1" si="507"/>
        <v>#NAME?</v>
      </c>
      <c r="AQ555" s="314" t="e">
        <f t="shared" ca="1" si="494"/>
        <v>#NAME?</v>
      </c>
      <c r="AR555" s="315" t="e">
        <f t="shared" ca="1" si="508"/>
        <v>#NAME?</v>
      </c>
      <c r="AS555" s="316" t="e">
        <f t="shared" ca="1" si="509"/>
        <v>#NAME?</v>
      </c>
      <c r="AT555" s="315" t="e">
        <f t="shared" ca="1" si="510"/>
        <v>#NAME?</v>
      </c>
      <c r="AU555" s="317">
        <v>427.8</v>
      </c>
      <c r="AV555" s="315" t="e">
        <f t="shared" ca="1" si="511"/>
        <v>#NAME?</v>
      </c>
      <c r="AW555" s="318" t="e">
        <f ca="1">0.0001*BicubicInterpolation('Drag Coef Table'!$B$4:$L$28,AV555,AC555)</f>
        <v>#NAME?</v>
      </c>
      <c r="AX555" s="319" t="e">
        <f t="shared" ca="1" si="512"/>
        <v>#NAME?</v>
      </c>
      <c r="AY555" s="318" t="e">
        <f t="shared" ca="1" si="513"/>
        <v>#NAME?</v>
      </c>
      <c r="AZ555" s="320" t="e">
        <f t="shared" ca="1" si="514"/>
        <v>#NAME?</v>
      </c>
      <c r="BA555" s="321" t="e">
        <f t="shared" ca="1" si="515"/>
        <v>#NAME?</v>
      </c>
      <c r="BB555" s="322" t="e">
        <f t="shared" ca="1" si="516"/>
        <v>#NAME?</v>
      </c>
      <c r="BC555" s="323">
        <v>75.196700000000007</v>
      </c>
      <c r="BD555" s="324" t="e">
        <f t="shared" ca="1" si="517"/>
        <v>#NAME?</v>
      </c>
      <c r="BE555" s="325" t="e">
        <f t="shared" ca="1" si="518"/>
        <v>#NAME?</v>
      </c>
      <c r="BF555" s="324" t="e">
        <f ca="1">BicubicInterpolation('TSFC Eff Table'!$B$4:$E$69,2,BB555)</f>
        <v>#NAME?</v>
      </c>
      <c r="BG555" s="326" t="e">
        <f t="shared" ca="1" si="519"/>
        <v>#NAME?</v>
      </c>
      <c r="BH555" s="694" t="e">
        <f ca="1">IF( S555="LRCINOP",   (1+(0.03/10)*Z555*(1+0.2*AC555^2) )*BicubicInterpolation( 'LRC INOP FF'!$C$4:$AA$21, Y555, U555 )-200, IF(S555 ="HOLDINGINOP", (1+(0.03/10)*Z555*(1+0.2*AC555^2) )*BicubicInterpolation( 'Holding INOP FF'!$C$4:$J$13,  Y555,  U555)/1.05-200,   BA555*BG555))</f>
        <v>#NAME?</v>
      </c>
      <c r="BI555" s="344" t="e">
        <f t="shared" ca="1" si="478"/>
        <v>#NAME?</v>
      </c>
      <c r="BJ555" s="322" t="e">
        <f t="shared" ca="1" si="520"/>
        <v>#NAME?</v>
      </c>
      <c r="BK555" s="338" t="e">
        <f t="shared" ca="1" si="479"/>
        <v>#NAME?</v>
      </c>
      <c r="BL555" s="327" t="e">
        <f t="shared" ca="1" si="521"/>
        <v>#NAME?</v>
      </c>
      <c r="BM555" s="328">
        <f t="shared" si="522"/>
        <v>200</v>
      </c>
      <c r="BN555" s="329" t="e">
        <f t="shared" ca="1" si="523"/>
        <v>#NAME?</v>
      </c>
      <c r="BO555" s="344" t="e">
        <f t="shared" ca="1" si="480"/>
        <v>#NAME?</v>
      </c>
      <c r="BP555" s="320" t="e">
        <f t="shared" ca="1" si="524"/>
        <v>#NAME?</v>
      </c>
      <c r="BQ555" s="344" t="e">
        <f t="shared" ca="1" si="481"/>
        <v>#NAME?</v>
      </c>
      <c r="BR555" s="347" t="e">
        <f t="shared" ca="1" si="482"/>
        <v>#NAME?</v>
      </c>
      <c r="BS555" s="326" t="e">
        <f t="shared" ca="1" si="525"/>
        <v>#NAME?</v>
      </c>
      <c r="BT555" s="437" t="e">
        <f t="shared" ca="1" si="495"/>
        <v>#NAME?</v>
      </c>
      <c r="BU555" s="437" t="e">
        <f t="shared" ca="1" si="496"/>
        <v>#NAME?</v>
      </c>
      <c r="BV555" s="441" t="e">
        <f t="shared" ca="1" si="497"/>
        <v>#NAME?</v>
      </c>
      <c r="BW555" s="442" t="e">
        <f t="shared" ca="1" si="498"/>
        <v>#NAME?</v>
      </c>
      <c r="BX555" s="470" t="e">
        <f t="shared" ca="1" si="472"/>
        <v>#NAME?</v>
      </c>
      <c r="BY555" s="484" t="e">
        <f t="shared" ca="1" si="483"/>
        <v>#NAME?</v>
      </c>
    </row>
    <row r="556" spans="9:77" ht="17.75" customHeight="1" x14ac:dyDescent="0.2">
      <c r="I556" s="366">
        <v>472</v>
      </c>
      <c r="J556" s="414">
        <f t="shared" si="484"/>
        <v>41706.040277778848</v>
      </c>
      <c r="K556" s="435" t="e">
        <f t="shared" ca="1" si="485"/>
        <v>#NAME?</v>
      </c>
      <c r="L556" s="435" t="e">
        <f t="shared" ca="1" si="466"/>
        <v>#NAME?</v>
      </c>
      <c r="M556" s="664" t="e">
        <f t="shared" ca="1" si="526"/>
        <v>#NAME?</v>
      </c>
      <c r="N556" s="664" t="e">
        <f t="shared" ca="1" si="527"/>
        <v>#NAME?</v>
      </c>
      <c r="O556" s="140" t="e">
        <f t="shared" ca="1" si="473"/>
        <v>#NAME?</v>
      </c>
      <c r="P556" s="352" t="e">
        <f t="shared" ca="1" si="486"/>
        <v>#NAME?</v>
      </c>
      <c r="Q556" s="665" t="e">
        <f t="shared" ca="1" si="467"/>
        <v>#NAME?</v>
      </c>
      <c r="R556" s="352" t="e">
        <f t="shared" ca="1" si="499"/>
        <v>#NAME?</v>
      </c>
      <c r="S556" s="662" t="e">
        <f t="shared" ca="1" si="474"/>
        <v>#NAME?</v>
      </c>
      <c r="T556" s="443" t="e">
        <f t="shared" ca="1" si="468"/>
        <v>#NAME?</v>
      </c>
      <c r="U556" s="369" t="e">
        <f t="shared" ca="1" si="469"/>
        <v>#NAME?</v>
      </c>
      <c r="V556" s="454" t="e">
        <f t="shared" ca="1" si="475"/>
        <v>#NAME?</v>
      </c>
      <c r="W556" s="457">
        <f t="shared" si="476"/>
        <v>1000</v>
      </c>
      <c r="X556" s="463" t="e">
        <f t="shared" ca="1" si="477"/>
        <v>#NAME?</v>
      </c>
      <c r="Y556" s="455" t="e">
        <f t="shared" ca="1" si="487"/>
        <v>#NAME?</v>
      </c>
      <c r="Z556" s="699">
        <f t="shared" si="470"/>
        <v>8.5</v>
      </c>
      <c r="AA556" s="355" t="str">
        <f t="shared" si="471"/>
        <v>ON</v>
      </c>
      <c r="AB556" s="357">
        <f t="shared" si="500"/>
        <v>1.4999999999999999E-2</v>
      </c>
      <c r="AC556" s="356" t="e">
        <f ca="1">IF(  Y555=0,0,IF(OR(S556="KCAS",S556="INOP",S556="MEFE"),   ( (5*( (   (((1+0.2*(T556/661.4786)^2)^3.5 -1)  )/( (1-6.8755856*10^-6 *100*Y556)^5.2558797) +1)^(2/7) -1) )^0.5),IF(S556="MACH",T556, IF(S556="LRC",BicubicInterpolation( 'LRC Mach'!$C$4:$AL$21, Y556,U556),  IF(S556="MRC",BicubicInterpolation( 'MRC Mach'!$C$3:$T$18, Y556,U556),  IF(S556="M0.84",0.84,  IF(S556="CI52",BicubicInterpolation('CI=52 Mach'!$C$3:$T$18, Y556,U556),  IF(S556="HOLDING",BicubicInterpolation(  'Holding Mach'!$C$4:$M$13, Y556,U556),                         IF(S556="LRCINOP", BicubicInterpolation('LRC INOP Mach'!$C$4:$AA$21,Y556,U556), IF(S556="HOLDINGINOP",  BicubicInterpolation('Holding INOP Mach'!$N$4:$U$13,Y556,U556),         "XXX" )))))))   )))</f>
        <v>#NAME?</v>
      </c>
      <c r="AD556" s="313" t="e">
        <f t="shared" ca="1" si="501"/>
        <v>#NAME?</v>
      </c>
      <c r="AE556" s="314" t="e">
        <f t="shared" ca="1" si="488"/>
        <v>#NAME?</v>
      </c>
      <c r="AF556" s="313" t="e">
        <f t="shared" ca="1" si="502"/>
        <v>#NAME?</v>
      </c>
      <c r="AG556" s="314" t="e">
        <f t="shared" ca="1" si="489"/>
        <v>#NAME?</v>
      </c>
      <c r="AH556" s="313" t="e">
        <f t="shared" ca="1" si="503"/>
        <v>#NAME?</v>
      </c>
      <c r="AI556" s="314" t="e">
        <f t="shared" ca="1" si="490"/>
        <v>#NAME?</v>
      </c>
      <c r="AJ556" s="315" t="e">
        <f t="shared" ca="1" si="491"/>
        <v>#NAME?</v>
      </c>
      <c r="AK556" s="568" t="e">
        <f t="shared" ca="1" si="504"/>
        <v>#NAME?</v>
      </c>
      <c r="AL556" s="313" t="e">
        <f t="shared" ca="1" si="505"/>
        <v>#NAME?</v>
      </c>
      <c r="AM556" s="313" t="e">
        <f t="shared" ca="1" si="492"/>
        <v>#NAME?</v>
      </c>
      <c r="AN556" s="313" t="e">
        <f t="shared" ca="1" si="493"/>
        <v>#NAME?</v>
      </c>
      <c r="AO556" s="316" t="e">
        <f t="shared" ca="1" si="506"/>
        <v>#NAME?</v>
      </c>
      <c r="AP556" s="313" t="e">
        <f t="shared" ca="1" si="507"/>
        <v>#NAME?</v>
      </c>
      <c r="AQ556" s="314" t="e">
        <f t="shared" ca="1" si="494"/>
        <v>#NAME?</v>
      </c>
      <c r="AR556" s="315" t="e">
        <f t="shared" ca="1" si="508"/>
        <v>#NAME?</v>
      </c>
      <c r="AS556" s="316" t="e">
        <f t="shared" ca="1" si="509"/>
        <v>#NAME?</v>
      </c>
      <c r="AT556" s="315" t="e">
        <f t="shared" ca="1" si="510"/>
        <v>#NAME?</v>
      </c>
      <c r="AU556" s="317">
        <v>427.8</v>
      </c>
      <c r="AV556" s="315" t="e">
        <f t="shared" ca="1" si="511"/>
        <v>#NAME?</v>
      </c>
      <c r="AW556" s="318" t="e">
        <f ca="1">0.0001*BicubicInterpolation('Drag Coef Table'!$B$4:$L$28,AV556,AC556)</f>
        <v>#NAME?</v>
      </c>
      <c r="AX556" s="319" t="e">
        <f t="shared" ca="1" si="512"/>
        <v>#NAME?</v>
      </c>
      <c r="AY556" s="318" t="e">
        <f t="shared" ca="1" si="513"/>
        <v>#NAME?</v>
      </c>
      <c r="AZ556" s="320" t="e">
        <f t="shared" ca="1" si="514"/>
        <v>#NAME?</v>
      </c>
      <c r="BA556" s="321" t="e">
        <f t="shared" ca="1" si="515"/>
        <v>#NAME?</v>
      </c>
      <c r="BB556" s="322" t="e">
        <f t="shared" ca="1" si="516"/>
        <v>#NAME?</v>
      </c>
      <c r="BC556" s="323">
        <v>75.196700000000007</v>
      </c>
      <c r="BD556" s="324" t="e">
        <f t="shared" ca="1" si="517"/>
        <v>#NAME?</v>
      </c>
      <c r="BE556" s="325" t="e">
        <f t="shared" ca="1" si="518"/>
        <v>#NAME?</v>
      </c>
      <c r="BF556" s="324" t="e">
        <f ca="1">BicubicInterpolation('TSFC Eff Table'!$B$4:$E$69,2,BB556)</f>
        <v>#NAME?</v>
      </c>
      <c r="BG556" s="326" t="e">
        <f t="shared" ca="1" si="519"/>
        <v>#NAME?</v>
      </c>
      <c r="BH556" s="694" t="e">
        <f ca="1">IF( S556="LRCINOP",   (1+(0.03/10)*Z556*(1+0.2*AC556^2) )*BicubicInterpolation( 'LRC INOP FF'!$C$4:$AA$21, Y556, U556 )-200, IF(S556 ="HOLDINGINOP", (1+(0.03/10)*Z556*(1+0.2*AC556^2) )*BicubicInterpolation( 'Holding INOP FF'!$C$4:$J$13,  Y556,  U556)/1.05-200,   BA556*BG556))</f>
        <v>#NAME?</v>
      </c>
      <c r="BI556" s="344" t="e">
        <f t="shared" ca="1" si="478"/>
        <v>#NAME?</v>
      </c>
      <c r="BJ556" s="322" t="e">
        <f t="shared" ca="1" si="520"/>
        <v>#NAME?</v>
      </c>
      <c r="BK556" s="338" t="e">
        <f t="shared" ca="1" si="479"/>
        <v>#NAME?</v>
      </c>
      <c r="BL556" s="327" t="e">
        <f t="shared" ca="1" si="521"/>
        <v>#NAME?</v>
      </c>
      <c r="BM556" s="328">
        <f t="shared" si="522"/>
        <v>200</v>
      </c>
      <c r="BN556" s="329" t="e">
        <f t="shared" ca="1" si="523"/>
        <v>#NAME?</v>
      </c>
      <c r="BO556" s="344" t="e">
        <f t="shared" ca="1" si="480"/>
        <v>#NAME?</v>
      </c>
      <c r="BP556" s="320" t="e">
        <f t="shared" ca="1" si="524"/>
        <v>#NAME?</v>
      </c>
      <c r="BQ556" s="344" t="e">
        <f t="shared" ca="1" si="481"/>
        <v>#NAME?</v>
      </c>
      <c r="BR556" s="347" t="e">
        <f t="shared" ca="1" si="482"/>
        <v>#NAME?</v>
      </c>
      <c r="BS556" s="326" t="e">
        <f t="shared" ca="1" si="525"/>
        <v>#NAME?</v>
      </c>
      <c r="BT556" s="437" t="e">
        <f t="shared" ca="1" si="495"/>
        <v>#NAME?</v>
      </c>
      <c r="BU556" s="437" t="e">
        <f t="shared" ca="1" si="496"/>
        <v>#NAME?</v>
      </c>
      <c r="BV556" s="441" t="e">
        <f t="shared" ca="1" si="497"/>
        <v>#NAME?</v>
      </c>
      <c r="BW556" s="442" t="e">
        <f t="shared" ca="1" si="498"/>
        <v>#NAME?</v>
      </c>
      <c r="BX556" s="470" t="e">
        <f t="shared" ca="1" si="472"/>
        <v>#NAME?</v>
      </c>
      <c r="BY556" s="484" t="e">
        <f t="shared" ca="1" si="483"/>
        <v>#NAME?</v>
      </c>
    </row>
    <row r="557" spans="9:77" ht="17.75" customHeight="1" x14ac:dyDescent="0.2">
      <c r="I557" s="366">
        <v>473</v>
      </c>
      <c r="J557" s="414">
        <f t="shared" si="484"/>
        <v>41706.040972223294</v>
      </c>
      <c r="K557" s="435" t="e">
        <f t="shared" ca="1" si="485"/>
        <v>#NAME?</v>
      </c>
      <c r="L557" s="435" t="e">
        <f t="shared" ca="1" si="466"/>
        <v>#NAME?</v>
      </c>
      <c r="M557" s="664" t="e">
        <f t="shared" ca="1" si="526"/>
        <v>#NAME?</v>
      </c>
      <c r="N557" s="664" t="e">
        <f t="shared" ca="1" si="527"/>
        <v>#NAME?</v>
      </c>
      <c r="O557" s="140" t="e">
        <f t="shared" ca="1" si="473"/>
        <v>#NAME?</v>
      </c>
      <c r="P557" s="352" t="e">
        <f t="shared" ca="1" si="486"/>
        <v>#NAME?</v>
      </c>
      <c r="Q557" s="665" t="e">
        <f t="shared" ca="1" si="467"/>
        <v>#NAME?</v>
      </c>
      <c r="R557" s="352" t="e">
        <f t="shared" ca="1" si="499"/>
        <v>#NAME?</v>
      </c>
      <c r="S557" s="662" t="e">
        <f t="shared" ca="1" si="474"/>
        <v>#NAME?</v>
      </c>
      <c r="T557" s="443" t="e">
        <f t="shared" ca="1" si="468"/>
        <v>#NAME?</v>
      </c>
      <c r="U557" s="369" t="e">
        <f t="shared" ca="1" si="469"/>
        <v>#NAME?</v>
      </c>
      <c r="V557" s="454" t="e">
        <f t="shared" ca="1" si="475"/>
        <v>#NAME?</v>
      </c>
      <c r="W557" s="457">
        <f t="shared" si="476"/>
        <v>1000</v>
      </c>
      <c r="X557" s="463" t="e">
        <f t="shared" ca="1" si="477"/>
        <v>#NAME?</v>
      </c>
      <c r="Y557" s="455" t="e">
        <f t="shared" ca="1" si="487"/>
        <v>#NAME?</v>
      </c>
      <c r="Z557" s="699">
        <f t="shared" si="470"/>
        <v>8.5</v>
      </c>
      <c r="AA557" s="355" t="str">
        <f t="shared" si="471"/>
        <v>ON</v>
      </c>
      <c r="AB557" s="357">
        <f t="shared" si="500"/>
        <v>1.4999999999999999E-2</v>
      </c>
      <c r="AC557" s="356" t="e">
        <f ca="1">IF(  Y556=0,0,IF(OR(S557="KCAS",S557="INOP",S557="MEFE"),   ( (5*( (   (((1+0.2*(T557/661.4786)^2)^3.5 -1)  )/( (1-6.8755856*10^-6 *100*Y557)^5.2558797) +1)^(2/7) -1) )^0.5),IF(S557="MACH",T557, IF(S557="LRC",BicubicInterpolation( 'LRC Mach'!$C$4:$AL$21, Y557,U557),  IF(S557="MRC",BicubicInterpolation( 'MRC Mach'!$C$3:$T$18, Y557,U557),  IF(S557="M0.84",0.84,  IF(S557="CI52",BicubicInterpolation('CI=52 Mach'!$C$3:$T$18, Y557,U557),  IF(S557="HOLDING",BicubicInterpolation(  'Holding Mach'!$C$4:$M$13, Y557,U557),                         IF(S557="LRCINOP", BicubicInterpolation('LRC INOP Mach'!$C$4:$AA$21,Y557,U557), IF(S557="HOLDINGINOP",  BicubicInterpolation('Holding INOP Mach'!$N$4:$U$13,Y557,U557),         "XXX" )))))))   )))</f>
        <v>#NAME?</v>
      </c>
      <c r="AD557" s="313" t="e">
        <f t="shared" ca="1" si="501"/>
        <v>#NAME?</v>
      </c>
      <c r="AE557" s="314" t="e">
        <f t="shared" ca="1" si="488"/>
        <v>#NAME?</v>
      </c>
      <c r="AF557" s="313" t="e">
        <f t="shared" ca="1" si="502"/>
        <v>#NAME?</v>
      </c>
      <c r="AG557" s="314" t="e">
        <f t="shared" ca="1" si="489"/>
        <v>#NAME?</v>
      </c>
      <c r="AH557" s="313" t="e">
        <f t="shared" ca="1" si="503"/>
        <v>#NAME?</v>
      </c>
      <c r="AI557" s="314" t="e">
        <f t="shared" ca="1" si="490"/>
        <v>#NAME?</v>
      </c>
      <c r="AJ557" s="315" t="e">
        <f t="shared" ca="1" si="491"/>
        <v>#NAME?</v>
      </c>
      <c r="AK557" s="568" t="e">
        <f t="shared" ca="1" si="504"/>
        <v>#NAME?</v>
      </c>
      <c r="AL557" s="313" t="e">
        <f t="shared" ca="1" si="505"/>
        <v>#NAME?</v>
      </c>
      <c r="AM557" s="313" t="e">
        <f t="shared" ca="1" si="492"/>
        <v>#NAME?</v>
      </c>
      <c r="AN557" s="313" t="e">
        <f t="shared" ca="1" si="493"/>
        <v>#NAME?</v>
      </c>
      <c r="AO557" s="316" t="e">
        <f t="shared" ca="1" si="506"/>
        <v>#NAME?</v>
      </c>
      <c r="AP557" s="313" t="e">
        <f t="shared" ca="1" si="507"/>
        <v>#NAME?</v>
      </c>
      <c r="AQ557" s="314" t="e">
        <f t="shared" ca="1" si="494"/>
        <v>#NAME?</v>
      </c>
      <c r="AR557" s="315" t="e">
        <f t="shared" ca="1" si="508"/>
        <v>#NAME?</v>
      </c>
      <c r="AS557" s="316" t="e">
        <f t="shared" ca="1" si="509"/>
        <v>#NAME?</v>
      </c>
      <c r="AT557" s="315" t="e">
        <f t="shared" ca="1" si="510"/>
        <v>#NAME?</v>
      </c>
      <c r="AU557" s="317">
        <v>427.8</v>
      </c>
      <c r="AV557" s="315" t="e">
        <f t="shared" ca="1" si="511"/>
        <v>#NAME?</v>
      </c>
      <c r="AW557" s="318" t="e">
        <f ca="1">0.0001*BicubicInterpolation('Drag Coef Table'!$B$4:$L$28,AV557,AC557)</f>
        <v>#NAME?</v>
      </c>
      <c r="AX557" s="319" t="e">
        <f t="shared" ca="1" si="512"/>
        <v>#NAME?</v>
      </c>
      <c r="AY557" s="318" t="e">
        <f t="shared" ca="1" si="513"/>
        <v>#NAME?</v>
      </c>
      <c r="AZ557" s="320" t="e">
        <f t="shared" ca="1" si="514"/>
        <v>#NAME?</v>
      </c>
      <c r="BA557" s="321" t="e">
        <f t="shared" ca="1" si="515"/>
        <v>#NAME?</v>
      </c>
      <c r="BB557" s="322" t="e">
        <f t="shared" ca="1" si="516"/>
        <v>#NAME?</v>
      </c>
      <c r="BC557" s="323">
        <v>75.196700000000007</v>
      </c>
      <c r="BD557" s="324" t="e">
        <f t="shared" ca="1" si="517"/>
        <v>#NAME?</v>
      </c>
      <c r="BE557" s="325" t="e">
        <f t="shared" ca="1" si="518"/>
        <v>#NAME?</v>
      </c>
      <c r="BF557" s="324" t="e">
        <f ca="1">BicubicInterpolation('TSFC Eff Table'!$B$4:$E$69,2,BB557)</f>
        <v>#NAME?</v>
      </c>
      <c r="BG557" s="326" t="e">
        <f t="shared" ca="1" si="519"/>
        <v>#NAME?</v>
      </c>
      <c r="BH557" s="694" t="e">
        <f ca="1">IF( S557="LRCINOP",   (1+(0.03/10)*Z557*(1+0.2*AC557^2) )*BicubicInterpolation( 'LRC INOP FF'!$C$4:$AA$21, Y557, U557 )-200, IF(S557 ="HOLDINGINOP", (1+(0.03/10)*Z557*(1+0.2*AC557^2) )*BicubicInterpolation( 'Holding INOP FF'!$C$4:$J$13,  Y557,  U557)/1.05-200,   BA557*BG557))</f>
        <v>#NAME?</v>
      </c>
      <c r="BI557" s="344" t="e">
        <f t="shared" ca="1" si="478"/>
        <v>#NAME?</v>
      </c>
      <c r="BJ557" s="322" t="e">
        <f t="shared" ca="1" si="520"/>
        <v>#NAME?</v>
      </c>
      <c r="BK557" s="338" t="e">
        <f t="shared" ca="1" si="479"/>
        <v>#NAME?</v>
      </c>
      <c r="BL557" s="327" t="e">
        <f t="shared" ca="1" si="521"/>
        <v>#NAME?</v>
      </c>
      <c r="BM557" s="328">
        <f t="shared" si="522"/>
        <v>200</v>
      </c>
      <c r="BN557" s="329" t="e">
        <f t="shared" ca="1" si="523"/>
        <v>#NAME?</v>
      </c>
      <c r="BO557" s="344" t="e">
        <f t="shared" ca="1" si="480"/>
        <v>#NAME?</v>
      </c>
      <c r="BP557" s="320" t="e">
        <f t="shared" ca="1" si="524"/>
        <v>#NAME?</v>
      </c>
      <c r="BQ557" s="344" t="e">
        <f t="shared" ca="1" si="481"/>
        <v>#NAME?</v>
      </c>
      <c r="BR557" s="347" t="e">
        <f t="shared" ca="1" si="482"/>
        <v>#NAME?</v>
      </c>
      <c r="BS557" s="326" t="e">
        <f t="shared" ca="1" si="525"/>
        <v>#NAME?</v>
      </c>
      <c r="BT557" s="437" t="e">
        <f t="shared" ca="1" si="495"/>
        <v>#NAME?</v>
      </c>
      <c r="BU557" s="437" t="e">
        <f t="shared" ca="1" si="496"/>
        <v>#NAME?</v>
      </c>
      <c r="BV557" s="441" t="e">
        <f t="shared" ca="1" si="497"/>
        <v>#NAME?</v>
      </c>
      <c r="BW557" s="442" t="e">
        <f t="shared" ca="1" si="498"/>
        <v>#NAME?</v>
      </c>
      <c r="BX557" s="470" t="e">
        <f t="shared" ca="1" si="472"/>
        <v>#NAME?</v>
      </c>
      <c r="BY557" s="484" t="e">
        <f t="shared" ca="1" si="483"/>
        <v>#NAME?</v>
      </c>
    </row>
    <row r="558" spans="9:77" ht="17.75" customHeight="1" x14ac:dyDescent="0.2">
      <c r="I558" s="366">
        <v>474</v>
      </c>
      <c r="J558" s="414">
        <f t="shared" si="484"/>
        <v>41706.041666667741</v>
      </c>
      <c r="K558" s="435" t="e">
        <f t="shared" ca="1" si="485"/>
        <v>#NAME?</v>
      </c>
      <c r="L558" s="435" t="e">
        <f t="shared" ca="1" si="466"/>
        <v>#NAME?</v>
      </c>
      <c r="M558" s="664" t="e">
        <f t="shared" ca="1" si="526"/>
        <v>#NAME?</v>
      </c>
      <c r="N558" s="664" t="e">
        <f t="shared" ca="1" si="527"/>
        <v>#NAME?</v>
      </c>
      <c r="O558" s="140" t="e">
        <f t="shared" ca="1" si="473"/>
        <v>#NAME?</v>
      </c>
      <c r="P558" s="352" t="e">
        <f t="shared" ca="1" si="486"/>
        <v>#NAME?</v>
      </c>
      <c r="Q558" s="665" t="e">
        <f t="shared" ca="1" si="467"/>
        <v>#NAME?</v>
      </c>
      <c r="R558" s="352" t="e">
        <f t="shared" ca="1" si="499"/>
        <v>#NAME?</v>
      </c>
      <c r="S558" s="662" t="e">
        <f t="shared" ca="1" si="474"/>
        <v>#NAME?</v>
      </c>
      <c r="T558" s="443" t="e">
        <f t="shared" ca="1" si="468"/>
        <v>#NAME?</v>
      </c>
      <c r="U558" s="369" t="e">
        <f t="shared" ca="1" si="469"/>
        <v>#NAME?</v>
      </c>
      <c r="V558" s="454" t="e">
        <f t="shared" ca="1" si="475"/>
        <v>#NAME?</v>
      </c>
      <c r="W558" s="457">
        <f t="shared" si="476"/>
        <v>1000</v>
      </c>
      <c r="X558" s="463" t="e">
        <f t="shared" ca="1" si="477"/>
        <v>#NAME?</v>
      </c>
      <c r="Y558" s="455" t="e">
        <f t="shared" ca="1" si="487"/>
        <v>#NAME?</v>
      </c>
      <c r="Z558" s="699">
        <f t="shared" si="470"/>
        <v>8.5</v>
      </c>
      <c r="AA558" s="355" t="str">
        <f t="shared" si="471"/>
        <v>ON</v>
      </c>
      <c r="AB558" s="357">
        <f t="shared" si="500"/>
        <v>1.4999999999999999E-2</v>
      </c>
      <c r="AC558" s="356" t="e">
        <f ca="1">IF(  Y557=0,0,IF(OR(S558="KCAS",S558="INOP",S558="MEFE"),   ( (5*( (   (((1+0.2*(T558/661.4786)^2)^3.5 -1)  )/( (1-6.8755856*10^-6 *100*Y558)^5.2558797) +1)^(2/7) -1) )^0.5),IF(S558="MACH",T558, IF(S558="LRC",BicubicInterpolation( 'LRC Mach'!$C$4:$AL$21, Y558,U558),  IF(S558="MRC",BicubicInterpolation( 'MRC Mach'!$C$3:$T$18, Y558,U558),  IF(S558="M0.84",0.84,  IF(S558="CI52",BicubicInterpolation('CI=52 Mach'!$C$3:$T$18, Y558,U558),  IF(S558="HOLDING",BicubicInterpolation(  'Holding Mach'!$C$4:$M$13, Y558,U558),                         IF(S558="LRCINOP", BicubicInterpolation('LRC INOP Mach'!$C$4:$AA$21,Y558,U558), IF(S558="HOLDINGINOP",  BicubicInterpolation('Holding INOP Mach'!$N$4:$U$13,Y558,U558),         "XXX" )))))))   )))</f>
        <v>#NAME?</v>
      </c>
      <c r="AD558" s="313" t="e">
        <f t="shared" ca="1" si="501"/>
        <v>#NAME?</v>
      </c>
      <c r="AE558" s="314" t="e">
        <f t="shared" ca="1" si="488"/>
        <v>#NAME?</v>
      </c>
      <c r="AF558" s="313" t="e">
        <f t="shared" ca="1" si="502"/>
        <v>#NAME?</v>
      </c>
      <c r="AG558" s="314" t="e">
        <f t="shared" ca="1" si="489"/>
        <v>#NAME?</v>
      </c>
      <c r="AH558" s="313" t="e">
        <f t="shared" ca="1" si="503"/>
        <v>#NAME?</v>
      </c>
      <c r="AI558" s="314" t="e">
        <f t="shared" ca="1" si="490"/>
        <v>#NAME?</v>
      </c>
      <c r="AJ558" s="315" t="e">
        <f t="shared" ca="1" si="491"/>
        <v>#NAME?</v>
      </c>
      <c r="AK558" s="568" t="e">
        <f t="shared" ca="1" si="504"/>
        <v>#NAME?</v>
      </c>
      <c r="AL558" s="313" t="e">
        <f t="shared" ca="1" si="505"/>
        <v>#NAME?</v>
      </c>
      <c r="AM558" s="313" t="e">
        <f t="shared" ca="1" si="492"/>
        <v>#NAME?</v>
      </c>
      <c r="AN558" s="313" t="e">
        <f t="shared" ca="1" si="493"/>
        <v>#NAME?</v>
      </c>
      <c r="AO558" s="316" t="e">
        <f t="shared" ca="1" si="506"/>
        <v>#NAME?</v>
      </c>
      <c r="AP558" s="313" t="e">
        <f t="shared" ca="1" si="507"/>
        <v>#NAME?</v>
      </c>
      <c r="AQ558" s="314" t="e">
        <f t="shared" ca="1" si="494"/>
        <v>#NAME?</v>
      </c>
      <c r="AR558" s="315" t="e">
        <f t="shared" ca="1" si="508"/>
        <v>#NAME?</v>
      </c>
      <c r="AS558" s="316" t="e">
        <f t="shared" ca="1" si="509"/>
        <v>#NAME?</v>
      </c>
      <c r="AT558" s="315" t="e">
        <f t="shared" ca="1" si="510"/>
        <v>#NAME?</v>
      </c>
      <c r="AU558" s="317">
        <v>427.8</v>
      </c>
      <c r="AV558" s="315" t="e">
        <f t="shared" ca="1" si="511"/>
        <v>#NAME?</v>
      </c>
      <c r="AW558" s="318" t="e">
        <f ca="1">0.0001*BicubicInterpolation('Drag Coef Table'!$B$4:$L$28,AV558,AC558)</f>
        <v>#NAME?</v>
      </c>
      <c r="AX558" s="319" t="e">
        <f t="shared" ca="1" si="512"/>
        <v>#NAME?</v>
      </c>
      <c r="AY558" s="318" t="e">
        <f t="shared" ca="1" si="513"/>
        <v>#NAME?</v>
      </c>
      <c r="AZ558" s="320" t="e">
        <f t="shared" ca="1" si="514"/>
        <v>#NAME?</v>
      </c>
      <c r="BA558" s="321" t="e">
        <f t="shared" ca="1" si="515"/>
        <v>#NAME?</v>
      </c>
      <c r="BB558" s="322" t="e">
        <f t="shared" ca="1" si="516"/>
        <v>#NAME?</v>
      </c>
      <c r="BC558" s="323">
        <v>75.196700000000007</v>
      </c>
      <c r="BD558" s="324" t="e">
        <f t="shared" ca="1" si="517"/>
        <v>#NAME?</v>
      </c>
      <c r="BE558" s="325" t="e">
        <f t="shared" ca="1" si="518"/>
        <v>#NAME?</v>
      </c>
      <c r="BF558" s="324" t="e">
        <f ca="1">BicubicInterpolation('TSFC Eff Table'!$B$4:$E$69,2,BB558)</f>
        <v>#NAME?</v>
      </c>
      <c r="BG558" s="326" t="e">
        <f t="shared" ca="1" si="519"/>
        <v>#NAME?</v>
      </c>
      <c r="BH558" s="694" t="e">
        <f ca="1">IF( S558="LRCINOP",   (1+(0.03/10)*Z558*(1+0.2*AC558^2) )*BicubicInterpolation( 'LRC INOP FF'!$C$4:$AA$21, Y558, U558 )-200, IF(S558 ="HOLDINGINOP", (1+(0.03/10)*Z558*(1+0.2*AC558^2) )*BicubicInterpolation( 'Holding INOP FF'!$C$4:$J$13,  Y558,  U558)/1.05-200,   BA558*BG558))</f>
        <v>#NAME?</v>
      </c>
      <c r="BI558" s="344" t="e">
        <f t="shared" ca="1" si="478"/>
        <v>#NAME?</v>
      </c>
      <c r="BJ558" s="322" t="e">
        <f t="shared" ca="1" si="520"/>
        <v>#NAME?</v>
      </c>
      <c r="BK558" s="338" t="e">
        <f t="shared" ca="1" si="479"/>
        <v>#NAME?</v>
      </c>
      <c r="BL558" s="327" t="e">
        <f t="shared" ca="1" si="521"/>
        <v>#NAME?</v>
      </c>
      <c r="BM558" s="328">
        <f t="shared" si="522"/>
        <v>200</v>
      </c>
      <c r="BN558" s="329" t="e">
        <f t="shared" ca="1" si="523"/>
        <v>#NAME?</v>
      </c>
      <c r="BO558" s="344" t="e">
        <f t="shared" ca="1" si="480"/>
        <v>#NAME?</v>
      </c>
      <c r="BP558" s="320" t="e">
        <f t="shared" ca="1" si="524"/>
        <v>#NAME?</v>
      </c>
      <c r="BQ558" s="344" t="e">
        <f t="shared" ca="1" si="481"/>
        <v>#NAME?</v>
      </c>
      <c r="BR558" s="347" t="e">
        <f t="shared" ca="1" si="482"/>
        <v>#NAME?</v>
      </c>
      <c r="BS558" s="326" t="e">
        <f t="shared" ca="1" si="525"/>
        <v>#NAME?</v>
      </c>
      <c r="BT558" s="437" t="e">
        <f t="shared" ca="1" si="495"/>
        <v>#NAME?</v>
      </c>
      <c r="BU558" s="437" t="e">
        <f t="shared" ca="1" si="496"/>
        <v>#NAME?</v>
      </c>
      <c r="BV558" s="441" t="e">
        <f t="shared" ca="1" si="497"/>
        <v>#NAME?</v>
      </c>
      <c r="BW558" s="442" t="e">
        <f t="shared" ca="1" si="498"/>
        <v>#NAME?</v>
      </c>
      <c r="BX558" s="470" t="e">
        <f t="shared" ca="1" si="472"/>
        <v>#NAME?</v>
      </c>
      <c r="BY558" s="484" t="e">
        <f t="shared" ca="1" si="483"/>
        <v>#NAME?</v>
      </c>
    </row>
    <row r="559" spans="9:77" ht="17.75" customHeight="1" x14ac:dyDescent="0.2">
      <c r="I559" s="366">
        <v>475</v>
      </c>
      <c r="J559" s="414">
        <f t="shared" si="484"/>
        <v>41706.042361112188</v>
      </c>
      <c r="K559" s="435" t="e">
        <f t="shared" ca="1" si="485"/>
        <v>#NAME?</v>
      </c>
      <c r="L559" s="435" t="e">
        <f t="shared" ca="1" si="466"/>
        <v>#NAME?</v>
      </c>
      <c r="M559" s="664" t="e">
        <f t="shared" ca="1" si="526"/>
        <v>#NAME?</v>
      </c>
      <c r="N559" s="664" t="e">
        <f t="shared" ca="1" si="527"/>
        <v>#NAME?</v>
      </c>
      <c r="O559" s="140" t="e">
        <f t="shared" ca="1" si="473"/>
        <v>#NAME?</v>
      </c>
      <c r="P559" s="352" t="e">
        <f t="shared" ca="1" si="486"/>
        <v>#NAME?</v>
      </c>
      <c r="Q559" s="665" t="e">
        <f t="shared" ca="1" si="467"/>
        <v>#NAME?</v>
      </c>
      <c r="R559" s="352" t="e">
        <f t="shared" ca="1" si="499"/>
        <v>#NAME?</v>
      </c>
      <c r="S559" s="662" t="e">
        <f t="shared" ca="1" si="474"/>
        <v>#NAME?</v>
      </c>
      <c r="T559" s="443" t="e">
        <f t="shared" ca="1" si="468"/>
        <v>#NAME?</v>
      </c>
      <c r="U559" s="369" t="e">
        <f t="shared" ca="1" si="469"/>
        <v>#NAME?</v>
      </c>
      <c r="V559" s="454" t="e">
        <f t="shared" ca="1" si="475"/>
        <v>#NAME?</v>
      </c>
      <c r="W559" s="457">
        <f t="shared" si="476"/>
        <v>1000</v>
      </c>
      <c r="X559" s="463" t="e">
        <f t="shared" ca="1" si="477"/>
        <v>#NAME?</v>
      </c>
      <c r="Y559" s="455" t="e">
        <f t="shared" ca="1" si="487"/>
        <v>#NAME?</v>
      </c>
      <c r="Z559" s="699">
        <f t="shared" si="470"/>
        <v>8.5</v>
      </c>
      <c r="AA559" s="355" t="str">
        <f t="shared" si="471"/>
        <v>ON</v>
      </c>
      <c r="AB559" s="357">
        <f t="shared" si="500"/>
        <v>1.4999999999999999E-2</v>
      </c>
      <c r="AC559" s="356" t="e">
        <f ca="1">IF(  Y558=0,0,IF(OR(S559="KCAS",S559="INOP",S559="MEFE"),   ( (5*( (   (((1+0.2*(T559/661.4786)^2)^3.5 -1)  )/( (1-6.8755856*10^-6 *100*Y559)^5.2558797) +1)^(2/7) -1) )^0.5),IF(S559="MACH",T559, IF(S559="LRC",BicubicInterpolation( 'LRC Mach'!$C$4:$AL$21, Y559,U559),  IF(S559="MRC",BicubicInterpolation( 'MRC Mach'!$C$3:$T$18, Y559,U559),  IF(S559="M0.84",0.84,  IF(S559="CI52",BicubicInterpolation('CI=52 Mach'!$C$3:$T$18, Y559,U559),  IF(S559="HOLDING",BicubicInterpolation(  'Holding Mach'!$C$4:$M$13, Y559,U559),                         IF(S559="LRCINOP", BicubicInterpolation('LRC INOP Mach'!$C$4:$AA$21,Y559,U559), IF(S559="HOLDINGINOP",  BicubicInterpolation('Holding INOP Mach'!$N$4:$U$13,Y559,U559),         "XXX" )))))))   )))</f>
        <v>#NAME?</v>
      </c>
      <c r="AD559" s="313" t="e">
        <f t="shared" ca="1" si="501"/>
        <v>#NAME?</v>
      </c>
      <c r="AE559" s="314" t="e">
        <f t="shared" ca="1" si="488"/>
        <v>#NAME?</v>
      </c>
      <c r="AF559" s="313" t="e">
        <f t="shared" ca="1" si="502"/>
        <v>#NAME?</v>
      </c>
      <c r="AG559" s="314" t="e">
        <f t="shared" ca="1" si="489"/>
        <v>#NAME?</v>
      </c>
      <c r="AH559" s="313" t="e">
        <f t="shared" ca="1" si="503"/>
        <v>#NAME?</v>
      </c>
      <c r="AI559" s="314" t="e">
        <f t="shared" ca="1" si="490"/>
        <v>#NAME?</v>
      </c>
      <c r="AJ559" s="315" t="e">
        <f t="shared" ca="1" si="491"/>
        <v>#NAME?</v>
      </c>
      <c r="AK559" s="568" t="e">
        <f t="shared" ca="1" si="504"/>
        <v>#NAME?</v>
      </c>
      <c r="AL559" s="313" t="e">
        <f t="shared" ca="1" si="505"/>
        <v>#NAME?</v>
      </c>
      <c r="AM559" s="313" t="e">
        <f t="shared" ca="1" si="492"/>
        <v>#NAME?</v>
      </c>
      <c r="AN559" s="313" t="e">
        <f t="shared" ca="1" si="493"/>
        <v>#NAME?</v>
      </c>
      <c r="AO559" s="316" t="e">
        <f t="shared" ca="1" si="506"/>
        <v>#NAME?</v>
      </c>
      <c r="AP559" s="313" t="e">
        <f t="shared" ca="1" si="507"/>
        <v>#NAME?</v>
      </c>
      <c r="AQ559" s="314" t="e">
        <f t="shared" ca="1" si="494"/>
        <v>#NAME?</v>
      </c>
      <c r="AR559" s="315" t="e">
        <f t="shared" ca="1" si="508"/>
        <v>#NAME?</v>
      </c>
      <c r="AS559" s="316" t="e">
        <f t="shared" ca="1" si="509"/>
        <v>#NAME?</v>
      </c>
      <c r="AT559" s="315" t="e">
        <f t="shared" ca="1" si="510"/>
        <v>#NAME?</v>
      </c>
      <c r="AU559" s="317">
        <v>427.8</v>
      </c>
      <c r="AV559" s="315" t="e">
        <f t="shared" ca="1" si="511"/>
        <v>#NAME?</v>
      </c>
      <c r="AW559" s="318" t="e">
        <f ca="1">0.0001*BicubicInterpolation('Drag Coef Table'!$B$4:$L$28,AV559,AC559)</f>
        <v>#NAME?</v>
      </c>
      <c r="AX559" s="319" t="e">
        <f t="shared" ca="1" si="512"/>
        <v>#NAME?</v>
      </c>
      <c r="AY559" s="318" t="e">
        <f t="shared" ca="1" si="513"/>
        <v>#NAME?</v>
      </c>
      <c r="AZ559" s="320" t="e">
        <f t="shared" ca="1" si="514"/>
        <v>#NAME?</v>
      </c>
      <c r="BA559" s="321" t="e">
        <f t="shared" ca="1" si="515"/>
        <v>#NAME?</v>
      </c>
      <c r="BB559" s="322" t="e">
        <f t="shared" ca="1" si="516"/>
        <v>#NAME?</v>
      </c>
      <c r="BC559" s="323">
        <v>75.196700000000007</v>
      </c>
      <c r="BD559" s="324" t="e">
        <f t="shared" ca="1" si="517"/>
        <v>#NAME?</v>
      </c>
      <c r="BE559" s="325" t="e">
        <f t="shared" ca="1" si="518"/>
        <v>#NAME?</v>
      </c>
      <c r="BF559" s="324" t="e">
        <f ca="1">BicubicInterpolation('TSFC Eff Table'!$B$4:$E$69,2,BB559)</f>
        <v>#NAME?</v>
      </c>
      <c r="BG559" s="326" t="e">
        <f t="shared" ca="1" si="519"/>
        <v>#NAME?</v>
      </c>
      <c r="BH559" s="694" t="e">
        <f ca="1">IF( S559="LRCINOP",   (1+(0.03/10)*Z559*(1+0.2*AC559^2) )*BicubicInterpolation( 'LRC INOP FF'!$C$4:$AA$21, Y559, U559 )-200, IF(S559 ="HOLDINGINOP", (1+(0.03/10)*Z559*(1+0.2*AC559^2) )*BicubicInterpolation( 'Holding INOP FF'!$C$4:$J$13,  Y559,  U559)/1.05-200,   BA559*BG559))</f>
        <v>#NAME?</v>
      </c>
      <c r="BI559" s="344" t="e">
        <f t="shared" ca="1" si="478"/>
        <v>#NAME?</v>
      </c>
      <c r="BJ559" s="322" t="e">
        <f t="shared" ca="1" si="520"/>
        <v>#NAME?</v>
      </c>
      <c r="BK559" s="338" t="e">
        <f t="shared" ca="1" si="479"/>
        <v>#NAME?</v>
      </c>
      <c r="BL559" s="327" t="e">
        <f t="shared" ca="1" si="521"/>
        <v>#NAME?</v>
      </c>
      <c r="BM559" s="328">
        <f t="shared" si="522"/>
        <v>200</v>
      </c>
      <c r="BN559" s="329" t="e">
        <f t="shared" ca="1" si="523"/>
        <v>#NAME?</v>
      </c>
      <c r="BO559" s="344" t="e">
        <f t="shared" ca="1" si="480"/>
        <v>#NAME?</v>
      </c>
      <c r="BP559" s="320" t="e">
        <f t="shared" ca="1" si="524"/>
        <v>#NAME?</v>
      </c>
      <c r="BQ559" s="344" t="e">
        <f t="shared" ca="1" si="481"/>
        <v>#NAME?</v>
      </c>
      <c r="BR559" s="347" t="e">
        <f t="shared" ca="1" si="482"/>
        <v>#NAME?</v>
      </c>
      <c r="BS559" s="326" t="e">
        <f t="shared" ca="1" si="525"/>
        <v>#NAME?</v>
      </c>
      <c r="BT559" s="437" t="e">
        <f t="shared" ca="1" si="495"/>
        <v>#NAME?</v>
      </c>
      <c r="BU559" s="437" t="e">
        <f t="shared" ca="1" si="496"/>
        <v>#NAME?</v>
      </c>
      <c r="BV559" s="441" t="e">
        <f t="shared" ca="1" si="497"/>
        <v>#NAME?</v>
      </c>
      <c r="BW559" s="442" t="e">
        <f t="shared" ca="1" si="498"/>
        <v>#NAME?</v>
      </c>
      <c r="BX559" s="470" t="e">
        <f t="shared" ca="1" si="472"/>
        <v>#NAME?</v>
      </c>
      <c r="BY559" s="484" t="e">
        <f t="shared" ca="1" si="483"/>
        <v>#NAME?</v>
      </c>
    </row>
    <row r="560" spans="9:77" ht="17.75" customHeight="1" x14ac:dyDescent="0.2">
      <c r="I560" s="366">
        <v>476</v>
      </c>
      <c r="J560" s="414">
        <f t="shared" si="484"/>
        <v>41706.043055556634</v>
      </c>
      <c r="K560" s="435" t="e">
        <f t="shared" ca="1" si="485"/>
        <v>#NAME?</v>
      </c>
      <c r="L560" s="435" t="e">
        <f t="shared" ca="1" si="466"/>
        <v>#NAME?</v>
      </c>
      <c r="M560" s="664" t="e">
        <f t="shared" ca="1" si="526"/>
        <v>#NAME?</v>
      </c>
      <c r="N560" s="664" t="e">
        <f t="shared" ca="1" si="527"/>
        <v>#NAME?</v>
      </c>
      <c r="O560" s="140" t="e">
        <f t="shared" ca="1" si="473"/>
        <v>#NAME?</v>
      </c>
      <c r="P560" s="352" t="e">
        <f t="shared" ca="1" si="486"/>
        <v>#NAME?</v>
      </c>
      <c r="Q560" s="665" t="e">
        <f t="shared" ca="1" si="467"/>
        <v>#NAME?</v>
      </c>
      <c r="R560" s="352" t="e">
        <f t="shared" ca="1" si="499"/>
        <v>#NAME?</v>
      </c>
      <c r="S560" s="662" t="e">
        <f t="shared" ca="1" si="474"/>
        <v>#NAME?</v>
      </c>
      <c r="T560" s="443" t="e">
        <f t="shared" ca="1" si="468"/>
        <v>#NAME?</v>
      </c>
      <c r="U560" s="369" t="e">
        <f t="shared" ca="1" si="469"/>
        <v>#NAME?</v>
      </c>
      <c r="V560" s="454" t="e">
        <f t="shared" ca="1" si="475"/>
        <v>#NAME?</v>
      </c>
      <c r="W560" s="457">
        <f t="shared" si="476"/>
        <v>1000</v>
      </c>
      <c r="X560" s="463" t="e">
        <f t="shared" ca="1" si="477"/>
        <v>#NAME?</v>
      </c>
      <c r="Y560" s="455" t="e">
        <f t="shared" ca="1" si="487"/>
        <v>#NAME?</v>
      </c>
      <c r="Z560" s="699">
        <f t="shared" si="470"/>
        <v>8.5</v>
      </c>
      <c r="AA560" s="355" t="str">
        <f t="shared" si="471"/>
        <v>ON</v>
      </c>
      <c r="AB560" s="357">
        <f t="shared" si="500"/>
        <v>1.4999999999999999E-2</v>
      </c>
      <c r="AC560" s="356" t="e">
        <f ca="1">IF(  Y559=0,0,IF(OR(S560="KCAS",S560="INOP",S560="MEFE"),   ( (5*( (   (((1+0.2*(T560/661.4786)^2)^3.5 -1)  )/( (1-6.8755856*10^-6 *100*Y560)^5.2558797) +1)^(2/7) -1) )^0.5),IF(S560="MACH",T560, IF(S560="LRC",BicubicInterpolation( 'LRC Mach'!$C$4:$AL$21, Y560,U560),  IF(S560="MRC",BicubicInterpolation( 'MRC Mach'!$C$3:$T$18, Y560,U560),  IF(S560="M0.84",0.84,  IF(S560="CI52",BicubicInterpolation('CI=52 Mach'!$C$3:$T$18, Y560,U560),  IF(S560="HOLDING",BicubicInterpolation(  'Holding Mach'!$C$4:$M$13, Y560,U560),                         IF(S560="LRCINOP", BicubicInterpolation('LRC INOP Mach'!$C$4:$AA$21,Y560,U560), IF(S560="HOLDINGINOP",  BicubicInterpolation('Holding INOP Mach'!$N$4:$U$13,Y560,U560),         "XXX" )))))))   )))</f>
        <v>#NAME?</v>
      </c>
      <c r="AD560" s="313" t="e">
        <f t="shared" ca="1" si="501"/>
        <v>#NAME?</v>
      </c>
      <c r="AE560" s="314" t="e">
        <f t="shared" ca="1" si="488"/>
        <v>#NAME?</v>
      </c>
      <c r="AF560" s="313" t="e">
        <f t="shared" ca="1" si="502"/>
        <v>#NAME?</v>
      </c>
      <c r="AG560" s="314" t="e">
        <f t="shared" ca="1" si="489"/>
        <v>#NAME?</v>
      </c>
      <c r="AH560" s="313" t="e">
        <f t="shared" ca="1" si="503"/>
        <v>#NAME?</v>
      </c>
      <c r="AI560" s="314" t="e">
        <f t="shared" ca="1" si="490"/>
        <v>#NAME?</v>
      </c>
      <c r="AJ560" s="315" t="e">
        <f t="shared" ca="1" si="491"/>
        <v>#NAME?</v>
      </c>
      <c r="AK560" s="568" t="e">
        <f t="shared" ca="1" si="504"/>
        <v>#NAME?</v>
      </c>
      <c r="AL560" s="313" t="e">
        <f t="shared" ca="1" si="505"/>
        <v>#NAME?</v>
      </c>
      <c r="AM560" s="313" t="e">
        <f t="shared" ca="1" si="492"/>
        <v>#NAME?</v>
      </c>
      <c r="AN560" s="313" t="e">
        <f t="shared" ca="1" si="493"/>
        <v>#NAME?</v>
      </c>
      <c r="AO560" s="316" t="e">
        <f t="shared" ca="1" si="506"/>
        <v>#NAME?</v>
      </c>
      <c r="AP560" s="313" t="e">
        <f t="shared" ca="1" si="507"/>
        <v>#NAME?</v>
      </c>
      <c r="AQ560" s="314" t="e">
        <f t="shared" ca="1" si="494"/>
        <v>#NAME?</v>
      </c>
      <c r="AR560" s="315" t="e">
        <f t="shared" ca="1" si="508"/>
        <v>#NAME?</v>
      </c>
      <c r="AS560" s="316" t="e">
        <f t="shared" ca="1" si="509"/>
        <v>#NAME?</v>
      </c>
      <c r="AT560" s="315" t="e">
        <f t="shared" ca="1" si="510"/>
        <v>#NAME?</v>
      </c>
      <c r="AU560" s="317">
        <v>427.8</v>
      </c>
      <c r="AV560" s="315" t="e">
        <f t="shared" ca="1" si="511"/>
        <v>#NAME?</v>
      </c>
      <c r="AW560" s="318" t="e">
        <f ca="1">0.0001*BicubicInterpolation('Drag Coef Table'!$B$4:$L$28,AV560,AC560)</f>
        <v>#NAME?</v>
      </c>
      <c r="AX560" s="319" t="e">
        <f t="shared" ca="1" si="512"/>
        <v>#NAME?</v>
      </c>
      <c r="AY560" s="318" t="e">
        <f t="shared" ca="1" si="513"/>
        <v>#NAME?</v>
      </c>
      <c r="AZ560" s="320" t="e">
        <f t="shared" ca="1" si="514"/>
        <v>#NAME?</v>
      </c>
      <c r="BA560" s="321" t="e">
        <f t="shared" ca="1" si="515"/>
        <v>#NAME?</v>
      </c>
      <c r="BB560" s="322" t="e">
        <f t="shared" ca="1" si="516"/>
        <v>#NAME?</v>
      </c>
      <c r="BC560" s="323">
        <v>75.196700000000007</v>
      </c>
      <c r="BD560" s="324" t="e">
        <f t="shared" ca="1" si="517"/>
        <v>#NAME?</v>
      </c>
      <c r="BE560" s="325" t="e">
        <f t="shared" ca="1" si="518"/>
        <v>#NAME?</v>
      </c>
      <c r="BF560" s="324" t="e">
        <f ca="1">BicubicInterpolation('TSFC Eff Table'!$B$4:$E$69,2,BB560)</f>
        <v>#NAME?</v>
      </c>
      <c r="BG560" s="326" t="e">
        <f t="shared" ca="1" si="519"/>
        <v>#NAME?</v>
      </c>
      <c r="BH560" s="694" t="e">
        <f ca="1">IF( S560="LRCINOP",   (1+(0.03/10)*Z560*(1+0.2*AC560^2) )*BicubicInterpolation( 'LRC INOP FF'!$C$4:$AA$21, Y560, U560 )-200, IF(S560 ="HOLDINGINOP", (1+(0.03/10)*Z560*(1+0.2*AC560^2) )*BicubicInterpolation( 'Holding INOP FF'!$C$4:$J$13,  Y560,  U560)/1.05-200,   BA560*BG560))</f>
        <v>#NAME?</v>
      </c>
      <c r="BI560" s="344" t="e">
        <f t="shared" ca="1" si="478"/>
        <v>#NAME?</v>
      </c>
      <c r="BJ560" s="322" t="e">
        <f t="shared" ca="1" si="520"/>
        <v>#NAME?</v>
      </c>
      <c r="BK560" s="338" t="e">
        <f t="shared" ca="1" si="479"/>
        <v>#NAME?</v>
      </c>
      <c r="BL560" s="327" t="e">
        <f t="shared" ca="1" si="521"/>
        <v>#NAME?</v>
      </c>
      <c r="BM560" s="328">
        <f t="shared" si="522"/>
        <v>200</v>
      </c>
      <c r="BN560" s="329" t="e">
        <f t="shared" ca="1" si="523"/>
        <v>#NAME?</v>
      </c>
      <c r="BO560" s="344" t="e">
        <f t="shared" ca="1" si="480"/>
        <v>#NAME?</v>
      </c>
      <c r="BP560" s="320" t="e">
        <f t="shared" ca="1" si="524"/>
        <v>#NAME?</v>
      </c>
      <c r="BQ560" s="344" t="e">
        <f t="shared" ca="1" si="481"/>
        <v>#NAME?</v>
      </c>
      <c r="BR560" s="347" t="e">
        <f t="shared" ca="1" si="482"/>
        <v>#NAME?</v>
      </c>
      <c r="BS560" s="326" t="e">
        <f t="shared" ca="1" si="525"/>
        <v>#NAME?</v>
      </c>
      <c r="BT560" s="437" t="e">
        <f t="shared" ca="1" si="495"/>
        <v>#NAME?</v>
      </c>
      <c r="BU560" s="437" t="e">
        <f t="shared" ca="1" si="496"/>
        <v>#NAME?</v>
      </c>
      <c r="BV560" s="441" t="e">
        <f t="shared" ca="1" si="497"/>
        <v>#NAME?</v>
      </c>
      <c r="BW560" s="442" t="e">
        <f t="shared" ca="1" si="498"/>
        <v>#NAME?</v>
      </c>
      <c r="BX560" s="470" t="e">
        <f t="shared" ca="1" si="472"/>
        <v>#NAME?</v>
      </c>
      <c r="BY560" s="484" t="e">
        <f t="shared" ca="1" si="483"/>
        <v>#NAME?</v>
      </c>
    </row>
    <row r="561" spans="9:77" ht="17.75" customHeight="1" x14ac:dyDescent="0.2">
      <c r="I561" s="366">
        <v>477</v>
      </c>
      <c r="J561" s="414">
        <f t="shared" si="484"/>
        <v>41706.043750001081</v>
      </c>
      <c r="K561" s="435" t="e">
        <f t="shared" ca="1" si="485"/>
        <v>#NAME?</v>
      </c>
      <c r="L561" s="435" t="e">
        <f t="shared" ca="1" si="466"/>
        <v>#NAME?</v>
      </c>
      <c r="M561" s="664" t="e">
        <f t="shared" ca="1" si="526"/>
        <v>#NAME?</v>
      </c>
      <c r="N561" s="664" t="e">
        <f t="shared" ca="1" si="527"/>
        <v>#NAME?</v>
      </c>
      <c r="O561" s="140" t="e">
        <f t="shared" ca="1" si="473"/>
        <v>#NAME?</v>
      </c>
      <c r="P561" s="352" t="e">
        <f t="shared" ca="1" si="486"/>
        <v>#NAME?</v>
      </c>
      <c r="Q561" s="665" t="e">
        <f t="shared" ca="1" si="467"/>
        <v>#NAME?</v>
      </c>
      <c r="R561" s="352" t="e">
        <f t="shared" ca="1" si="499"/>
        <v>#NAME?</v>
      </c>
      <c r="S561" s="662" t="e">
        <f t="shared" ca="1" si="474"/>
        <v>#NAME?</v>
      </c>
      <c r="T561" s="443" t="e">
        <f t="shared" ca="1" si="468"/>
        <v>#NAME?</v>
      </c>
      <c r="U561" s="369" t="e">
        <f t="shared" ca="1" si="469"/>
        <v>#NAME?</v>
      </c>
      <c r="V561" s="454" t="e">
        <f t="shared" ca="1" si="475"/>
        <v>#NAME?</v>
      </c>
      <c r="W561" s="457">
        <f t="shared" si="476"/>
        <v>1000</v>
      </c>
      <c r="X561" s="463" t="e">
        <f t="shared" ca="1" si="477"/>
        <v>#NAME?</v>
      </c>
      <c r="Y561" s="455" t="e">
        <f t="shared" ca="1" si="487"/>
        <v>#NAME?</v>
      </c>
      <c r="Z561" s="699">
        <f t="shared" si="470"/>
        <v>8.5</v>
      </c>
      <c r="AA561" s="355" t="str">
        <f t="shared" si="471"/>
        <v>ON</v>
      </c>
      <c r="AB561" s="357">
        <f t="shared" si="500"/>
        <v>1.4999999999999999E-2</v>
      </c>
      <c r="AC561" s="356" t="e">
        <f ca="1">IF(  Y560=0,0,IF(OR(S561="KCAS",S561="INOP",S561="MEFE"),   ( (5*( (   (((1+0.2*(T561/661.4786)^2)^3.5 -1)  )/( (1-6.8755856*10^-6 *100*Y561)^5.2558797) +1)^(2/7) -1) )^0.5),IF(S561="MACH",T561, IF(S561="LRC",BicubicInterpolation( 'LRC Mach'!$C$4:$AL$21, Y561,U561),  IF(S561="MRC",BicubicInterpolation( 'MRC Mach'!$C$3:$T$18, Y561,U561),  IF(S561="M0.84",0.84,  IF(S561="CI52",BicubicInterpolation('CI=52 Mach'!$C$3:$T$18, Y561,U561),  IF(S561="HOLDING",BicubicInterpolation(  'Holding Mach'!$C$4:$M$13, Y561,U561),                         IF(S561="LRCINOP", BicubicInterpolation('LRC INOP Mach'!$C$4:$AA$21,Y561,U561), IF(S561="HOLDINGINOP",  BicubicInterpolation('Holding INOP Mach'!$N$4:$U$13,Y561,U561),         "XXX" )))))))   )))</f>
        <v>#NAME?</v>
      </c>
      <c r="AD561" s="313" t="e">
        <f t="shared" ca="1" si="501"/>
        <v>#NAME?</v>
      </c>
      <c r="AE561" s="314" t="e">
        <f t="shared" ca="1" si="488"/>
        <v>#NAME?</v>
      </c>
      <c r="AF561" s="313" t="e">
        <f t="shared" ca="1" si="502"/>
        <v>#NAME?</v>
      </c>
      <c r="AG561" s="314" t="e">
        <f t="shared" ca="1" si="489"/>
        <v>#NAME?</v>
      </c>
      <c r="AH561" s="313" t="e">
        <f t="shared" ca="1" si="503"/>
        <v>#NAME?</v>
      </c>
      <c r="AI561" s="314" t="e">
        <f t="shared" ca="1" si="490"/>
        <v>#NAME?</v>
      </c>
      <c r="AJ561" s="315" t="e">
        <f t="shared" ca="1" si="491"/>
        <v>#NAME?</v>
      </c>
      <c r="AK561" s="568" t="e">
        <f t="shared" ca="1" si="504"/>
        <v>#NAME?</v>
      </c>
      <c r="AL561" s="313" t="e">
        <f t="shared" ca="1" si="505"/>
        <v>#NAME?</v>
      </c>
      <c r="AM561" s="313" t="e">
        <f t="shared" ca="1" si="492"/>
        <v>#NAME?</v>
      </c>
      <c r="AN561" s="313" t="e">
        <f t="shared" ca="1" si="493"/>
        <v>#NAME?</v>
      </c>
      <c r="AO561" s="316" t="e">
        <f t="shared" ca="1" si="506"/>
        <v>#NAME?</v>
      </c>
      <c r="AP561" s="313" t="e">
        <f t="shared" ca="1" si="507"/>
        <v>#NAME?</v>
      </c>
      <c r="AQ561" s="314" t="e">
        <f t="shared" ca="1" si="494"/>
        <v>#NAME?</v>
      </c>
      <c r="AR561" s="315" t="e">
        <f t="shared" ca="1" si="508"/>
        <v>#NAME?</v>
      </c>
      <c r="AS561" s="316" t="e">
        <f t="shared" ca="1" si="509"/>
        <v>#NAME?</v>
      </c>
      <c r="AT561" s="315" t="e">
        <f t="shared" ca="1" si="510"/>
        <v>#NAME?</v>
      </c>
      <c r="AU561" s="317">
        <v>427.8</v>
      </c>
      <c r="AV561" s="315" t="e">
        <f t="shared" ca="1" si="511"/>
        <v>#NAME?</v>
      </c>
      <c r="AW561" s="318" t="e">
        <f ca="1">0.0001*BicubicInterpolation('Drag Coef Table'!$B$4:$L$28,AV561,AC561)</f>
        <v>#NAME?</v>
      </c>
      <c r="AX561" s="319" t="e">
        <f t="shared" ca="1" si="512"/>
        <v>#NAME?</v>
      </c>
      <c r="AY561" s="318" t="e">
        <f t="shared" ca="1" si="513"/>
        <v>#NAME?</v>
      </c>
      <c r="AZ561" s="320" t="e">
        <f t="shared" ca="1" si="514"/>
        <v>#NAME?</v>
      </c>
      <c r="BA561" s="321" t="e">
        <f t="shared" ca="1" si="515"/>
        <v>#NAME?</v>
      </c>
      <c r="BB561" s="322" t="e">
        <f t="shared" ca="1" si="516"/>
        <v>#NAME?</v>
      </c>
      <c r="BC561" s="323">
        <v>75.196700000000007</v>
      </c>
      <c r="BD561" s="324" t="e">
        <f t="shared" ca="1" si="517"/>
        <v>#NAME?</v>
      </c>
      <c r="BE561" s="325" t="e">
        <f t="shared" ca="1" si="518"/>
        <v>#NAME?</v>
      </c>
      <c r="BF561" s="324" t="e">
        <f ca="1">BicubicInterpolation('TSFC Eff Table'!$B$4:$E$69,2,BB561)</f>
        <v>#NAME?</v>
      </c>
      <c r="BG561" s="326" t="e">
        <f t="shared" ca="1" si="519"/>
        <v>#NAME?</v>
      </c>
      <c r="BH561" s="694" t="e">
        <f ca="1">IF( S561="LRCINOP",   (1+(0.03/10)*Z561*(1+0.2*AC561^2) )*BicubicInterpolation( 'LRC INOP FF'!$C$4:$AA$21, Y561, U561 )-200, IF(S561 ="HOLDINGINOP", (1+(0.03/10)*Z561*(1+0.2*AC561^2) )*BicubicInterpolation( 'Holding INOP FF'!$C$4:$J$13,  Y561,  U561)/1.05-200,   BA561*BG561))</f>
        <v>#NAME?</v>
      </c>
      <c r="BI561" s="344" t="e">
        <f t="shared" ca="1" si="478"/>
        <v>#NAME?</v>
      </c>
      <c r="BJ561" s="322" t="e">
        <f t="shared" ca="1" si="520"/>
        <v>#NAME?</v>
      </c>
      <c r="BK561" s="338" t="e">
        <f t="shared" ca="1" si="479"/>
        <v>#NAME?</v>
      </c>
      <c r="BL561" s="327" t="e">
        <f t="shared" ca="1" si="521"/>
        <v>#NAME?</v>
      </c>
      <c r="BM561" s="328">
        <f t="shared" si="522"/>
        <v>200</v>
      </c>
      <c r="BN561" s="329" t="e">
        <f t="shared" ca="1" si="523"/>
        <v>#NAME?</v>
      </c>
      <c r="BO561" s="344" t="e">
        <f t="shared" ca="1" si="480"/>
        <v>#NAME?</v>
      </c>
      <c r="BP561" s="320" t="e">
        <f t="shared" ca="1" si="524"/>
        <v>#NAME?</v>
      </c>
      <c r="BQ561" s="344" t="e">
        <f t="shared" ca="1" si="481"/>
        <v>#NAME?</v>
      </c>
      <c r="BR561" s="347" t="e">
        <f t="shared" ca="1" si="482"/>
        <v>#NAME?</v>
      </c>
      <c r="BS561" s="326" t="e">
        <f t="shared" ca="1" si="525"/>
        <v>#NAME?</v>
      </c>
      <c r="BT561" s="437" t="e">
        <f t="shared" ca="1" si="495"/>
        <v>#NAME?</v>
      </c>
      <c r="BU561" s="437" t="e">
        <f t="shared" ca="1" si="496"/>
        <v>#NAME?</v>
      </c>
      <c r="BV561" s="441" t="e">
        <f t="shared" ca="1" si="497"/>
        <v>#NAME?</v>
      </c>
      <c r="BW561" s="442" t="e">
        <f t="shared" ca="1" si="498"/>
        <v>#NAME?</v>
      </c>
      <c r="BX561" s="470" t="e">
        <f t="shared" ca="1" si="472"/>
        <v>#NAME?</v>
      </c>
      <c r="BY561" s="484" t="e">
        <f t="shared" ca="1" si="483"/>
        <v>#NAME?</v>
      </c>
    </row>
    <row r="562" spans="9:77" ht="17.75" customHeight="1" x14ac:dyDescent="0.2">
      <c r="I562" s="366">
        <v>478</v>
      </c>
      <c r="J562" s="414">
        <f t="shared" si="484"/>
        <v>41706.044444445528</v>
      </c>
      <c r="K562" s="435" t="e">
        <f t="shared" ca="1" si="485"/>
        <v>#NAME?</v>
      </c>
      <c r="L562" s="435" t="e">
        <f t="shared" ca="1" si="466"/>
        <v>#NAME?</v>
      </c>
      <c r="M562" s="664" t="e">
        <f t="shared" ca="1" si="526"/>
        <v>#NAME?</v>
      </c>
      <c r="N562" s="664" t="e">
        <f t="shared" ca="1" si="527"/>
        <v>#NAME?</v>
      </c>
      <c r="O562" s="140" t="e">
        <f t="shared" ca="1" si="473"/>
        <v>#NAME?</v>
      </c>
      <c r="P562" s="352" t="e">
        <f t="shared" ca="1" si="486"/>
        <v>#NAME?</v>
      </c>
      <c r="Q562" s="665" t="e">
        <f t="shared" ca="1" si="467"/>
        <v>#NAME?</v>
      </c>
      <c r="R562" s="352" t="e">
        <f t="shared" ca="1" si="499"/>
        <v>#NAME?</v>
      </c>
      <c r="S562" s="662" t="e">
        <f t="shared" ca="1" si="474"/>
        <v>#NAME?</v>
      </c>
      <c r="T562" s="443" t="e">
        <f t="shared" ca="1" si="468"/>
        <v>#NAME?</v>
      </c>
      <c r="U562" s="369" t="e">
        <f t="shared" ca="1" si="469"/>
        <v>#NAME?</v>
      </c>
      <c r="V562" s="454" t="e">
        <f t="shared" ca="1" si="475"/>
        <v>#NAME?</v>
      </c>
      <c r="W562" s="457">
        <f t="shared" si="476"/>
        <v>1000</v>
      </c>
      <c r="X562" s="463" t="e">
        <f t="shared" ca="1" si="477"/>
        <v>#NAME?</v>
      </c>
      <c r="Y562" s="455" t="e">
        <f t="shared" ca="1" si="487"/>
        <v>#NAME?</v>
      </c>
      <c r="Z562" s="699">
        <f t="shared" si="470"/>
        <v>8.5</v>
      </c>
      <c r="AA562" s="355" t="str">
        <f t="shared" si="471"/>
        <v>ON</v>
      </c>
      <c r="AB562" s="357">
        <f t="shared" si="500"/>
        <v>1.4999999999999999E-2</v>
      </c>
      <c r="AC562" s="356" t="e">
        <f ca="1">IF(  Y561=0,0,IF(OR(S562="KCAS",S562="INOP",S562="MEFE"),   ( (5*( (   (((1+0.2*(T562/661.4786)^2)^3.5 -1)  )/( (1-6.8755856*10^-6 *100*Y562)^5.2558797) +1)^(2/7) -1) )^0.5),IF(S562="MACH",T562, IF(S562="LRC",BicubicInterpolation( 'LRC Mach'!$C$4:$AL$21, Y562,U562),  IF(S562="MRC",BicubicInterpolation( 'MRC Mach'!$C$3:$T$18, Y562,U562),  IF(S562="M0.84",0.84,  IF(S562="CI52",BicubicInterpolation('CI=52 Mach'!$C$3:$T$18, Y562,U562),  IF(S562="HOLDING",BicubicInterpolation(  'Holding Mach'!$C$4:$M$13, Y562,U562),                         IF(S562="LRCINOP", BicubicInterpolation('LRC INOP Mach'!$C$4:$AA$21,Y562,U562), IF(S562="HOLDINGINOP",  BicubicInterpolation('Holding INOP Mach'!$N$4:$U$13,Y562,U562),         "XXX" )))))))   )))</f>
        <v>#NAME?</v>
      </c>
      <c r="AD562" s="313" t="e">
        <f t="shared" ca="1" si="501"/>
        <v>#NAME?</v>
      </c>
      <c r="AE562" s="314" t="e">
        <f t="shared" ca="1" si="488"/>
        <v>#NAME?</v>
      </c>
      <c r="AF562" s="313" t="e">
        <f t="shared" ca="1" si="502"/>
        <v>#NAME?</v>
      </c>
      <c r="AG562" s="314" t="e">
        <f t="shared" ca="1" si="489"/>
        <v>#NAME?</v>
      </c>
      <c r="AH562" s="313" t="e">
        <f t="shared" ca="1" si="503"/>
        <v>#NAME?</v>
      </c>
      <c r="AI562" s="314" t="e">
        <f t="shared" ca="1" si="490"/>
        <v>#NAME?</v>
      </c>
      <c r="AJ562" s="315" t="e">
        <f t="shared" ca="1" si="491"/>
        <v>#NAME?</v>
      </c>
      <c r="AK562" s="568" t="e">
        <f t="shared" ca="1" si="504"/>
        <v>#NAME?</v>
      </c>
      <c r="AL562" s="313" t="e">
        <f t="shared" ca="1" si="505"/>
        <v>#NAME?</v>
      </c>
      <c r="AM562" s="313" t="e">
        <f t="shared" ca="1" si="492"/>
        <v>#NAME?</v>
      </c>
      <c r="AN562" s="313" t="e">
        <f t="shared" ca="1" si="493"/>
        <v>#NAME?</v>
      </c>
      <c r="AO562" s="316" t="e">
        <f t="shared" ca="1" si="506"/>
        <v>#NAME?</v>
      </c>
      <c r="AP562" s="313" t="e">
        <f t="shared" ca="1" si="507"/>
        <v>#NAME?</v>
      </c>
      <c r="AQ562" s="314" t="e">
        <f t="shared" ca="1" si="494"/>
        <v>#NAME?</v>
      </c>
      <c r="AR562" s="315" t="e">
        <f t="shared" ca="1" si="508"/>
        <v>#NAME?</v>
      </c>
      <c r="AS562" s="316" t="e">
        <f t="shared" ca="1" si="509"/>
        <v>#NAME?</v>
      </c>
      <c r="AT562" s="315" t="e">
        <f t="shared" ca="1" si="510"/>
        <v>#NAME?</v>
      </c>
      <c r="AU562" s="317">
        <v>427.8</v>
      </c>
      <c r="AV562" s="315" t="e">
        <f t="shared" ca="1" si="511"/>
        <v>#NAME?</v>
      </c>
      <c r="AW562" s="318" t="e">
        <f ca="1">0.0001*BicubicInterpolation('Drag Coef Table'!$B$4:$L$28,AV562,AC562)</f>
        <v>#NAME?</v>
      </c>
      <c r="AX562" s="319" t="e">
        <f t="shared" ca="1" si="512"/>
        <v>#NAME?</v>
      </c>
      <c r="AY562" s="318" t="e">
        <f t="shared" ca="1" si="513"/>
        <v>#NAME?</v>
      </c>
      <c r="AZ562" s="320" t="e">
        <f t="shared" ca="1" si="514"/>
        <v>#NAME?</v>
      </c>
      <c r="BA562" s="321" t="e">
        <f t="shared" ca="1" si="515"/>
        <v>#NAME?</v>
      </c>
      <c r="BB562" s="322" t="e">
        <f t="shared" ca="1" si="516"/>
        <v>#NAME?</v>
      </c>
      <c r="BC562" s="323">
        <v>75.196700000000007</v>
      </c>
      <c r="BD562" s="324" t="e">
        <f t="shared" ca="1" si="517"/>
        <v>#NAME?</v>
      </c>
      <c r="BE562" s="325" t="e">
        <f t="shared" ca="1" si="518"/>
        <v>#NAME?</v>
      </c>
      <c r="BF562" s="324" t="e">
        <f ca="1">BicubicInterpolation('TSFC Eff Table'!$B$4:$E$69,2,BB562)</f>
        <v>#NAME?</v>
      </c>
      <c r="BG562" s="326" t="e">
        <f t="shared" ca="1" si="519"/>
        <v>#NAME?</v>
      </c>
      <c r="BH562" s="694" t="e">
        <f ca="1">IF( S562="LRCINOP",   (1+(0.03/10)*Z562*(1+0.2*AC562^2) )*BicubicInterpolation( 'LRC INOP FF'!$C$4:$AA$21, Y562, U562 )-200, IF(S562 ="HOLDINGINOP", (1+(0.03/10)*Z562*(1+0.2*AC562^2) )*BicubicInterpolation( 'Holding INOP FF'!$C$4:$J$13,  Y562,  U562)/1.05-200,   BA562*BG562))</f>
        <v>#NAME?</v>
      </c>
      <c r="BI562" s="344" t="e">
        <f t="shared" ca="1" si="478"/>
        <v>#NAME?</v>
      </c>
      <c r="BJ562" s="322" t="e">
        <f t="shared" ca="1" si="520"/>
        <v>#NAME?</v>
      </c>
      <c r="BK562" s="338" t="e">
        <f t="shared" ca="1" si="479"/>
        <v>#NAME?</v>
      </c>
      <c r="BL562" s="327" t="e">
        <f t="shared" ca="1" si="521"/>
        <v>#NAME?</v>
      </c>
      <c r="BM562" s="328">
        <f t="shared" si="522"/>
        <v>200</v>
      </c>
      <c r="BN562" s="329" t="e">
        <f t="shared" ca="1" si="523"/>
        <v>#NAME?</v>
      </c>
      <c r="BO562" s="344" t="e">
        <f t="shared" ca="1" si="480"/>
        <v>#NAME?</v>
      </c>
      <c r="BP562" s="320" t="e">
        <f t="shared" ca="1" si="524"/>
        <v>#NAME?</v>
      </c>
      <c r="BQ562" s="344" t="e">
        <f t="shared" ca="1" si="481"/>
        <v>#NAME?</v>
      </c>
      <c r="BR562" s="347" t="e">
        <f t="shared" ca="1" si="482"/>
        <v>#NAME?</v>
      </c>
      <c r="BS562" s="326" t="e">
        <f t="shared" ca="1" si="525"/>
        <v>#NAME?</v>
      </c>
      <c r="BT562" s="437" t="e">
        <f t="shared" ca="1" si="495"/>
        <v>#NAME?</v>
      </c>
      <c r="BU562" s="437" t="e">
        <f t="shared" ca="1" si="496"/>
        <v>#NAME?</v>
      </c>
      <c r="BV562" s="441" t="e">
        <f t="shared" ca="1" si="497"/>
        <v>#NAME?</v>
      </c>
      <c r="BW562" s="442" t="e">
        <f t="shared" ca="1" si="498"/>
        <v>#NAME?</v>
      </c>
      <c r="BX562" s="470" t="e">
        <f t="shared" ca="1" si="472"/>
        <v>#NAME?</v>
      </c>
      <c r="BY562" s="484" t="e">
        <f t="shared" ca="1" si="483"/>
        <v>#NAME?</v>
      </c>
    </row>
    <row r="563" spans="9:77" ht="17.75" customHeight="1" x14ac:dyDescent="0.2">
      <c r="I563" s="366">
        <v>479</v>
      </c>
      <c r="J563" s="414">
        <f t="shared" si="484"/>
        <v>41706.045138889975</v>
      </c>
      <c r="K563" s="435" t="e">
        <f t="shared" ca="1" si="485"/>
        <v>#NAME?</v>
      </c>
      <c r="L563" s="435" t="e">
        <f t="shared" ca="1" si="466"/>
        <v>#NAME?</v>
      </c>
      <c r="M563" s="664" t="e">
        <f t="shared" ca="1" si="526"/>
        <v>#NAME?</v>
      </c>
      <c r="N563" s="664" t="e">
        <f t="shared" ca="1" si="527"/>
        <v>#NAME?</v>
      </c>
      <c r="O563" s="140" t="e">
        <f t="shared" ca="1" si="473"/>
        <v>#NAME?</v>
      </c>
      <c r="P563" s="352" t="e">
        <f t="shared" ca="1" si="486"/>
        <v>#NAME?</v>
      </c>
      <c r="Q563" s="665" t="e">
        <f t="shared" ca="1" si="467"/>
        <v>#NAME?</v>
      </c>
      <c r="R563" s="352" t="e">
        <f t="shared" ca="1" si="499"/>
        <v>#NAME?</v>
      </c>
      <c r="S563" s="662" t="e">
        <f t="shared" ca="1" si="474"/>
        <v>#NAME?</v>
      </c>
      <c r="T563" s="443" t="e">
        <f t="shared" ca="1" si="468"/>
        <v>#NAME?</v>
      </c>
      <c r="U563" s="369" t="e">
        <f t="shared" ca="1" si="469"/>
        <v>#NAME?</v>
      </c>
      <c r="V563" s="454" t="e">
        <f t="shared" ca="1" si="475"/>
        <v>#NAME?</v>
      </c>
      <c r="W563" s="457">
        <f t="shared" si="476"/>
        <v>1000</v>
      </c>
      <c r="X563" s="463" t="e">
        <f t="shared" ca="1" si="477"/>
        <v>#NAME?</v>
      </c>
      <c r="Y563" s="455" t="e">
        <f t="shared" ca="1" si="487"/>
        <v>#NAME?</v>
      </c>
      <c r="Z563" s="699">
        <f t="shared" si="470"/>
        <v>8.5</v>
      </c>
      <c r="AA563" s="355" t="str">
        <f t="shared" si="471"/>
        <v>ON</v>
      </c>
      <c r="AB563" s="357">
        <f t="shared" si="500"/>
        <v>1.4999999999999999E-2</v>
      </c>
      <c r="AC563" s="356" t="e">
        <f ca="1">IF(  Y562=0,0,IF(OR(S563="KCAS",S563="INOP",S563="MEFE"),   ( (5*( (   (((1+0.2*(T563/661.4786)^2)^3.5 -1)  )/( (1-6.8755856*10^-6 *100*Y563)^5.2558797) +1)^(2/7) -1) )^0.5),IF(S563="MACH",T563, IF(S563="LRC",BicubicInterpolation( 'LRC Mach'!$C$4:$AL$21, Y563,U563),  IF(S563="MRC",BicubicInterpolation( 'MRC Mach'!$C$3:$T$18, Y563,U563),  IF(S563="M0.84",0.84,  IF(S563="CI52",BicubicInterpolation('CI=52 Mach'!$C$3:$T$18, Y563,U563),  IF(S563="HOLDING",BicubicInterpolation(  'Holding Mach'!$C$4:$M$13, Y563,U563),                         IF(S563="LRCINOP", BicubicInterpolation('LRC INOP Mach'!$C$4:$AA$21,Y563,U563), IF(S563="HOLDINGINOP",  BicubicInterpolation('Holding INOP Mach'!$N$4:$U$13,Y563,U563),         "XXX" )))))))   )))</f>
        <v>#NAME?</v>
      </c>
      <c r="AD563" s="313" t="e">
        <f t="shared" ca="1" si="501"/>
        <v>#NAME?</v>
      </c>
      <c r="AE563" s="314" t="e">
        <f t="shared" ca="1" si="488"/>
        <v>#NAME?</v>
      </c>
      <c r="AF563" s="313" t="e">
        <f t="shared" ca="1" si="502"/>
        <v>#NAME?</v>
      </c>
      <c r="AG563" s="314" t="e">
        <f t="shared" ca="1" si="489"/>
        <v>#NAME?</v>
      </c>
      <c r="AH563" s="313" t="e">
        <f t="shared" ca="1" si="503"/>
        <v>#NAME?</v>
      </c>
      <c r="AI563" s="314" t="e">
        <f t="shared" ca="1" si="490"/>
        <v>#NAME?</v>
      </c>
      <c r="AJ563" s="315" t="e">
        <f t="shared" ca="1" si="491"/>
        <v>#NAME?</v>
      </c>
      <c r="AK563" s="568" t="e">
        <f t="shared" ca="1" si="504"/>
        <v>#NAME?</v>
      </c>
      <c r="AL563" s="313" t="e">
        <f t="shared" ca="1" si="505"/>
        <v>#NAME?</v>
      </c>
      <c r="AM563" s="313" t="e">
        <f t="shared" ca="1" si="492"/>
        <v>#NAME?</v>
      </c>
      <c r="AN563" s="313" t="e">
        <f t="shared" ca="1" si="493"/>
        <v>#NAME?</v>
      </c>
      <c r="AO563" s="316" t="e">
        <f t="shared" ca="1" si="506"/>
        <v>#NAME?</v>
      </c>
      <c r="AP563" s="313" t="e">
        <f t="shared" ca="1" si="507"/>
        <v>#NAME?</v>
      </c>
      <c r="AQ563" s="314" t="e">
        <f t="shared" ca="1" si="494"/>
        <v>#NAME?</v>
      </c>
      <c r="AR563" s="315" t="e">
        <f t="shared" ca="1" si="508"/>
        <v>#NAME?</v>
      </c>
      <c r="AS563" s="316" t="e">
        <f t="shared" ca="1" si="509"/>
        <v>#NAME?</v>
      </c>
      <c r="AT563" s="315" t="e">
        <f t="shared" ca="1" si="510"/>
        <v>#NAME?</v>
      </c>
      <c r="AU563" s="317">
        <v>427.8</v>
      </c>
      <c r="AV563" s="315" t="e">
        <f t="shared" ca="1" si="511"/>
        <v>#NAME?</v>
      </c>
      <c r="AW563" s="318" t="e">
        <f ca="1">0.0001*BicubicInterpolation('Drag Coef Table'!$B$4:$L$28,AV563,AC563)</f>
        <v>#NAME?</v>
      </c>
      <c r="AX563" s="319" t="e">
        <f t="shared" ca="1" si="512"/>
        <v>#NAME?</v>
      </c>
      <c r="AY563" s="318" t="e">
        <f t="shared" ca="1" si="513"/>
        <v>#NAME?</v>
      </c>
      <c r="AZ563" s="320" t="e">
        <f t="shared" ca="1" si="514"/>
        <v>#NAME?</v>
      </c>
      <c r="BA563" s="321" t="e">
        <f t="shared" ca="1" si="515"/>
        <v>#NAME?</v>
      </c>
      <c r="BB563" s="322" t="e">
        <f t="shared" ca="1" si="516"/>
        <v>#NAME?</v>
      </c>
      <c r="BC563" s="323">
        <v>75.196700000000007</v>
      </c>
      <c r="BD563" s="324" t="e">
        <f t="shared" ca="1" si="517"/>
        <v>#NAME?</v>
      </c>
      <c r="BE563" s="325" t="e">
        <f t="shared" ca="1" si="518"/>
        <v>#NAME?</v>
      </c>
      <c r="BF563" s="324" t="e">
        <f ca="1">BicubicInterpolation('TSFC Eff Table'!$B$4:$E$69,2,BB563)</f>
        <v>#NAME?</v>
      </c>
      <c r="BG563" s="326" t="e">
        <f t="shared" ca="1" si="519"/>
        <v>#NAME?</v>
      </c>
      <c r="BH563" s="694" t="e">
        <f ca="1">IF( S563="LRCINOP",   (1+(0.03/10)*Z563*(1+0.2*AC563^2) )*BicubicInterpolation( 'LRC INOP FF'!$C$4:$AA$21, Y563, U563 )-200, IF(S563 ="HOLDINGINOP", (1+(0.03/10)*Z563*(1+0.2*AC563^2) )*BicubicInterpolation( 'Holding INOP FF'!$C$4:$J$13,  Y563,  U563)/1.05-200,   BA563*BG563))</f>
        <v>#NAME?</v>
      </c>
      <c r="BI563" s="344" t="e">
        <f t="shared" ca="1" si="478"/>
        <v>#NAME?</v>
      </c>
      <c r="BJ563" s="322" t="e">
        <f t="shared" ca="1" si="520"/>
        <v>#NAME?</v>
      </c>
      <c r="BK563" s="338" t="e">
        <f t="shared" ca="1" si="479"/>
        <v>#NAME?</v>
      </c>
      <c r="BL563" s="327" t="e">
        <f t="shared" ca="1" si="521"/>
        <v>#NAME?</v>
      </c>
      <c r="BM563" s="328">
        <f t="shared" si="522"/>
        <v>200</v>
      </c>
      <c r="BN563" s="329" t="e">
        <f t="shared" ca="1" si="523"/>
        <v>#NAME?</v>
      </c>
      <c r="BO563" s="344" t="e">
        <f t="shared" ca="1" si="480"/>
        <v>#NAME?</v>
      </c>
      <c r="BP563" s="320" t="e">
        <f t="shared" ca="1" si="524"/>
        <v>#NAME?</v>
      </c>
      <c r="BQ563" s="344" t="e">
        <f t="shared" ca="1" si="481"/>
        <v>#NAME?</v>
      </c>
      <c r="BR563" s="347" t="e">
        <f t="shared" ca="1" si="482"/>
        <v>#NAME?</v>
      </c>
      <c r="BS563" s="326" t="e">
        <f t="shared" ca="1" si="525"/>
        <v>#NAME?</v>
      </c>
      <c r="BT563" s="437" t="e">
        <f t="shared" ca="1" si="495"/>
        <v>#NAME?</v>
      </c>
      <c r="BU563" s="437" t="e">
        <f t="shared" ca="1" si="496"/>
        <v>#NAME?</v>
      </c>
      <c r="BV563" s="441" t="e">
        <f t="shared" ca="1" si="497"/>
        <v>#NAME?</v>
      </c>
      <c r="BW563" s="442" t="e">
        <f t="shared" ca="1" si="498"/>
        <v>#NAME?</v>
      </c>
      <c r="BX563" s="470" t="e">
        <f t="shared" ca="1" si="472"/>
        <v>#NAME?</v>
      </c>
      <c r="BY563" s="484" t="e">
        <f t="shared" ca="1" si="483"/>
        <v>#NAME?</v>
      </c>
    </row>
    <row r="564" spans="9:77" ht="17.75" customHeight="1" x14ac:dyDescent="0.2">
      <c r="I564" s="366">
        <v>480</v>
      </c>
      <c r="J564" s="414">
        <f t="shared" si="484"/>
        <v>41706.045833334421</v>
      </c>
      <c r="K564" s="435" t="e">
        <f t="shared" ca="1" si="485"/>
        <v>#NAME?</v>
      </c>
      <c r="L564" s="435" t="e">
        <f t="shared" ca="1" si="466"/>
        <v>#NAME?</v>
      </c>
      <c r="M564" s="664" t="e">
        <f t="shared" ca="1" si="526"/>
        <v>#NAME?</v>
      </c>
      <c r="N564" s="664" t="e">
        <f t="shared" ca="1" si="527"/>
        <v>#NAME?</v>
      </c>
      <c r="O564" s="140" t="e">
        <f t="shared" ca="1" si="473"/>
        <v>#NAME?</v>
      </c>
      <c r="P564" s="352" t="e">
        <f t="shared" ca="1" si="486"/>
        <v>#NAME?</v>
      </c>
      <c r="Q564" s="665" t="e">
        <f t="shared" ca="1" si="467"/>
        <v>#NAME?</v>
      </c>
      <c r="R564" s="352" t="e">
        <f t="shared" ca="1" si="499"/>
        <v>#NAME?</v>
      </c>
      <c r="S564" s="662" t="e">
        <f t="shared" ca="1" si="474"/>
        <v>#NAME?</v>
      </c>
      <c r="T564" s="443" t="e">
        <f t="shared" ca="1" si="468"/>
        <v>#NAME?</v>
      </c>
      <c r="U564" s="369" t="e">
        <f t="shared" ca="1" si="469"/>
        <v>#NAME?</v>
      </c>
      <c r="V564" s="454" t="e">
        <f t="shared" ca="1" si="475"/>
        <v>#NAME?</v>
      </c>
      <c r="W564" s="457">
        <f t="shared" si="476"/>
        <v>1000</v>
      </c>
      <c r="X564" s="463" t="e">
        <f t="shared" ca="1" si="477"/>
        <v>#NAME?</v>
      </c>
      <c r="Y564" s="455" t="e">
        <f t="shared" ca="1" si="487"/>
        <v>#NAME?</v>
      </c>
      <c r="Z564" s="699">
        <f t="shared" si="470"/>
        <v>8.5</v>
      </c>
      <c r="AA564" s="355" t="str">
        <f t="shared" si="471"/>
        <v>ON</v>
      </c>
      <c r="AB564" s="357">
        <f t="shared" si="500"/>
        <v>1.4999999999999999E-2</v>
      </c>
      <c r="AC564" s="356" t="e">
        <f ca="1">IF(  Y563=0,0,IF(OR(S564="KCAS",S564="INOP",S564="MEFE"),   ( (5*( (   (((1+0.2*(T564/661.4786)^2)^3.5 -1)  )/( (1-6.8755856*10^-6 *100*Y564)^5.2558797) +1)^(2/7) -1) )^0.5),IF(S564="MACH",T564, IF(S564="LRC",BicubicInterpolation( 'LRC Mach'!$C$4:$AL$21, Y564,U564),  IF(S564="MRC",BicubicInterpolation( 'MRC Mach'!$C$3:$T$18, Y564,U564),  IF(S564="M0.84",0.84,  IF(S564="CI52",BicubicInterpolation('CI=52 Mach'!$C$3:$T$18, Y564,U564),  IF(S564="HOLDING",BicubicInterpolation(  'Holding Mach'!$C$4:$M$13, Y564,U564),                         IF(S564="LRCINOP", BicubicInterpolation('LRC INOP Mach'!$C$4:$AA$21,Y564,U564), IF(S564="HOLDINGINOP",  BicubicInterpolation('Holding INOP Mach'!$N$4:$U$13,Y564,U564),         "XXX" )))))))   )))</f>
        <v>#NAME?</v>
      </c>
      <c r="AD564" s="313" t="e">
        <f t="shared" ca="1" si="501"/>
        <v>#NAME?</v>
      </c>
      <c r="AE564" s="314" t="e">
        <f t="shared" ca="1" si="488"/>
        <v>#NAME?</v>
      </c>
      <c r="AF564" s="313" t="e">
        <f t="shared" ca="1" si="502"/>
        <v>#NAME?</v>
      </c>
      <c r="AG564" s="314" t="e">
        <f t="shared" ca="1" si="489"/>
        <v>#NAME?</v>
      </c>
      <c r="AH564" s="313" t="e">
        <f t="shared" ca="1" si="503"/>
        <v>#NAME?</v>
      </c>
      <c r="AI564" s="314" t="e">
        <f t="shared" ca="1" si="490"/>
        <v>#NAME?</v>
      </c>
      <c r="AJ564" s="315" t="e">
        <f t="shared" ca="1" si="491"/>
        <v>#NAME?</v>
      </c>
      <c r="AK564" s="568" t="e">
        <f t="shared" ca="1" si="504"/>
        <v>#NAME?</v>
      </c>
      <c r="AL564" s="313" t="e">
        <f t="shared" ca="1" si="505"/>
        <v>#NAME?</v>
      </c>
      <c r="AM564" s="313" t="e">
        <f t="shared" ca="1" si="492"/>
        <v>#NAME?</v>
      </c>
      <c r="AN564" s="313" t="e">
        <f t="shared" ca="1" si="493"/>
        <v>#NAME?</v>
      </c>
      <c r="AO564" s="316" t="e">
        <f t="shared" ca="1" si="506"/>
        <v>#NAME?</v>
      </c>
      <c r="AP564" s="313" t="e">
        <f t="shared" ca="1" si="507"/>
        <v>#NAME?</v>
      </c>
      <c r="AQ564" s="314" t="e">
        <f t="shared" ca="1" si="494"/>
        <v>#NAME?</v>
      </c>
      <c r="AR564" s="315" t="e">
        <f t="shared" ca="1" si="508"/>
        <v>#NAME?</v>
      </c>
      <c r="AS564" s="316" t="e">
        <f t="shared" ca="1" si="509"/>
        <v>#NAME?</v>
      </c>
      <c r="AT564" s="315" t="e">
        <f t="shared" ca="1" si="510"/>
        <v>#NAME?</v>
      </c>
      <c r="AU564" s="317">
        <v>427.8</v>
      </c>
      <c r="AV564" s="315" t="e">
        <f t="shared" ca="1" si="511"/>
        <v>#NAME?</v>
      </c>
      <c r="AW564" s="318" t="e">
        <f ca="1">0.0001*BicubicInterpolation('Drag Coef Table'!$B$4:$L$28,AV564,AC564)</f>
        <v>#NAME?</v>
      </c>
      <c r="AX564" s="319" t="e">
        <f t="shared" ca="1" si="512"/>
        <v>#NAME?</v>
      </c>
      <c r="AY564" s="318" t="e">
        <f t="shared" ca="1" si="513"/>
        <v>#NAME?</v>
      </c>
      <c r="AZ564" s="320" t="e">
        <f t="shared" ca="1" si="514"/>
        <v>#NAME?</v>
      </c>
      <c r="BA564" s="321" t="e">
        <f t="shared" ca="1" si="515"/>
        <v>#NAME?</v>
      </c>
      <c r="BB564" s="322" t="e">
        <f t="shared" ca="1" si="516"/>
        <v>#NAME?</v>
      </c>
      <c r="BC564" s="323">
        <v>75.196700000000007</v>
      </c>
      <c r="BD564" s="324" t="e">
        <f t="shared" ca="1" si="517"/>
        <v>#NAME?</v>
      </c>
      <c r="BE564" s="325" t="e">
        <f t="shared" ca="1" si="518"/>
        <v>#NAME?</v>
      </c>
      <c r="BF564" s="324" t="e">
        <f ca="1">BicubicInterpolation('TSFC Eff Table'!$B$4:$E$69,2,BB564)</f>
        <v>#NAME?</v>
      </c>
      <c r="BG564" s="326" t="e">
        <f t="shared" ca="1" si="519"/>
        <v>#NAME?</v>
      </c>
      <c r="BH564" s="694" t="e">
        <f ca="1">IF( S564="LRCINOP",   (1+(0.03/10)*Z564*(1+0.2*AC564^2) )*BicubicInterpolation( 'LRC INOP FF'!$C$4:$AA$21, Y564, U564 )-200, IF(S564 ="HOLDINGINOP", (1+(0.03/10)*Z564*(1+0.2*AC564^2) )*BicubicInterpolation( 'Holding INOP FF'!$C$4:$J$13,  Y564,  U564)/1.05-200,   BA564*BG564))</f>
        <v>#NAME?</v>
      </c>
      <c r="BI564" s="344" t="e">
        <f t="shared" ca="1" si="478"/>
        <v>#NAME?</v>
      </c>
      <c r="BJ564" s="322" t="e">
        <f t="shared" ca="1" si="520"/>
        <v>#NAME?</v>
      </c>
      <c r="BK564" s="338" t="e">
        <f t="shared" ca="1" si="479"/>
        <v>#NAME?</v>
      </c>
      <c r="BL564" s="327" t="e">
        <f t="shared" ca="1" si="521"/>
        <v>#NAME?</v>
      </c>
      <c r="BM564" s="328">
        <f t="shared" si="522"/>
        <v>200</v>
      </c>
      <c r="BN564" s="329" t="e">
        <f t="shared" ca="1" si="523"/>
        <v>#NAME?</v>
      </c>
      <c r="BO564" s="344" t="e">
        <f t="shared" ca="1" si="480"/>
        <v>#NAME?</v>
      </c>
      <c r="BP564" s="320" t="e">
        <f t="shared" ca="1" si="524"/>
        <v>#NAME?</v>
      </c>
      <c r="BQ564" s="344" t="e">
        <f t="shared" ca="1" si="481"/>
        <v>#NAME?</v>
      </c>
      <c r="BR564" s="347" t="e">
        <f t="shared" ca="1" si="482"/>
        <v>#NAME?</v>
      </c>
      <c r="BS564" s="326" t="e">
        <f t="shared" ca="1" si="525"/>
        <v>#NAME?</v>
      </c>
      <c r="BT564" s="437" t="e">
        <f t="shared" ca="1" si="495"/>
        <v>#NAME?</v>
      </c>
      <c r="BU564" s="437" t="e">
        <f t="shared" ca="1" si="496"/>
        <v>#NAME?</v>
      </c>
      <c r="BV564" s="441" t="e">
        <f t="shared" ca="1" si="497"/>
        <v>#NAME?</v>
      </c>
      <c r="BW564" s="442" t="e">
        <f t="shared" ca="1" si="498"/>
        <v>#NAME?</v>
      </c>
      <c r="BX564" s="470" t="e">
        <f t="shared" ca="1" si="472"/>
        <v>#NAME?</v>
      </c>
      <c r="BY564" s="484" t="e">
        <f t="shared" ca="1" si="483"/>
        <v>#NAME?</v>
      </c>
    </row>
    <row r="565" spans="9:77" ht="17.75" customHeight="1" x14ac:dyDescent="0.2">
      <c r="I565" s="366">
        <v>481</v>
      </c>
      <c r="J565" s="414">
        <f t="shared" si="484"/>
        <v>41706.046527778868</v>
      </c>
      <c r="K565" s="435" t="e">
        <f t="shared" ca="1" si="485"/>
        <v>#NAME?</v>
      </c>
      <c r="L565" s="435" t="e">
        <f t="shared" ca="1" si="466"/>
        <v>#NAME?</v>
      </c>
      <c r="M565" s="664" t="e">
        <f t="shared" ca="1" si="526"/>
        <v>#NAME?</v>
      </c>
      <c r="N565" s="664" t="e">
        <f t="shared" ca="1" si="527"/>
        <v>#NAME?</v>
      </c>
      <c r="O565" s="140" t="e">
        <f t="shared" ca="1" si="473"/>
        <v>#NAME?</v>
      </c>
      <c r="P565" s="352" t="e">
        <f t="shared" ca="1" si="486"/>
        <v>#NAME?</v>
      </c>
      <c r="Q565" s="665" t="e">
        <f t="shared" ca="1" si="467"/>
        <v>#NAME?</v>
      </c>
      <c r="R565" s="352" t="e">
        <f t="shared" ca="1" si="499"/>
        <v>#NAME?</v>
      </c>
      <c r="S565" s="662" t="e">
        <f t="shared" ca="1" si="474"/>
        <v>#NAME?</v>
      </c>
      <c r="T565" s="443" t="e">
        <f t="shared" ca="1" si="468"/>
        <v>#NAME?</v>
      </c>
      <c r="U565" s="369" t="e">
        <f t="shared" ca="1" si="469"/>
        <v>#NAME?</v>
      </c>
      <c r="V565" s="454" t="e">
        <f t="shared" ca="1" si="475"/>
        <v>#NAME?</v>
      </c>
      <c r="W565" s="457">
        <f t="shared" si="476"/>
        <v>1000</v>
      </c>
      <c r="X565" s="463" t="e">
        <f t="shared" ca="1" si="477"/>
        <v>#NAME?</v>
      </c>
      <c r="Y565" s="455" t="e">
        <f t="shared" ca="1" si="487"/>
        <v>#NAME?</v>
      </c>
      <c r="Z565" s="699">
        <f t="shared" si="470"/>
        <v>8.5</v>
      </c>
      <c r="AA565" s="355" t="str">
        <f t="shared" si="471"/>
        <v>ON</v>
      </c>
      <c r="AB565" s="357">
        <f t="shared" si="500"/>
        <v>1.4999999999999999E-2</v>
      </c>
      <c r="AC565" s="356" t="e">
        <f ca="1">IF(  Y564=0,0,IF(OR(S565="KCAS",S565="INOP",S565="MEFE"),   ( (5*( (   (((1+0.2*(T565/661.4786)^2)^3.5 -1)  )/( (1-6.8755856*10^-6 *100*Y565)^5.2558797) +1)^(2/7) -1) )^0.5),IF(S565="MACH",T565, IF(S565="LRC",BicubicInterpolation( 'LRC Mach'!$C$4:$AL$21, Y565,U565),  IF(S565="MRC",BicubicInterpolation( 'MRC Mach'!$C$3:$T$18, Y565,U565),  IF(S565="M0.84",0.84,  IF(S565="CI52",BicubicInterpolation('CI=52 Mach'!$C$3:$T$18, Y565,U565),  IF(S565="HOLDING",BicubicInterpolation(  'Holding Mach'!$C$4:$M$13, Y565,U565),                         IF(S565="LRCINOP", BicubicInterpolation('LRC INOP Mach'!$C$4:$AA$21,Y565,U565), IF(S565="HOLDINGINOP",  BicubicInterpolation('Holding INOP Mach'!$N$4:$U$13,Y565,U565),         "XXX" )))))))   )))</f>
        <v>#NAME?</v>
      </c>
      <c r="AD565" s="313" t="e">
        <f t="shared" ca="1" si="501"/>
        <v>#NAME?</v>
      </c>
      <c r="AE565" s="314" t="e">
        <f t="shared" ca="1" si="488"/>
        <v>#NAME?</v>
      </c>
      <c r="AF565" s="313" t="e">
        <f t="shared" ca="1" si="502"/>
        <v>#NAME?</v>
      </c>
      <c r="AG565" s="314" t="e">
        <f t="shared" ca="1" si="489"/>
        <v>#NAME?</v>
      </c>
      <c r="AH565" s="313" t="e">
        <f t="shared" ca="1" si="503"/>
        <v>#NAME?</v>
      </c>
      <c r="AI565" s="314" t="e">
        <f t="shared" ca="1" si="490"/>
        <v>#NAME?</v>
      </c>
      <c r="AJ565" s="315" t="e">
        <f t="shared" ca="1" si="491"/>
        <v>#NAME?</v>
      </c>
      <c r="AK565" s="568" t="e">
        <f t="shared" ca="1" si="504"/>
        <v>#NAME?</v>
      </c>
      <c r="AL565" s="313" t="e">
        <f t="shared" ca="1" si="505"/>
        <v>#NAME?</v>
      </c>
      <c r="AM565" s="313" t="e">
        <f t="shared" ca="1" si="492"/>
        <v>#NAME?</v>
      </c>
      <c r="AN565" s="313" t="e">
        <f t="shared" ca="1" si="493"/>
        <v>#NAME?</v>
      </c>
      <c r="AO565" s="316" t="e">
        <f t="shared" ca="1" si="506"/>
        <v>#NAME?</v>
      </c>
      <c r="AP565" s="313" t="e">
        <f t="shared" ca="1" si="507"/>
        <v>#NAME?</v>
      </c>
      <c r="AQ565" s="314" t="e">
        <f t="shared" ca="1" si="494"/>
        <v>#NAME?</v>
      </c>
      <c r="AR565" s="315" t="e">
        <f t="shared" ca="1" si="508"/>
        <v>#NAME?</v>
      </c>
      <c r="AS565" s="316" t="e">
        <f t="shared" ca="1" si="509"/>
        <v>#NAME?</v>
      </c>
      <c r="AT565" s="315" t="e">
        <f t="shared" ca="1" si="510"/>
        <v>#NAME?</v>
      </c>
      <c r="AU565" s="317">
        <v>427.8</v>
      </c>
      <c r="AV565" s="315" t="e">
        <f t="shared" ca="1" si="511"/>
        <v>#NAME?</v>
      </c>
      <c r="AW565" s="318" t="e">
        <f ca="1">0.0001*BicubicInterpolation('Drag Coef Table'!$B$4:$L$28,AV565,AC565)</f>
        <v>#NAME?</v>
      </c>
      <c r="AX565" s="319" t="e">
        <f t="shared" ca="1" si="512"/>
        <v>#NAME?</v>
      </c>
      <c r="AY565" s="318" t="e">
        <f t="shared" ca="1" si="513"/>
        <v>#NAME?</v>
      </c>
      <c r="AZ565" s="320" t="e">
        <f t="shared" ca="1" si="514"/>
        <v>#NAME?</v>
      </c>
      <c r="BA565" s="321" t="e">
        <f t="shared" ca="1" si="515"/>
        <v>#NAME?</v>
      </c>
      <c r="BB565" s="322" t="e">
        <f t="shared" ca="1" si="516"/>
        <v>#NAME?</v>
      </c>
      <c r="BC565" s="323">
        <v>75.196700000000007</v>
      </c>
      <c r="BD565" s="324" t="e">
        <f t="shared" ca="1" si="517"/>
        <v>#NAME?</v>
      </c>
      <c r="BE565" s="325" t="e">
        <f t="shared" ca="1" si="518"/>
        <v>#NAME?</v>
      </c>
      <c r="BF565" s="324" t="e">
        <f ca="1">BicubicInterpolation('TSFC Eff Table'!$B$4:$E$69,2,BB565)</f>
        <v>#NAME?</v>
      </c>
      <c r="BG565" s="326" t="e">
        <f t="shared" ca="1" si="519"/>
        <v>#NAME?</v>
      </c>
      <c r="BH565" s="694" t="e">
        <f ca="1">IF( S565="LRCINOP",   (1+(0.03/10)*Z565*(1+0.2*AC565^2) )*BicubicInterpolation( 'LRC INOP FF'!$C$4:$AA$21, Y565, U565 )-200, IF(S565 ="HOLDINGINOP", (1+(0.03/10)*Z565*(1+0.2*AC565^2) )*BicubicInterpolation( 'Holding INOP FF'!$C$4:$J$13,  Y565,  U565)/1.05-200,   BA565*BG565))</f>
        <v>#NAME?</v>
      </c>
      <c r="BI565" s="344" t="e">
        <f t="shared" ca="1" si="478"/>
        <v>#NAME?</v>
      </c>
      <c r="BJ565" s="322" t="e">
        <f t="shared" ca="1" si="520"/>
        <v>#NAME?</v>
      </c>
      <c r="BK565" s="338" t="e">
        <f t="shared" ca="1" si="479"/>
        <v>#NAME?</v>
      </c>
      <c r="BL565" s="327" t="e">
        <f t="shared" ca="1" si="521"/>
        <v>#NAME?</v>
      </c>
      <c r="BM565" s="328">
        <f t="shared" si="522"/>
        <v>200</v>
      </c>
      <c r="BN565" s="329" t="e">
        <f t="shared" ca="1" si="523"/>
        <v>#NAME?</v>
      </c>
      <c r="BO565" s="344" t="e">
        <f t="shared" ca="1" si="480"/>
        <v>#NAME?</v>
      </c>
      <c r="BP565" s="320" t="e">
        <f t="shared" ca="1" si="524"/>
        <v>#NAME?</v>
      </c>
      <c r="BQ565" s="344" t="e">
        <f t="shared" ca="1" si="481"/>
        <v>#NAME?</v>
      </c>
      <c r="BR565" s="347" t="e">
        <f t="shared" ca="1" si="482"/>
        <v>#NAME?</v>
      </c>
      <c r="BS565" s="326" t="e">
        <f t="shared" ca="1" si="525"/>
        <v>#NAME?</v>
      </c>
      <c r="BT565" s="437" t="e">
        <f t="shared" ca="1" si="495"/>
        <v>#NAME?</v>
      </c>
      <c r="BU565" s="437" t="e">
        <f t="shared" ca="1" si="496"/>
        <v>#NAME?</v>
      </c>
      <c r="BV565" s="441" t="e">
        <f t="shared" ca="1" si="497"/>
        <v>#NAME?</v>
      </c>
      <c r="BW565" s="442" t="e">
        <f t="shared" ca="1" si="498"/>
        <v>#NAME?</v>
      </c>
      <c r="BX565" s="470" t="e">
        <f t="shared" ca="1" si="472"/>
        <v>#NAME?</v>
      </c>
      <c r="BY565" s="484" t="e">
        <f t="shared" ca="1" si="483"/>
        <v>#NAME?</v>
      </c>
    </row>
    <row r="566" spans="9:77" ht="17.75" customHeight="1" x14ac:dyDescent="0.2">
      <c r="I566" s="366">
        <v>482</v>
      </c>
      <c r="J566" s="414">
        <f t="shared" si="484"/>
        <v>41706.047222223315</v>
      </c>
      <c r="K566" s="435" t="e">
        <f t="shared" ca="1" si="485"/>
        <v>#NAME?</v>
      </c>
      <c r="L566" s="435" t="e">
        <f t="shared" ref="L566:L629" ca="1" si="528">IF(N566=0,0,Q566*(1+$C$79)/60)</f>
        <v>#NAME?</v>
      </c>
      <c r="M566" s="664" t="e">
        <f t="shared" ca="1" si="526"/>
        <v>#NAME?</v>
      </c>
      <c r="N566" s="664" t="e">
        <f t="shared" ca="1" si="527"/>
        <v>#NAME?</v>
      </c>
      <c r="O566" s="140" t="e">
        <f t="shared" ca="1" si="473"/>
        <v>#NAME?</v>
      </c>
      <c r="P566" s="352" t="e">
        <f t="shared" ca="1" si="486"/>
        <v>#NAME?</v>
      </c>
      <c r="Q566" s="665" t="e">
        <f t="shared" ca="1" si="467"/>
        <v>#NAME?</v>
      </c>
      <c r="R566" s="352" t="e">
        <f t="shared" ca="1" si="499"/>
        <v>#NAME?</v>
      </c>
      <c r="S566" s="662" t="e">
        <f t="shared" ca="1" si="474"/>
        <v>#NAME?</v>
      </c>
      <c r="T566" s="443" t="e">
        <f t="shared" ca="1" si="468"/>
        <v>#NAME?</v>
      </c>
      <c r="U566" s="369" t="e">
        <f t="shared" ca="1" si="469"/>
        <v>#NAME?</v>
      </c>
      <c r="V566" s="454" t="e">
        <f t="shared" ca="1" si="475"/>
        <v>#NAME?</v>
      </c>
      <c r="W566" s="457">
        <f t="shared" si="476"/>
        <v>1000</v>
      </c>
      <c r="X566" s="463" t="e">
        <f t="shared" ca="1" si="477"/>
        <v>#NAME?</v>
      </c>
      <c r="Y566" s="455" t="e">
        <f t="shared" ca="1" si="487"/>
        <v>#NAME?</v>
      </c>
      <c r="Z566" s="699">
        <f t="shared" si="470"/>
        <v>8.5</v>
      </c>
      <c r="AA566" s="355" t="str">
        <f t="shared" si="471"/>
        <v>ON</v>
      </c>
      <c r="AB566" s="357">
        <f t="shared" si="500"/>
        <v>1.4999999999999999E-2</v>
      </c>
      <c r="AC566" s="356" t="e">
        <f ca="1">IF(  Y565=0,0,IF(OR(S566="KCAS",S566="INOP",S566="MEFE"),   ( (5*( (   (((1+0.2*(T566/661.4786)^2)^3.5 -1)  )/( (1-6.8755856*10^-6 *100*Y566)^5.2558797) +1)^(2/7) -1) )^0.5),IF(S566="MACH",T566, IF(S566="LRC",BicubicInterpolation( 'LRC Mach'!$C$4:$AL$21, Y566,U566),  IF(S566="MRC",BicubicInterpolation( 'MRC Mach'!$C$3:$T$18, Y566,U566),  IF(S566="M0.84",0.84,  IF(S566="CI52",BicubicInterpolation('CI=52 Mach'!$C$3:$T$18, Y566,U566),  IF(S566="HOLDING",BicubicInterpolation(  'Holding Mach'!$C$4:$M$13, Y566,U566),                         IF(S566="LRCINOP", BicubicInterpolation('LRC INOP Mach'!$C$4:$AA$21,Y566,U566), IF(S566="HOLDINGINOP",  BicubicInterpolation('Holding INOP Mach'!$N$4:$U$13,Y566,U566),         "XXX" )))))))   )))</f>
        <v>#NAME?</v>
      </c>
      <c r="AD566" s="313" t="e">
        <f t="shared" ca="1" si="501"/>
        <v>#NAME?</v>
      </c>
      <c r="AE566" s="314" t="e">
        <f t="shared" ca="1" si="488"/>
        <v>#NAME?</v>
      </c>
      <c r="AF566" s="313" t="e">
        <f t="shared" ca="1" si="502"/>
        <v>#NAME?</v>
      </c>
      <c r="AG566" s="314" t="e">
        <f t="shared" ca="1" si="489"/>
        <v>#NAME?</v>
      </c>
      <c r="AH566" s="313" t="e">
        <f t="shared" ca="1" si="503"/>
        <v>#NAME?</v>
      </c>
      <c r="AI566" s="314" t="e">
        <f t="shared" ca="1" si="490"/>
        <v>#NAME?</v>
      </c>
      <c r="AJ566" s="315" t="e">
        <f t="shared" ca="1" si="491"/>
        <v>#NAME?</v>
      </c>
      <c r="AK566" s="568" t="e">
        <f t="shared" ca="1" si="504"/>
        <v>#NAME?</v>
      </c>
      <c r="AL566" s="313" t="e">
        <f t="shared" ca="1" si="505"/>
        <v>#NAME?</v>
      </c>
      <c r="AM566" s="313" t="e">
        <f t="shared" ca="1" si="492"/>
        <v>#NAME?</v>
      </c>
      <c r="AN566" s="313" t="e">
        <f t="shared" ca="1" si="493"/>
        <v>#NAME?</v>
      </c>
      <c r="AO566" s="316" t="e">
        <f t="shared" ca="1" si="506"/>
        <v>#NAME?</v>
      </c>
      <c r="AP566" s="313" t="e">
        <f t="shared" ca="1" si="507"/>
        <v>#NAME?</v>
      </c>
      <c r="AQ566" s="314" t="e">
        <f t="shared" ca="1" si="494"/>
        <v>#NAME?</v>
      </c>
      <c r="AR566" s="315" t="e">
        <f t="shared" ca="1" si="508"/>
        <v>#NAME?</v>
      </c>
      <c r="AS566" s="316" t="e">
        <f t="shared" ca="1" si="509"/>
        <v>#NAME?</v>
      </c>
      <c r="AT566" s="315" t="e">
        <f t="shared" ca="1" si="510"/>
        <v>#NAME?</v>
      </c>
      <c r="AU566" s="317">
        <v>427.8</v>
      </c>
      <c r="AV566" s="315" t="e">
        <f t="shared" ca="1" si="511"/>
        <v>#NAME?</v>
      </c>
      <c r="AW566" s="318" t="e">
        <f ca="1">0.0001*BicubicInterpolation('Drag Coef Table'!$B$4:$L$28,AV566,AC566)</f>
        <v>#NAME?</v>
      </c>
      <c r="AX566" s="319" t="e">
        <f t="shared" ca="1" si="512"/>
        <v>#NAME?</v>
      </c>
      <c r="AY566" s="318" t="e">
        <f t="shared" ca="1" si="513"/>
        <v>#NAME?</v>
      </c>
      <c r="AZ566" s="320" t="e">
        <f t="shared" ca="1" si="514"/>
        <v>#NAME?</v>
      </c>
      <c r="BA566" s="321" t="e">
        <f t="shared" ca="1" si="515"/>
        <v>#NAME?</v>
      </c>
      <c r="BB566" s="322" t="e">
        <f t="shared" ca="1" si="516"/>
        <v>#NAME?</v>
      </c>
      <c r="BC566" s="323">
        <v>75.196700000000007</v>
      </c>
      <c r="BD566" s="324" t="e">
        <f t="shared" ca="1" si="517"/>
        <v>#NAME?</v>
      </c>
      <c r="BE566" s="325" t="e">
        <f t="shared" ca="1" si="518"/>
        <v>#NAME?</v>
      </c>
      <c r="BF566" s="324" t="e">
        <f ca="1">BicubicInterpolation('TSFC Eff Table'!$B$4:$E$69,2,BB566)</f>
        <v>#NAME?</v>
      </c>
      <c r="BG566" s="326" t="e">
        <f t="shared" ca="1" si="519"/>
        <v>#NAME?</v>
      </c>
      <c r="BH566" s="694" t="e">
        <f ca="1">IF( S566="LRCINOP",   (1+(0.03/10)*Z566*(1+0.2*AC566^2) )*BicubicInterpolation( 'LRC INOP FF'!$C$4:$AA$21, Y566, U566 )-200, IF(S566 ="HOLDINGINOP", (1+(0.03/10)*Z566*(1+0.2*AC566^2) )*BicubicInterpolation( 'Holding INOP FF'!$C$4:$J$13,  Y566,  U566)/1.05-200,   BA566*BG566))</f>
        <v>#NAME?</v>
      </c>
      <c r="BI566" s="344" t="e">
        <f t="shared" ca="1" si="478"/>
        <v>#NAME?</v>
      </c>
      <c r="BJ566" s="322" t="e">
        <f t="shared" ca="1" si="520"/>
        <v>#NAME?</v>
      </c>
      <c r="BK566" s="338" t="e">
        <f t="shared" ca="1" si="479"/>
        <v>#NAME?</v>
      </c>
      <c r="BL566" s="327" t="e">
        <f t="shared" ca="1" si="521"/>
        <v>#NAME?</v>
      </c>
      <c r="BM566" s="328">
        <f t="shared" si="522"/>
        <v>200</v>
      </c>
      <c r="BN566" s="329" t="e">
        <f t="shared" ca="1" si="523"/>
        <v>#NAME?</v>
      </c>
      <c r="BO566" s="344" t="e">
        <f t="shared" ca="1" si="480"/>
        <v>#NAME?</v>
      </c>
      <c r="BP566" s="320" t="e">
        <f t="shared" ca="1" si="524"/>
        <v>#NAME?</v>
      </c>
      <c r="BQ566" s="344" t="e">
        <f t="shared" ca="1" si="481"/>
        <v>#NAME?</v>
      </c>
      <c r="BR566" s="347" t="e">
        <f t="shared" ca="1" si="482"/>
        <v>#NAME?</v>
      </c>
      <c r="BS566" s="326" t="e">
        <f t="shared" ca="1" si="525"/>
        <v>#NAME?</v>
      </c>
      <c r="BT566" s="437" t="e">
        <f t="shared" ca="1" si="495"/>
        <v>#NAME?</v>
      </c>
      <c r="BU566" s="437" t="e">
        <f t="shared" ca="1" si="496"/>
        <v>#NAME?</v>
      </c>
      <c r="BV566" s="441" t="e">
        <f t="shared" ca="1" si="497"/>
        <v>#NAME?</v>
      </c>
      <c r="BW566" s="442" t="e">
        <f t="shared" ca="1" si="498"/>
        <v>#NAME?</v>
      </c>
      <c r="BX566" s="470" t="e">
        <f t="shared" ca="1" si="472"/>
        <v>#NAME?</v>
      </c>
      <c r="BY566" s="484" t="e">
        <f t="shared" ca="1" si="483"/>
        <v>#NAME?</v>
      </c>
    </row>
    <row r="567" spans="9:77" ht="17.75" customHeight="1" x14ac:dyDescent="0.2">
      <c r="I567" s="366">
        <v>483</v>
      </c>
      <c r="J567" s="414">
        <f t="shared" si="484"/>
        <v>41706.047916667761</v>
      </c>
      <c r="K567" s="435" t="e">
        <f t="shared" ca="1" si="485"/>
        <v>#NAME?</v>
      </c>
      <c r="L567" s="435" t="e">
        <f t="shared" ca="1" si="528"/>
        <v>#NAME?</v>
      </c>
      <c r="M567" s="664" t="e">
        <f t="shared" ca="1" si="526"/>
        <v>#NAME?</v>
      </c>
      <c r="N567" s="664" t="e">
        <f t="shared" ca="1" si="527"/>
        <v>#NAME?</v>
      </c>
      <c r="O567" s="140" t="e">
        <f t="shared" ca="1" si="473"/>
        <v>#NAME?</v>
      </c>
      <c r="P567" s="352" t="e">
        <f t="shared" ca="1" si="486"/>
        <v>#NAME?</v>
      </c>
      <c r="Q567" s="665" t="e">
        <f t="shared" ca="1" si="467"/>
        <v>#NAME?</v>
      </c>
      <c r="R567" s="352" t="e">
        <f t="shared" ca="1" si="499"/>
        <v>#NAME?</v>
      </c>
      <c r="S567" s="662" t="e">
        <f t="shared" ca="1" si="474"/>
        <v>#NAME?</v>
      </c>
      <c r="T567" s="443" t="e">
        <f t="shared" ca="1" si="468"/>
        <v>#NAME?</v>
      </c>
      <c r="U567" s="369" t="e">
        <f t="shared" ca="1" si="469"/>
        <v>#NAME?</v>
      </c>
      <c r="V567" s="454" t="e">
        <f t="shared" ca="1" si="475"/>
        <v>#NAME?</v>
      </c>
      <c r="W567" s="457">
        <f t="shared" si="476"/>
        <v>1000</v>
      </c>
      <c r="X567" s="463" t="e">
        <f t="shared" ca="1" si="477"/>
        <v>#NAME?</v>
      </c>
      <c r="Y567" s="455" t="e">
        <f t="shared" ca="1" si="487"/>
        <v>#NAME?</v>
      </c>
      <c r="Z567" s="699">
        <f t="shared" si="470"/>
        <v>8.5</v>
      </c>
      <c r="AA567" s="355" t="str">
        <f t="shared" si="471"/>
        <v>ON</v>
      </c>
      <c r="AB567" s="357">
        <f t="shared" si="500"/>
        <v>1.4999999999999999E-2</v>
      </c>
      <c r="AC567" s="356" t="e">
        <f ca="1">IF(  Y566=0,0,IF(OR(S567="KCAS",S567="INOP",S567="MEFE"),   ( (5*( (   (((1+0.2*(T567/661.4786)^2)^3.5 -1)  )/( (1-6.8755856*10^-6 *100*Y567)^5.2558797) +1)^(2/7) -1) )^0.5),IF(S567="MACH",T567, IF(S567="LRC",BicubicInterpolation( 'LRC Mach'!$C$4:$AL$21, Y567,U567),  IF(S567="MRC",BicubicInterpolation( 'MRC Mach'!$C$3:$T$18, Y567,U567),  IF(S567="M0.84",0.84,  IF(S567="CI52",BicubicInterpolation('CI=52 Mach'!$C$3:$T$18, Y567,U567),  IF(S567="HOLDING",BicubicInterpolation(  'Holding Mach'!$C$4:$M$13, Y567,U567),                         IF(S567="LRCINOP", BicubicInterpolation('LRC INOP Mach'!$C$4:$AA$21,Y567,U567), IF(S567="HOLDINGINOP",  BicubicInterpolation('Holding INOP Mach'!$N$4:$U$13,Y567,U567),         "XXX" )))))))   )))</f>
        <v>#NAME?</v>
      </c>
      <c r="AD567" s="313" t="e">
        <f t="shared" ca="1" si="501"/>
        <v>#NAME?</v>
      </c>
      <c r="AE567" s="314" t="e">
        <f t="shared" ca="1" si="488"/>
        <v>#NAME?</v>
      </c>
      <c r="AF567" s="313" t="e">
        <f t="shared" ca="1" si="502"/>
        <v>#NAME?</v>
      </c>
      <c r="AG567" s="314" t="e">
        <f t="shared" ca="1" si="489"/>
        <v>#NAME?</v>
      </c>
      <c r="AH567" s="313" t="e">
        <f t="shared" ca="1" si="503"/>
        <v>#NAME?</v>
      </c>
      <c r="AI567" s="314" t="e">
        <f t="shared" ca="1" si="490"/>
        <v>#NAME?</v>
      </c>
      <c r="AJ567" s="315" t="e">
        <f t="shared" ca="1" si="491"/>
        <v>#NAME?</v>
      </c>
      <c r="AK567" s="568" t="e">
        <f t="shared" ca="1" si="504"/>
        <v>#NAME?</v>
      </c>
      <c r="AL567" s="313" t="e">
        <f t="shared" ca="1" si="505"/>
        <v>#NAME?</v>
      </c>
      <c r="AM567" s="313" t="e">
        <f t="shared" ca="1" si="492"/>
        <v>#NAME?</v>
      </c>
      <c r="AN567" s="313" t="e">
        <f t="shared" ca="1" si="493"/>
        <v>#NAME?</v>
      </c>
      <c r="AO567" s="316" t="e">
        <f t="shared" ca="1" si="506"/>
        <v>#NAME?</v>
      </c>
      <c r="AP567" s="313" t="e">
        <f t="shared" ca="1" si="507"/>
        <v>#NAME?</v>
      </c>
      <c r="AQ567" s="314" t="e">
        <f t="shared" ca="1" si="494"/>
        <v>#NAME?</v>
      </c>
      <c r="AR567" s="315" t="e">
        <f t="shared" ca="1" si="508"/>
        <v>#NAME?</v>
      </c>
      <c r="AS567" s="316" t="e">
        <f t="shared" ca="1" si="509"/>
        <v>#NAME?</v>
      </c>
      <c r="AT567" s="315" t="e">
        <f t="shared" ca="1" si="510"/>
        <v>#NAME?</v>
      </c>
      <c r="AU567" s="317">
        <v>427.8</v>
      </c>
      <c r="AV567" s="315" t="e">
        <f t="shared" ca="1" si="511"/>
        <v>#NAME?</v>
      </c>
      <c r="AW567" s="318" t="e">
        <f ca="1">0.0001*BicubicInterpolation('Drag Coef Table'!$B$4:$L$28,AV567,AC567)</f>
        <v>#NAME?</v>
      </c>
      <c r="AX567" s="319" t="e">
        <f t="shared" ca="1" si="512"/>
        <v>#NAME?</v>
      </c>
      <c r="AY567" s="318" t="e">
        <f t="shared" ca="1" si="513"/>
        <v>#NAME?</v>
      </c>
      <c r="AZ567" s="320" t="e">
        <f t="shared" ca="1" si="514"/>
        <v>#NAME?</v>
      </c>
      <c r="BA567" s="321" t="e">
        <f t="shared" ca="1" si="515"/>
        <v>#NAME?</v>
      </c>
      <c r="BB567" s="322" t="e">
        <f t="shared" ca="1" si="516"/>
        <v>#NAME?</v>
      </c>
      <c r="BC567" s="323">
        <v>75.196700000000007</v>
      </c>
      <c r="BD567" s="324" t="e">
        <f t="shared" ca="1" si="517"/>
        <v>#NAME?</v>
      </c>
      <c r="BE567" s="325" t="e">
        <f t="shared" ca="1" si="518"/>
        <v>#NAME?</v>
      </c>
      <c r="BF567" s="324" t="e">
        <f ca="1">BicubicInterpolation('TSFC Eff Table'!$B$4:$E$69,2,BB567)</f>
        <v>#NAME?</v>
      </c>
      <c r="BG567" s="326" t="e">
        <f t="shared" ca="1" si="519"/>
        <v>#NAME?</v>
      </c>
      <c r="BH567" s="694" t="e">
        <f ca="1">IF( S567="LRCINOP",   (1+(0.03/10)*Z567*(1+0.2*AC567^2) )*BicubicInterpolation( 'LRC INOP FF'!$C$4:$AA$21, Y567, U567 )-200, IF(S567 ="HOLDINGINOP", (1+(0.03/10)*Z567*(1+0.2*AC567^2) )*BicubicInterpolation( 'Holding INOP FF'!$C$4:$J$13,  Y567,  U567)/1.05-200,   BA567*BG567))</f>
        <v>#NAME?</v>
      </c>
      <c r="BI567" s="344" t="e">
        <f t="shared" ca="1" si="478"/>
        <v>#NAME?</v>
      </c>
      <c r="BJ567" s="322" t="e">
        <f t="shared" ca="1" si="520"/>
        <v>#NAME?</v>
      </c>
      <c r="BK567" s="338" t="e">
        <f t="shared" ca="1" si="479"/>
        <v>#NAME?</v>
      </c>
      <c r="BL567" s="327" t="e">
        <f t="shared" ca="1" si="521"/>
        <v>#NAME?</v>
      </c>
      <c r="BM567" s="328">
        <f t="shared" si="522"/>
        <v>200</v>
      </c>
      <c r="BN567" s="329" t="e">
        <f t="shared" ca="1" si="523"/>
        <v>#NAME?</v>
      </c>
      <c r="BO567" s="344" t="e">
        <f t="shared" ca="1" si="480"/>
        <v>#NAME?</v>
      </c>
      <c r="BP567" s="320" t="e">
        <f t="shared" ca="1" si="524"/>
        <v>#NAME?</v>
      </c>
      <c r="BQ567" s="344" t="e">
        <f t="shared" ca="1" si="481"/>
        <v>#NAME?</v>
      </c>
      <c r="BR567" s="347" t="e">
        <f t="shared" ca="1" si="482"/>
        <v>#NAME?</v>
      </c>
      <c r="BS567" s="326" t="e">
        <f t="shared" ca="1" si="525"/>
        <v>#NAME?</v>
      </c>
      <c r="BT567" s="437" t="e">
        <f t="shared" ca="1" si="495"/>
        <v>#NAME?</v>
      </c>
      <c r="BU567" s="437" t="e">
        <f t="shared" ca="1" si="496"/>
        <v>#NAME?</v>
      </c>
      <c r="BV567" s="441" t="e">
        <f t="shared" ca="1" si="497"/>
        <v>#NAME?</v>
      </c>
      <c r="BW567" s="442" t="e">
        <f t="shared" ca="1" si="498"/>
        <v>#NAME?</v>
      </c>
      <c r="BX567" s="470" t="e">
        <f t="shared" ca="1" si="472"/>
        <v>#NAME?</v>
      </c>
      <c r="BY567" s="484" t="e">
        <f t="shared" ca="1" si="483"/>
        <v>#NAME?</v>
      </c>
    </row>
    <row r="568" spans="9:77" ht="17.75" customHeight="1" x14ac:dyDescent="0.2">
      <c r="I568" s="366">
        <v>484</v>
      </c>
      <c r="J568" s="414">
        <f t="shared" si="484"/>
        <v>41706.048611112208</v>
      </c>
      <c r="K568" s="435" t="e">
        <f t="shared" ca="1" si="485"/>
        <v>#NAME?</v>
      </c>
      <c r="L568" s="435" t="e">
        <f t="shared" ca="1" si="528"/>
        <v>#NAME?</v>
      </c>
      <c r="M568" s="664" t="e">
        <f t="shared" ca="1" si="526"/>
        <v>#NAME?</v>
      </c>
      <c r="N568" s="664" t="e">
        <f t="shared" ca="1" si="527"/>
        <v>#NAME?</v>
      </c>
      <c r="O568" s="140" t="e">
        <f t="shared" ca="1" si="473"/>
        <v>#NAME?</v>
      </c>
      <c r="P568" s="352" t="e">
        <f t="shared" ca="1" si="486"/>
        <v>#NAME?</v>
      </c>
      <c r="Q568" s="665" t="e">
        <f t="shared" ca="1" si="467"/>
        <v>#NAME?</v>
      </c>
      <c r="R568" s="352" t="e">
        <f t="shared" ca="1" si="499"/>
        <v>#NAME?</v>
      </c>
      <c r="S568" s="662" t="e">
        <f t="shared" ca="1" si="474"/>
        <v>#NAME?</v>
      </c>
      <c r="T568" s="443" t="e">
        <f t="shared" ca="1" si="468"/>
        <v>#NAME?</v>
      </c>
      <c r="U568" s="369" t="e">
        <f t="shared" ca="1" si="469"/>
        <v>#NAME?</v>
      </c>
      <c r="V568" s="454" t="e">
        <f t="shared" ca="1" si="475"/>
        <v>#NAME?</v>
      </c>
      <c r="W568" s="457">
        <f t="shared" si="476"/>
        <v>1000</v>
      </c>
      <c r="X568" s="463" t="e">
        <f t="shared" ca="1" si="477"/>
        <v>#NAME?</v>
      </c>
      <c r="Y568" s="455" t="e">
        <f t="shared" ca="1" si="487"/>
        <v>#NAME?</v>
      </c>
      <c r="Z568" s="699">
        <f t="shared" si="470"/>
        <v>8.5</v>
      </c>
      <c r="AA568" s="355" t="str">
        <f t="shared" si="471"/>
        <v>ON</v>
      </c>
      <c r="AB568" s="357">
        <f t="shared" si="500"/>
        <v>1.4999999999999999E-2</v>
      </c>
      <c r="AC568" s="356" t="e">
        <f ca="1">IF(  Y567=0,0,IF(OR(S568="KCAS",S568="INOP",S568="MEFE"),   ( (5*( (   (((1+0.2*(T568/661.4786)^2)^3.5 -1)  )/( (1-6.8755856*10^-6 *100*Y568)^5.2558797) +1)^(2/7) -1) )^0.5),IF(S568="MACH",T568, IF(S568="LRC",BicubicInterpolation( 'LRC Mach'!$C$4:$AL$21, Y568,U568),  IF(S568="MRC",BicubicInterpolation( 'MRC Mach'!$C$3:$T$18, Y568,U568),  IF(S568="M0.84",0.84,  IF(S568="CI52",BicubicInterpolation('CI=52 Mach'!$C$3:$T$18, Y568,U568),  IF(S568="HOLDING",BicubicInterpolation(  'Holding Mach'!$C$4:$M$13, Y568,U568),                         IF(S568="LRCINOP", BicubicInterpolation('LRC INOP Mach'!$C$4:$AA$21,Y568,U568), IF(S568="HOLDINGINOP",  BicubicInterpolation('Holding INOP Mach'!$N$4:$U$13,Y568,U568),         "XXX" )))))))   )))</f>
        <v>#NAME?</v>
      </c>
      <c r="AD568" s="313" t="e">
        <f t="shared" ca="1" si="501"/>
        <v>#NAME?</v>
      </c>
      <c r="AE568" s="314" t="e">
        <f t="shared" ca="1" si="488"/>
        <v>#NAME?</v>
      </c>
      <c r="AF568" s="313" t="e">
        <f t="shared" ca="1" si="502"/>
        <v>#NAME?</v>
      </c>
      <c r="AG568" s="314" t="e">
        <f t="shared" ca="1" si="489"/>
        <v>#NAME?</v>
      </c>
      <c r="AH568" s="313" t="e">
        <f t="shared" ca="1" si="503"/>
        <v>#NAME?</v>
      </c>
      <c r="AI568" s="314" t="e">
        <f t="shared" ca="1" si="490"/>
        <v>#NAME?</v>
      </c>
      <c r="AJ568" s="315" t="e">
        <f t="shared" ca="1" si="491"/>
        <v>#NAME?</v>
      </c>
      <c r="AK568" s="568" t="e">
        <f t="shared" ca="1" si="504"/>
        <v>#NAME?</v>
      </c>
      <c r="AL568" s="313" t="e">
        <f t="shared" ca="1" si="505"/>
        <v>#NAME?</v>
      </c>
      <c r="AM568" s="313" t="e">
        <f t="shared" ca="1" si="492"/>
        <v>#NAME?</v>
      </c>
      <c r="AN568" s="313" t="e">
        <f t="shared" ca="1" si="493"/>
        <v>#NAME?</v>
      </c>
      <c r="AO568" s="316" t="e">
        <f t="shared" ca="1" si="506"/>
        <v>#NAME?</v>
      </c>
      <c r="AP568" s="313" t="e">
        <f t="shared" ca="1" si="507"/>
        <v>#NAME?</v>
      </c>
      <c r="AQ568" s="314" t="e">
        <f t="shared" ca="1" si="494"/>
        <v>#NAME?</v>
      </c>
      <c r="AR568" s="315" t="e">
        <f t="shared" ca="1" si="508"/>
        <v>#NAME?</v>
      </c>
      <c r="AS568" s="316" t="e">
        <f t="shared" ca="1" si="509"/>
        <v>#NAME?</v>
      </c>
      <c r="AT568" s="315" t="e">
        <f t="shared" ca="1" si="510"/>
        <v>#NAME?</v>
      </c>
      <c r="AU568" s="317">
        <v>427.8</v>
      </c>
      <c r="AV568" s="315" t="e">
        <f t="shared" ca="1" si="511"/>
        <v>#NAME?</v>
      </c>
      <c r="AW568" s="318" t="e">
        <f ca="1">0.0001*BicubicInterpolation('Drag Coef Table'!$B$4:$L$28,AV568,AC568)</f>
        <v>#NAME?</v>
      </c>
      <c r="AX568" s="319" t="e">
        <f t="shared" ca="1" si="512"/>
        <v>#NAME?</v>
      </c>
      <c r="AY568" s="318" t="e">
        <f t="shared" ca="1" si="513"/>
        <v>#NAME?</v>
      </c>
      <c r="AZ568" s="320" t="e">
        <f t="shared" ca="1" si="514"/>
        <v>#NAME?</v>
      </c>
      <c r="BA568" s="321" t="e">
        <f t="shared" ca="1" si="515"/>
        <v>#NAME?</v>
      </c>
      <c r="BB568" s="322" t="e">
        <f t="shared" ca="1" si="516"/>
        <v>#NAME?</v>
      </c>
      <c r="BC568" s="323">
        <v>75.196700000000007</v>
      </c>
      <c r="BD568" s="324" t="e">
        <f t="shared" ca="1" si="517"/>
        <v>#NAME?</v>
      </c>
      <c r="BE568" s="325" t="e">
        <f t="shared" ca="1" si="518"/>
        <v>#NAME?</v>
      </c>
      <c r="BF568" s="324" t="e">
        <f ca="1">BicubicInterpolation('TSFC Eff Table'!$B$4:$E$69,2,BB568)</f>
        <v>#NAME?</v>
      </c>
      <c r="BG568" s="326" t="e">
        <f t="shared" ca="1" si="519"/>
        <v>#NAME?</v>
      </c>
      <c r="BH568" s="694" t="e">
        <f ca="1">IF( S568="LRCINOP",   (1+(0.03/10)*Z568*(1+0.2*AC568^2) )*BicubicInterpolation( 'LRC INOP FF'!$C$4:$AA$21, Y568, U568 )-200, IF(S568 ="HOLDINGINOP", (1+(0.03/10)*Z568*(1+0.2*AC568^2) )*BicubicInterpolation( 'Holding INOP FF'!$C$4:$J$13,  Y568,  U568)/1.05-200,   BA568*BG568))</f>
        <v>#NAME?</v>
      </c>
      <c r="BI568" s="344" t="e">
        <f t="shared" ca="1" si="478"/>
        <v>#NAME?</v>
      </c>
      <c r="BJ568" s="322" t="e">
        <f t="shared" ca="1" si="520"/>
        <v>#NAME?</v>
      </c>
      <c r="BK568" s="338" t="e">
        <f t="shared" ca="1" si="479"/>
        <v>#NAME?</v>
      </c>
      <c r="BL568" s="327" t="e">
        <f t="shared" ca="1" si="521"/>
        <v>#NAME?</v>
      </c>
      <c r="BM568" s="328">
        <f t="shared" si="522"/>
        <v>200</v>
      </c>
      <c r="BN568" s="329" t="e">
        <f t="shared" ca="1" si="523"/>
        <v>#NAME?</v>
      </c>
      <c r="BO568" s="344" t="e">
        <f t="shared" ca="1" si="480"/>
        <v>#NAME?</v>
      </c>
      <c r="BP568" s="320" t="e">
        <f t="shared" ca="1" si="524"/>
        <v>#NAME?</v>
      </c>
      <c r="BQ568" s="344" t="e">
        <f t="shared" ca="1" si="481"/>
        <v>#NAME?</v>
      </c>
      <c r="BR568" s="347" t="e">
        <f t="shared" ca="1" si="482"/>
        <v>#NAME?</v>
      </c>
      <c r="BS568" s="326" t="e">
        <f t="shared" ca="1" si="525"/>
        <v>#NAME?</v>
      </c>
      <c r="BT568" s="437" t="e">
        <f t="shared" ca="1" si="495"/>
        <v>#NAME?</v>
      </c>
      <c r="BU568" s="437" t="e">
        <f t="shared" ca="1" si="496"/>
        <v>#NAME?</v>
      </c>
      <c r="BV568" s="441" t="e">
        <f t="shared" ca="1" si="497"/>
        <v>#NAME?</v>
      </c>
      <c r="BW568" s="442" t="e">
        <f t="shared" ca="1" si="498"/>
        <v>#NAME?</v>
      </c>
      <c r="BX568" s="470" t="e">
        <f t="shared" ca="1" si="472"/>
        <v>#NAME?</v>
      </c>
      <c r="BY568" s="484" t="e">
        <f t="shared" ca="1" si="483"/>
        <v>#NAME?</v>
      </c>
    </row>
    <row r="569" spans="9:77" ht="17.75" customHeight="1" x14ac:dyDescent="0.2">
      <c r="I569" s="366">
        <v>485</v>
      </c>
      <c r="J569" s="414">
        <f t="shared" si="484"/>
        <v>41706.049305556655</v>
      </c>
      <c r="K569" s="435" t="e">
        <f t="shared" ca="1" si="485"/>
        <v>#NAME?</v>
      </c>
      <c r="L569" s="435" t="e">
        <f t="shared" ca="1" si="528"/>
        <v>#NAME?</v>
      </c>
      <c r="M569" s="664" t="e">
        <f t="shared" ca="1" si="526"/>
        <v>#NAME?</v>
      </c>
      <c r="N569" s="664" t="e">
        <f t="shared" ca="1" si="527"/>
        <v>#NAME?</v>
      </c>
      <c r="O569" s="140" t="e">
        <f t="shared" ca="1" si="473"/>
        <v>#NAME?</v>
      </c>
      <c r="P569" s="352" t="e">
        <f t="shared" ca="1" si="486"/>
        <v>#NAME?</v>
      </c>
      <c r="Q569" s="665" t="e">
        <f t="shared" ca="1" si="467"/>
        <v>#NAME?</v>
      </c>
      <c r="R569" s="352" t="e">
        <f t="shared" ca="1" si="499"/>
        <v>#NAME?</v>
      </c>
      <c r="S569" s="662" t="e">
        <f t="shared" ca="1" si="474"/>
        <v>#NAME?</v>
      </c>
      <c r="T569" s="443" t="e">
        <f t="shared" ca="1" si="468"/>
        <v>#NAME?</v>
      </c>
      <c r="U569" s="369" t="e">
        <f t="shared" ca="1" si="469"/>
        <v>#NAME?</v>
      </c>
      <c r="V569" s="454" t="e">
        <f t="shared" ca="1" si="475"/>
        <v>#NAME?</v>
      </c>
      <c r="W569" s="457">
        <f t="shared" si="476"/>
        <v>1000</v>
      </c>
      <c r="X569" s="463" t="e">
        <f t="shared" ca="1" si="477"/>
        <v>#NAME?</v>
      </c>
      <c r="Y569" s="455" t="e">
        <f t="shared" ca="1" si="487"/>
        <v>#NAME?</v>
      </c>
      <c r="Z569" s="699">
        <f t="shared" si="470"/>
        <v>8.5</v>
      </c>
      <c r="AA569" s="355" t="str">
        <f t="shared" si="471"/>
        <v>ON</v>
      </c>
      <c r="AB569" s="357">
        <f t="shared" si="500"/>
        <v>1.4999999999999999E-2</v>
      </c>
      <c r="AC569" s="356" t="e">
        <f ca="1">IF(  Y568=0,0,IF(OR(S569="KCAS",S569="INOP",S569="MEFE"),   ( (5*( (   (((1+0.2*(T569/661.4786)^2)^3.5 -1)  )/( (1-6.8755856*10^-6 *100*Y569)^5.2558797) +1)^(2/7) -1) )^0.5),IF(S569="MACH",T569, IF(S569="LRC",BicubicInterpolation( 'LRC Mach'!$C$4:$AL$21, Y569,U569),  IF(S569="MRC",BicubicInterpolation( 'MRC Mach'!$C$3:$T$18, Y569,U569),  IF(S569="M0.84",0.84,  IF(S569="CI52",BicubicInterpolation('CI=52 Mach'!$C$3:$T$18, Y569,U569),  IF(S569="HOLDING",BicubicInterpolation(  'Holding Mach'!$C$4:$M$13, Y569,U569),                         IF(S569="LRCINOP", BicubicInterpolation('LRC INOP Mach'!$C$4:$AA$21,Y569,U569), IF(S569="HOLDINGINOP",  BicubicInterpolation('Holding INOP Mach'!$N$4:$U$13,Y569,U569),         "XXX" )))))))   )))</f>
        <v>#NAME?</v>
      </c>
      <c r="AD569" s="313" t="e">
        <f t="shared" ca="1" si="501"/>
        <v>#NAME?</v>
      </c>
      <c r="AE569" s="314" t="e">
        <f t="shared" ca="1" si="488"/>
        <v>#NAME?</v>
      </c>
      <c r="AF569" s="313" t="e">
        <f t="shared" ca="1" si="502"/>
        <v>#NAME?</v>
      </c>
      <c r="AG569" s="314" t="e">
        <f t="shared" ca="1" si="489"/>
        <v>#NAME?</v>
      </c>
      <c r="AH569" s="313" t="e">
        <f t="shared" ca="1" si="503"/>
        <v>#NAME?</v>
      </c>
      <c r="AI569" s="314" t="e">
        <f t="shared" ca="1" si="490"/>
        <v>#NAME?</v>
      </c>
      <c r="AJ569" s="315" t="e">
        <f t="shared" ca="1" si="491"/>
        <v>#NAME?</v>
      </c>
      <c r="AK569" s="568" t="e">
        <f t="shared" ca="1" si="504"/>
        <v>#NAME?</v>
      </c>
      <c r="AL569" s="313" t="e">
        <f t="shared" ca="1" si="505"/>
        <v>#NAME?</v>
      </c>
      <c r="AM569" s="313" t="e">
        <f t="shared" ca="1" si="492"/>
        <v>#NAME?</v>
      </c>
      <c r="AN569" s="313" t="e">
        <f t="shared" ca="1" si="493"/>
        <v>#NAME?</v>
      </c>
      <c r="AO569" s="316" t="e">
        <f t="shared" ca="1" si="506"/>
        <v>#NAME?</v>
      </c>
      <c r="AP569" s="313" t="e">
        <f t="shared" ca="1" si="507"/>
        <v>#NAME?</v>
      </c>
      <c r="AQ569" s="314" t="e">
        <f t="shared" ca="1" si="494"/>
        <v>#NAME?</v>
      </c>
      <c r="AR569" s="315" t="e">
        <f t="shared" ca="1" si="508"/>
        <v>#NAME?</v>
      </c>
      <c r="AS569" s="316" t="e">
        <f t="shared" ca="1" si="509"/>
        <v>#NAME?</v>
      </c>
      <c r="AT569" s="315" t="e">
        <f t="shared" ca="1" si="510"/>
        <v>#NAME?</v>
      </c>
      <c r="AU569" s="317">
        <v>427.8</v>
      </c>
      <c r="AV569" s="315" t="e">
        <f t="shared" ca="1" si="511"/>
        <v>#NAME?</v>
      </c>
      <c r="AW569" s="318" t="e">
        <f ca="1">0.0001*BicubicInterpolation('Drag Coef Table'!$B$4:$L$28,AV569,AC569)</f>
        <v>#NAME?</v>
      </c>
      <c r="AX569" s="319" t="e">
        <f t="shared" ca="1" si="512"/>
        <v>#NAME?</v>
      </c>
      <c r="AY569" s="318" t="e">
        <f t="shared" ca="1" si="513"/>
        <v>#NAME?</v>
      </c>
      <c r="AZ569" s="320" t="e">
        <f t="shared" ca="1" si="514"/>
        <v>#NAME?</v>
      </c>
      <c r="BA569" s="321" t="e">
        <f t="shared" ca="1" si="515"/>
        <v>#NAME?</v>
      </c>
      <c r="BB569" s="322" t="e">
        <f t="shared" ca="1" si="516"/>
        <v>#NAME?</v>
      </c>
      <c r="BC569" s="323">
        <v>75.196700000000007</v>
      </c>
      <c r="BD569" s="324" t="e">
        <f t="shared" ca="1" si="517"/>
        <v>#NAME?</v>
      </c>
      <c r="BE569" s="325" t="e">
        <f t="shared" ca="1" si="518"/>
        <v>#NAME?</v>
      </c>
      <c r="BF569" s="324" t="e">
        <f ca="1">BicubicInterpolation('TSFC Eff Table'!$B$4:$E$69,2,BB569)</f>
        <v>#NAME?</v>
      </c>
      <c r="BG569" s="326" t="e">
        <f t="shared" ca="1" si="519"/>
        <v>#NAME?</v>
      </c>
      <c r="BH569" s="694" t="e">
        <f ca="1">IF( S569="LRCINOP",   (1+(0.03/10)*Z569*(1+0.2*AC569^2) )*BicubicInterpolation( 'LRC INOP FF'!$C$4:$AA$21, Y569, U569 )-200, IF(S569 ="HOLDINGINOP", (1+(0.03/10)*Z569*(1+0.2*AC569^2) )*BicubicInterpolation( 'Holding INOP FF'!$C$4:$J$13,  Y569,  U569)/1.05-200,   BA569*BG569))</f>
        <v>#NAME?</v>
      </c>
      <c r="BI569" s="344" t="e">
        <f t="shared" ca="1" si="478"/>
        <v>#NAME?</v>
      </c>
      <c r="BJ569" s="322" t="e">
        <f t="shared" ca="1" si="520"/>
        <v>#NAME?</v>
      </c>
      <c r="BK569" s="338" t="e">
        <f t="shared" ca="1" si="479"/>
        <v>#NAME?</v>
      </c>
      <c r="BL569" s="327" t="e">
        <f t="shared" ca="1" si="521"/>
        <v>#NAME?</v>
      </c>
      <c r="BM569" s="328">
        <f t="shared" si="522"/>
        <v>200</v>
      </c>
      <c r="BN569" s="329" t="e">
        <f t="shared" ca="1" si="523"/>
        <v>#NAME?</v>
      </c>
      <c r="BO569" s="344" t="e">
        <f t="shared" ca="1" si="480"/>
        <v>#NAME?</v>
      </c>
      <c r="BP569" s="320" t="e">
        <f t="shared" ca="1" si="524"/>
        <v>#NAME?</v>
      </c>
      <c r="BQ569" s="344" t="e">
        <f t="shared" ca="1" si="481"/>
        <v>#NAME?</v>
      </c>
      <c r="BR569" s="347" t="e">
        <f t="shared" ca="1" si="482"/>
        <v>#NAME?</v>
      </c>
      <c r="BS569" s="326" t="e">
        <f t="shared" ca="1" si="525"/>
        <v>#NAME?</v>
      </c>
      <c r="BT569" s="437" t="e">
        <f t="shared" ca="1" si="495"/>
        <v>#NAME?</v>
      </c>
      <c r="BU569" s="437" t="e">
        <f t="shared" ca="1" si="496"/>
        <v>#NAME?</v>
      </c>
      <c r="BV569" s="441" t="e">
        <f t="shared" ca="1" si="497"/>
        <v>#NAME?</v>
      </c>
      <c r="BW569" s="442" t="e">
        <f t="shared" ca="1" si="498"/>
        <v>#NAME?</v>
      </c>
      <c r="BX569" s="470" t="e">
        <f t="shared" ca="1" si="472"/>
        <v>#NAME?</v>
      </c>
      <c r="BY569" s="484" t="e">
        <f t="shared" ca="1" si="483"/>
        <v>#NAME?</v>
      </c>
    </row>
    <row r="570" spans="9:77" ht="17.75" customHeight="1" x14ac:dyDescent="0.2">
      <c r="I570" s="366">
        <v>486</v>
      </c>
      <c r="J570" s="414">
        <f t="shared" si="484"/>
        <v>41706.050000001102</v>
      </c>
      <c r="K570" s="435" t="e">
        <f t="shared" ca="1" si="485"/>
        <v>#NAME?</v>
      </c>
      <c r="L570" s="435" t="e">
        <f t="shared" ca="1" si="528"/>
        <v>#NAME?</v>
      </c>
      <c r="M570" s="664" t="e">
        <f t="shared" ca="1" si="526"/>
        <v>#NAME?</v>
      </c>
      <c r="N570" s="664" t="e">
        <f t="shared" ca="1" si="527"/>
        <v>#NAME?</v>
      </c>
      <c r="O570" s="140" t="e">
        <f t="shared" ca="1" si="473"/>
        <v>#NAME?</v>
      </c>
      <c r="P570" s="352" t="e">
        <f t="shared" ca="1" si="486"/>
        <v>#NAME?</v>
      </c>
      <c r="Q570" s="665" t="e">
        <f t="shared" ca="1" si="467"/>
        <v>#NAME?</v>
      </c>
      <c r="R570" s="352" t="e">
        <f t="shared" ca="1" si="499"/>
        <v>#NAME?</v>
      </c>
      <c r="S570" s="662" t="e">
        <f t="shared" ca="1" si="474"/>
        <v>#NAME?</v>
      </c>
      <c r="T570" s="443" t="e">
        <f t="shared" ca="1" si="468"/>
        <v>#NAME?</v>
      </c>
      <c r="U570" s="369" t="e">
        <f t="shared" ca="1" si="469"/>
        <v>#NAME?</v>
      </c>
      <c r="V570" s="454" t="e">
        <f t="shared" ca="1" si="475"/>
        <v>#NAME?</v>
      </c>
      <c r="W570" s="457">
        <f t="shared" si="476"/>
        <v>1000</v>
      </c>
      <c r="X570" s="463" t="e">
        <f t="shared" ca="1" si="477"/>
        <v>#NAME?</v>
      </c>
      <c r="Y570" s="455" t="e">
        <f t="shared" ca="1" si="487"/>
        <v>#NAME?</v>
      </c>
      <c r="Z570" s="699">
        <f t="shared" si="470"/>
        <v>8.5</v>
      </c>
      <c r="AA570" s="355" t="str">
        <f t="shared" si="471"/>
        <v>ON</v>
      </c>
      <c r="AB570" s="357">
        <f t="shared" si="500"/>
        <v>1.4999999999999999E-2</v>
      </c>
      <c r="AC570" s="356" t="e">
        <f ca="1">IF(  Y569=0,0,IF(OR(S570="KCAS",S570="INOP",S570="MEFE"),   ( (5*( (   (((1+0.2*(T570/661.4786)^2)^3.5 -1)  )/( (1-6.8755856*10^-6 *100*Y570)^5.2558797) +1)^(2/7) -1) )^0.5),IF(S570="MACH",T570, IF(S570="LRC",BicubicInterpolation( 'LRC Mach'!$C$4:$AL$21, Y570,U570),  IF(S570="MRC",BicubicInterpolation( 'MRC Mach'!$C$3:$T$18, Y570,U570),  IF(S570="M0.84",0.84,  IF(S570="CI52",BicubicInterpolation('CI=52 Mach'!$C$3:$T$18, Y570,U570),  IF(S570="HOLDING",BicubicInterpolation(  'Holding Mach'!$C$4:$M$13, Y570,U570),                         IF(S570="LRCINOP", BicubicInterpolation('LRC INOP Mach'!$C$4:$AA$21,Y570,U570), IF(S570="HOLDINGINOP",  BicubicInterpolation('Holding INOP Mach'!$N$4:$U$13,Y570,U570),         "XXX" )))))))   )))</f>
        <v>#NAME?</v>
      </c>
      <c r="AD570" s="313" t="e">
        <f t="shared" ca="1" si="501"/>
        <v>#NAME?</v>
      </c>
      <c r="AE570" s="314" t="e">
        <f t="shared" ca="1" si="488"/>
        <v>#NAME?</v>
      </c>
      <c r="AF570" s="313" t="e">
        <f t="shared" ca="1" si="502"/>
        <v>#NAME?</v>
      </c>
      <c r="AG570" s="314" t="e">
        <f t="shared" ca="1" si="489"/>
        <v>#NAME?</v>
      </c>
      <c r="AH570" s="313" t="e">
        <f t="shared" ca="1" si="503"/>
        <v>#NAME?</v>
      </c>
      <c r="AI570" s="314" t="e">
        <f t="shared" ca="1" si="490"/>
        <v>#NAME?</v>
      </c>
      <c r="AJ570" s="315" t="e">
        <f t="shared" ca="1" si="491"/>
        <v>#NAME?</v>
      </c>
      <c r="AK570" s="568" t="e">
        <f t="shared" ca="1" si="504"/>
        <v>#NAME?</v>
      </c>
      <c r="AL570" s="313" t="e">
        <f t="shared" ca="1" si="505"/>
        <v>#NAME?</v>
      </c>
      <c r="AM570" s="313" t="e">
        <f t="shared" ca="1" si="492"/>
        <v>#NAME?</v>
      </c>
      <c r="AN570" s="313" t="e">
        <f t="shared" ca="1" si="493"/>
        <v>#NAME?</v>
      </c>
      <c r="AO570" s="316" t="e">
        <f t="shared" ca="1" si="506"/>
        <v>#NAME?</v>
      </c>
      <c r="AP570" s="313" t="e">
        <f t="shared" ca="1" si="507"/>
        <v>#NAME?</v>
      </c>
      <c r="AQ570" s="314" t="e">
        <f t="shared" ca="1" si="494"/>
        <v>#NAME?</v>
      </c>
      <c r="AR570" s="315" t="e">
        <f t="shared" ca="1" si="508"/>
        <v>#NAME?</v>
      </c>
      <c r="AS570" s="316" t="e">
        <f t="shared" ca="1" si="509"/>
        <v>#NAME?</v>
      </c>
      <c r="AT570" s="315" t="e">
        <f t="shared" ca="1" si="510"/>
        <v>#NAME?</v>
      </c>
      <c r="AU570" s="317">
        <v>427.8</v>
      </c>
      <c r="AV570" s="315" t="e">
        <f t="shared" ca="1" si="511"/>
        <v>#NAME?</v>
      </c>
      <c r="AW570" s="318" t="e">
        <f ca="1">0.0001*BicubicInterpolation('Drag Coef Table'!$B$4:$L$28,AV570,AC570)</f>
        <v>#NAME?</v>
      </c>
      <c r="AX570" s="319" t="e">
        <f t="shared" ca="1" si="512"/>
        <v>#NAME?</v>
      </c>
      <c r="AY570" s="318" t="e">
        <f t="shared" ca="1" si="513"/>
        <v>#NAME?</v>
      </c>
      <c r="AZ570" s="320" t="e">
        <f t="shared" ca="1" si="514"/>
        <v>#NAME?</v>
      </c>
      <c r="BA570" s="321" t="e">
        <f t="shared" ca="1" si="515"/>
        <v>#NAME?</v>
      </c>
      <c r="BB570" s="322" t="e">
        <f t="shared" ca="1" si="516"/>
        <v>#NAME?</v>
      </c>
      <c r="BC570" s="323">
        <v>75.196700000000007</v>
      </c>
      <c r="BD570" s="324" t="e">
        <f t="shared" ca="1" si="517"/>
        <v>#NAME?</v>
      </c>
      <c r="BE570" s="325" t="e">
        <f t="shared" ca="1" si="518"/>
        <v>#NAME?</v>
      </c>
      <c r="BF570" s="324" t="e">
        <f ca="1">BicubicInterpolation('TSFC Eff Table'!$B$4:$E$69,2,BB570)</f>
        <v>#NAME?</v>
      </c>
      <c r="BG570" s="326" t="e">
        <f t="shared" ca="1" si="519"/>
        <v>#NAME?</v>
      </c>
      <c r="BH570" s="694" t="e">
        <f ca="1">IF( S570="LRCINOP",   (1+(0.03/10)*Z570*(1+0.2*AC570^2) )*BicubicInterpolation( 'LRC INOP FF'!$C$4:$AA$21, Y570, U570 )-200, IF(S570 ="HOLDINGINOP", (1+(0.03/10)*Z570*(1+0.2*AC570^2) )*BicubicInterpolation( 'Holding INOP FF'!$C$4:$J$13,  Y570,  U570)/1.05-200,   BA570*BG570))</f>
        <v>#NAME?</v>
      </c>
      <c r="BI570" s="344" t="e">
        <f t="shared" ca="1" si="478"/>
        <v>#NAME?</v>
      </c>
      <c r="BJ570" s="322" t="e">
        <f t="shared" ca="1" si="520"/>
        <v>#NAME?</v>
      </c>
      <c r="BK570" s="338" t="e">
        <f t="shared" ca="1" si="479"/>
        <v>#NAME?</v>
      </c>
      <c r="BL570" s="327" t="e">
        <f t="shared" ca="1" si="521"/>
        <v>#NAME?</v>
      </c>
      <c r="BM570" s="328">
        <f t="shared" si="522"/>
        <v>200</v>
      </c>
      <c r="BN570" s="329" t="e">
        <f t="shared" ca="1" si="523"/>
        <v>#NAME?</v>
      </c>
      <c r="BO570" s="344" t="e">
        <f t="shared" ca="1" si="480"/>
        <v>#NAME?</v>
      </c>
      <c r="BP570" s="320" t="e">
        <f t="shared" ca="1" si="524"/>
        <v>#NAME?</v>
      </c>
      <c r="BQ570" s="344" t="e">
        <f t="shared" ca="1" si="481"/>
        <v>#NAME?</v>
      </c>
      <c r="BR570" s="347" t="e">
        <f t="shared" ca="1" si="482"/>
        <v>#NAME?</v>
      </c>
      <c r="BS570" s="326" t="e">
        <f t="shared" ca="1" si="525"/>
        <v>#NAME?</v>
      </c>
      <c r="BT570" s="437" t="e">
        <f t="shared" ca="1" si="495"/>
        <v>#NAME?</v>
      </c>
      <c r="BU570" s="437" t="e">
        <f t="shared" ca="1" si="496"/>
        <v>#NAME?</v>
      </c>
      <c r="BV570" s="441" t="e">
        <f t="shared" ca="1" si="497"/>
        <v>#NAME?</v>
      </c>
      <c r="BW570" s="442" t="e">
        <f t="shared" ca="1" si="498"/>
        <v>#NAME?</v>
      </c>
      <c r="BX570" s="470" t="e">
        <f t="shared" ca="1" si="472"/>
        <v>#NAME?</v>
      </c>
      <c r="BY570" s="484" t="e">
        <f t="shared" ca="1" si="483"/>
        <v>#NAME?</v>
      </c>
    </row>
    <row r="571" spans="9:77" ht="17.75" customHeight="1" x14ac:dyDescent="0.2">
      <c r="I571" s="366">
        <v>487</v>
      </c>
      <c r="J571" s="414">
        <f t="shared" si="484"/>
        <v>41706.050694445548</v>
      </c>
      <c r="K571" s="435" t="e">
        <f t="shared" ca="1" si="485"/>
        <v>#NAME?</v>
      </c>
      <c r="L571" s="435" t="e">
        <f t="shared" ca="1" si="528"/>
        <v>#NAME?</v>
      </c>
      <c r="M571" s="664" t="e">
        <f t="shared" ca="1" si="526"/>
        <v>#NAME?</v>
      </c>
      <c r="N571" s="664" t="e">
        <f t="shared" ca="1" si="527"/>
        <v>#NAME?</v>
      </c>
      <c r="O571" s="140" t="e">
        <f t="shared" ca="1" si="473"/>
        <v>#NAME?</v>
      </c>
      <c r="P571" s="352" t="e">
        <f t="shared" ca="1" si="486"/>
        <v>#NAME?</v>
      </c>
      <c r="Q571" s="665" t="e">
        <f t="shared" ca="1" si="467"/>
        <v>#NAME?</v>
      </c>
      <c r="R571" s="352" t="e">
        <f t="shared" ca="1" si="499"/>
        <v>#NAME?</v>
      </c>
      <c r="S571" s="662" t="e">
        <f t="shared" ca="1" si="474"/>
        <v>#NAME?</v>
      </c>
      <c r="T571" s="443" t="e">
        <f t="shared" ca="1" si="468"/>
        <v>#NAME?</v>
      </c>
      <c r="U571" s="369" t="e">
        <f t="shared" ca="1" si="469"/>
        <v>#NAME?</v>
      </c>
      <c r="V571" s="454" t="e">
        <f t="shared" ca="1" si="475"/>
        <v>#NAME?</v>
      </c>
      <c r="W571" s="457">
        <f t="shared" si="476"/>
        <v>1000</v>
      </c>
      <c r="X571" s="463" t="e">
        <f t="shared" ca="1" si="477"/>
        <v>#NAME?</v>
      </c>
      <c r="Y571" s="455" t="e">
        <f t="shared" ca="1" si="487"/>
        <v>#NAME?</v>
      </c>
      <c r="Z571" s="699">
        <f t="shared" si="470"/>
        <v>8.5</v>
      </c>
      <c r="AA571" s="355" t="str">
        <f t="shared" si="471"/>
        <v>ON</v>
      </c>
      <c r="AB571" s="357">
        <f t="shared" si="500"/>
        <v>1.4999999999999999E-2</v>
      </c>
      <c r="AC571" s="356" t="e">
        <f ca="1">IF(  Y570=0,0,IF(OR(S571="KCAS",S571="INOP",S571="MEFE"),   ( (5*( (   (((1+0.2*(T571/661.4786)^2)^3.5 -1)  )/( (1-6.8755856*10^-6 *100*Y571)^5.2558797) +1)^(2/7) -1) )^0.5),IF(S571="MACH",T571, IF(S571="LRC",BicubicInterpolation( 'LRC Mach'!$C$4:$AL$21, Y571,U571),  IF(S571="MRC",BicubicInterpolation( 'MRC Mach'!$C$3:$T$18, Y571,U571),  IF(S571="M0.84",0.84,  IF(S571="CI52",BicubicInterpolation('CI=52 Mach'!$C$3:$T$18, Y571,U571),  IF(S571="HOLDING",BicubicInterpolation(  'Holding Mach'!$C$4:$M$13, Y571,U571),                         IF(S571="LRCINOP", BicubicInterpolation('LRC INOP Mach'!$C$4:$AA$21,Y571,U571), IF(S571="HOLDINGINOP",  BicubicInterpolation('Holding INOP Mach'!$N$4:$U$13,Y571,U571),         "XXX" )))))))   )))</f>
        <v>#NAME?</v>
      </c>
      <c r="AD571" s="313" t="e">
        <f t="shared" ca="1" si="501"/>
        <v>#NAME?</v>
      </c>
      <c r="AE571" s="314" t="e">
        <f t="shared" ca="1" si="488"/>
        <v>#NAME?</v>
      </c>
      <c r="AF571" s="313" t="e">
        <f t="shared" ca="1" si="502"/>
        <v>#NAME?</v>
      </c>
      <c r="AG571" s="314" t="e">
        <f t="shared" ca="1" si="489"/>
        <v>#NAME?</v>
      </c>
      <c r="AH571" s="313" t="e">
        <f t="shared" ca="1" si="503"/>
        <v>#NAME?</v>
      </c>
      <c r="AI571" s="314" t="e">
        <f t="shared" ca="1" si="490"/>
        <v>#NAME?</v>
      </c>
      <c r="AJ571" s="315" t="e">
        <f t="shared" ca="1" si="491"/>
        <v>#NAME?</v>
      </c>
      <c r="AK571" s="568" t="e">
        <f t="shared" ca="1" si="504"/>
        <v>#NAME?</v>
      </c>
      <c r="AL571" s="313" t="e">
        <f t="shared" ca="1" si="505"/>
        <v>#NAME?</v>
      </c>
      <c r="AM571" s="313" t="e">
        <f t="shared" ca="1" si="492"/>
        <v>#NAME?</v>
      </c>
      <c r="AN571" s="313" t="e">
        <f t="shared" ca="1" si="493"/>
        <v>#NAME?</v>
      </c>
      <c r="AO571" s="316" t="e">
        <f t="shared" ca="1" si="506"/>
        <v>#NAME?</v>
      </c>
      <c r="AP571" s="313" t="e">
        <f t="shared" ca="1" si="507"/>
        <v>#NAME?</v>
      </c>
      <c r="AQ571" s="314" t="e">
        <f t="shared" ca="1" si="494"/>
        <v>#NAME?</v>
      </c>
      <c r="AR571" s="315" t="e">
        <f t="shared" ca="1" si="508"/>
        <v>#NAME?</v>
      </c>
      <c r="AS571" s="316" t="e">
        <f t="shared" ca="1" si="509"/>
        <v>#NAME?</v>
      </c>
      <c r="AT571" s="315" t="e">
        <f t="shared" ca="1" si="510"/>
        <v>#NAME?</v>
      </c>
      <c r="AU571" s="317">
        <v>427.8</v>
      </c>
      <c r="AV571" s="315" t="e">
        <f t="shared" ca="1" si="511"/>
        <v>#NAME?</v>
      </c>
      <c r="AW571" s="318" t="e">
        <f ca="1">0.0001*BicubicInterpolation('Drag Coef Table'!$B$4:$L$28,AV571,AC571)</f>
        <v>#NAME?</v>
      </c>
      <c r="AX571" s="319" t="e">
        <f t="shared" ca="1" si="512"/>
        <v>#NAME?</v>
      </c>
      <c r="AY571" s="318" t="e">
        <f t="shared" ca="1" si="513"/>
        <v>#NAME?</v>
      </c>
      <c r="AZ571" s="320" t="e">
        <f t="shared" ca="1" si="514"/>
        <v>#NAME?</v>
      </c>
      <c r="BA571" s="321" t="e">
        <f t="shared" ca="1" si="515"/>
        <v>#NAME?</v>
      </c>
      <c r="BB571" s="322" t="e">
        <f t="shared" ca="1" si="516"/>
        <v>#NAME?</v>
      </c>
      <c r="BC571" s="323">
        <v>75.196700000000007</v>
      </c>
      <c r="BD571" s="324" t="e">
        <f t="shared" ca="1" si="517"/>
        <v>#NAME?</v>
      </c>
      <c r="BE571" s="325" t="e">
        <f t="shared" ca="1" si="518"/>
        <v>#NAME?</v>
      </c>
      <c r="BF571" s="324" t="e">
        <f ca="1">BicubicInterpolation('TSFC Eff Table'!$B$4:$E$69,2,BB571)</f>
        <v>#NAME?</v>
      </c>
      <c r="BG571" s="326" t="e">
        <f t="shared" ca="1" si="519"/>
        <v>#NAME?</v>
      </c>
      <c r="BH571" s="694" t="e">
        <f ca="1">IF( S571="LRCINOP",   (1+(0.03/10)*Z571*(1+0.2*AC571^2) )*BicubicInterpolation( 'LRC INOP FF'!$C$4:$AA$21, Y571, U571 )-200, IF(S571 ="HOLDINGINOP", (1+(0.03/10)*Z571*(1+0.2*AC571^2) )*BicubicInterpolation( 'Holding INOP FF'!$C$4:$J$13,  Y571,  U571)/1.05-200,   BA571*BG571))</f>
        <v>#NAME?</v>
      </c>
      <c r="BI571" s="344" t="e">
        <f t="shared" ca="1" si="478"/>
        <v>#NAME?</v>
      </c>
      <c r="BJ571" s="322" t="e">
        <f t="shared" ca="1" si="520"/>
        <v>#NAME?</v>
      </c>
      <c r="BK571" s="338" t="e">
        <f t="shared" ca="1" si="479"/>
        <v>#NAME?</v>
      </c>
      <c r="BL571" s="327" t="e">
        <f t="shared" ca="1" si="521"/>
        <v>#NAME?</v>
      </c>
      <c r="BM571" s="328">
        <f t="shared" si="522"/>
        <v>200</v>
      </c>
      <c r="BN571" s="329" t="e">
        <f t="shared" ca="1" si="523"/>
        <v>#NAME?</v>
      </c>
      <c r="BO571" s="344" t="e">
        <f t="shared" ca="1" si="480"/>
        <v>#NAME?</v>
      </c>
      <c r="BP571" s="320" t="e">
        <f t="shared" ca="1" si="524"/>
        <v>#NAME?</v>
      </c>
      <c r="BQ571" s="344" t="e">
        <f t="shared" ca="1" si="481"/>
        <v>#NAME?</v>
      </c>
      <c r="BR571" s="347" t="e">
        <f t="shared" ca="1" si="482"/>
        <v>#NAME?</v>
      </c>
      <c r="BS571" s="326" t="e">
        <f t="shared" ca="1" si="525"/>
        <v>#NAME?</v>
      </c>
      <c r="BT571" s="437" t="e">
        <f t="shared" ca="1" si="495"/>
        <v>#NAME?</v>
      </c>
      <c r="BU571" s="437" t="e">
        <f t="shared" ca="1" si="496"/>
        <v>#NAME?</v>
      </c>
      <c r="BV571" s="441" t="e">
        <f t="shared" ca="1" si="497"/>
        <v>#NAME?</v>
      </c>
      <c r="BW571" s="442" t="e">
        <f t="shared" ca="1" si="498"/>
        <v>#NAME?</v>
      </c>
      <c r="BX571" s="470" t="e">
        <f t="shared" ca="1" si="472"/>
        <v>#NAME?</v>
      </c>
      <c r="BY571" s="484" t="e">
        <f t="shared" ca="1" si="483"/>
        <v>#NAME?</v>
      </c>
    </row>
    <row r="572" spans="9:77" ht="17.75" customHeight="1" x14ac:dyDescent="0.2">
      <c r="I572" s="366">
        <v>488</v>
      </c>
      <c r="J572" s="414">
        <f t="shared" si="484"/>
        <v>41706.051388889995</v>
      </c>
      <c r="K572" s="435" t="e">
        <f t="shared" ca="1" si="485"/>
        <v>#NAME?</v>
      </c>
      <c r="L572" s="435" t="e">
        <f t="shared" ca="1" si="528"/>
        <v>#NAME?</v>
      </c>
      <c r="M572" s="664" t="e">
        <f t="shared" ca="1" si="526"/>
        <v>#NAME?</v>
      </c>
      <c r="N572" s="664" t="e">
        <f t="shared" ca="1" si="527"/>
        <v>#NAME?</v>
      </c>
      <c r="O572" s="140" t="e">
        <f t="shared" ca="1" si="473"/>
        <v>#NAME?</v>
      </c>
      <c r="P572" s="352" t="e">
        <f t="shared" ca="1" si="486"/>
        <v>#NAME?</v>
      </c>
      <c r="Q572" s="665" t="e">
        <f t="shared" ca="1" si="467"/>
        <v>#NAME?</v>
      </c>
      <c r="R572" s="352" t="e">
        <f t="shared" ca="1" si="499"/>
        <v>#NAME?</v>
      </c>
      <c r="S572" s="662" t="e">
        <f t="shared" ca="1" si="474"/>
        <v>#NAME?</v>
      </c>
      <c r="T572" s="443" t="e">
        <f t="shared" ca="1" si="468"/>
        <v>#NAME?</v>
      </c>
      <c r="U572" s="369" t="e">
        <f t="shared" ca="1" si="469"/>
        <v>#NAME?</v>
      </c>
      <c r="V572" s="454" t="e">
        <f t="shared" ca="1" si="475"/>
        <v>#NAME?</v>
      </c>
      <c r="W572" s="457">
        <f t="shared" si="476"/>
        <v>1000</v>
      </c>
      <c r="X572" s="463" t="e">
        <f t="shared" ca="1" si="477"/>
        <v>#NAME?</v>
      </c>
      <c r="Y572" s="455" t="e">
        <f t="shared" ca="1" si="487"/>
        <v>#NAME?</v>
      </c>
      <c r="Z572" s="699">
        <f t="shared" si="470"/>
        <v>8.5</v>
      </c>
      <c r="AA572" s="355" t="str">
        <f t="shared" si="471"/>
        <v>ON</v>
      </c>
      <c r="AB572" s="357">
        <f t="shared" si="500"/>
        <v>1.4999999999999999E-2</v>
      </c>
      <c r="AC572" s="356" t="e">
        <f ca="1">IF(  Y571=0,0,IF(OR(S572="KCAS",S572="INOP",S572="MEFE"),   ( (5*( (   (((1+0.2*(T572/661.4786)^2)^3.5 -1)  )/( (1-6.8755856*10^-6 *100*Y572)^5.2558797) +1)^(2/7) -1) )^0.5),IF(S572="MACH",T572, IF(S572="LRC",BicubicInterpolation( 'LRC Mach'!$C$4:$AL$21, Y572,U572),  IF(S572="MRC",BicubicInterpolation( 'MRC Mach'!$C$3:$T$18, Y572,U572),  IF(S572="M0.84",0.84,  IF(S572="CI52",BicubicInterpolation('CI=52 Mach'!$C$3:$T$18, Y572,U572),  IF(S572="HOLDING",BicubicInterpolation(  'Holding Mach'!$C$4:$M$13, Y572,U572),                         IF(S572="LRCINOP", BicubicInterpolation('LRC INOP Mach'!$C$4:$AA$21,Y572,U572), IF(S572="HOLDINGINOP",  BicubicInterpolation('Holding INOP Mach'!$N$4:$U$13,Y572,U572),         "XXX" )))))))   )))</f>
        <v>#NAME?</v>
      </c>
      <c r="AD572" s="313" t="e">
        <f t="shared" ca="1" si="501"/>
        <v>#NAME?</v>
      </c>
      <c r="AE572" s="314" t="e">
        <f t="shared" ca="1" si="488"/>
        <v>#NAME?</v>
      </c>
      <c r="AF572" s="313" t="e">
        <f t="shared" ca="1" si="502"/>
        <v>#NAME?</v>
      </c>
      <c r="AG572" s="314" t="e">
        <f t="shared" ca="1" si="489"/>
        <v>#NAME?</v>
      </c>
      <c r="AH572" s="313" t="e">
        <f t="shared" ca="1" si="503"/>
        <v>#NAME?</v>
      </c>
      <c r="AI572" s="314" t="e">
        <f t="shared" ca="1" si="490"/>
        <v>#NAME?</v>
      </c>
      <c r="AJ572" s="315" t="e">
        <f t="shared" ca="1" si="491"/>
        <v>#NAME?</v>
      </c>
      <c r="AK572" s="568" t="e">
        <f t="shared" ca="1" si="504"/>
        <v>#NAME?</v>
      </c>
      <c r="AL572" s="313" t="e">
        <f t="shared" ca="1" si="505"/>
        <v>#NAME?</v>
      </c>
      <c r="AM572" s="313" t="e">
        <f t="shared" ca="1" si="492"/>
        <v>#NAME?</v>
      </c>
      <c r="AN572" s="313" t="e">
        <f t="shared" ca="1" si="493"/>
        <v>#NAME?</v>
      </c>
      <c r="AO572" s="316" t="e">
        <f t="shared" ca="1" si="506"/>
        <v>#NAME?</v>
      </c>
      <c r="AP572" s="313" t="e">
        <f t="shared" ca="1" si="507"/>
        <v>#NAME?</v>
      </c>
      <c r="AQ572" s="314" t="e">
        <f t="shared" ca="1" si="494"/>
        <v>#NAME?</v>
      </c>
      <c r="AR572" s="315" t="e">
        <f t="shared" ca="1" si="508"/>
        <v>#NAME?</v>
      </c>
      <c r="AS572" s="316" t="e">
        <f t="shared" ca="1" si="509"/>
        <v>#NAME?</v>
      </c>
      <c r="AT572" s="315" t="e">
        <f t="shared" ca="1" si="510"/>
        <v>#NAME?</v>
      </c>
      <c r="AU572" s="317">
        <v>427.8</v>
      </c>
      <c r="AV572" s="315" t="e">
        <f t="shared" ca="1" si="511"/>
        <v>#NAME?</v>
      </c>
      <c r="AW572" s="318" t="e">
        <f ca="1">0.0001*BicubicInterpolation('Drag Coef Table'!$B$4:$L$28,AV572,AC572)</f>
        <v>#NAME?</v>
      </c>
      <c r="AX572" s="319" t="e">
        <f t="shared" ca="1" si="512"/>
        <v>#NAME?</v>
      </c>
      <c r="AY572" s="318" t="e">
        <f t="shared" ca="1" si="513"/>
        <v>#NAME?</v>
      </c>
      <c r="AZ572" s="320" t="e">
        <f t="shared" ca="1" si="514"/>
        <v>#NAME?</v>
      </c>
      <c r="BA572" s="321" t="e">
        <f t="shared" ca="1" si="515"/>
        <v>#NAME?</v>
      </c>
      <c r="BB572" s="322" t="e">
        <f t="shared" ca="1" si="516"/>
        <v>#NAME?</v>
      </c>
      <c r="BC572" s="323">
        <v>75.196700000000007</v>
      </c>
      <c r="BD572" s="324" t="e">
        <f t="shared" ca="1" si="517"/>
        <v>#NAME?</v>
      </c>
      <c r="BE572" s="325" t="e">
        <f t="shared" ca="1" si="518"/>
        <v>#NAME?</v>
      </c>
      <c r="BF572" s="324" t="e">
        <f ca="1">BicubicInterpolation('TSFC Eff Table'!$B$4:$E$69,2,BB572)</f>
        <v>#NAME?</v>
      </c>
      <c r="BG572" s="326" t="e">
        <f t="shared" ca="1" si="519"/>
        <v>#NAME?</v>
      </c>
      <c r="BH572" s="694" t="e">
        <f ca="1">IF( S572="LRCINOP",   (1+(0.03/10)*Z572*(1+0.2*AC572^2) )*BicubicInterpolation( 'LRC INOP FF'!$C$4:$AA$21, Y572, U572 )-200, IF(S572 ="HOLDINGINOP", (1+(0.03/10)*Z572*(1+0.2*AC572^2) )*BicubicInterpolation( 'Holding INOP FF'!$C$4:$J$13,  Y572,  U572)/1.05-200,   BA572*BG572))</f>
        <v>#NAME?</v>
      </c>
      <c r="BI572" s="344" t="e">
        <f t="shared" ca="1" si="478"/>
        <v>#NAME?</v>
      </c>
      <c r="BJ572" s="322" t="e">
        <f t="shared" ca="1" si="520"/>
        <v>#NAME?</v>
      </c>
      <c r="BK572" s="338" t="e">
        <f t="shared" ca="1" si="479"/>
        <v>#NAME?</v>
      </c>
      <c r="BL572" s="327" t="e">
        <f t="shared" ca="1" si="521"/>
        <v>#NAME?</v>
      </c>
      <c r="BM572" s="328">
        <f t="shared" si="522"/>
        <v>200</v>
      </c>
      <c r="BN572" s="329" t="e">
        <f t="shared" ca="1" si="523"/>
        <v>#NAME?</v>
      </c>
      <c r="BO572" s="344" t="e">
        <f t="shared" ca="1" si="480"/>
        <v>#NAME?</v>
      </c>
      <c r="BP572" s="320" t="e">
        <f t="shared" ca="1" si="524"/>
        <v>#NAME?</v>
      </c>
      <c r="BQ572" s="344" t="e">
        <f t="shared" ca="1" si="481"/>
        <v>#NAME?</v>
      </c>
      <c r="BR572" s="347" t="e">
        <f t="shared" ca="1" si="482"/>
        <v>#NAME?</v>
      </c>
      <c r="BS572" s="326" t="e">
        <f t="shared" ca="1" si="525"/>
        <v>#NAME?</v>
      </c>
      <c r="BT572" s="437" t="e">
        <f t="shared" ca="1" si="495"/>
        <v>#NAME?</v>
      </c>
      <c r="BU572" s="437" t="e">
        <f t="shared" ca="1" si="496"/>
        <v>#NAME?</v>
      </c>
      <c r="BV572" s="441" t="e">
        <f t="shared" ca="1" si="497"/>
        <v>#NAME?</v>
      </c>
      <c r="BW572" s="442" t="e">
        <f t="shared" ca="1" si="498"/>
        <v>#NAME?</v>
      </c>
      <c r="BX572" s="470" t="e">
        <f t="shared" ca="1" si="472"/>
        <v>#NAME?</v>
      </c>
      <c r="BY572" s="484" t="e">
        <f t="shared" ca="1" si="483"/>
        <v>#NAME?</v>
      </c>
    </row>
    <row r="573" spans="9:77" ht="17.75" customHeight="1" x14ac:dyDescent="0.2">
      <c r="I573" s="366">
        <v>489</v>
      </c>
      <c r="J573" s="414">
        <f t="shared" si="484"/>
        <v>41706.052083334442</v>
      </c>
      <c r="K573" s="435" t="e">
        <f t="shared" ca="1" si="485"/>
        <v>#NAME?</v>
      </c>
      <c r="L573" s="435" t="e">
        <f t="shared" ca="1" si="528"/>
        <v>#NAME?</v>
      </c>
      <c r="M573" s="664" t="e">
        <f t="shared" ca="1" si="526"/>
        <v>#NAME?</v>
      </c>
      <c r="N573" s="664" t="e">
        <f t="shared" ca="1" si="527"/>
        <v>#NAME?</v>
      </c>
      <c r="O573" s="140" t="e">
        <f t="shared" ca="1" si="473"/>
        <v>#NAME?</v>
      </c>
      <c r="P573" s="352" t="e">
        <f t="shared" ca="1" si="486"/>
        <v>#NAME?</v>
      </c>
      <c r="Q573" s="665" t="e">
        <f t="shared" ca="1" si="467"/>
        <v>#NAME?</v>
      </c>
      <c r="R573" s="352" t="e">
        <f t="shared" ca="1" si="499"/>
        <v>#NAME?</v>
      </c>
      <c r="S573" s="662" t="e">
        <f t="shared" ca="1" si="474"/>
        <v>#NAME?</v>
      </c>
      <c r="T573" s="443" t="e">
        <f t="shared" ca="1" si="468"/>
        <v>#NAME?</v>
      </c>
      <c r="U573" s="369" t="e">
        <f t="shared" ca="1" si="469"/>
        <v>#NAME?</v>
      </c>
      <c r="V573" s="454" t="e">
        <f t="shared" ca="1" si="475"/>
        <v>#NAME?</v>
      </c>
      <c r="W573" s="457">
        <f t="shared" si="476"/>
        <v>1000</v>
      </c>
      <c r="X573" s="463" t="e">
        <f t="shared" ca="1" si="477"/>
        <v>#NAME?</v>
      </c>
      <c r="Y573" s="455" t="e">
        <f t="shared" ca="1" si="487"/>
        <v>#NAME?</v>
      </c>
      <c r="Z573" s="699">
        <f t="shared" si="470"/>
        <v>8.5</v>
      </c>
      <c r="AA573" s="355" t="str">
        <f t="shared" si="471"/>
        <v>ON</v>
      </c>
      <c r="AB573" s="357">
        <f t="shared" si="500"/>
        <v>1.4999999999999999E-2</v>
      </c>
      <c r="AC573" s="356" t="e">
        <f ca="1">IF(  Y572=0,0,IF(OR(S573="KCAS",S573="INOP",S573="MEFE"),   ( (5*( (   (((1+0.2*(T573/661.4786)^2)^3.5 -1)  )/( (1-6.8755856*10^-6 *100*Y573)^5.2558797) +1)^(2/7) -1) )^0.5),IF(S573="MACH",T573, IF(S573="LRC",BicubicInterpolation( 'LRC Mach'!$C$4:$AL$21, Y573,U573),  IF(S573="MRC",BicubicInterpolation( 'MRC Mach'!$C$3:$T$18, Y573,U573),  IF(S573="M0.84",0.84,  IF(S573="CI52",BicubicInterpolation('CI=52 Mach'!$C$3:$T$18, Y573,U573),  IF(S573="HOLDING",BicubicInterpolation(  'Holding Mach'!$C$4:$M$13, Y573,U573),                         IF(S573="LRCINOP", BicubicInterpolation('LRC INOP Mach'!$C$4:$AA$21,Y573,U573), IF(S573="HOLDINGINOP",  BicubicInterpolation('Holding INOP Mach'!$N$4:$U$13,Y573,U573),         "XXX" )))))))   )))</f>
        <v>#NAME?</v>
      </c>
      <c r="AD573" s="313" t="e">
        <f t="shared" ca="1" si="501"/>
        <v>#NAME?</v>
      </c>
      <c r="AE573" s="314" t="e">
        <f t="shared" ca="1" si="488"/>
        <v>#NAME?</v>
      </c>
      <c r="AF573" s="313" t="e">
        <f t="shared" ca="1" si="502"/>
        <v>#NAME?</v>
      </c>
      <c r="AG573" s="314" t="e">
        <f t="shared" ca="1" si="489"/>
        <v>#NAME?</v>
      </c>
      <c r="AH573" s="313" t="e">
        <f t="shared" ca="1" si="503"/>
        <v>#NAME?</v>
      </c>
      <c r="AI573" s="314" t="e">
        <f t="shared" ca="1" si="490"/>
        <v>#NAME?</v>
      </c>
      <c r="AJ573" s="315" t="e">
        <f t="shared" ca="1" si="491"/>
        <v>#NAME?</v>
      </c>
      <c r="AK573" s="568" t="e">
        <f t="shared" ca="1" si="504"/>
        <v>#NAME?</v>
      </c>
      <c r="AL573" s="313" t="e">
        <f t="shared" ca="1" si="505"/>
        <v>#NAME?</v>
      </c>
      <c r="AM573" s="313" t="e">
        <f t="shared" ca="1" si="492"/>
        <v>#NAME?</v>
      </c>
      <c r="AN573" s="313" t="e">
        <f t="shared" ca="1" si="493"/>
        <v>#NAME?</v>
      </c>
      <c r="AO573" s="316" t="e">
        <f t="shared" ca="1" si="506"/>
        <v>#NAME?</v>
      </c>
      <c r="AP573" s="313" t="e">
        <f t="shared" ca="1" si="507"/>
        <v>#NAME?</v>
      </c>
      <c r="AQ573" s="314" t="e">
        <f t="shared" ca="1" si="494"/>
        <v>#NAME?</v>
      </c>
      <c r="AR573" s="315" t="e">
        <f t="shared" ca="1" si="508"/>
        <v>#NAME?</v>
      </c>
      <c r="AS573" s="316" t="e">
        <f t="shared" ca="1" si="509"/>
        <v>#NAME?</v>
      </c>
      <c r="AT573" s="315" t="e">
        <f t="shared" ca="1" si="510"/>
        <v>#NAME?</v>
      </c>
      <c r="AU573" s="317">
        <v>427.8</v>
      </c>
      <c r="AV573" s="315" t="e">
        <f t="shared" ca="1" si="511"/>
        <v>#NAME?</v>
      </c>
      <c r="AW573" s="318" t="e">
        <f ca="1">0.0001*BicubicInterpolation('Drag Coef Table'!$B$4:$L$28,AV573,AC573)</f>
        <v>#NAME?</v>
      </c>
      <c r="AX573" s="319" t="e">
        <f t="shared" ca="1" si="512"/>
        <v>#NAME?</v>
      </c>
      <c r="AY573" s="318" t="e">
        <f t="shared" ca="1" si="513"/>
        <v>#NAME?</v>
      </c>
      <c r="AZ573" s="320" t="e">
        <f t="shared" ca="1" si="514"/>
        <v>#NAME?</v>
      </c>
      <c r="BA573" s="321" t="e">
        <f t="shared" ca="1" si="515"/>
        <v>#NAME?</v>
      </c>
      <c r="BB573" s="322" t="e">
        <f t="shared" ca="1" si="516"/>
        <v>#NAME?</v>
      </c>
      <c r="BC573" s="323">
        <v>75.196700000000007</v>
      </c>
      <c r="BD573" s="324" t="e">
        <f t="shared" ca="1" si="517"/>
        <v>#NAME?</v>
      </c>
      <c r="BE573" s="325" t="e">
        <f t="shared" ca="1" si="518"/>
        <v>#NAME?</v>
      </c>
      <c r="BF573" s="324" t="e">
        <f ca="1">BicubicInterpolation('TSFC Eff Table'!$B$4:$E$69,2,BB573)</f>
        <v>#NAME?</v>
      </c>
      <c r="BG573" s="326" t="e">
        <f t="shared" ca="1" si="519"/>
        <v>#NAME?</v>
      </c>
      <c r="BH573" s="694" t="e">
        <f ca="1">IF( S573="LRCINOP",   (1+(0.03/10)*Z573*(1+0.2*AC573^2) )*BicubicInterpolation( 'LRC INOP FF'!$C$4:$AA$21, Y573, U573 )-200, IF(S573 ="HOLDINGINOP", (1+(0.03/10)*Z573*(1+0.2*AC573^2) )*BicubicInterpolation( 'Holding INOP FF'!$C$4:$J$13,  Y573,  U573)/1.05-200,   BA573*BG573))</f>
        <v>#NAME?</v>
      </c>
      <c r="BI573" s="344" t="e">
        <f t="shared" ca="1" si="478"/>
        <v>#NAME?</v>
      </c>
      <c r="BJ573" s="322" t="e">
        <f t="shared" ca="1" si="520"/>
        <v>#NAME?</v>
      </c>
      <c r="BK573" s="338" t="e">
        <f t="shared" ca="1" si="479"/>
        <v>#NAME?</v>
      </c>
      <c r="BL573" s="327" t="e">
        <f t="shared" ca="1" si="521"/>
        <v>#NAME?</v>
      </c>
      <c r="BM573" s="328">
        <f t="shared" si="522"/>
        <v>200</v>
      </c>
      <c r="BN573" s="329" t="e">
        <f t="shared" ca="1" si="523"/>
        <v>#NAME?</v>
      </c>
      <c r="BO573" s="344" t="e">
        <f t="shared" ca="1" si="480"/>
        <v>#NAME?</v>
      </c>
      <c r="BP573" s="320" t="e">
        <f t="shared" ca="1" si="524"/>
        <v>#NAME?</v>
      </c>
      <c r="BQ573" s="344" t="e">
        <f t="shared" ca="1" si="481"/>
        <v>#NAME?</v>
      </c>
      <c r="BR573" s="347" t="e">
        <f t="shared" ca="1" si="482"/>
        <v>#NAME?</v>
      </c>
      <c r="BS573" s="326" t="e">
        <f t="shared" ca="1" si="525"/>
        <v>#NAME?</v>
      </c>
      <c r="BT573" s="437" t="e">
        <f t="shared" ca="1" si="495"/>
        <v>#NAME?</v>
      </c>
      <c r="BU573" s="437" t="e">
        <f t="shared" ca="1" si="496"/>
        <v>#NAME?</v>
      </c>
      <c r="BV573" s="441" t="e">
        <f t="shared" ca="1" si="497"/>
        <v>#NAME?</v>
      </c>
      <c r="BW573" s="442" t="e">
        <f t="shared" ca="1" si="498"/>
        <v>#NAME?</v>
      </c>
      <c r="BX573" s="470" t="e">
        <f t="shared" ca="1" si="472"/>
        <v>#NAME?</v>
      </c>
      <c r="BY573" s="484" t="e">
        <f t="shared" ca="1" si="483"/>
        <v>#NAME?</v>
      </c>
    </row>
    <row r="574" spans="9:77" ht="17.75" customHeight="1" x14ac:dyDescent="0.2">
      <c r="I574" s="366">
        <v>490</v>
      </c>
      <c r="J574" s="414">
        <f t="shared" si="484"/>
        <v>41706.052777778888</v>
      </c>
      <c r="K574" s="435" t="e">
        <f t="shared" ca="1" si="485"/>
        <v>#NAME?</v>
      </c>
      <c r="L574" s="435" t="e">
        <f t="shared" ca="1" si="528"/>
        <v>#NAME?</v>
      </c>
      <c r="M574" s="664" t="e">
        <f t="shared" ca="1" si="526"/>
        <v>#NAME?</v>
      </c>
      <c r="N574" s="664" t="e">
        <f t="shared" ca="1" si="527"/>
        <v>#NAME?</v>
      </c>
      <c r="O574" s="140" t="e">
        <f t="shared" ca="1" si="473"/>
        <v>#NAME?</v>
      </c>
      <c r="P574" s="352" t="e">
        <f t="shared" ca="1" si="486"/>
        <v>#NAME?</v>
      </c>
      <c r="Q574" s="665" t="e">
        <f t="shared" ca="1" si="467"/>
        <v>#NAME?</v>
      </c>
      <c r="R574" s="352" t="e">
        <f t="shared" ca="1" si="499"/>
        <v>#NAME?</v>
      </c>
      <c r="S574" s="662" t="e">
        <f t="shared" ca="1" si="474"/>
        <v>#NAME?</v>
      </c>
      <c r="T574" s="443" t="e">
        <f t="shared" ca="1" si="468"/>
        <v>#NAME?</v>
      </c>
      <c r="U574" s="369" t="e">
        <f t="shared" ca="1" si="469"/>
        <v>#NAME?</v>
      </c>
      <c r="V574" s="454" t="e">
        <f t="shared" ca="1" si="475"/>
        <v>#NAME?</v>
      </c>
      <c r="W574" s="457">
        <f t="shared" si="476"/>
        <v>1000</v>
      </c>
      <c r="X574" s="463" t="e">
        <f t="shared" ca="1" si="477"/>
        <v>#NAME?</v>
      </c>
      <c r="Y574" s="455" t="e">
        <f t="shared" ca="1" si="487"/>
        <v>#NAME?</v>
      </c>
      <c r="Z574" s="699">
        <f t="shared" si="470"/>
        <v>8.5</v>
      </c>
      <c r="AA574" s="355" t="str">
        <f t="shared" si="471"/>
        <v>ON</v>
      </c>
      <c r="AB574" s="357">
        <f t="shared" si="500"/>
        <v>1.4999999999999999E-2</v>
      </c>
      <c r="AC574" s="356" t="e">
        <f ca="1">IF(  Y573=0,0,IF(OR(S574="KCAS",S574="INOP",S574="MEFE"),   ( (5*( (   (((1+0.2*(T574/661.4786)^2)^3.5 -1)  )/( (1-6.8755856*10^-6 *100*Y574)^5.2558797) +1)^(2/7) -1) )^0.5),IF(S574="MACH",T574, IF(S574="LRC",BicubicInterpolation( 'LRC Mach'!$C$4:$AL$21, Y574,U574),  IF(S574="MRC",BicubicInterpolation( 'MRC Mach'!$C$3:$T$18, Y574,U574),  IF(S574="M0.84",0.84,  IF(S574="CI52",BicubicInterpolation('CI=52 Mach'!$C$3:$T$18, Y574,U574),  IF(S574="HOLDING",BicubicInterpolation(  'Holding Mach'!$C$4:$M$13, Y574,U574),                         IF(S574="LRCINOP", BicubicInterpolation('LRC INOP Mach'!$C$4:$AA$21,Y574,U574), IF(S574="HOLDINGINOP",  BicubicInterpolation('Holding INOP Mach'!$N$4:$U$13,Y574,U574),         "XXX" )))))))   )))</f>
        <v>#NAME?</v>
      </c>
      <c r="AD574" s="313" t="e">
        <f t="shared" ca="1" si="501"/>
        <v>#NAME?</v>
      </c>
      <c r="AE574" s="314" t="e">
        <f t="shared" ca="1" si="488"/>
        <v>#NAME?</v>
      </c>
      <c r="AF574" s="313" t="e">
        <f t="shared" ca="1" si="502"/>
        <v>#NAME?</v>
      </c>
      <c r="AG574" s="314" t="e">
        <f t="shared" ca="1" si="489"/>
        <v>#NAME?</v>
      </c>
      <c r="AH574" s="313" t="e">
        <f t="shared" ca="1" si="503"/>
        <v>#NAME?</v>
      </c>
      <c r="AI574" s="314" t="e">
        <f t="shared" ca="1" si="490"/>
        <v>#NAME?</v>
      </c>
      <c r="AJ574" s="315" t="e">
        <f t="shared" ca="1" si="491"/>
        <v>#NAME?</v>
      </c>
      <c r="AK574" s="568" t="e">
        <f t="shared" ca="1" si="504"/>
        <v>#NAME?</v>
      </c>
      <c r="AL574" s="313" t="e">
        <f t="shared" ca="1" si="505"/>
        <v>#NAME?</v>
      </c>
      <c r="AM574" s="313" t="e">
        <f t="shared" ca="1" si="492"/>
        <v>#NAME?</v>
      </c>
      <c r="AN574" s="313" t="e">
        <f t="shared" ca="1" si="493"/>
        <v>#NAME?</v>
      </c>
      <c r="AO574" s="316" t="e">
        <f t="shared" ca="1" si="506"/>
        <v>#NAME?</v>
      </c>
      <c r="AP574" s="313" t="e">
        <f t="shared" ca="1" si="507"/>
        <v>#NAME?</v>
      </c>
      <c r="AQ574" s="314" t="e">
        <f t="shared" ca="1" si="494"/>
        <v>#NAME?</v>
      </c>
      <c r="AR574" s="315" t="e">
        <f t="shared" ca="1" si="508"/>
        <v>#NAME?</v>
      </c>
      <c r="AS574" s="316" t="e">
        <f t="shared" ca="1" si="509"/>
        <v>#NAME?</v>
      </c>
      <c r="AT574" s="315" t="e">
        <f t="shared" ca="1" si="510"/>
        <v>#NAME?</v>
      </c>
      <c r="AU574" s="317">
        <v>427.8</v>
      </c>
      <c r="AV574" s="315" t="e">
        <f t="shared" ca="1" si="511"/>
        <v>#NAME?</v>
      </c>
      <c r="AW574" s="318" t="e">
        <f ca="1">0.0001*BicubicInterpolation('Drag Coef Table'!$B$4:$L$28,AV574,AC574)</f>
        <v>#NAME?</v>
      </c>
      <c r="AX574" s="319" t="e">
        <f t="shared" ca="1" si="512"/>
        <v>#NAME?</v>
      </c>
      <c r="AY574" s="318" t="e">
        <f t="shared" ca="1" si="513"/>
        <v>#NAME?</v>
      </c>
      <c r="AZ574" s="320" t="e">
        <f t="shared" ca="1" si="514"/>
        <v>#NAME?</v>
      </c>
      <c r="BA574" s="321" t="e">
        <f t="shared" ca="1" si="515"/>
        <v>#NAME?</v>
      </c>
      <c r="BB574" s="322" t="e">
        <f t="shared" ca="1" si="516"/>
        <v>#NAME?</v>
      </c>
      <c r="BC574" s="323">
        <v>75.196700000000007</v>
      </c>
      <c r="BD574" s="324" t="e">
        <f t="shared" ca="1" si="517"/>
        <v>#NAME?</v>
      </c>
      <c r="BE574" s="325" t="e">
        <f t="shared" ca="1" si="518"/>
        <v>#NAME?</v>
      </c>
      <c r="BF574" s="324" t="e">
        <f ca="1">BicubicInterpolation('TSFC Eff Table'!$B$4:$E$69,2,BB574)</f>
        <v>#NAME?</v>
      </c>
      <c r="BG574" s="326" t="e">
        <f t="shared" ca="1" si="519"/>
        <v>#NAME?</v>
      </c>
      <c r="BH574" s="694" t="e">
        <f ca="1">IF( S574="LRCINOP",   (1+(0.03/10)*Z574*(1+0.2*AC574^2) )*BicubicInterpolation( 'LRC INOP FF'!$C$4:$AA$21, Y574, U574 )-200, IF(S574 ="HOLDINGINOP", (1+(0.03/10)*Z574*(1+0.2*AC574^2) )*BicubicInterpolation( 'Holding INOP FF'!$C$4:$J$13,  Y574,  U574)/1.05-200,   BA574*BG574))</f>
        <v>#NAME?</v>
      </c>
      <c r="BI574" s="344" t="e">
        <f t="shared" ca="1" si="478"/>
        <v>#NAME?</v>
      </c>
      <c r="BJ574" s="322" t="e">
        <f t="shared" ca="1" si="520"/>
        <v>#NAME?</v>
      </c>
      <c r="BK574" s="338" t="e">
        <f t="shared" ca="1" si="479"/>
        <v>#NAME?</v>
      </c>
      <c r="BL574" s="327" t="e">
        <f t="shared" ca="1" si="521"/>
        <v>#NAME?</v>
      </c>
      <c r="BM574" s="328">
        <f t="shared" si="522"/>
        <v>200</v>
      </c>
      <c r="BN574" s="329" t="e">
        <f t="shared" ca="1" si="523"/>
        <v>#NAME?</v>
      </c>
      <c r="BO574" s="344" t="e">
        <f t="shared" ca="1" si="480"/>
        <v>#NAME?</v>
      </c>
      <c r="BP574" s="320" t="e">
        <f t="shared" ca="1" si="524"/>
        <v>#NAME?</v>
      </c>
      <c r="BQ574" s="344" t="e">
        <f t="shared" ca="1" si="481"/>
        <v>#NAME?</v>
      </c>
      <c r="BR574" s="347" t="e">
        <f t="shared" ca="1" si="482"/>
        <v>#NAME?</v>
      </c>
      <c r="BS574" s="326" t="e">
        <f t="shared" ca="1" si="525"/>
        <v>#NAME?</v>
      </c>
      <c r="BT574" s="437" t="e">
        <f t="shared" ca="1" si="495"/>
        <v>#NAME?</v>
      </c>
      <c r="BU574" s="437" t="e">
        <f t="shared" ca="1" si="496"/>
        <v>#NAME?</v>
      </c>
      <c r="BV574" s="441" t="e">
        <f t="shared" ca="1" si="497"/>
        <v>#NAME?</v>
      </c>
      <c r="BW574" s="442" t="e">
        <f t="shared" ca="1" si="498"/>
        <v>#NAME?</v>
      </c>
      <c r="BX574" s="470" t="e">
        <f t="shared" ca="1" si="472"/>
        <v>#NAME?</v>
      </c>
      <c r="BY574" s="484" t="e">
        <f t="shared" ca="1" si="483"/>
        <v>#NAME?</v>
      </c>
    </row>
    <row r="575" spans="9:77" ht="17.75" customHeight="1" x14ac:dyDescent="0.2">
      <c r="I575" s="366">
        <v>491</v>
      </c>
      <c r="J575" s="414">
        <f t="shared" si="484"/>
        <v>41706.053472223335</v>
      </c>
      <c r="K575" s="435" t="e">
        <f t="shared" ca="1" si="485"/>
        <v>#NAME?</v>
      </c>
      <c r="L575" s="435" t="e">
        <f t="shared" ca="1" si="528"/>
        <v>#NAME?</v>
      </c>
      <c r="M575" s="664" t="e">
        <f t="shared" ca="1" si="526"/>
        <v>#NAME?</v>
      </c>
      <c r="N575" s="664" t="e">
        <f t="shared" ca="1" si="527"/>
        <v>#NAME?</v>
      </c>
      <c r="O575" s="140" t="e">
        <f t="shared" ca="1" si="473"/>
        <v>#NAME?</v>
      </c>
      <c r="P575" s="352" t="e">
        <f t="shared" ca="1" si="486"/>
        <v>#NAME?</v>
      </c>
      <c r="Q575" s="665" t="e">
        <f t="shared" ca="1" si="467"/>
        <v>#NAME?</v>
      </c>
      <c r="R575" s="352" t="e">
        <f t="shared" ca="1" si="499"/>
        <v>#NAME?</v>
      </c>
      <c r="S575" s="662" t="e">
        <f t="shared" ca="1" si="474"/>
        <v>#NAME?</v>
      </c>
      <c r="T575" s="443" t="e">
        <f t="shared" ca="1" si="468"/>
        <v>#NAME?</v>
      </c>
      <c r="U575" s="369" t="e">
        <f t="shared" ca="1" si="469"/>
        <v>#NAME?</v>
      </c>
      <c r="V575" s="454" t="e">
        <f t="shared" ca="1" si="475"/>
        <v>#NAME?</v>
      </c>
      <c r="W575" s="457">
        <f t="shared" si="476"/>
        <v>1000</v>
      </c>
      <c r="X575" s="463" t="e">
        <f t="shared" ca="1" si="477"/>
        <v>#NAME?</v>
      </c>
      <c r="Y575" s="455" t="e">
        <f t="shared" ca="1" si="487"/>
        <v>#NAME?</v>
      </c>
      <c r="Z575" s="699">
        <f t="shared" si="470"/>
        <v>8.5</v>
      </c>
      <c r="AA575" s="355" t="str">
        <f t="shared" si="471"/>
        <v>ON</v>
      </c>
      <c r="AB575" s="357">
        <f t="shared" si="500"/>
        <v>1.4999999999999999E-2</v>
      </c>
      <c r="AC575" s="356" t="e">
        <f ca="1">IF(  Y574=0,0,IF(OR(S575="KCAS",S575="INOP",S575="MEFE"),   ( (5*( (   (((1+0.2*(T575/661.4786)^2)^3.5 -1)  )/( (1-6.8755856*10^-6 *100*Y575)^5.2558797) +1)^(2/7) -1) )^0.5),IF(S575="MACH",T575, IF(S575="LRC",BicubicInterpolation( 'LRC Mach'!$C$4:$AL$21, Y575,U575),  IF(S575="MRC",BicubicInterpolation( 'MRC Mach'!$C$3:$T$18, Y575,U575),  IF(S575="M0.84",0.84,  IF(S575="CI52",BicubicInterpolation('CI=52 Mach'!$C$3:$T$18, Y575,U575),  IF(S575="HOLDING",BicubicInterpolation(  'Holding Mach'!$C$4:$M$13, Y575,U575),                         IF(S575="LRCINOP", BicubicInterpolation('LRC INOP Mach'!$C$4:$AA$21,Y575,U575), IF(S575="HOLDINGINOP",  BicubicInterpolation('Holding INOP Mach'!$N$4:$U$13,Y575,U575),         "XXX" )))))))   )))</f>
        <v>#NAME?</v>
      </c>
      <c r="AD575" s="313" t="e">
        <f t="shared" ca="1" si="501"/>
        <v>#NAME?</v>
      </c>
      <c r="AE575" s="314" t="e">
        <f t="shared" ca="1" si="488"/>
        <v>#NAME?</v>
      </c>
      <c r="AF575" s="313" t="e">
        <f t="shared" ca="1" si="502"/>
        <v>#NAME?</v>
      </c>
      <c r="AG575" s="314" t="e">
        <f t="shared" ca="1" si="489"/>
        <v>#NAME?</v>
      </c>
      <c r="AH575" s="313" t="e">
        <f t="shared" ca="1" si="503"/>
        <v>#NAME?</v>
      </c>
      <c r="AI575" s="314" t="e">
        <f t="shared" ca="1" si="490"/>
        <v>#NAME?</v>
      </c>
      <c r="AJ575" s="315" t="e">
        <f t="shared" ca="1" si="491"/>
        <v>#NAME?</v>
      </c>
      <c r="AK575" s="568" t="e">
        <f t="shared" ca="1" si="504"/>
        <v>#NAME?</v>
      </c>
      <c r="AL575" s="313" t="e">
        <f t="shared" ca="1" si="505"/>
        <v>#NAME?</v>
      </c>
      <c r="AM575" s="313" t="e">
        <f t="shared" ca="1" si="492"/>
        <v>#NAME?</v>
      </c>
      <c r="AN575" s="313" t="e">
        <f t="shared" ca="1" si="493"/>
        <v>#NAME?</v>
      </c>
      <c r="AO575" s="316" t="e">
        <f t="shared" ca="1" si="506"/>
        <v>#NAME?</v>
      </c>
      <c r="AP575" s="313" t="e">
        <f t="shared" ca="1" si="507"/>
        <v>#NAME?</v>
      </c>
      <c r="AQ575" s="314" t="e">
        <f t="shared" ca="1" si="494"/>
        <v>#NAME?</v>
      </c>
      <c r="AR575" s="315" t="e">
        <f t="shared" ca="1" si="508"/>
        <v>#NAME?</v>
      </c>
      <c r="AS575" s="316" t="e">
        <f t="shared" ca="1" si="509"/>
        <v>#NAME?</v>
      </c>
      <c r="AT575" s="315" t="e">
        <f t="shared" ca="1" si="510"/>
        <v>#NAME?</v>
      </c>
      <c r="AU575" s="317">
        <v>427.8</v>
      </c>
      <c r="AV575" s="315" t="e">
        <f t="shared" ca="1" si="511"/>
        <v>#NAME?</v>
      </c>
      <c r="AW575" s="318" t="e">
        <f ca="1">0.0001*BicubicInterpolation('Drag Coef Table'!$B$4:$L$28,AV575,AC575)</f>
        <v>#NAME?</v>
      </c>
      <c r="AX575" s="319" t="e">
        <f t="shared" ca="1" si="512"/>
        <v>#NAME?</v>
      </c>
      <c r="AY575" s="318" t="e">
        <f t="shared" ca="1" si="513"/>
        <v>#NAME?</v>
      </c>
      <c r="AZ575" s="320" t="e">
        <f t="shared" ca="1" si="514"/>
        <v>#NAME?</v>
      </c>
      <c r="BA575" s="321" t="e">
        <f t="shared" ca="1" si="515"/>
        <v>#NAME?</v>
      </c>
      <c r="BB575" s="322" t="e">
        <f t="shared" ca="1" si="516"/>
        <v>#NAME?</v>
      </c>
      <c r="BC575" s="323">
        <v>75.196700000000007</v>
      </c>
      <c r="BD575" s="324" t="e">
        <f t="shared" ca="1" si="517"/>
        <v>#NAME?</v>
      </c>
      <c r="BE575" s="325" t="e">
        <f t="shared" ca="1" si="518"/>
        <v>#NAME?</v>
      </c>
      <c r="BF575" s="324" t="e">
        <f ca="1">BicubicInterpolation('TSFC Eff Table'!$B$4:$E$69,2,BB575)</f>
        <v>#NAME?</v>
      </c>
      <c r="BG575" s="326" t="e">
        <f t="shared" ca="1" si="519"/>
        <v>#NAME?</v>
      </c>
      <c r="BH575" s="694" t="e">
        <f ca="1">IF( S575="LRCINOP",   (1+(0.03/10)*Z575*(1+0.2*AC575^2) )*BicubicInterpolation( 'LRC INOP FF'!$C$4:$AA$21, Y575, U575 )-200, IF(S575 ="HOLDINGINOP", (1+(0.03/10)*Z575*(1+0.2*AC575^2) )*BicubicInterpolation( 'Holding INOP FF'!$C$4:$J$13,  Y575,  U575)/1.05-200,   BA575*BG575))</f>
        <v>#NAME?</v>
      </c>
      <c r="BI575" s="344" t="e">
        <f t="shared" ca="1" si="478"/>
        <v>#NAME?</v>
      </c>
      <c r="BJ575" s="322" t="e">
        <f t="shared" ca="1" si="520"/>
        <v>#NAME?</v>
      </c>
      <c r="BK575" s="338" t="e">
        <f t="shared" ca="1" si="479"/>
        <v>#NAME?</v>
      </c>
      <c r="BL575" s="327" t="e">
        <f t="shared" ca="1" si="521"/>
        <v>#NAME?</v>
      </c>
      <c r="BM575" s="328">
        <f t="shared" si="522"/>
        <v>200</v>
      </c>
      <c r="BN575" s="329" t="e">
        <f t="shared" ca="1" si="523"/>
        <v>#NAME?</v>
      </c>
      <c r="BO575" s="344" t="e">
        <f t="shared" ca="1" si="480"/>
        <v>#NAME?</v>
      </c>
      <c r="BP575" s="320" t="e">
        <f t="shared" ca="1" si="524"/>
        <v>#NAME?</v>
      </c>
      <c r="BQ575" s="344" t="e">
        <f t="shared" ca="1" si="481"/>
        <v>#NAME?</v>
      </c>
      <c r="BR575" s="347" t="e">
        <f t="shared" ca="1" si="482"/>
        <v>#NAME?</v>
      </c>
      <c r="BS575" s="326" t="e">
        <f t="shared" ca="1" si="525"/>
        <v>#NAME?</v>
      </c>
      <c r="BT575" s="437" t="e">
        <f t="shared" ca="1" si="495"/>
        <v>#NAME?</v>
      </c>
      <c r="BU575" s="437" t="e">
        <f t="shared" ca="1" si="496"/>
        <v>#NAME?</v>
      </c>
      <c r="BV575" s="441" t="e">
        <f t="shared" ca="1" si="497"/>
        <v>#NAME?</v>
      </c>
      <c r="BW575" s="442" t="e">
        <f t="shared" ca="1" si="498"/>
        <v>#NAME?</v>
      </c>
      <c r="BX575" s="470" t="e">
        <f t="shared" ca="1" si="472"/>
        <v>#NAME?</v>
      </c>
      <c r="BY575" s="484" t="e">
        <f t="shared" ca="1" si="483"/>
        <v>#NAME?</v>
      </c>
    </row>
    <row r="576" spans="9:77" ht="17.75" customHeight="1" x14ac:dyDescent="0.2">
      <c r="I576" s="366">
        <v>492</v>
      </c>
      <c r="J576" s="414">
        <f t="shared" si="484"/>
        <v>41706.054166667782</v>
      </c>
      <c r="K576" s="435" t="e">
        <f t="shared" ca="1" si="485"/>
        <v>#NAME?</v>
      </c>
      <c r="L576" s="435" t="e">
        <f t="shared" ca="1" si="528"/>
        <v>#NAME?</v>
      </c>
      <c r="M576" s="664" t="e">
        <f t="shared" ca="1" si="526"/>
        <v>#NAME?</v>
      </c>
      <c r="N576" s="664" t="e">
        <f t="shared" ca="1" si="527"/>
        <v>#NAME?</v>
      </c>
      <c r="O576" s="140" t="e">
        <f t="shared" ca="1" si="473"/>
        <v>#NAME?</v>
      </c>
      <c r="P576" s="352" t="e">
        <f t="shared" ca="1" si="486"/>
        <v>#NAME?</v>
      </c>
      <c r="Q576" s="665" t="e">
        <f t="shared" ca="1" si="467"/>
        <v>#NAME?</v>
      </c>
      <c r="R576" s="352" t="e">
        <f t="shared" ca="1" si="499"/>
        <v>#NAME?</v>
      </c>
      <c r="S576" s="662" t="e">
        <f t="shared" ca="1" si="474"/>
        <v>#NAME?</v>
      </c>
      <c r="T576" s="443" t="e">
        <f t="shared" ca="1" si="468"/>
        <v>#NAME?</v>
      </c>
      <c r="U576" s="369" t="e">
        <f t="shared" ca="1" si="469"/>
        <v>#NAME?</v>
      </c>
      <c r="V576" s="454" t="e">
        <f t="shared" ca="1" si="475"/>
        <v>#NAME?</v>
      </c>
      <c r="W576" s="457">
        <f t="shared" si="476"/>
        <v>1000</v>
      </c>
      <c r="X576" s="463" t="e">
        <f t="shared" ca="1" si="477"/>
        <v>#NAME?</v>
      </c>
      <c r="Y576" s="455" t="e">
        <f t="shared" ca="1" si="487"/>
        <v>#NAME?</v>
      </c>
      <c r="Z576" s="699">
        <f t="shared" si="470"/>
        <v>8.5</v>
      </c>
      <c r="AA576" s="355" t="str">
        <f t="shared" si="471"/>
        <v>ON</v>
      </c>
      <c r="AB576" s="357">
        <f t="shared" si="500"/>
        <v>1.4999999999999999E-2</v>
      </c>
      <c r="AC576" s="356" t="e">
        <f ca="1">IF(  Y575=0,0,IF(OR(S576="KCAS",S576="INOP",S576="MEFE"),   ( (5*( (   (((1+0.2*(T576/661.4786)^2)^3.5 -1)  )/( (1-6.8755856*10^-6 *100*Y576)^5.2558797) +1)^(2/7) -1) )^0.5),IF(S576="MACH",T576, IF(S576="LRC",BicubicInterpolation( 'LRC Mach'!$C$4:$AL$21, Y576,U576),  IF(S576="MRC",BicubicInterpolation( 'MRC Mach'!$C$3:$T$18, Y576,U576),  IF(S576="M0.84",0.84,  IF(S576="CI52",BicubicInterpolation('CI=52 Mach'!$C$3:$T$18, Y576,U576),  IF(S576="HOLDING",BicubicInterpolation(  'Holding Mach'!$C$4:$M$13, Y576,U576),                         IF(S576="LRCINOP", BicubicInterpolation('LRC INOP Mach'!$C$4:$AA$21,Y576,U576), IF(S576="HOLDINGINOP",  BicubicInterpolation('Holding INOP Mach'!$N$4:$U$13,Y576,U576),         "XXX" )))))))   )))</f>
        <v>#NAME?</v>
      </c>
      <c r="AD576" s="313" t="e">
        <f t="shared" ca="1" si="501"/>
        <v>#NAME?</v>
      </c>
      <c r="AE576" s="314" t="e">
        <f t="shared" ca="1" si="488"/>
        <v>#NAME?</v>
      </c>
      <c r="AF576" s="313" t="e">
        <f t="shared" ca="1" si="502"/>
        <v>#NAME?</v>
      </c>
      <c r="AG576" s="314" t="e">
        <f t="shared" ca="1" si="489"/>
        <v>#NAME?</v>
      </c>
      <c r="AH576" s="313" t="e">
        <f t="shared" ca="1" si="503"/>
        <v>#NAME?</v>
      </c>
      <c r="AI576" s="314" t="e">
        <f t="shared" ca="1" si="490"/>
        <v>#NAME?</v>
      </c>
      <c r="AJ576" s="315" t="e">
        <f t="shared" ca="1" si="491"/>
        <v>#NAME?</v>
      </c>
      <c r="AK576" s="568" t="e">
        <f t="shared" ca="1" si="504"/>
        <v>#NAME?</v>
      </c>
      <c r="AL576" s="313" t="e">
        <f t="shared" ca="1" si="505"/>
        <v>#NAME?</v>
      </c>
      <c r="AM576" s="313" t="e">
        <f t="shared" ca="1" si="492"/>
        <v>#NAME?</v>
      </c>
      <c r="AN576" s="313" t="e">
        <f t="shared" ca="1" si="493"/>
        <v>#NAME?</v>
      </c>
      <c r="AO576" s="316" t="e">
        <f t="shared" ca="1" si="506"/>
        <v>#NAME?</v>
      </c>
      <c r="AP576" s="313" t="e">
        <f t="shared" ca="1" si="507"/>
        <v>#NAME?</v>
      </c>
      <c r="AQ576" s="314" t="e">
        <f t="shared" ca="1" si="494"/>
        <v>#NAME?</v>
      </c>
      <c r="AR576" s="315" t="e">
        <f t="shared" ca="1" si="508"/>
        <v>#NAME?</v>
      </c>
      <c r="AS576" s="316" t="e">
        <f t="shared" ca="1" si="509"/>
        <v>#NAME?</v>
      </c>
      <c r="AT576" s="315" t="e">
        <f t="shared" ca="1" si="510"/>
        <v>#NAME?</v>
      </c>
      <c r="AU576" s="317">
        <v>427.8</v>
      </c>
      <c r="AV576" s="315" t="e">
        <f t="shared" ca="1" si="511"/>
        <v>#NAME?</v>
      </c>
      <c r="AW576" s="318" t="e">
        <f ca="1">0.0001*BicubicInterpolation('Drag Coef Table'!$B$4:$L$28,AV576,AC576)</f>
        <v>#NAME?</v>
      </c>
      <c r="AX576" s="319" t="e">
        <f t="shared" ca="1" si="512"/>
        <v>#NAME?</v>
      </c>
      <c r="AY576" s="318" t="e">
        <f t="shared" ca="1" si="513"/>
        <v>#NAME?</v>
      </c>
      <c r="AZ576" s="320" t="e">
        <f t="shared" ca="1" si="514"/>
        <v>#NAME?</v>
      </c>
      <c r="BA576" s="321" t="e">
        <f t="shared" ca="1" si="515"/>
        <v>#NAME?</v>
      </c>
      <c r="BB576" s="322" t="e">
        <f t="shared" ca="1" si="516"/>
        <v>#NAME?</v>
      </c>
      <c r="BC576" s="323">
        <v>75.196700000000007</v>
      </c>
      <c r="BD576" s="324" t="e">
        <f t="shared" ca="1" si="517"/>
        <v>#NAME?</v>
      </c>
      <c r="BE576" s="325" t="e">
        <f t="shared" ca="1" si="518"/>
        <v>#NAME?</v>
      </c>
      <c r="BF576" s="324" t="e">
        <f ca="1">BicubicInterpolation('TSFC Eff Table'!$B$4:$E$69,2,BB576)</f>
        <v>#NAME?</v>
      </c>
      <c r="BG576" s="326" t="e">
        <f t="shared" ca="1" si="519"/>
        <v>#NAME?</v>
      </c>
      <c r="BH576" s="694" t="e">
        <f ca="1">IF( S576="LRCINOP",   (1+(0.03/10)*Z576*(1+0.2*AC576^2) )*BicubicInterpolation( 'LRC INOP FF'!$C$4:$AA$21, Y576, U576 )-200, IF(S576 ="HOLDINGINOP", (1+(0.03/10)*Z576*(1+0.2*AC576^2) )*BicubicInterpolation( 'Holding INOP FF'!$C$4:$J$13,  Y576,  U576)/1.05-200,   BA576*BG576))</f>
        <v>#NAME?</v>
      </c>
      <c r="BI576" s="344" t="e">
        <f t="shared" ca="1" si="478"/>
        <v>#NAME?</v>
      </c>
      <c r="BJ576" s="322" t="e">
        <f t="shared" ca="1" si="520"/>
        <v>#NAME?</v>
      </c>
      <c r="BK576" s="338" t="e">
        <f t="shared" ca="1" si="479"/>
        <v>#NAME?</v>
      </c>
      <c r="BL576" s="327" t="e">
        <f t="shared" ca="1" si="521"/>
        <v>#NAME?</v>
      </c>
      <c r="BM576" s="328">
        <f t="shared" si="522"/>
        <v>200</v>
      </c>
      <c r="BN576" s="329" t="e">
        <f t="shared" ca="1" si="523"/>
        <v>#NAME?</v>
      </c>
      <c r="BO576" s="344" t="e">
        <f t="shared" ca="1" si="480"/>
        <v>#NAME?</v>
      </c>
      <c r="BP576" s="320" t="e">
        <f t="shared" ca="1" si="524"/>
        <v>#NAME?</v>
      </c>
      <c r="BQ576" s="344" t="e">
        <f t="shared" ca="1" si="481"/>
        <v>#NAME?</v>
      </c>
      <c r="BR576" s="347" t="e">
        <f t="shared" ca="1" si="482"/>
        <v>#NAME?</v>
      </c>
      <c r="BS576" s="326" t="e">
        <f t="shared" ca="1" si="525"/>
        <v>#NAME?</v>
      </c>
      <c r="BT576" s="437" t="e">
        <f t="shared" ca="1" si="495"/>
        <v>#NAME?</v>
      </c>
      <c r="BU576" s="437" t="e">
        <f t="shared" ca="1" si="496"/>
        <v>#NAME?</v>
      </c>
      <c r="BV576" s="441" t="e">
        <f t="shared" ca="1" si="497"/>
        <v>#NAME?</v>
      </c>
      <c r="BW576" s="442" t="e">
        <f t="shared" ca="1" si="498"/>
        <v>#NAME?</v>
      </c>
      <c r="BX576" s="470" t="e">
        <f t="shared" ca="1" si="472"/>
        <v>#NAME?</v>
      </c>
      <c r="BY576" s="484" t="e">
        <f t="shared" ca="1" si="483"/>
        <v>#NAME?</v>
      </c>
    </row>
    <row r="577" spans="9:77" ht="17.75" customHeight="1" x14ac:dyDescent="0.2">
      <c r="I577" s="366">
        <v>493</v>
      </c>
      <c r="J577" s="414">
        <f t="shared" si="484"/>
        <v>41706.054861112229</v>
      </c>
      <c r="K577" s="435" t="e">
        <f t="shared" ca="1" si="485"/>
        <v>#NAME?</v>
      </c>
      <c r="L577" s="435" t="e">
        <f t="shared" ca="1" si="528"/>
        <v>#NAME?</v>
      </c>
      <c r="M577" s="664" t="e">
        <f t="shared" ca="1" si="526"/>
        <v>#NAME?</v>
      </c>
      <c r="N577" s="664" t="e">
        <f t="shared" ca="1" si="527"/>
        <v>#NAME?</v>
      </c>
      <c r="O577" s="140" t="e">
        <f t="shared" ca="1" si="473"/>
        <v>#NAME?</v>
      </c>
      <c r="P577" s="352" t="e">
        <f t="shared" ca="1" si="486"/>
        <v>#NAME?</v>
      </c>
      <c r="Q577" s="665" t="e">
        <f t="shared" ca="1" si="467"/>
        <v>#NAME?</v>
      </c>
      <c r="R577" s="352" t="e">
        <f t="shared" ca="1" si="499"/>
        <v>#NAME?</v>
      </c>
      <c r="S577" s="662" t="e">
        <f t="shared" ca="1" si="474"/>
        <v>#NAME?</v>
      </c>
      <c r="T577" s="443" t="e">
        <f t="shared" ca="1" si="468"/>
        <v>#NAME?</v>
      </c>
      <c r="U577" s="369" t="e">
        <f t="shared" ca="1" si="469"/>
        <v>#NAME?</v>
      </c>
      <c r="V577" s="454" t="e">
        <f t="shared" ca="1" si="475"/>
        <v>#NAME?</v>
      </c>
      <c r="W577" s="457">
        <f t="shared" si="476"/>
        <v>1000</v>
      </c>
      <c r="X577" s="463" t="e">
        <f t="shared" ca="1" si="477"/>
        <v>#NAME?</v>
      </c>
      <c r="Y577" s="455" t="e">
        <f t="shared" ca="1" si="487"/>
        <v>#NAME?</v>
      </c>
      <c r="Z577" s="699">
        <f t="shared" si="470"/>
        <v>8.5</v>
      </c>
      <c r="AA577" s="355" t="str">
        <f t="shared" si="471"/>
        <v>ON</v>
      </c>
      <c r="AB577" s="357">
        <f t="shared" si="500"/>
        <v>1.4999999999999999E-2</v>
      </c>
      <c r="AC577" s="356" t="e">
        <f ca="1">IF(  Y576=0,0,IF(OR(S577="KCAS",S577="INOP",S577="MEFE"),   ( (5*( (   (((1+0.2*(T577/661.4786)^2)^3.5 -1)  )/( (1-6.8755856*10^-6 *100*Y577)^5.2558797) +1)^(2/7) -1) )^0.5),IF(S577="MACH",T577, IF(S577="LRC",BicubicInterpolation( 'LRC Mach'!$C$4:$AL$21, Y577,U577),  IF(S577="MRC",BicubicInterpolation( 'MRC Mach'!$C$3:$T$18, Y577,U577),  IF(S577="M0.84",0.84,  IF(S577="CI52",BicubicInterpolation('CI=52 Mach'!$C$3:$T$18, Y577,U577),  IF(S577="HOLDING",BicubicInterpolation(  'Holding Mach'!$C$4:$M$13, Y577,U577),                         IF(S577="LRCINOP", BicubicInterpolation('LRC INOP Mach'!$C$4:$AA$21,Y577,U577), IF(S577="HOLDINGINOP",  BicubicInterpolation('Holding INOP Mach'!$N$4:$U$13,Y577,U577),         "XXX" )))))))   )))</f>
        <v>#NAME?</v>
      </c>
      <c r="AD577" s="313" t="e">
        <f t="shared" ca="1" si="501"/>
        <v>#NAME?</v>
      </c>
      <c r="AE577" s="314" t="e">
        <f t="shared" ca="1" si="488"/>
        <v>#NAME?</v>
      </c>
      <c r="AF577" s="313" t="e">
        <f t="shared" ca="1" si="502"/>
        <v>#NAME?</v>
      </c>
      <c r="AG577" s="314" t="e">
        <f t="shared" ca="1" si="489"/>
        <v>#NAME?</v>
      </c>
      <c r="AH577" s="313" t="e">
        <f t="shared" ca="1" si="503"/>
        <v>#NAME?</v>
      </c>
      <c r="AI577" s="314" t="e">
        <f t="shared" ca="1" si="490"/>
        <v>#NAME?</v>
      </c>
      <c r="AJ577" s="315" t="e">
        <f t="shared" ca="1" si="491"/>
        <v>#NAME?</v>
      </c>
      <c r="AK577" s="568" t="e">
        <f t="shared" ca="1" si="504"/>
        <v>#NAME?</v>
      </c>
      <c r="AL577" s="313" t="e">
        <f t="shared" ca="1" si="505"/>
        <v>#NAME?</v>
      </c>
      <c r="AM577" s="313" t="e">
        <f t="shared" ca="1" si="492"/>
        <v>#NAME?</v>
      </c>
      <c r="AN577" s="313" t="e">
        <f t="shared" ca="1" si="493"/>
        <v>#NAME?</v>
      </c>
      <c r="AO577" s="316" t="e">
        <f t="shared" ca="1" si="506"/>
        <v>#NAME?</v>
      </c>
      <c r="AP577" s="313" t="e">
        <f t="shared" ca="1" si="507"/>
        <v>#NAME?</v>
      </c>
      <c r="AQ577" s="314" t="e">
        <f t="shared" ca="1" si="494"/>
        <v>#NAME?</v>
      </c>
      <c r="AR577" s="315" t="e">
        <f t="shared" ca="1" si="508"/>
        <v>#NAME?</v>
      </c>
      <c r="AS577" s="316" t="e">
        <f t="shared" ca="1" si="509"/>
        <v>#NAME?</v>
      </c>
      <c r="AT577" s="315" t="e">
        <f t="shared" ca="1" si="510"/>
        <v>#NAME?</v>
      </c>
      <c r="AU577" s="317">
        <v>427.8</v>
      </c>
      <c r="AV577" s="315" t="e">
        <f t="shared" ca="1" si="511"/>
        <v>#NAME?</v>
      </c>
      <c r="AW577" s="318" t="e">
        <f ca="1">0.0001*BicubicInterpolation('Drag Coef Table'!$B$4:$L$28,AV577,AC577)</f>
        <v>#NAME?</v>
      </c>
      <c r="AX577" s="319" t="e">
        <f t="shared" ca="1" si="512"/>
        <v>#NAME?</v>
      </c>
      <c r="AY577" s="318" t="e">
        <f t="shared" ca="1" si="513"/>
        <v>#NAME?</v>
      </c>
      <c r="AZ577" s="320" t="e">
        <f t="shared" ca="1" si="514"/>
        <v>#NAME?</v>
      </c>
      <c r="BA577" s="321" t="e">
        <f t="shared" ca="1" si="515"/>
        <v>#NAME?</v>
      </c>
      <c r="BB577" s="322" t="e">
        <f t="shared" ca="1" si="516"/>
        <v>#NAME?</v>
      </c>
      <c r="BC577" s="323">
        <v>75.196700000000007</v>
      </c>
      <c r="BD577" s="324" t="e">
        <f t="shared" ca="1" si="517"/>
        <v>#NAME?</v>
      </c>
      <c r="BE577" s="325" t="e">
        <f t="shared" ca="1" si="518"/>
        <v>#NAME?</v>
      </c>
      <c r="BF577" s="324" t="e">
        <f ca="1">BicubicInterpolation('TSFC Eff Table'!$B$4:$E$69,2,BB577)</f>
        <v>#NAME?</v>
      </c>
      <c r="BG577" s="326" t="e">
        <f t="shared" ca="1" si="519"/>
        <v>#NAME?</v>
      </c>
      <c r="BH577" s="694" t="e">
        <f ca="1">IF( S577="LRCINOP",   (1+(0.03/10)*Z577*(1+0.2*AC577^2) )*BicubicInterpolation( 'LRC INOP FF'!$C$4:$AA$21, Y577, U577 )-200, IF(S577 ="HOLDINGINOP", (1+(0.03/10)*Z577*(1+0.2*AC577^2) )*BicubicInterpolation( 'Holding INOP FF'!$C$4:$J$13,  Y577,  U577)/1.05-200,   BA577*BG577))</f>
        <v>#NAME?</v>
      </c>
      <c r="BI577" s="344" t="e">
        <f t="shared" ca="1" si="478"/>
        <v>#NAME?</v>
      </c>
      <c r="BJ577" s="322" t="e">
        <f t="shared" ca="1" si="520"/>
        <v>#NAME?</v>
      </c>
      <c r="BK577" s="338" t="e">
        <f t="shared" ca="1" si="479"/>
        <v>#NAME?</v>
      </c>
      <c r="BL577" s="327" t="e">
        <f t="shared" ca="1" si="521"/>
        <v>#NAME?</v>
      </c>
      <c r="BM577" s="328">
        <f t="shared" si="522"/>
        <v>200</v>
      </c>
      <c r="BN577" s="329" t="e">
        <f t="shared" ca="1" si="523"/>
        <v>#NAME?</v>
      </c>
      <c r="BO577" s="344" t="e">
        <f t="shared" ca="1" si="480"/>
        <v>#NAME?</v>
      </c>
      <c r="BP577" s="320" t="e">
        <f t="shared" ca="1" si="524"/>
        <v>#NAME?</v>
      </c>
      <c r="BQ577" s="344" t="e">
        <f t="shared" ca="1" si="481"/>
        <v>#NAME?</v>
      </c>
      <c r="BR577" s="347" t="e">
        <f t="shared" ca="1" si="482"/>
        <v>#NAME?</v>
      </c>
      <c r="BS577" s="326" t="e">
        <f t="shared" ca="1" si="525"/>
        <v>#NAME?</v>
      </c>
      <c r="BT577" s="437" t="e">
        <f t="shared" ca="1" si="495"/>
        <v>#NAME?</v>
      </c>
      <c r="BU577" s="437" t="e">
        <f t="shared" ca="1" si="496"/>
        <v>#NAME?</v>
      </c>
      <c r="BV577" s="441" t="e">
        <f t="shared" ca="1" si="497"/>
        <v>#NAME?</v>
      </c>
      <c r="BW577" s="442" t="e">
        <f t="shared" ca="1" si="498"/>
        <v>#NAME?</v>
      </c>
      <c r="BX577" s="470" t="e">
        <f t="shared" ca="1" si="472"/>
        <v>#NAME?</v>
      </c>
      <c r="BY577" s="484" t="e">
        <f t="shared" ca="1" si="483"/>
        <v>#NAME?</v>
      </c>
    </row>
    <row r="578" spans="9:77" ht="17.75" customHeight="1" x14ac:dyDescent="0.2">
      <c r="I578" s="366">
        <v>494</v>
      </c>
      <c r="J578" s="414">
        <f t="shared" si="484"/>
        <v>41706.055555556675</v>
      </c>
      <c r="K578" s="435" t="e">
        <f t="shared" ca="1" si="485"/>
        <v>#NAME?</v>
      </c>
      <c r="L578" s="435" t="e">
        <f t="shared" ca="1" si="528"/>
        <v>#NAME?</v>
      </c>
      <c r="M578" s="664" t="e">
        <f t="shared" ca="1" si="526"/>
        <v>#NAME?</v>
      </c>
      <c r="N578" s="664" t="e">
        <f t="shared" ca="1" si="527"/>
        <v>#NAME?</v>
      </c>
      <c r="O578" s="140" t="e">
        <f t="shared" ca="1" si="473"/>
        <v>#NAME?</v>
      </c>
      <c r="P578" s="352" t="e">
        <f t="shared" ca="1" si="486"/>
        <v>#NAME?</v>
      </c>
      <c r="Q578" s="665" t="e">
        <f t="shared" ca="1" si="467"/>
        <v>#NAME?</v>
      </c>
      <c r="R578" s="352" t="e">
        <f t="shared" ca="1" si="499"/>
        <v>#NAME?</v>
      </c>
      <c r="S578" s="662" t="e">
        <f t="shared" ca="1" si="474"/>
        <v>#NAME?</v>
      </c>
      <c r="T578" s="443" t="e">
        <f t="shared" ca="1" si="468"/>
        <v>#NAME?</v>
      </c>
      <c r="U578" s="369" t="e">
        <f t="shared" ca="1" si="469"/>
        <v>#NAME?</v>
      </c>
      <c r="V578" s="454" t="e">
        <f t="shared" ca="1" si="475"/>
        <v>#NAME?</v>
      </c>
      <c r="W578" s="457">
        <f t="shared" si="476"/>
        <v>1000</v>
      </c>
      <c r="X578" s="463" t="e">
        <f t="shared" ca="1" si="477"/>
        <v>#NAME?</v>
      </c>
      <c r="Y578" s="455" t="e">
        <f t="shared" ca="1" si="487"/>
        <v>#NAME?</v>
      </c>
      <c r="Z578" s="699">
        <f t="shared" si="470"/>
        <v>8.5</v>
      </c>
      <c r="AA578" s="355" t="str">
        <f t="shared" si="471"/>
        <v>ON</v>
      </c>
      <c r="AB578" s="357">
        <f t="shared" si="500"/>
        <v>1.4999999999999999E-2</v>
      </c>
      <c r="AC578" s="356" t="e">
        <f ca="1">IF(  Y577=0,0,IF(OR(S578="KCAS",S578="INOP",S578="MEFE"),   ( (5*( (   (((1+0.2*(T578/661.4786)^2)^3.5 -1)  )/( (1-6.8755856*10^-6 *100*Y578)^5.2558797) +1)^(2/7) -1) )^0.5),IF(S578="MACH",T578, IF(S578="LRC",BicubicInterpolation( 'LRC Mach'!$C$4:$AL$21, Y578,U578),  IF(S578="MRC",BicubicInterpolation( 'MRC Mach'!$C$3:$T$18, Y578,U578),  IF(S578="M0.84",0.84,  IF(S578="CI52",BicubicInterpolation('CI=52 Mach'!$C$3:$T$18, Y578,U578),  IF(S578="HOLDING",BicubicInterpolation(  'Holding Mach'!$C$4:$M$13, Y578,U578),                         IF(S578="LRCINOP", BicubicInterpolation('LRC INOP Mach'!$C$4:$AA$21,Y578,U578), IF(S578="HOLDINGINOP",  BicubicInterpolation('Holding INOP Mach'!$N$4:$U$13,Y578,U578),         "XXX" )))))))   )))</f>
        <v>#NAME?</v>
      </c>
      <c r="AD578" s="313" t="e">
        <f t="shared" ca="1" si="501"/>
        <v>#NAME?</v>
      </c>
      <c r="AE578" s="314" t="e">
        <f t="shared" ca="1" si="488"/>
        <v>#NAME?</v>
      </c>
      <c r="AF578" s="313" t="e">
        <f t="shared" ca="1" si="502"/>
        <v>#NAME?</v>
      </c>
      <c r="AG578" s="314" t="e">
        <f t="shared" ca="1" si="489"/>
        <v>#NAME?</v>
      </c>
      <c r="AH578" s="313" t="e">
        <f t="shared" ca="1" si="503"/>
        <v>#NAME?</v>
      </c>
      <c r="AI578" s="314" t="e">
        <f t="shared" ca="1" si="490"/>
        <v>#NAME?</v>
      </c>
      <c r="AJ578" s="315" t="e">
        <f t="shared" ca="1" si="491"/>
        <v>#NAME?</v>
      </c>
      <c r="AK578" s="568" t="e">
        <f t="shared" ca="1" si="504"/>
        <v>#NAME?</v>
      </c>
      <c r="AL578" s="313" t="e">
        <f t="shared" ca="1" si="505"/>
        <v>#NAME?</v>
      </c>
      <c r="AM578" s="313" t="e">
        <f t="shared" ca="1" si="492"/>
        <v>#NAME?</v>
      </c>
      <c r="AN578" s="313" t="e">
        <f t="shared" ca="1" si="493"/>
        <v>#NAME?</v>
      </c>
      <c r="AO578" s="316" t="e">
        <f t="shared" ca="1" si="506"/>
        <v>#NAME?</v>
      </c>
      <c r="AP578" s="313" t="e">
        <f t="shared" ca="1" si="507"/>
        <v>#NAME?</v>
      </c>
      <c r="AQ578" s="314" t="e">
        <f t="shared" ca="1" si="494"/>
        <v>#NAME?</v>
      </c>
      <c r="AR578" s="315" t="e">
        <f t="shared" ca="1" si="508"/>
        <v>#NAME?</v>
      </c>
      <c r="AS578" s="316" t="e">
        <f t="shared" ca="1" si="509"/>
        <v>#NAME?</v>
      </c>
      <c r="AT578" s="315" t="e">
        <f t="shared" ca="1" si="510"/>
        <v>#NAME?</v>
      </c>
      <c r="AU578" s="317">
        <v>427.8</v>
      </c>
      <c r="AV578" s="315" t="e">
        <f t="shared" ca="1" si="511"/>
        <v>#NAME?</v>
      </c>
      <c r="AW578" s="318" t="e">
        <f ca="1">0.0001*BicubicInterpolation('Drag Coef Table'!$B$4:$L$28,AV578,AC578)</f>
        <v>#NAME?</v>
      </c>
      <c r="AX578" s="319" t="e">
        <f t="shared" ca="1" si="512"/>
        <v>#NAME?</v>
      </c>
      <c r="AY578" s="318" t="e">
        <f t="shared" ca="1" si="513"/>
        <v>#NAME?</v>
      </c>
      <c r="AZ578" s="320" t="e">
        <f t="shared" ca="1" si="514"/>
        <v>#NAME?</v>
      </c>
      <c r="BA578" s="321" t="e">
        <f t="shared" ca="1" si="515"/>
        <v>#NAME?</v>
      </c>
      <c r="BB578" s="322" t="e">
        <f t="shared" ca="1" si="516"/>
        <v>#NAME?</v>
      </c>
      <c r="BC578" s="323">
        <v>75.196700000000007</v>
      </c>
      <c r="BD578" s="324" t="e">
        <f t="shared" ca="1" si="517"/>
        <v>#NAME?</v>
      </c>
      <c r="BE578" s="325" t="e">
        <f t="shared" ca="1" si="518"/>
        <v>#NAME?</v>
      </c>
      <c r="BF578" s="324" t="e">
        <f ca="1">BicubicInterpolation('TSFC Eff Table'!$B$4:$E$69,2,BB578)</f>
        <v>#NAME?</v>
      </c>
      <c r="BG578" s="326" t="e">
        <f t="shared" ca="1" si="519"/>
        <v>#NAME?</v>
      </c>
      <c r="BH578" s="694" t="e">
        <f ca="1">IF( S578="LRCINOP",   (1+(0.03/10)*Z578*(1+0.2*AC578^2) )*BicubicInterpolation( 'LRC INOP FF'!$C$4:$AA$21, Y578, U578 )-200, IF(S578 ="HOLDINGINOP", (1+(0.03/10)*Z578*(1+0.2*AC578^2) )*BicubicInterpolation( 'Holding INOP FF'!$C$4:$J$13,  Y578,  U578)/1.05-200,   BA578*BG578))</f>
        <v>#NAME?</v>
      </c>
      <c r="BI578" s="344" t="e">
        <f t="shared" ca="1" si="478"/>
        <v>#NAME?</v>
      </c>
      <c r="BJ578" s="322" t="e">
        <f t="shared" ca="1" si="520"/>
        <v>#NAME?</v>
      </c>
      <c r="BK578" s="338" t="e">
        <f t="shared" ca="1" si="479"/>
        <v>#NAME?</v>
      </c>
      <c r="BL578" s="327" t="e">
        <f t="shared" ca="1" si="521"/>
        <v>#NAME?</v>
      </c>
      <c r="BM578" s="328">
        <f t="shared" si="522"/>
        <v>200</v>
      </c>
      <c r="BN578" s="329" t="e">
        <f t="shared" ca="1" si="523"/>
        <v>#NAME?</v>
      </c>
      <c r="BO578" s="344" t="e">
        <f t="shared" ca="1" si="480"/>
        <v>#NAME?</v>
      </c>
      <c r="BP578" s="320" t="e">
        <f t="shared" ca="1" si="524"/>
        <v>#NAME?</v>
      </c>
      <c r="BQ578" s="344" t="e">
        <f t="shared" ca="1" si="481"/>
        <v>#NAME?</v>
      </c>
      <c r="BR578" s="347" t="e">
        <f t="shared" ca="1" si="482"/>
        <v>#NAME?</v>
      </c>
      <c r="BS578" s="326" t="e">
        <f t="shared" ca="1" si="525"/>
        <v>#NAME?</v>
      </c>
      <c r="BT578" s="437" t="e">
        <f t="shared" ca="1" si="495"/>
        <v>#NAME?</v>
      </c>
      <c r="BU578" s="437" t="e">
        <f t="shared" ca="1" si="496"/>
        <v>#NAME?</v>
      </c>
      <c r="BV578" s="441" t="e">
        <f t="shared" ca="1" si="497"/>
        <v>#NAME?</v>
      </c>
      <c r="BW578" s="442" t="e">
        <f t="shared" ca="1" si="498"/>
        <v>#NAME?</v>
      </c>
      <c r="BX578" s="470" t="e">
        <f t="shared" ca="1" si="472"/>
        <v>#NAME?</v>
      </c>
      <c r="BY578" s="484" t="e">
        <f t="shared" ca="1" si="483"/>
        <v>#NAME?</v>
      </c>
    </row>
    <row r="579" spans="9:77" ht="17.75" customHeight="1" x14ac:dyDescent="0.2">
      <c r="I579" s="366">
        <v>495</v>
      </c>
      <c r="J579" s="414">
        <f t="shared" si="484"/>
        <v>41706.056250001122</v>
      </c>
      <c r="K579" s="435" t="e">
        <f t="shared" ca="1" si="485"/>
        <v>#NAME?</v>
      </c>
      <c r="L579" s="435" t="e">
        <f t="shared" ca="1" si="528"/>
        <v>#NAME?</v>
      </c>
      <c r="M579" s="664" t="e">
        <f t="shared" ca="1" si="526"/>
        <v>#NAME?</v>
      </c>
      <c r="N579" s="664" t="e">
        <f t="shared" ca="1" si="527"/>
        <v>#NAME?</v>
      </c>
      <c r="O579" s="140" t="e">
        <f t="shared" ca="1" si="473"/>
        <v>#NAME?</v>
      </c>
      <c r="P579" s="352" t="e">
        <f t="shared" ca="1" si="486"/>
        <v>#NAME?</v>
      </c>
      <c r="Q579" s="665" t="e">
        <f t="shared" ca="1" si="467"/>
        <v>#NAME?</v>
      </c>
      <c r="R579" s="352" t="e">
        <f t="shared" ca="1" si="499"/>
        <v>#NAME?</v>
      </c>
      <c r="S579" s="662" t="e">
        <f t="shared" ca="1" si="474"/>
        <v>#NAME?</v>
      </c>
      <c r="T579" s="443" t="e">
        <f t="shared" ca="1" si="468"/>
        <v>#NAME?</v>
      </c>
      <c r="U579" s="369" t="e">
        <f t="shared" ca="1" si="469"/>
        <v>#NAME?</v>
      </c>
      <c r="V579" s="454" t="e">
        <f t="shared" ca="1" si="475"/>
        <v>#NAME?</v>
      </c>
      <c r="W579" s="457">
        <f t="shared" si="476"/>
        <v>1000</v>
      </c>
      <c r="X579" s="463" t="e">
        <f t="shared" ca="1" si="477"/>
        <v>#NAME?</v>
      </c>
      <c r="Y579" s="455" t="e">
        <f t="shared" ca="1" si="487"/>
        <v>#NAME?</v>
      </c>
      <c r="Z579" s="699">
        <f t="shared" si="470"/>
        <v>8.5</v>
      </c>
      <c r="AA579" s="355" t="str">
        <f t="shared" si="471"/>
        <v>ON</v>
      </c>
      <c r="AB579" s="357">
        <f t="shared" si="500"/>
        <v>1.4999999999999999E-2</v>
      </c>
      <c r="AC579" s="356" t="e">
        <f ca="1">IF(  Y578=0,0,IF(OR(S579="KCAS",S579="INOP",S579="MEFE"),   ( (5*( (   (((1+0.2*(T579/661.4786)^2)^3.5 -1)  )/( (1-6.8755856*10^-6 *100*Y579)^5.2558797) +1)^(2/7) -1) )^0.5),IF(S579="MACH",T579, IF(S579="LRC",BicubicInterpolation( 'LRC Mach'!$C$4:$AL$21, Y579,U579),  IF(S579="MRC",BicubicInterpolation( 'MRC Mach'!$C$3:$T$18, Y579,U579),  IF(S579="M0.84",0.84,  IF(S579="CI52",BicubicInterpolation('CI=52 Mach'!$C$3:$T$18, Y579,U579),  IF(S579="HOLDING",BicubicInterpolation(  'Holding Mach'!$C$4:$M$13, Y579,U579),                         IF(S579="LRCINOP", BicubicInterpolation('LRC INOP Mach'!$C$4:$AA$21,Y579,U579), IF(S579="HOLDINGINOP",  BicubicInterpolation('Holding INOP Mach'!$N$4:$U$13,Y579,U579),         "XXX" )))))))   )))</f>
        <v>#NAME?</v>
      </c>
      <c r="AD579" s="313" t="e">
        <f t="shared" ca="1" si="501"/>
        <v>#NAME?</v>
      </c>
      <c r="AE579" s="314" t="e">
        <f t="shared" ca="1" si="488"/>
        <v>#NAME?</v>
      </c>
      <c r="AF579" s="313" t="e">
        <f t="shared" ca="1" si="502"/>
        <v>#NAME?</v>
      </c>
      <c r="AG579" s="314" t="e">
        <f t="shared" ca="1" si="489"/>
        <v>#NAME?</v>
      </c>
      <c r="AH579" s="313" t="e">
        <f t="shared" ca="1" si="503"/>
        <v>#NAME?</v>
      </c>
      <c r="AI579" s="314" t="e">
        <f t="shared" ca="1" si="490"/>
        <v>#NAME?</v>
      </c>
      <c r="AJ579" s="315" t="e">
        <f t="shared" ca="1" si="491"/>
        <v>#NAME?</v>
      </c>
      <c r="AK579" s="568" t="e">
        <f t="shared" ca="1" si="504"/>
        <v>#NAME?</v>
      </c>
      <c r="AL579" s="313" t="e">
        <f t="shared" ca="1" si="505"/>
        <v>#NAME?</v>
      </c>
      <c r="AM579" s="313" t="e">
        <f t="shared" ca="1" si="492"/>
        <v>#NAME?</v>
      </c>
      <c r="AN579" s="313" t="e">
        <f t="shared" ca="1" si="493"/>
        <v>#NAME?</v>
      </c>
      <c r="AO579" s="316" t="e">
        <f t="shared" ca="1" si="506"/>
        <v>#NAME?</v>
      </c>
      <c r="AP579" s="313" t="e">
        <f t="shared" ca="1" si="507"/>
        <v>#NAME?</v>
      </c>
      <c r="AQ579" s="314" t="e">
        <f t="shared" ca="1" si="494"/>
        <v>#NAME?</v>
      </c>
      <c r="AR579" s="315" t="e">
        <f t="shared" ca="1" si="508"/>
        <v>#NAME?</v>
      </c>
      <c r="AS579" s="316" t="e">
        <f t="shared" ca="1" si="509"/>
        <v>#NAME?</v>
      </c>
      <c r="AT579" s="315" t="e">
        <f t="shared" ca="1" si="510"/>
        <v>#NAME?</v>
      </c>
      <c r="AU579" s="317">
        <v>427.8</v>
      </c>
      <c r="AV579" s="315" t="e">
        <f t="shared" ca="1" si="511"/>
        <v>#NAME?</v>
      </c>
      <c r="AW579" s="318" t="e">
        <f ca="1">0.0001*BicubicInterpolation('Drag Coef Table'!$B$4:$L$28,AV579,AC579)</f>
        <v>#NAME?</v>
      </c>
      <c r="AX579" s="319" t="e">
        <f t="shared" ca="1" si="512"/>
        <v>#NAME?</v>
      </c>
      <c r="AY579" s="318" t="e">
        <f t="shared" ca="1" si="513"/>
        <v>#NAME?</v>
      </c>
      <c r="AZ579" s="320" t="e">
        <f t="shared" ca="1" si="514"/>
        <v>#NAME?</v>
      </c>
      <c r="BA579" s="321" t="e">
        <f t="shared" ca="1" si="515"/>
        <v>#NAME?</v>
      </c>
      <c r="BB579" s="322" t="e">
        <f t="shared" ca="1" si="516"/>
        <v>#NAME?</v>
      </c>
      <c r="BC579" s="323">
        <v>75.196700000000007</v>
      </c>
      <c r="BD579" s="324" t="e">
        <f t="shared" ca="1" si="517"/>
        <v>#NAME?</v>
      </c>
      <c r="BE579" s="325" t="e">
        <f t="shared" ca="1" si="518"/>
        <v>#NAME?</v>
      </c>
      <c r="BF579" s="324" t="e">
        <f ca="1">BicubicInterpolation('TSFC Eff Table'!$B$4:$E$69,2,BB579)</f>
        <v>#NAME?</v>
      </c>
      <c r="BG579" s="326" t="e">
        <f t="shared" ca="1" si="519"/>
        <v>#NAME?</v>
      </c>
      <c r="BH579" s="694" t="e">
        <f ca="1">IF( S579="LRCINOP",   (1+(0.03/10)*Z579*(1+0.2*AC579^2) )*BicubicInterpolation( 'LRC INOP FF'!$C$4:$AA$21, Y579, U579 )-200, IF(S579 ="HOLDINGINOP", (1+(0.03/10)*Z579*(1+0.2*AC579^2) )*BicubicInterpolation( 'Holding INOP FF'!$C$4:$J$13,  Y579,  U579)/1.05-200,   BA579*BG579))</f>
        <v>#NAME?</v>
      </c>
      <c r="BI579" s="344" t="e">
        <f t="shared" ca="1" si="478"/>
        <v>#NAME?</v>
      </c>
      <c r="BJ579" s="322" t="e">
        <f t="shared" ca="1" si="520"/>
        <v>#NAME?</v>
      </c>
      <c r="BK579" s="338" t="e">
        <f t="shared" ca="1" si="479"/>
        <v>#NAME?</v>
      </c>
      <c r="BL579" s="327" t="e">
        <f t="shared" ca="1" si="521"/>
        <v>#NAME?</v>
      </c>
      <c r="BM579" s="328">
        <f t="shared" si="522"/>
        <v>200</v>
      </c>
      <c r="BN579" s="329" t="e">
        <f t="shared" ca="1" si="523"/>
        <v>#NAME?</v>
      </c>
      <c r="BO579" s="344" t="e">
        <f t="shared" ca="1" si="480"/>
        <v>#NAME?</v>
      </c>
      <c r="BP579" s="320" t="e">
        <f t="shared" ca="1" si="524"/>
        <v>#NAME?</v>
      </c>
      <c r="BQ579" s="344" t="e">
        <f t="shared" ca="1" si="481"/>
        <v>#NAME?</v>
      </c>
      <c r="BR579" s="347" t="e">
        <f t="shared" ca="1" si="482"/>
        <v>#NAME?</v>
      </c>
      <c r="BS579" s="326" t="e">
        <f t="shared" ca="1" si="525"/>
        <v>#NAME?</v>
      </c>
      <c r="BT579" s="437" t="e">
        <f t="shared" ca="1" si="495"/>
        <v>#NAME?</v>
      </c>
      <c r="BU579" s="437" t="e">
        <f t="shared" ca="1" si="496"/>
        <v>#NAME?</v>
      </c>
      <c r="BV579" s="441" t="e">
        <f t="shared" ca="1" si="497"/>
        <v>#NAME?</v>
      </c>
      <c r="BW579" s="442" t="e">
        <f t="shared" ca="1" si="498"/>
        <v>#NAME?</v>
      </c>
      <c r="BX579" s="470" t="e">
        <f t="shared" ca="1" si="472"/>
        <v>#NAME?</v>
      </c>
      <c r="BY579" s="484" t="e">
        <f t="shared" ca="1" si="483"/>
        <v>#NAME?</v>
      </c>
    </row>
    <row r="580" spans="9:77" ht="17.75" customHeight="1" x14ac:dyDescent="0.2">
      <c r="I580" s="366">
        <v>496</v>
      </c>
      <c r="J580" s="414">
        <f t="shared" si="484"/>
        <v>41706.056944445569</v>
      </c>
      <c r="K580" s="435" t="e">
        <f t="shared" ca="1" si="485"/>
        <v>#NAME?</v>
      </c>
      <c r="L580" s="435" t="e">
        <f t="shared" ca="1" si="528"/>
        <v>#NAME?</v>
      </c>
      <c r="M580" s="664" t="e">
        <f t="shared" ca="1" si="526"/>
        <v>#NAME?</v>
      </c>
      <c r="N580" s="664" t="e">
        <f t="shared" ca="1" si="527"/>
        <v>#NAME?</v>
      </c>
      <c r="O580" s="140" t="e">
        <f t="shared" ca="1" si="473"/>
        <v>#NAME?</v>
      </c>
      <c r="P580" s="352" t="e">
        <f t="shared" ca="1" si="486"/>
        <v>#NAME?</v>
      </c>
      <c r="Q580" s="665" t="e">
        <f t="shared" ca="1" si="467"/>
        <v>#NAME?</v>
      </c>
      <c r="R580" s="352" t="e">
        <f t="shared" ca="1" si="499"/>
        <v>#NAME?</v>
      </c>
      <c r="S580" s="662" t="e">
        <f t="shared" ca="1" si="474"/>
        <v>#NAME?</v>
      </c>
      <c r="T580" s="443" t="e">
        <f t="shared" ca="1" si="468"/>
        <v>#NAME?</v>
      </c>
      <c r="U580" s="369" t="e">
        <f t="shared" ca="1" si="469"/>
        <v>#NAME?</v>
      </c>
      <c r="V580" s="454" t="e">
        <f t="shared" ca="1" si="475"/>
        <v>#NAME?</v>
      </c>
      <c r="W580" s="457">
        <f t="shared" si="476"/>
        <v>1000</v>
      </c>
      <c r="X580" s="463" t="e">
        <f t="shared" ca="1" si="477"/>
        <v>#NAME?</v>
      </c>
      <c r="Y580" s="455" t="e">
        <f t="shared" ca="1" si="487"/>
        <v>#NAME?</v>
      </c>
      <c r="Z580" s="699">
        <f t="shared" si="470"/>
        <v>8.5</v>
      </c>
      <c r="AA580" s="355" t="str">
        <f t="shared" si="471"/>
        <v>ON</v>
      </c>
      <c r="AB580" s="357">
        <f t="shared" si="500"/>
        <v>1.4999999999999999E-2</v>
      </c>
      <c r="AC580" s="356" t="e">
        <f ca="1">IF(  Y579=0,0,IF(OR(S580="KCAS",S580="INOP",S580="MEFE"),   ( (5*( (   (((1+0.2*(T580/661.4786)^2)^3.5 -1)  )/( (1-6.8755856*10^-6 *100*Y580)^5.2558797) +1)^(2/7) -1) )^0.5),IF(S580="MACH",T580, IF(S580="LRC",BicubicInterpolation( 'LRC Mach'!$C$4:$AL$21, Y580,U580),  IF(S580="MRC",BicubicInterpolation( 'MRC Mach'!$C$3:$T$18, Y580,U580),  IF(S580="M0.84",0.84,  IF(S580="CI52",BicubicInterpolation('CI=52 Mach'!$C$3:$T$18, Y580,U580),  IF(S580="HOLDING",BicubicInterpolation(  'Holding Mach'!$C$4:$M$13, Y580,U580),                         IF(S580="LRCINOP", BicubicInterpolation('LRC INOP Mach'!$C$4:$AA$21,Y580,U580), IF(S580="HOLDINGINOP",  BicubicInterpolation('Holding INOP Mach'!$N$4:$U$13,Y580,U580),         "XXX" )))))))   )))</f>
        <v>#NAME?</v>
      </c>
      <c r="AD580" s="313" t="e">
        <f t="shared" ca="1" si="501"/>
        <v>#NAME?</v>
      </c>
      <c r="AE580" s="314" t="e">
        <f t="shared" ca="1" si="488"/>
        <v>#NAME?</v>
      </c>
      <c r="AF580" s="313" t="e">
        <f t="shared" ca="1" si="502"/>
        <v>#NAME?</v>
      </c>
      <c r="AG580" s="314" t="e">
        <f t="shared" ca="1" si="489"/>
        <v>#NAME?</v>
      </c>
      <c r="AH580" s="313" t="e">
        <f t="shared" ca="1" si="503"/>
        <v>#NAME?</v>
      </c>
      <c r="AI580" s="314" t="e">
        <f t="shared" ca="1" si="490"/>
        <v>#NAME?</v>
      </c>
      <c r="AJ580" s="315" t="e">
        <f t="shared" ca="1" si="491"/>
        <v>#NAME?</v>
      </c>
      <c r="AK580" s="568" t="e">
        <f t="shared" ca="1" si="504"/>
        <v>#NAME?</v>
      </c>
      <c r="AL580" s="313" t="e">
        <f t="shared" ca="1" si="505"/>
        <v>#NAME?</v>
      </c>
      <c r="AM580" s="313" t="e">
        <f t="shared" ca="1" si="492"/>
        <v>#NAME?</v>
      </c>
      <c r="AN580" s="313" t="e">
        <f t="shared" ca="1" si="493"/>
        <v>#NAME?</v>
      </c>
      <c r="AO580" s="316" t="e">
        <f t="shared" ca="1" si="506"/>
        <v>#NAME?</v>
      </c>
      <c r="AP580" s="313" t="e">
        <f t="shared" ca="1" si="507"/>
        <v>#NAME?</v>
      </c>
      <c r="AQ580" s="314" t="e">
        <f t="shared" ca="1" si="494"/>
        <v>#NAME?</v>
      </c>
      <c r="AR580" s="315" t="e">
        <f t="shared" ca="1" si="508"/>
        <v>#NAME?</v>
      </c>
      <c r="AS580" s="316" t="e">
        <f t="shared" ca="1" si="509"/>
        <v>#NAME?</v>
      </c>
      <c r="AT580" s="315" t="e">
        <f t="shared" ca="1" si="510"/>
        <v>#NAME?</v>
      </c>
      <c r="AU580" s="317">
        <v>427.8</v>
      </c>
      <c r="AV580" s="315" t="e">
        <f t="shared" ca="1" si="511"/>
        <v>#NAME?</v>
      </c>
      <c r="AW580" s="318" t="e">
        <f ca="1">0.0001*BicubicInterpolation('Drag Coef Table'!$B$4:$L$28,AV580,AC580)</f>
        <v>#NAME?</v>
      </c>
      <c r="AX580" s="319" t="e">
        <f t="shared" ca="1" si="512"/>
        <v>#NAME?</v>
      </c>
      <c r="AY580" s="318" t="e">
        <f t="shared" ca="1" si="513"/>
        <v>#NAME?</v>
      </c>
      <c r="AZ580" s="320" t="e">
        <f t="shared" ca="1" si="514"/>
        <v>#NAME?</v>
      </c>
      <c r="BA580" s="321" t="e">
        <f t="shared" ca="1" si="515"/>
        <v>#NAME?</v>
      </c>
      <c r="BB580" s="322" t="e">
        <f t="shared" ca="1" si="516"/>
        <v>#NAME?</v>
      </c>
      <c r="BC580" s="323">
        <v>75.196700000000007</v>
      </c>
      <c r="BD580" s="324" t="e">
        <f t="shared" ca="1" si="517"/>
        <v>#NAME?</v>
      </c>
      <c r="BE580" s="325" t="e">
        <f t="shared" ca="1" si="518"/>
        <v>#NAME?</v>
      </c>
      <c r="BF580" s="324" t="e">
        <f ca="1">BicubicInterpolation('TSFC Eff Table'!$B$4:$E$69,2,BB580)</f>
        <v>#NAME?</v>
      </c>
      <c r="BG580" s="326" t="e">
        <f t="shared" ca="1" si="519"/>
        <v>#NAME?</v>
      </c>
      <c r="BH580" s="694" t="e">
        <f ca="1">IF( S580="LRCINOP",   (1+(0.03/10)*Z580*(1+0.2*AC580^2) )*BicubicInterpolation( 'LRC INOP FF'!$C$4:$AA$21, Y580, U580 )-200, IF(S580 ="HOLDINGINOP", (1+(0.03/10)*Z580*(1+0.2*AC580^2) )*BicubicInterpolation( 'Holding INOP FF'!$C$4:$J$13,  Y580,  U580)/1.05-200,   BA580*BG580))</f>
        <v>#NAME?</v>
      </c>
      <c r="BI580" s="344" t="e">
        <f t="shared" ca="1" si="478"/>
        <v>#NAME?</v>
      </c>
      <c r="BJ580" s="322" t="e">
        <f t="shared" ca="1" si="520"/>
        <v>#NAME?</v>
      </c>
      <c r="BK580" s="338" t="e">
        <f t="shared" ca="1" si="479"/>
        <v>#NAME?</v>
      </c>
      <c r="BL580" s="327" t="e">
        <f t="shared" ca="1" si="521"/>
        <v>#NAME?</v>
      </c>
      <c r="BM580" s="328">
        <f t="shared" si="522"/>
        <v>200</v>
      </c>
      <c r="BN580" s="329" t="e">
        <f t="shared" ca="1" si="523"/>
        <v>#NAME?</v>
      </c>
      <c r="BO580" s="344" t="e">
        <f t="shared" ca="1" si="480"/>
        <v>#NAME?</v>
      </c>
      <c r="BP580" s="320" t="e">
        <f t="shared" ca="1" si="524"/>
        <v>#NAME?</v>
      </c>
      <c r="BQ580" s="344" t="e">
        <f t="shared" ca="1" si="481"/>
        <v>#NAME?</v>
      </c>
      <c r="BR580" s="347" t="e">
        <f t="shared" ca="1" si="482"/>
        <v>#NAME?</v>
      </c>
      <c r="BS580" s="326" t="e">
        <f t="shared" ca="1" si="525"/>
        <v>#NAME?</v>
      </c>
      <c r="BT580" s="437" t="e">
        <f t="shared" ca="1" si="495"/>
        <v>#NAME?</v>
      </c>
      <c r="BU580" s="437" t="e">
        <f t="shared" ca="1" si="496"/>
        <v>#NAME?</v>
      </c>
      <c r="BV580" s="441" t="e">
        <f t="shared" ca="1" si="497"/>
        <v>#NAME?</v>
      </c>
      <c r="BW580" s="442" t="e">
        <f t="shared" ca="1" si="498"/>
        <v>#NAME?</v>
      </c>
      <c r="BX580" s="470" t="e">
        <f t="shared" ca="1" si="472"/>
        <v>#NAME?</v>
      </c>
      <c r="BY580" s="484" t="e">
        <f t="shared" ca="1" si="483"/>
        <v>#NAME?</v>
      </c>
    </row>
    <row r="581" spans="9:77" ht="17.75" customHeight="1" x14ac:dyDescent="0.2">
      <c r="I581" s="366">
        <v>497</v>
      </c>
      <c r="J581" s="414">
        <f t="shared" si="484"/>
        <v>41706.057638890015</v>
      </c>
      <c r="K581" s="435" t="e">
        <f t="shared" ca="1" si="485"/>
        <v>#NAME?</v>
      </c>
      <c r="L581" s="435" t="e">
        <f t="shared" ca="1" si="528"/>
        <v>#NAME?</v>
      </c>
      <c r="M581" s="664" t="e">
        <f t="shared" ca="1" si="526"/>
        <v>#NAME?</v>
      </c>
      <c r="N581" s="664" t="e">
        <f t="shared" ca="1" si="527"/>
        <v>#NAME?</v>
      </c>
      <c r="O581" s="140" t="e">
        <f t="shared" ca="1" si="473"/>
        <v>#NAME?</v>
      </c>
      <c r="P581" s="352" t="e">
        <f t="shared" ca="1" si="486"/>
        <v>#NAME?</v>
      </c>
      <c r="Q581" s="665" t="e">
        <f t="shared" ref="Q581:Q644" ca="1" si="529">IF(S581="MEFE",  0,    IF(S581="INOP",    $C$36*AQ581/0.2243,     IF(V581&lt;Y580,             IF(OR(S581="KCAS",S581="HOLDING",S581="HOLDINGINOP",S581="LRCINOP"),   $C$32,    (1+$C$30*ABS(X581)/1000)*BN581  ),      IF(V581&gt;Y580,   BN581*(1+$C$29*W581/1000),   IF(AND($C$34=1, OR(S581="HOLDING", S581="HOLDINGINOP")  ),1.05,1)*BN581    ))))</f>
        <v>#NAME?</v>
      </c>
      <c r="R581" s="352" t="e">
        <f t="shared" ca="1" si="499"/>
        <v>#NAME?</v>
      </c>
      <c r="S581" s="662" t="e">
        <f t="shared" ca="1" si="474"/>
        <v>#NAME?</v>
      </c>
      <c r="T581" s="443" t="e">
        <f t="shared" ca="1" si="468"/>
        <v>#NAME?</v>
      </c>
      <c r="U581" s="369" t="e">
        <f t="shared" ca="1" si="469"/>
        <v>#NAME?</v>
      </c>
      <c r="V581" s="454" t="e">
        <f t="shared" ca="1" si="475"/>
        <v>#NAME?</v>
      </c>
      <c r="W581" s="457">
        <f t="shared" si="476"/>
        <v>1000</v>
      </c>
      <c r="X581" s="463" t="e">
        <f t="shared" ca="1" si="477"/>
        <v>#NAME?</v>
      </c>
      <c r="Y581" s="455" t="e">
        <f t="shared" ca="1" si="487"/>
        <v>#NAME?</v>
      </c>
      <c r="Z581" s="699">
        <f t="shared" si="470"/>
        <v>8.5</v>
      </c>
      <c r="AA581" s="355" t="str">
        <f t="shared" si="471"/>
        <v>ON</v>
      </c>
      <c r="AB581" s="357">
        <f t="shared" si="500"/>
        <v>1.4999999999999999E-2</v>
      </c>
      <c r="AC581" s="356" t="e">
        <f ca="1">IF(  Y580=0,0,IF(OR(S581="KCAS",S581="INOP",S581="MEFE"),   ( (5*( (   (((1+0.2*(T581/661.4786)^2)^3.5 -1)  )/( (1-6.8755856*10^-6 *100*Y581)^5.2558797) +1)^(2/7) -1) )^0.5),IF(S581="MACH",T581, IF(S581="LRC",BicubicInterpolation( 'LRC Mach'!$C$4:$AL$21, Y581,U581),  IF(S581="MRC",BicubicInterpolation( 'MRC Mach'!$C$3:$T$18, Y581,U581),  IF(S581="M0.84",0.84,  IF(S581="CI52",BicubicInterpolation('CI=52 Mach'!$C$3:$T$18, Y581,U581),  IF(S581="HOLDING",BicubicInterpolation(  'Holding Mach'!$C$4:$M$13, Y581,U581),                         IF(S581="LRCINOP", BicubicInterpolation('LRC INOP Mach'!$C$4:$AA$21,Y581,U581), IF(S581="HOLDINGINOP",  BicubicInterpolation('Holding INOP Mach'!$N$4:$U$13,Y581,U581),         "XXX" )))))))   )))</f>
        <v>#NAME?</v>
      </c>
      <c r="AD581" s="313" t="e">
        <f t="shared" ca="1" si="501"/>
        <v>#NAME?</v>
      </c>
      <c r="AE581" s="314" t="e">
        <f t="shared" ca="1" si="488"/>
        <v>#NAME?</v>
      </c>
      <c r="AF581" s="313" t="e">
        <f t="shared" ca="1" si="502"/>
        <v>#NAME?</v>
      </c>
      <c r="AG581" s="314" t="e">
        <f t="shared" ca="1" si="489"/>
        <v>#NAME?</v>
      </c>
      <c r="AH581" s="313" t="e">
        <f t="shared" ca="1" si="503"/>
        <v>#NAME?</v>
      </c>
      <c r="AI581" s="314" t="e">
        <f t="shared" ca="1" si="490"/>
        <v>#NAME?</v>
      </c>
      <c r="AJ581" s="315" t="e">
        <f t="shared" ca="1" si="491"/>
        <v>#NAME?</v>
      </c>
      <c r="AK581" s="568" t="e">
        <f t="shared" ca="1" si="504"/>
        <v>#NAME?</v>
      </c>
      <c r="AL581" s="313" t="e">
        <f t="shared" ca="1" si="505"/>
        <v>#NAME?</v>
      </c>
      <c r="AM581" s="313" t="e">
        <f t="shared" ca="1" si="492"/>
        <v>#NAME?</v>
      </c>
      <c r="AN581" s="313" t="e">
        <f t="shared" ca="1" si="493"/>
        <v>#NAME?</v>
      </c>
      <c r="AO581" s="316" t="e">
        <f t="shared" ca="1" si="506"/>
        <v>#NAME?</v>
      </c>
      <c r="AP581" s="313" t="e">
        <f t="shared" ca="1" si="507"/>
        <v>#NAME?</v>
      </c>
      <c r="AQ581" s="314" t="e">
        <f t="shared" ca="1" si="494"/>
        <v>#NAME?</v>
      </c>
      <c r="AR581" s="315" t="e">
        <f t="shared" ca="1" si="508"/>
        <v>#NAME?</v>
      </c>
      <c r="AS581" s="316" t="e">
        <f t="shared" ca="1" si="509"/>
        <v>#NAME?</v>
      </c>
      <c r="AT581" s="315" t="e">
        <f t="shared" ca="1" si="510"/>
        <v>#NAME?</v>
      </c>
      <c r="AU581" s="317">
        <v>427.8</v>
      </c>
      <c r="AV581" s="315" t="e">
        <f t="shared" ca="1" si="511"/>
        <v>#NAME?</v>
      </c>
      <c r="AW581" s="318" t="e">
        <f ca="1">0.0001*BicubicInterpolation('Drag Coef Table'!$B$4:$L$28,AV581,AC581)</f>
        <v>#NAME?</v>
      </c>
      <c r="AX581" s="319" t="e">
        <f t="shared" ca="1" si="512"/>
        <v>#NAME?</v>
      </c>
      <c r="AY581" s="318" t="e">
        <f t="shared" ca="1" si="513"/>
        <v>#NAME?</v>
      </c>
      <c r="AZ581" s="320" t="e">
        <f t="shared" ca="1" si="514"/>
        <v>#NAME?</v>
      </c>
      <c r="BA581" s="321" t="e">
        <f t="shared" ca="1" si="515"/>
        <v>#NAME?</v>
      </c>
      <c r="BB581" s="322" t="e">
        <f t="shared" ca="1" si="516"/>
        <v>#NAME?</v>
      </c>
      <c r="BC581" s="323">
        <v>75.196700000000007</v>
      </c>
      <c r="BD581" s="324" t="e">
        <f t="shared" ca="1" si="517"/>
        <v>#NAME?</v>
      </c>
      <c r="BE581" s="325" t="e">
        <f t="shared" ca="1" si="518"/>
        <v>#NAME?</v>
      </c>
      <c r="BF581" s="324" t="e">
        <f ca="1">BicubicInterpolation('TSFC Eff Table'!$B$4:$E$69,2,BB581)</f>
        <v>#NAME?</v>
      </c>
      <c r="BG581" s="326" t="e">
        <f t="shared" ca="1" si="519"/>
        <v>#NAME?</v>
      </c>
      <c r="BH581" s="694" t="e">
        <f ca="1">IF( S581="LRCINOP",   (1+(0.03/10)*Z581*(1+0.2*AC581^2) )*BicubicInterpolation( 'LRC INOP FF'!$C$4:$AA$21, Y581, U581 )-200, IF(S581 ="HOLDINGINOP", (1+(0.03/10)*Z581*(1+0.2*AC581^2) )*BicubicInterpolation( 'Holding INOP FF'!$C$4:$J$13,  Y581,  U581)/1.05-200,   BA581*BG581))</f>
        <v>#NAME?</v>
      </c>
      <c r="BI581" s="344" t="e">
        <f t="shared" ca="1" si="478"/>
        <v>#NAME?</v>
      </c>
      <c r="BJ581" s="322" t="e">
        <f t="shared" ca="1" si="520"/>
        <v>#NAME?</v>
      </c>
      <c r="BK581" s="338" t="e">
        <f t="shared" ca="1" si="479"/>
        <v>#NAME?</v>
      </c>
      <c r="BL581" s="327" t="e">
        <f t="shared" ca="1" si="521"/>
        <v>#NAME?</v>
      </c>
      <c r="BM581" s="328">
        <f t="shared" si="522"/>
        <v>200</v>
      </c>
      <c r="BN581" s="329" t="e">
        <f t="shared" ca="1" si="523"/>
        <v>#NAME?</v>
      </c>
      <c r="BO581" s="344" t="e">
        <f t="shared" ca="1" si="480"/>
        <v>#NAME?</v>
      </c>
      <c r="BP581" s="320" t="e">
        <f t="shared" ca="1" si="524"/>
        <v>#NAME?</v>
      </c>
      <c r="BQ581" s="344" t="e">
        <f t="shared" ca="1" si="481"/>
        <v>#NAME?</v>
      </c>
      <c r="BR581" s="347" t="e">
        <f t="shared" ca="1" si="482"/>
        <v>#NAME?</v>
      </c>
      <c r="BS581" s="326" t="e">
        <f t="shared" ca="1" si="525"/>
        <v>#NAME?</v>
      </c>
      <c r="BT581" s="437" t="e">
        <f t="shared" ca="1" si="495"/>
        <v>#NAME?</v>
      </c>
      <c r="BU581" s="437" t="e">
        <f t="shared" ca="1" si="496"/>
        <v>#NAME?</v>
      </c>
      <c r="BV581" s="441" t="e">
        <f t="shared" ca="1" si="497"/>
        <v>#NAME?</v>
      </c>
      <c r="BW581" s="442" t="e">
        <f t="shared" ca="1" si="498"/>
        <v>#NAME?</v>
      </c>
      <c r="BX581" s="470" t="e">
        <f t="shared" ca="1" si="472"/>
        <v>#NAME?</v>
      </c>
      <c r="BY581" s="484" t="e">
        <f t="shared" ca="1" si="483"/>
        <v>#NAME?</v>
      </c>
    </row>
    <row r="582" spans="9:77" ht="17.75" customHeight="1" x14ac:dyDescent="0.2">
      <c r="I582" s="366">
        <v>498</v>
      </c>
      <c r="J582" s="414">
        <f t="shared" si="484"/>
        <v>41706.058333334462</v>
      </c>
      <c r="K582" s="435" t="e">
        <f t="shared" ca="1" si="485"/>
        <v>#NAME?</v>
      </c>
      <c r="L582" s="435" t="e">
        <f t="shared" ca="1" si="528"/>
        <v>#NAME?</v>
      </c>
      <c r="M582" s="664" t="e">
        <f t="shared" ca="1" si="526"/>
        <v>#NAME?</v>
      </c>
      <c r="N582" s="664" t="e">
        <f t="shared" ca="1" si="527"/>
        <v>#NAME?</v>
      </c>
      <c r="O582" s="140" t="e">
        <f t="shared" ca="1" si="473"/>
        <v>#NAME?</v>
      </c>
      <c r="P582" s="352" t="e">
        <f t="shared" ca="1" si="486"/>
        <v>#NAME?</v>
      </c>
      <c r="Q582" s="665" t="e">
        <f t="shared" ca="1" si="529"/>
        <v>#NAME?</v>
      </c>
      <c r="R582" s="352" t="e">
        <f t="shared" ca="1" si="499"/>
        <v>#NAME?</v>
      </c>
      <c r="S582" s="662" t="e">
        <f t="shared" ca="1" si="474"/>
        <v>#NAME?</v>
      </c>
      <c r="T582" s="443" t="e">
        <f t="shared" ca="1" si="468"/>
        <v>#NAME?</v>
      </c>
      <c r="U582" s="369" t="e">
        <f t="shared" ca="1" si="469"/>
        <v>#NAME?</v>
      </c>
      <c r="V582" s="454" t="e">
        <f t="shared" ca="1" si="475"/>
        <v>#NAME?</v>
      </c>
      <c r="W582" s="457">
        <f t="shared" si="476"/>
        <v>1000</v>
      </c>
      <c r="X582" s="463" t="e">
        <f t="shared" ca="1" si="477"/>
        <v>#NAME?</v>
      </c>
      <c r="Y582" s="455" t="e">
        <f t="shared" ca="1" si="487"/>
        <v>#NAME?</v>
      </c>
      <c r="Z582" s="699">
        <f t="shared" si="470"/>
        <v>8.5</v>
      </c>
      <c r="AA582" s="355" t="str">
        <f t="shared" si="471"/>
        <v>ON</v>
      </c>
      <c r="AB582" s="357">
        <f t="shared" si="500"/>
        <v>1.4999999999999999E-2</v>
      </c>
      <c r="AC582" s="356" t="e">
        <f ca="1">IF(  Y581=0,0,IF(OR(S582="KCAS",S582="INOP",S582="MEFE"),   ( (5*( (   (((1+0.2*(T582/661.4786)^2)^3.5 -1)  )/( (1-6.8755856*10^-6 *100*Y582)^5.2558797) +1)^(2/7) -1) )^0.5),IF(S582="MACH",T582, IF(S582="LRC",BicubicInterpolation( 'LRC Mach'!$C$4:$AL$21, Y582,U582),  IF(S582="MRC",BicubicInterpolation( 'MRC Mach'!$C$3:$T$18, Y582,U582),  IF(S582="M0.84",0.84,  IF(S582="CI52",BicubicInterpolation('CI=52 Mach'!$C$3:$T$18, Y582,U582),  IF(S582="HOLDING",BicubicInterpolation(  'Holding Mach'!$C$4:$M$13, Y582,U582),                         IF(S582="LRCINOP", BicubicInterpolation('LRC INOP Mach'!$C$4:$AA$21,Y582,U582), IF(S582="HOLDINGINOP",  BicubicInterpolation('Holding INOP Mach'!$N$4:$U$13,Y582,U582),         "XXX" )))))))   )))</f>
        <v>#NAME?</v>
      </c>
      <c r="AD582" s="313" t="e">
        <f t="shared" ca="1" si="501"/>
        <v>#NAME?</v>
      </c>
      <c r="AE582" s="314" t="e">
        <f t="shared" ca="1" si="488"/>
        <v>#NAME?</v>
      </c>
      <c r="AF582" s="313" t="e">
        <f t="shared" ca="1" si="502"/>
        <v>#NAME?</v>
      </c>
      <c r="AG582" s="314" t="e">
        <f t="shared" ca="1" si="489"/>
        <v>#NAME?</v>
      </c>
      <c r="AH582" s="313" t="e">
        <f t="shared" ca="1" si="503"/>
        <v>#NAME?</v>
      </c>
      <c r="AI582" s="314" t="e">
        <f t="shared" ca="1" si="490"/>
        <v>#NAME?</v>
      </c>
      <c r="AJ582" s="315" t="e">
        <f t="shared" ca="1" si="491"/>
        <v>#NAME?</v>
      </c>
      <c r="AK582" s="568" t="e">
        <f t="shared" ca="1" si="504"/>
        <v>#NAME?</v>
      </c>
      <c r="AL582" s="313" t="e">
        <f t="shared" ca="1" si="505"/>
        <v>#NAME?</v>
      </c>
      <c r="AM582" s="313" t="e">
        <f t="shared" ca="1" si="492"/>
        <v>#NAME?</v>
      </c>
      <c r="AN582" s="313" t="e">
        <f t="shared" ca="1" si="493"/>
        <v>#NAME?</v>
      </c>
      <c r="AO582" s="316" t="e">
        <f t="shared" ca="1" si="506"/>
        <v>#NAME?</v>
      </c>
      <c r="AP582" s="313" t="e">
        <f t="shared" ca="1" si="507"/>
        <v>#NAME?</v>
      </c>
      <c r="AQ582" s="314" t="e">
        <f t="shared" ca="1" si="494"/>
        <v>#NAME?</v>
      </c>
      <c r="AR582" s="315" t="e">
        <f t="shared" ca="1" si="508"/>
        <v>#NAME?</v>
      </c>
      <c r="AS582" s="316" t="e">
        <f t="shared" ca="1" si="509"/>
        <v>#NAME?</v>
      </c>
      <c r="AT582" s="315" t="e">
        <f t="shared" ca="1" si="510"/>
        <v>#NAME?</v>
      </c>
      <c r="AU582" s="317">
        <v>427.8</v>
      </c>
      <c r="AV582" s="315" t="e">
        <f t="shared" ca="1" si="511"/>
        <v>#NAME?</v>
      </c>
      <c r="AW582" s="318" t="e">
        <f ca="1">0.0001*BicubicInterpolation('Drag Coef Table'!$B$4:$L$28,AV582,AC582)</f>
        <v>#NAME?</v>
      </c>
      <c r="AX582" s="319" t="e">
        <f t="shared" ca="1" si="512"/>
        <v>#NAME?</v>
      </c>
      <c r="AY582" s="318" t="e">
        <f t="shared" ca="1" si="513"/>
        <v>#NAME?</v>
      </c>
      <c r="AZ582" s="320" t="e">
        <f t="shared" ca="1" si="514"/>
        <v>#NAME?</v>
      </c>
      <c r="BA582" s="321" t="e">
        <f t="shared" ca="1" si="515"/>
        <v>#NAME?</v>
      </c>
      <c r="BB582" s="322" t="e">
        <f t="shared" ca="1" si="516"/>
        <v>#NAME?</v>
      </c>
      <c r="BC582" s="323">
        <v>75.196700000000007</v>
      </c>
      <c r="BD582" s="324" t="e">
        <f t="shared" ca="1" si="517"/>
        <v>#NAME?</v>
      </c>
      <c r="BE582" s="325" t="e">
        <f t="shared" ca="1" si="518"/>
        <v>#NAME?</v>
      </c>
      <c r="BF582" s="324" t="e">
        <f ca="1">BicubicInterpolation('TSFC Eff Table'!$B$4:$E$69,2,BB582)</f>
        <v>#NAME?</v>
      </c>
      <c r="BG582" s="326" t="e">
        <f t="shared" ca="1" si="519"/>
        <v>#NAME?</v>
      </c>
      <c r="BH582" s="694" t="e">
        <f ca="1">IF( S582="LRCINOP",   (1+(0.03/10)*Z582*(1+0.2*AC582^2) )*BicubicInterpolation( 'LRC INOP FF'!$C$4:$AA$21, Y582, U582 )-200, IF(S582 ="HOLDINGINOP", (1+(0.03/10)*Z582*(1+0.2*AC582^2) )*BicubicInterpolation( 'Holding INOP FF'!$C$4:$J$13,  Y582,  U582)/1.05-200,   BA582*BG582))</f>
        <v>#NAME?</v>
      </c>
      <c r="BI582" s="344" t="e">
        <f t="shared" ca="1" si="478"/>
        <v>#NAME?</v>
      </c>
      <c r="BJ582" s="322" t="e">
        <f t="shared" ca="1" si="520"/>
        <v>#NAME?</v>
      </c>
      <c r="BK582" s="338" t="e">
        <f t="shared" ca="1" si="479"/>
        <v>#NAME?</v>
      </c>
      <c r="BL582" s="327" t="e">
        <f t="shared" ca="1" si="521"/>
        <v>#NAME?</v>
      </c>
      <c r="BM582" s="328">
        <f t="shared" si="522"/>
        <v>200</v>
      </c>
      <c r="BN582" s="329" t="e">
        <f t="shared" ca="1" si="523"/>
        <v>#NAME?</v>
      </c>
      <c r="BO582" s="344" t="e">
        <f t="shared" ca="1" si="480"/>
        <v>#NAME?</v>
      </c>
      <c r="BP582" s="320" t="e">
        <f t="shared" ca="1" si="524"/>
        <v>#NAME?</v>
      </c>
      <c r="BQ582" s="344" t="e">
        <f t="shared" ca="1" si="481"/>
        <v>#NAME?</v>
      </c>
      <c r="BR582" s="347" t="e">
        <f t="shared" ca="1" si="482"/>
        <v>#NAME?</v>
      </c>
      <c r="BS582" s="326" t="e">
        <f t="shared" ca="1" si="525"/>
        <v>#NAME?</v>
      </c>
      <c r="BT582" s="437" t="e">
        <f t="shared" ca="1" si="495"/>
        <v>#NAME?</v>
      </c>
      <c r="BU582" s="437" t="e">
        <f t="shared" ca="1" si="496"/>
        <v>#NAME?</v>
      </c>
      <c r="BV582" s="441" t="e">
        <f t="shared" ca="1" si="497"/>
        <v>#NAME?</v>
      </c>
      <c r="BW582" s="442" t="e">
        <f t="shared" ca="1" si="498"/>
        <v>#NAME?</v>
      </c>
      <c r="BX582" s="470" t="e">
        <f t="shared" ca="1" si="472"/>
        <v>#NAME?</v>
      </c>
      <c r="BY582" s="484" t="e">
        <f t="shared" ca="1" si="483"/>
        <v>#NAME?</v>
      </c>
    </row>
    <row r="583" spans="9:77" ht="17.75" customHeight="1" x14ac:dyDescent="0.2">
      <c r="I583" s="366">
        <v>499</v>
      </c>
      <c r="J583" s="414">
        <f t="shared" si="484"/>
        <v>41706.059027778909</v>
      </c>
      <c r="K583" s="435" t="e">
        <f t="shared" ca="1" si="485"/>
        <v>#NAME?</v>
      </c>
      <c r="L583" s="435" t="e">
        <f t="shared" ca="1" si="528"/>
        <v>#NAME?</v>
      </c>
      <c r="M583" s="664" t="e">
        <f t="shared" ca="1" si="526"/>
        <v>#NAME?</v>
      </c>
      <c r="N583" s="664" t="e">
        <f t="shared" ca="1" si="527"/>
        <v>#NAME?</v>
      </c>
      <c r="O583" s="140" t="e">
        <f t="shared" ca="1" si="473"/>
        <v>#NAME?</v>
      </c>
      <c r="P583" s="352" t="e">
        <f t="shared" ca="1" si="486"/>
        <v>#NAME?</v>
      </c>
      <c r="Q583" s="665" t="e">
        <f t="shared" ca="1" si="529"/>
        <v>#NAME?</v>
      </c>
      <c r="R583" s="352" t="e">
        <f t="shared" ca="1" si="499"/>
        <v>#NAME?</v>
      </c>
      <c r="S583" s="662" t="e">
        <f t="shared" ca="1" si="474"/>
        <v>#NAME?</v>
      </c>
      <c r="T583" s="443" t="e">
        <f t="shared" ca="1" si="468"/>
        <v>#NAME?</v>
      </c>
      <c r="U583" s="369" t="e">
        <f t="shared" ca="1" si="469"/>
        <v>#NAME?</v>
      </c>
      <c r="V583" s="454" t="e">
        <f t="shared" ca="1" si="475"/>
        <v>#NAME?</v>
      </c>
      <c r="W583" s="457">
        <f t="shared" si="476"/>
        <v>1000</v>
      </c>
      <c r="X583" s="463" t="e">
        <f t="shared" ca="1" si="477"/>
        <v>#NAME?</v>
      </c>
      <c r="Y583" s="455" t="e">
        <f t="shared" ca="1" si="487"/>
        <v>#NAME?</v>
      </c>
      <c r="Z583" s="699">
        <f t="shared" si="470"/>
        <v>8.5</v>
      </c>
      <c r="AA583" s="355" t="str">
        <f t="shared" si="471"/>
        <v>ON</v>
      </c>
      <c r="AB583" s="357">
        <f t="shared" si="500"/>
        <v>1.4999999999999999E-2</v>
      </c>
      <c r="AC583" s="356" t="e">
        <f ca="1">IF(  Y582=0,0,IF(OR(S583="KCAS",S583="INOP",S583="MEFE"),   ( (5*( (   (((1+0.2*(T583/661.4786)^2)^3.5 -1)  )/( (1-6.8755856*10^-6 *100*Y583)^5.2558797) +1)^(2/7) -1) )^0.5),IF(S583="MACH",T583, IF(S583="LRC",BicubicInterpolation( 'LRC Mach'!$C$4:$AL$21, Y583,U583),  IF(S583="MRC",BicubicInterpolation( 'MRC Mach'!$C$3:$T$18, Y583,U583),  IF(S583="M0.84",0.84,  IF(S583="CI52",BicubicInterpolation('CI=52 Mach'!$C$3:$T$18, Y583,U583),  IF(S583="HOLDING",BicubicInterpolation(  'Holding Mach'!$C$4:$M$13, Y583,U583),                         IF(S583="LRCINOP", BicubicInterpolation('LRC INOP Mach'!$C$4:$AA$21,Y583,U583), IF(S583="HOLDINGINOP",  BicubicInterpolation('Holding INOP Mach'!$N$4:$U$13,Y583,U583),         "XXX" )))))))   )))</f>
        <v>#NAME?</v>
      </c>
      <c r="AD583" s="313" t="e">
        <f t="shared" ca="1" si="501"/>
        <v>#NAME?</v>
      </c>
      <c r="AE583" s="314" t="e">
        <f t="shared" ca="1" si="488"/>
        <v>#NAME?</v>
      </c>
      <c r="AF583" s="313" t="e">
        <f t="shared" ca="1" si="502"/>
        <v>#NAME?</v>
      </c>
      <c r="AG583" s="314" t="e">
        <f t="shared" ca="1" si="489"/>
        <v>#NAME?</v>
      </c>
      <c r="AH583" s="313" t="e">
        <f t="shared" ca="1" si="503"/>
        <v>#NAME?</v>
      </c>
      <c r="AI583" s="314" t="e">
        <f t="shared" ca="1" si="490"/>
        <v>#NAME?</v>
      </c>
      <c r="AJ583" s="315" t="e">
        <f t="shared" ca="1" si="491"/>
        <v>#NAME?</v>
      </c>
      <c r="AK583" s="568" t="e">
        <f t="shared" ca="1" si="504"/>
        <v>#NAME?</v>
      </c>
      <c r="AL583" s="313" t="e">
        <f t="shared" ca="1" si="505"/>
        <v>#NAME?</v>
      </c>
      <c r="AM583" s="313" t="e">
        <f t="shared" ca="1" si="492"/>
        <v>#NAME?</v>
      </c>
      <c r="AN583" s="313" t="e">
        <f t="shared" ca="1" si="493"/>
        <v>#NAME?</v>
      </c>
      <c r="AO583" s="316" t="e">
        <f t="shared" ca="1" si="506"/>
        <v>#NAME?</v>
      </c>
      <c r="AP583" s="313" t="e">
        <f t="shared" ca="1" si="507"/>
        <v>#NAME?</v>
      </c>
      <c r="AQ583" s="314" t="e">
        <f t="shared" ca="1" si="494"/>
        <v>#NAME?</v>
      </c>
      <c r="AR583" s="315" t="e">
        <f t="shared" ca="1" si="508"/>
        <v>#NAME?</v>
      </c>
      <c r="AS583" s="316" t="e">
        <f t="shared" ca="1" si="509"/>
        <v>#NAME?</v>
      </c>
      <c r="AT583" s="315" t="e">
        <f t="shared" ca="1" si="510"/>
        <v>#NAME?</v>
      </c>
      <c r="AU583" s="317">
        <v>427.8</v>
      </c>
      <c r="AV583" s="315" t="e">
        <f t="shared" ca="1" si="511"/>
        <v>#NAME?</v>
      </c>
      <c r="AW583" s="318" t="e">
        <f ca="1">0.0001*BicubicInterpolation('Drag Coef Table'!$B$4:$L$28,AV583,AC583)</f>
        <v>#NAME?</v>
      </c>
      <c r="AX583" s="319" t="e">
        <f t="shared" ca="1" si="512"/>
        <v>#NAME?</v>
      </c>
      <c r="AY583" s="318" t="e">
        <f t="shared" ca="1" si="513"/>
        <v>#NAME?</v>
      </c>
      <c r="AZ583" s="320" t="e">
        <f t="shared" ca="1" si="514"/>
        <v>#NAME?</v>
      </c>
      <c r="BA583" s="321" t="e">
        <f t="shared" ca="1" si="515"/>
        <v>#NAME?</v>
      </c>
      <c r="BB583" s="322" t="e">
        <f t="shared" ca="1" si="516"/>
        <v>#NAME?</v>
      </c>
      <c r="BC583" s="323">
        <v>75.196700000000007</v>
      </c>
      <c r="BD583" s="324" t="e">
        <f t="shared" ca="1" si="517"/>
        <v>#NAME?</v>
      </c>
      <c r="BE583" s="325" t="e">
        <f t="shared" ca="1" si="518"/>
        <v>#NAME?</v>
      </c>
      <c r="BF583" s="324" t="e">
        <f ca="1">BicubicInterpolation('TSFC Eff Table'!$B$4:$E$69,2,BB583)</f>
        <v>#NAME?</v>
      </c>
      <c r="BG583" s="326" t="e">
        <f t="shared" ca="1" si="519"/>
        <v>#NAME?</v>
      </c>
      <c r="BH583" s="694" t="e">
        <f ca="1">IF( S583="LRCINOP",   (1+(0.03/10)*Z583*(1+0.2*AC583^2) )*BicubicInterpolation( 'LRC INOP FF'!$C$4:$AA$21, Y583, U583 )-200, IF(S583 ="HOLDINGINOP", (1+(0.03/10)*Z583*(1+0.2*AC583^2) )*BicubicInterpolation( 'Holding INOP FF'!$C$4:$J$13,  Y583,  U583)/1.05-200,   BA583*BG583))</f>
        <v>#NAME?</v>
      </c>
      <c r="BI583" s="344" t="e">
        <f t="shared" ca="1" si="478"/>
        <v>#NAME?</v>
      </c>
      <c r="BJ583" s="322" t="e">
        <f t="shared" ca="1" si="520"/>
        <v>#NAME?</v>
      </c>
      <c r="BK583" s="338" t="e">
        <f t="shared" ca="1" si="479"/>
        <v>#NAME?</v>
      </c>
      <c r="BL583" s="327" t="e">
        <f t="shared" ca="1" si="521"/>
        <v>#NAME?</v>
      </c>
      <c r="BM583" s="328">
        <f t="shared" si="522"/>
        <v>200</v>
      </c>
      <c r="BN583" s="329" t="e">
        <f t="shared" ca="1" si="523"/>
        <v>#NAME?</v>
      </c>
      <c r="BO583" s="344" t="e">
        <f t="shared" ca="1" si="480"/>
        <v>#NAME?</v>
      </c>
      <c r="BP583" s="320" t="e">
        <f t="shared" ca="1" si="524"/>
        <v>#NAME?</v>
      </c>
      <c r="BQ583" s="344" t="e">
        <f t="shared" ca="1" si="481"/>
        <v>#NAME?</v>
      </c>
      <c r="BR583" s="347" t="e">
        <f t="shared" ca="1" si="482"/>
        <v>#NAME?</v>
      </c>
      <c r="BS583" s="326" t="e">
        <f t="shared" ca="1" si="525"/>
        <v>#NAME?</v>
      </c>
      <c r="BT583" s="437" t="e">
        <f t="shared" ca="1" si="495"/>
        <v>#NAME?</v>
      </c>
      <c r="BU583" s="437" t="e">
        <f t="shared" ca="1" si="496"/>
        <v>#NAME?</v>
      </c>
      <c r="BV583" s="441" t="e">
        <f t="shared" ca="1" si="497"/>
        <v>#NAME?</v>
      </c>
      <c r="BW583" s="442" t="e">
        <f t="shared" ca="1" si="498"/>
        <v>#NAME?</v>
      </c>
      <c r="BX583" s="470" t="e">
        <f t="shared" ca="1" si="472"/>
        <v>#NAME?</v>
      </c>
      <c r="BY583" s="484" t="e">
        <f t="shared" ca="1" si="483"/>
        <v>#NAME?</v>
      </c>
    </row>
    <row r="584" spans="9:77" ht="17.75" customHeight="1" x14ac:dyDescent="0.2">
      <c r="I584" s="366">
        <v>500</v>
      </c>
      <c r="J584" s="414">
        <f t="shared" si="484"/>
        <v>41706.059722223355</v>
      </c>
      <c r="K584" s="435" t="e">
        <f t="shared" ca="1" si="485"/>
        <v>#NAME?</v>
      </c>
      <c r="L584" s="435" t="e">
        <f t="shared" ca="1" si="528"/>
        <v>#NAME?</v>
      </c>
      <c r="M584" s="664" t="e">
        <f t="shared" ca="1" si="526"/>
        <v>#NAME?</v>
      </c>
      <c r="N584" s="664" t="e">
        <f t="shared" ca="1" si="527"/>
        <v>#NAME?</v>
      </c>
      <c r="O584" s="140" t="e">
        <f t="shared" ca="1" si="473"/>
        <v>#NAME?</v>
      </c>
      <c r="P584" s="352" t="e">
        <f t="shared" ca="1" si="486"/>
        <v>#NAME?</v>
      </c>
      <c r="Q584" s="665" t="e">
        <f t="shared" ca="1" si="529"/>
        <v>#NAME?</v>
      </c>
      <c r="R584" s="352" t="e">
        <f t="shared" ca="1" si="499"/>
        <v>#NAME?</v>
      </c>
      <c r="S584" s="662" t="e">
        <f t="shared" ca="1" si="474"/>
        <v>#NAME?</v>
      </c>
      <c r="T584" s="443" t="e">
        <f t="shared" ca="1" si="468"/>
        <v>#NAME?</v>
      </c>
      <c r="U584" s="369" t="e">
        <f t="shared" ca="1" si="469"/>
        <v>#NAME?</v>
      </c>
      <c r="V584" s="454" t="e">
        <f t="shared" ca="1" si="475"/>
        <v>#NAME?</v>
      </c>
      <c r="W584" s="457">
        <f t="shared" si="476"/>
        <v>1000</v>
      </c>
      <c r="X584" s="463" t="e">
        <f t="shared" ca="1" si="477"/>
        <v>#NAME?</v>
      </c>
      <c r="Y584" s="455" t="e">
        <f t="shared" ca="1" si="487"/>
        <v>#NAME?</v>
      </c>
      <c r="Z584" s="699">
        <f t="shared" si="470"/>
        <v>8.5</v>
      </c>
      <c r="AA584" s="355" t="str">
        <f t="shared" si="471"/>
        <v>ON</v>
      </c>
      <c r="AB584" s="357">
        <f t="shared" si="500"/>
        <v>1.4999999999999999E-2</v>
      </c>
      <c r="AC584" s="356" t="e">
        <f ca="1">IF(  Y583=0,0,IF(OR(S584="KCAS",S584="INOP",S584="MEFE"),   ( (5*( (   (((1+0.2*(T584/661.4786)^2)^3.5 -1)  )/( (1-6.8755856*10^-6 *100*Y584)^5.2558797) +1)^(2/7) -1) )^0.5),IF(S584="MACH",T584, IF(S584="LRC",BicubicInterpolation( 'LRC Mach'!$C$4:$AL$21, Y584,U584),  IF(S584="MRC",BicubicInterpolation( 'MRC Mach'!$C$3:$T$18, Y584,U584),  IF(S584="M0.84",0.84,  IF(S584="CI52",BicubicInterpolation('CI=52 Mach'!$C$3:$T$18, Y584,U584),  IF(S584="HOLDING",BicubicInterpolation(  'Holding Mach'!$C$4:$M$13, Y584,U584),                         IF(S584="LRCINOP", BicubicInterpolation('LRC INOP Mach'!$C$4:$AA$21,Y584,U584), IF(S584="HOLDINGINOP",  BicubicInterpolation('Holding INOP Mach'!$N$4:$U$13,Y584,U584),         "XXX" )))))))   )))</f>
        <v>#NAME?</v>
      </c>
      <c r="AD584" s="313" t="e">
        <f t="shared" ca="1" si="501"/>
        <v>#NAME?</v>
      </c>
      <c r="AE584" s="314" t="e">
        <f t="shared" ca="1" si="488"/>
        <v>#NAME?</v>
      </c>
      <c r="AF584" s="313" t="e">
        <f t="shared" ca="1" si="502"/>
        <v>#NAME?</v>
      </c>
      <c r="AG584" s="314" t="e">
        <f t="shared" ca="1" si="489"/>
        <v>#NAME?</v>
      </c>
      <c r="AH584" s="313" t="e">
        <f t="shared" ca="1" si="503"/>
        <v>#NAME?</v>
      </c>
      <c r="AI584" s="314" t="e">
        <f t="shared" ca="1" si="490"/>
        <v>#NAME?</v>
      </c>
      <c r="AJ584" s="315" t="e">
        <f t="shared" ca="1" si="491"/>
        <v>#NAME?</v>
      </c>
      <c r="AK584" s="568" t="e">
        <f t="shared" ca="1" si="504"/>
        <v>#NAME?</v>
      </c>
      <c r="AL584" s="313" t="e">
        <f t="shared" ca="1" si="505"/>
        <v>#NAME?</v>
      </c>
      <c r="AM584" s="313" t="e">
        <f t="shared" ca="1" si="492"/>
        <v>#NAME?</v>
      </c>
      <c r="AN584" s="313" t="e">
        <f t="shared" ca="1" si="493"/>
        <v>#NAME?</v>
      </c>
      <c r="AO584" s="316" t="e">
        <f t="shared" ca="1" si="506"/>
        <v>#NAME?</v>
      </c>
      <c r="AP584" s="313" t="e">
        <f t="shared" ca="1" si="507"/>
        <v>#NAME?</v>
      </c>
      <c r="AQ584" s="314" t="e">
        <f t="shared" ca="1" si="494"/>
        <v>#NAME?</v>
      </c>
      <c r="AR584" s="315" t="e">
        <f t="shared" ca="1" si="508"/>
        <v>#NAME?</v>
      </c>
      <c r="AS584" s="316" t="e">
        <f t="shared" ca="1" si="509"/>
        <v>#NAME?</v>
      </c>
      <c r="AT584" s="315" t="e">
        <f t="shared" ca="1" si="510"/>
        <v>#NAME?</v>
      </c>
      <c r="AU584" s="317">
        <v>427.8</v>
      </c>
      <c r="AV584" s="315" t="e">
        <f t="shared" ca="1" si="511"/>
        <v>#NAME?</v>
      </c>
      <c r="AW584" s="318" t="e">
        <f ca="1">0.0001*BicubicInterpolation('Drag Coef Table'!$B$4:$L$28,AV584,AC584)</f>
        <v>#NAME?</v>
      </c>
      <c r="AX584" s="319" t="e">
        <f t="shared" ca="1" si="512"/>
        <v>#NAME?</v>
      </c>
      <c r="AY584" s="318" t="e">
        <f t="shared" ca="1" si="513"/>
        <v>#NAME?</v>
      </c>
      <c r="AZ584" s="320" t="e">
        <f t="shared" ca="1" si="514"/>
        <v>#NAME?</v>
      </c>
      <c r="BA584" s="321" t="e">
        <f t="shared" ca="1" si="515"/>
        <v>#NAME?</v>
      </c>
      <c r="BB584" s="322" t="e">
        <f t="shared" ca="1" si="516"/>
        <v>#NAME?</v>
      </c>
      <c r="BC584" s="323">
        <v>75.196700000000007</v>
      </c>
      <c r="BD584" s="324" t="e">
        <f t="shared" ca="1" si="517"/>
        <v>#NAME?</v>
      </c>
      <c r="BE584" s="325" t="e">
        <f t="shared" ca="1" si="518"/>
        <v>#NAME?</v>
      </c>
      <c r="BF584" s="324" t="e">
        <f ca="1">BicubicInterpolation('TSFC Eff Table'!$B$4:$E$69,2,BB584)</f>
        <v>#NAME?</v>
      </c>
      <c r="BG584" s="326" t="e">
        <f t="shared" ca="1" si="519"/>
        <v>#NAME?</v>
      </c>
      <c r="BH584" s="694" t="e">
        <f ca="1">IF( S584="LRCINOP",   (1+(0.03/10)*Z584*(1+0.2*AC584^2) )*BicubicInterpolation( 'LRC INOP FF'!$C$4:$AA$21, Y584, U584 )-200, IF(S584 ="HOLDINGINOP", (1+(0.03/10)*Z584*(1+0.2*AC584^2) )*BicubicInterpolation( 'Holding INOP FF'!$C$4:$J$13,  Y584,  U584)/1.05-200,   BA584*BG584))</f>
        <v>#NAME?</v>
      </c>
      <c r="BI584" s="344" t="e">
        <f t="shared" ca="1" si="478"/>
        <v>#NAME?</v>
      </c>
      <c r="BJ584" s="322" t="e">
        <f t="shared" ca="1" si="520"/>
        <v>#NAME?</v>
      </c>
      <c r="BK584" s="338" t="e">
        <f t="shared" ca="1" si="479"/>
        <v>#NAME?</v>
      </c>
      <c r="BL584" s="327" t="e">
        <f t="shared" ca="1" si="521"/>
        <v>#NAME?</v>
      </c>
      <c r="BM584" s="328">
        <f t="shared" si="522"/>
        <v>200</v>
      </c>
      <c r="BN584" s="329" t="e">
        <f t="shared" ca="1" si="523"/>
        <v>#NAME?</v>
      </c>
      <c r="BO584" s="344" t="e">
        <f t="shared" ca="1" si="480"/>
        <v>#NAME?</v>
      </c>
      <c r="BP584" s="320" t="e">
        <f t="shared" ca="1" si="524"/>
        <v>#NAME?</v>
      </c>
      <c r="BQ584" s="344" t="e">
        <f t="shared" ca="1" si="481"/>
        <v>#NAME?</v>
      </c>
      <c r="BR584" s="347" t="e">
        <f t="shared" ca="1" si="482"/>
        <v>#NAME?</v>
      </c>
      <c r="BS584" s="326" t="e">
        <f t="shared" ca="1" si="525"/>
        <v>#NAME?</v>
      </c>
      <c r="BT584" s="437" t="e">
        <f t="shared" ca="1" si="495"/>
        <v>#NAME?</v>
      </c>
      <c r="BU584" s="437" t="e">
        <f t="shared" ca="1" si="496"/>
        <v>#NAME?</v>
      </c>
      <c r="BV584" s="441" t="e">
        <f t="shared" ca="1" si="497"/>
        <v>#NAME?</v>
      </c>
      <c r="BW584" s="442" t="e">
        <f t="shared" ca="1" si="498"/>
        <v>#NAME?</v>
      </c>
      <c r="BX584" s="470" t="e">
        <f t="shared" ca="1" si="472"/>
        <v>#NAME?</v>
      </c>
      <c r="BY584" s="484" t="e">
        <f t="shared" ca="1" si="483"/>
        <v>#NAME?</v>
      </c>
    </row>
    <row r="585" spans="9:77" ht="17.75" customHeight="1" x14ac:dyDescent="0.2">
      <c r="I585" s="366">
        <v>501</v>
      </c>
      <c r="J585" s="414">
        <f t="shared" si="484"/>
        <v>41706.060416667802</v>
      </c>
      <c r="K585" s="435" t="e">
        <f t="shared" ca="1" si="485"/>
        <v>#NAME?</v>
      </c>
      <c r="L585" s="435" t="e">
        <f t="shared" ca="1" si="528"/>
        <v>#NAME?</v>
      </c>
      <c r="M585" s="664" t="e">
        <f t="shared" ca="1" si="526"/>
        <v>#NAME?</v>
      </c>
      <c r="N585" s="664" t="e">
        <f t="shared" ca="1" si="527"/>
        <v>#NAME?</v>
      </c>
      <c r="O585" s="140" t="e">
        <f t="shared" ca="1" si="473"/>
        <v>#NAME?</v>
      </c>
      <c r="P585" s="352" t="e">
        <f t="shared" ca="1" si="486"/>
        <v>#NAME?</v>
      </c>
      <c r="Q585" s="665" t="e">
        <f t="shared" ca="1" si="529"/>
        <v>#NAME?</v>
      </c>
      <c r="R585" s="352" t="e">
        <f t="shared" ca="1" si="499"/>
        <v>#NAME?</v>
      </c>
      <c r="S585" s="662" t="e">
        <f t="shared" ca="1" si="474"/>
        <v>#NAME?</v>
      </c>
      <c r="T585" s="443" t="e">
        <f t="shared" ca="1" si="468"/>
        <v>#NAME?</v>
      </c>
      <c r="U585" s="369" t="e">
        <f t="shared" ca="1" si="469"/>
        <v>#NAME?</v>
      </c>
      <c r="V585" s="454" t="e">
        <f t="shared" ca="1" si="475"/>
        <v>#NAME?</v>
      </c>
      <c r="W585" s="457">
        <f t="shared" si="476"/>
        <v>1000</v>
      </c>
      <c r="X585" s="463" t="e">
        <f t="shared" ca="1" si="477"/>
        <v>#NAME?</v>
      </c>
      <c r="Y585" s="455" t="e">
        <f t="shared" ca="1" si="487"/>
        <v>#NAME?</v>
      </c>
      <c r="Z585" s="699">
        <f t="shared" si="470"/>
        <v>8.5</v>
      </c>
      <c r="AA585" s="355" t="str">
        <f t="shared" si="471"/>
        <v>ON</v>
      </c>
      <c r="AB585" s="357">
        <f t="shared" si="500"/>
        <v>1.4999999999999999E-2</v>
      </c>
      <c r="AC585" s="356" t="e">
        <f ca="1">IF(  Y584=0,0,IF(OR(S585="KCAS",S585="INOP",S585="MEFE"),   ( (5*( (   (((1+0.2*(T585/661.4786)^2)^3.5 -1)  )/( (1-6.8755856*10^-6 *100*Y585)^5.2558797) +1)^(2/7) -1) )^0.5),IF(S585="MACH",T585, IF(S585="LRC",BicubicInterpolation( 'LRC Mach'!$C$4:$AL$21, Y585,U585),  IF(S585="MRC",BicubicInterpolation( 'MRC Mach'!$C$3:$T$18, Y585,U585),  IF(S585="M0.84",0.84,  IF(S585="CI52",BicubicInterpolation('CI=52 Mach'!$C$3:$T$18, Y585,U585),  IF(S585="HOLDING",BicubicInterpolation(  'Holding Mach'!$C$4:$M$13, Y585,U585),                         IF(S585="LRCINOP", BicubicInterpolation('LRC INOP Mach'!$C$4:$AA$21,Y585,U585), IF(S585="HOLDINGINOP",  BicubicInterpolation('Holding INOP Mach'!$N$4:$U$13,Y585,U585),         "XXX" )))))))   )))</f>
        <v>#NAME?</v>
      </c>
      <c r="AD585" s="313" t="e">
        <f t="shared" ca="1" si="501"/>
        <v>#NAME?</v>
      </c>
      <c r="AE585" s="314" t="e">
        <f t="shared" ca="1" si="488"/>
        <v>#NAME?</v>
      </c>
      <c r="AF585" s="313" t="e">
        <f t="shared" ca="1" si="502"/>
        <v>#NAME?</v>
      </c>
      <c r="AG585" s="314" t="e">
        <f t="shared" ca="1" si="489"/>
        <v>#NAME?</v>
      </c>
      <c r="AH585" s="313" t="e">
        <f t="shared" ca="1" si="503"/>
        <v>#NAME?</v>
      </c>
      <c r="AI585" s="314" t="e">
        <f t="shared" ca="1" si="490"/>
        <v>#NAME?</v>
      </c>
      <c r="AJ585" s="315" t="e">
        <f t="shared" ca="1" si="491"/>
        <v>#NAME?</v>
      </c>
      <c r="AK585" s="568" t="e">
        <f t="shared" ca="1" si="504"/>
        <v>#NAME?</v>
      </c>
      <c r="AL585" s="313" t="e">
        <f t="shared" ca="1" si="505"/>
        <v>#NAME?</v>
      </c>
      <c r="AM585" s="313" t="e">
        <f t="shared" ca="1" si="492"/>
        <v>#NAME?</v>
      </c>
      <c r="AN585" s="313" t="e">
        <f t="shared" ca="1" si="493"/>
        <v>#NAME?</v>
      </c>
      <c r="AO585" s="316" t="e">
        <f t="shared" ca="1" si="506"/>
        <v>#NAME?</v>
      </c>
      <c r="AP585" s="313" t="e">
        <f t="shared" ca="1" si="507"/>
        <v>#NAME?</v>
      </c>
      <c r="AQ585" s="314" t="e">
        <f t="shared" ca="1" si="494"/>
        <v>#NAME?</v>
      </c>
      <c r="AR585" s="315" t="e">
        <f t="shared" ca="1" si="508"/>
        <v>#NAME?</v>
      </c>
      <c r="AS585" s="316" t="e">
        <f t="shared" ca="1" si="509"/>
        <v>#NAME?</v>
      </c>
      <c r="AT585" s="315" t="e">
        <f t="shared" ca="1" si="510"/>
        <v>#NAME?</v>
      </c>
      <c r="AU585" s="317">
        <v>427.8</v>
      </c>
      <c r="AV585" s="315" t="e">
        <f t="shared" ca="1" si="511"/>
        <v>#NAME?</v>
      </c>
      <c r="AW585" s="318" t="e">
        <f ca="1">0.0001*BicubicInterpolation('Drag Coef Table'!$B$4:$L$28,AV585,AC585)</f>
        <v>#NAME?</v>
      </c>
      <c r="AX585" s="319" t="e">
        <f t="shared" ca="1" si="512"/>
        <v>#NAME?</v>
      </c>
      <c r="AY585" s="318" t="e">
        <f t="shared" ca="1" si="513"/>
        <v>#NAME?</v>
      </c>
      <c r="AZ585" s="320" t="e">
        <f t="shared" ca="1" si="514"/>
        <v>#NAME?</v>
      </c>
      <c r="BA585" s="321" t="e">
        <f t="shared" ca="1" si="515"/>
        <v>#NAME?</v>
      </c>
      <c r="BB585" s="322" t="e">
        <f t="shared" ca="1" si="516"/>
        <v>#NAME?</v>
      </c>
      <c r="BC585" s="323">
        <v>75.196700000000007</v>
      </c>
      <c r="BD585" s="324" t="e">
        <f t="shared" ca="1" si="517"/>
        <v>#NAME?</v>
      </c>
      <c r="BE585" s="325" t="e">
        <f t="shared" ca="1" si="518"/>
        <v>#NAME?</v>
      </c>
      <c r="BF585" s="324" t="e">
        <f ca="1">BicubicInterpolation('TSFC Eff Table'!$B$4:$E$69,2,BB585)</f>
        <v>#NAME?</v>
      </c>
      <c r="BG585" s="326" t="e">
        <f t="shared" ca="1" si="519"/>
        <v>#NAME?</v>
      </c>
      <c r="BH585" s="694" t="e">
        <f ca="1">IF( S585="LRCINOP",   (1+(0.03/10)*Z585*(1+0.2*AC585^2) )*BicubicInterpolation( 'LRC INOP FF'!$C$4:$AA$21, Y585, U585 )-200, IF(S585 ="HOLDINGINOP", (1+(0.03/10)*Z585*(1+0.2*AC585^2) )*BicubicInterpolation( 'Holding INOP FF'!$C$4:$J$13,  Y585,  U585)/1.05-200,   BA585*BG585))</f>
        <v>#NAME?</v>
      </c>
      <c r="BI585" s="344" t="e">
        <f t="shared" ca="1" si="478"/>
        <v>#NAME?</v>
      </c>
      <c r="BJ585" s="322" t="e">
        <f t="shared" ca="1" si="520"/>
        <v>#NAME?</v>
      </c>
      <c r="BK585" s="338" t="e">
        <f t="shared" ca="1" si="479"/>
        <v>#NAME?</v>
      </c>
      <c r="BL585" s="327" t="e">
        <f t="shared" ca="1" si="521"/>
        <v>#NAME?</v>
      </c>
      <c r="BM585" s="328">
        <f t="shared" si="522"/>
        <v>200</v>
      </c>
      <c r="BN585" s="329" t="e">
        <f t="shared" ca="1" si="523"/>
        <v>#NAME?</v>
      </c>
      <c r="BO585" s="344" t="e">
        <f t="shared" ca="1" si="480"/>
        <v>#NAME?</v>
      </c>
      <c r="BP585" s="320" t="e">
        <f t="shared" ca="1" si="524"/>
        <v>#NAME?</v>
      </c>
      <c r="BQ585" s="344" t="e">
        <f t="shared" ca="1" si="481"/>
        <v>#NAME?</v>
      </c>
      <c r="BR585" s="347" t="e">
        <f t="shared" ca="1" si="482"/>
        <v>#NAME?</v>
      </c>
      <c r="BS585" s="326" t="e">
        <f t="shared" ca="1" si="525"/>
        <v>#NAME?</v>
      </c>
      <c r="BT585" s="437" t="e">
        <f t="shared" ca="1" si="495"/>
        <v>#NAME?</v>
      </c>
      <c r="BU585" s="437" t="e">
        <f t="shared" ca="1" si="496"/>
        <v>#NAME?</v>
      </c>
      <c r="BV585" s="441" t="e">
        <f t="shared" ca="1" si="497"/>
        <v>#NAME?</v>
      </c>
      <c r="BW585" s="442" t="e">
        <f t="shared" ca="1" si="498"/>
        <v>#NAME?</v>
      </c>
      <c r="BX585" s="470" t="e">
        <f t="shared" ca="1" si="472"/>
        <v>#NAME?</v>
      </c>
      <c r="BY585" s="484" t="e">
        <f t="shared" ca="1" si="483"/>
        <v>#NAME?</v>
      </c>
    </row>
    <row r="586" spans="9:77" ht="17.75" customHeight="1" x14ac:dyDescent="0.2">
      <c r="I586" s="366">
        <v>502</v>
      </c>
      <c r="J586" s="414">
        <f t="shared" si="484"/>
        <v>41706.061111112249</v>
      </c>
      <c r="K586" s="435" t="e">
        <f t="shared" ca="1" si="485"/>
        <v>#NAME?</v>
      </c>
      <c r="L586" s="435" t="e">
        <f t="shared" ca="1" si="528"/>
        <v>#NAME?</v>
      </c>
      <c r="M586" s="664" t="e">
        <f t="shared" ca="1" si="526"/>
        <v>#NAME?</v>
      </c>
      <c r="N586" s="664" t="e">
        <f t="shared" ca="1" si="527"/>
        <v>#NAME?</v>
      </c>
      <c r="O586" s="140" t="e">
        <f t="shared" ca="1" si="473"/>
        <v>#NAME?</v>
      </c>
      <c r="P586" s="352" t="e">
        <f t="shared" ca="1" si="486"/>
        <v>#NAME?</v>
      </c>
      <c r="Q586" s="665" t="e">
        <f t="shared" ca="1" si="529"/>
        <v>#NAME?</v>
      </c>
      <c r="R586" s="352" t="e">
        <f t="shared" ca="1" si="499"/>
        <v>#NAME?</v>
      </c>
      <c r="S586" s="662" t="e">
        <f t="shared" ca="1" si="474"/>
        <v>#NAME?</v>
      </c>
      <c r="T586" s="443" t="e">
        <f t="shared" ca="1" si="468"/>
        <v>#NAME?</v>
      </c>
      <c r="U586" s="369" t="e">
        <f t="shared" ca="1" si="469"/>
        <v>#NAME?</v>
      </c>
      <c r="V586" s="454" t="e">
        <f t="shared" ca="1" si="475"/>
        <v>#NAME?</v>
      </c>
      <c r="W586" s="457">
        <f t="shared" si="476"/>
        <v>1000</v>
      </c>
      <c r="X586" s="463" t="e">
        <f t="shared" ca="1" si="477"/>
        <v>#NAME?</v>
      </c>
      <c r="Y586" s="455" t="e">
        <f t="shared" ca="1" si="487"/>
        <v>#NAME?</v>
      </c>
      <c r="Z586" s="699">
        <f t="shared" si="470"/>
        <v>8.5</v>
      </c>
      <c r="AA586" s="355" t="str">
        <f t="shared" si="471"/>
        <v>ON</v>
      </c>
      <c r="AB586" s="357">
        <f t="shared" si="500"/>
        <v>1.4999999999999999E-2</v>
      </c>
      <c r="AC586" s="356" t="e">
        <f ca="1">IF(  Y585=0,0,IF(OR(S586="KCAS",S586="INOP",S586="MEFE"),   ( (5*( (   (((1+0.2*(T586/661.4786)^2)^3.5 -1)  )/( (1-6.8755856*10^-6 *100*Y586)^5.2558797) +1)^(2/7) -1) )^0.5),IF(S586="MACH",T586, IF(S586="LRC",BicubicInterpolation( 'LRC Mach'!$C$4:$AL$21, Y586,U586),  IF(S586="MRC",BicubicInterpolation( 'MRC Mach'!$C$3:$T$18, Y586,U586),  IF(S586="M0.84",0.84,  IF(S586="CI52",BicubicInterpolation('CI=52 Mach'!$C$3:$T$18, Y586,U586),  IF(S586="HOLDING",BicubicInterpolation(  'Holding Mach'!$C$4:$M$13, Y586,U586),                         IF(S586="LRCINOP", BicubicInterpolation('LRC INOP Mach'!$C$4:$AA$21,Y586,U586), IF(S586="HOLDINGINOP",  BicubicInterpolation('Holding INOP Mach'!$N$4:$U$13,Y586,U586),         "XXX" )))))))   )))</f>
        <v>#NAME?</v>
      </c>
      <c r="AD586" s="313" t="e">
        <f t="shared" ca="1" si="501"/>
        <v>#NAME?</v>
      </c>
      <c r="AE586" s="314" t="e">
        <f t="shared" ca="1" si="488"/>
        <v>#NAME?</v>
      </c>
      <c r="AF586" s="313" t="e">
        <f t="shared" ca="1" si="502"/>
        <v>#NAME?</v>
      </c>
      <c r="AG586" s="314" t="e">
        <f t="shared" ca="1" si="489"/>
        <v>#NAME?</v>
      </c>
      <c r="AH586" s="313" t="e">
        <f t="shared" ca="1" si="503"/>
        <v>#NAME?</v>
      </c>
      <c r="AI586" s="314" t="e">
        <f t="shared" ca="1" si="490"/>
        <v>#NAME?</v>
      </c>
      <c r="AJ586" s="315" t="e">
        <f t="shared" ca="1" si="491"/>
        <v>#NAME?</v>
      </c>
      <c r="AK586" s="568" t="e">
        <f t="shared" ca="1" si="504"/>
        <v>#NAME?</v>
      </c>
      <c r="AL586" s="313" t="e">
        <f t="shared" ca="1" si="505"/>
        <v>#NAME?</v>
      </c>
      <c r="AM586" s="313" t="e">
        <f t="shared" ca="1" si="492"/>
        <v>#NAME?</v>
      </c>
      <c r="AN586" s="313" t="e">
        <f t="shared" ca="1" si="493"/>
        <v>#NAME?</v>
      </c>
      <c r="AO586" s="316" t="e">
        <f t="shared" ca="1" si="506"/>
        <v>#NAME?</v>
      </c>
      <c r="AP586" s="313" t="e">
        <f t="shared" ca="1" si="507"/>
        <v>#NAME?</v>
      </c>
      <c r="AQ586" s="314" t="e">
        <f t="shared" ca="1" si="494"/>
        <v>#NAME?</v>
      </c>
      <c r="AR586" s="315" t="e">
        <f t="shared" ca="1" si="508"/>
        <v>#NAME?</v>
      </c>
      <c r="AS586" s="316" t="e">
        <f t="shared" ca="1" si="509"/>
        <v>#NAME?</v>
      </c>
      <c r="AT586" s="315" t="e">
        <f t="shared" ca="1" si="510"/>
        <v>#NAME?</v>
      </c>
      <c r="AU586" s="317">
        <v>427.8</v>
      </c>
      <c r="AV586" s="315" t="e">
        <f t="shared" ca="1" si="511"/>
        <v>#NAME?</v>
      </c>
      <c r="AW586" s="318" t="e">
        <f ca="1">0.0001*BicubicInterpolation('Drag Coef Table'!$B$4:$L$28,AV586,AC586)</f>
        <v>#NAME?</v>
      </c>
      <c r="AX586" s="319" t="e">
        <f t="shared" ca="1" si="512"/>
        <v>#NAME?</v>
      </c>
      <c r="AY586" s="318" t="e">
        <f t="shared" ca="1" si="513"/>
        <v>#NAME?</v>
      </c>
      <c r="AZ586" s="320" t="e">
        <f t="shared" ca="1" si="514"/>
        <v>#NAME?</v>
      </c>
      <c r="BA586" s="321" t="e">
        <f t="shared" ca="1" si="515"/>
        <v>#NAME?</v>
      </c>
      <c r="BB586" s="322" t="e">
        <f t="shared" ca="1" si="516"/>
        <v>#NAME?</v>
      </c>
      <c r="BC586" s="323">
        <v>75.196700000000007</v>
      </c>
      <c r="BD586" s="324" t="e">
        <f t="shared" ca="1" si="517"/>
        <v>#NAME?</v>
      </c>
      <c r="BE586" s="325" t="e">
        <f t="shared" ca="1" si="518"/>
        <v>#NAME?</v>
      </c>
      <c r="BF586" s="324" t="e">
        <f ca="1">BicubicInterpolation('TSFC Eff Table'!$B$4:$E$69,2,BB586)</f>
        <v>#NAME?</v>
      </c>
      <c r="BG586" s="326" t="e">
        <f t="shared" ca="1" si="519"/>
        <v>#NAME?</v>
      </c>
      <c r="BH586" s="694" t="e">
        <f ca="1">IF( S586="LRCINOP",   (1+(0.03/10)*Z586*(1+0.2*AC586^2) )*BicubicInterpolation( 'LRC INOP FF'!$C$4:$AA$21, Y586, U586 )-200, IF(S586 ="HOLDINGINOP", (1+(0.03/10)*Z586*(1+0.2*AC586^2) )*BicubicInterpolation( 'Holding INOP FF'!$C$4:$J$13,  Y586,  U586)/1.05-200,   BA586*BG586))</f>
        <v>#NAME?</v>
      </c>
      <c r="BI586" s="344" t="e">
        <f t="shared" ca="1" si="478"/>
        <v>#NAME?</v>
      </c>
      <c r="BJ586" s="322" t="e">
        <f t="shared" ca="1" si="520"/>
        <v>#NAME?</v>
      </c>
      <c r="BK586" s="338" t="e">
        <f t="shared" ca="1" si="479"/>
        <v>#NAME?</v>
      </c>
      <c r="BL586" s="327" t="e">
        <f t="shared" ca="1" si="521"/>
        <v>#NAME?</v>
      </c>
      <c r="BM586" s="328">
        <f t="shared" si="522"/>
        <v>200</v>
      </c>
      <c r="BN586" s="329" t="e">
        <f t="shared" ca="1" si="523"/>
        <v>#NAME?</v>
      </c>
      <c r="BO586" s="344" t="e">
        <f t="shared" ca="1" si="480"/>
        <v>#NAME?</v>
      </c>
      <c r="BP586" s="320" t="e">
        <f t="shared" ca="1" si="524"/>
        <v>#NAME?</v>
      </c>
      <c r="BQ586" s="344" t="e">
        <f t="shared" ca="1" si="481"/>
        <v>#NAME?</v>
      </c>
      <c r="BR586" s="347" t="e">
        <f t="shared" ca="1" si="482"/>
        <v>#NAME?</v>
      </c>
      <c r="BS586" s="326" t="e">
        <f t="shared" ca="1" si="525"/>
        <v>#NAME?</v>
      </c>
      <c r="BT586" s="437" t="e">
        <f t="shared" ca="1" si="495"/>
        <v>#NAME?</v>
      </c>
      <c r="BU586" s="437" t="e">
        <f t="shared" ca="1" si="496"/>
        <v>#NAME?</v>
      </c>
      <c r="BV586" s="441" t="e">
        <f t="shared" ca="1" si="497"/>
        <v>#NAME?</v>
      </c>
      <c r="BW586" s="442" t="e">
        <f t="shared" ca="1" si="498"/>
        <v>#NAME?</v>
      </c>
      <c r="BX586" s="470" t="e">
        <f t="shared" ca="1" si="472"/>
        <v>#NAME?</v>
      </c>
      <c r="BY586" s="484" t="e">
        <f t="shared" ca="1" si="483"/>
        <v>#NAME?</v>
      </c>
    </row>
    <row r="587" spans="9:77" ht="17.75" customHeight="1" x14ac:dyDescent="0.2">
      <c r="I587" s="366">
        <v>503</v>
      </c>
      <c r="J587" s="414">
        <f t="shared" si="484"/>
        <v>41706.061805556696</v>
      </c>
      <c r="K587" s="435" t="e">
        <f t="shared" ca="1" si="485"/>
        <v>#NAME?</v>
      </c>
      <c r="L587" s="435" t="e">
        <f t="shared" ca="1" si="528"/>
        <v>#NAME?</v>
      </c>
      <c r="M587" s="664" t="e">
        <f t="shared" ca="1" si="526"/>
        <v>#NAME?</v>
      </c>
      <c r="N587" s="664" t="e">
        <f t="shared" ca="1" si="527"/>
        <v>#NAME?</v>
      </c>
      <c r="O587" s="140" t="e">
        <f t="shared" ca="1" si="473"/>
        <v>#NAME?</v>
      </c>
      <c r="P587" s="352" t="e">
        <f t="shared" ca="1" si="486"/>
        <v>#NAME?</v>
      </c>
      <c r="Q587" s="665" t="e">
        <f t="shared" ca="1" si="529"/>
        <v>#NAME?</v>
      </c>
      <c r="R587" s="352" t="e">
        <f t="shared" ca="1" si="499"/>
        <v>#NAME?</v>
      </c>
      <c r="S587" s="662" t="e">
        <f t="shared" ca="1" si="474"/>
        <v>#NAME?</v>
      </c>
      <c r="T587" s="443" t="e">
        <f t="shared" ca="1" si="468"/>
        <v>#NAME?</v>
      </c>
      <c r="U587" s="369" t="e">
        <f t="shared" ca="1" si="469"/>
        <v>#NAME?</v>
      </c>
      <c r="V587" s="454" t="e">
        <f t="shared" ca="1" si="475"/>
        <v>#NAME?</v>
      </c>
      <c r="W587" s="457">
        <f t="shared" si="476"/>
        <v>1000</v>
      </c>
      <c r="X587" s="463" t="e">
        <f t="shared" ca="1" si="477"/>
        <v>#NAME?</v>
      </c>
      <c r="Y587" s="455" t="e">
        <f t="shared" ca="1" si="487"/>
        <v>#NAME?</v>
      </c>
      <c r="Z587" s="699">
        <f t="shared" si="470"/>
        <v>8.5</v>
      </c>
      <c r="AA587" s="355" t="str">
        <f t="shared" si="471"/>
        <v>ON</v>
      </c>
      <c r="AB587" s="357">
        <f t="shared" si="500"/>
        <v>1.4999999999999999E-2</v>
      </c>
      <c r="AC587" s="356" t="e">
        <f ca="1">IF(  Y586=0,0,IF(OR(S587="KCAS",S587="INOP",S587="MEFE"),   ( (5*( (   (((1+0.2*(T587/661.4786)^2)^3.5 -1)  )/( (1-6.8755856*10^-6 *100*Y587)^5.2558797) +1)^(2/7) -1) )^0.5),IF(S587="MACH",T587, IF(S587="LRC",BicubicInterpolation( 'LRC Mach'!$C$4:$AL$21, Y587,U587),  IF(S587="MRC",BicubicInterpolation( 'MRC Mach'!$C$3:$T$18, Y587,U587),  IF(S587="M0.84",0.84,  IF(S587="CI52",BicubicInterpolation('CI=52 Mach'!$C$3:$T$18, Y587,U587),  IF(S587="HOLDING",BicubicInterpolation(  'Holding Mach'!$C$4:$M$13, Y587,U587),                         IF(S587="LRCINOP", BicubicInterpolation('LRC INOP Mach'!$C$4:$AA$21,Y587,U587), IF(S587="HOLDINGINOP",  BicubicInterpolation('Holding INOP Mach'!$N$4:$U$13,Y587,U587),         "XXX" )))))))   )))</f>
        <v>#NAME?</v>
      </c>
      <c r="AD587" s="313" t="e">
        <f t="shared" ca="1" si="501"/>
        <v>#NAME?</v>
      </c>
      <c r="AE587" s="314" t="e">
        <f t="shared" ca="1" si="488"/>
        <v>#NAME?</v>
      </c>
      <c r="AF587" s="313" t="e">
        <f t="shared" ca="1" si="502"/>
        <v>#NAME?</v>
      </c>
      <c r="AG587" s="314" t="e">
        <f t="shared" ca="1" si="489"/>
        <v>#NAME?</v>
      </c>
      <c r="AH587" s="313" t="e">
        <f t="shared" ca="1" si="503"/>
        <v>#NAME?</v>
      </c>
      <c r="AI587" s="314" t="e">
        <f t="shared" ca="1" si="490"/>
        <v>#NAME?</v>
      </c>
      <c r="AJ587" s="315" t="e">
        <f t="shared" ca="1" si="491"/>
        <v>#NAME?</v>
      </c>
      <c r="AK587" s="568" t="e">
        <f t="shared" ca="1" si="504"/>
        <v>#NAME?</v>
      </c>
      <c r="AL587" s="313" t="e">
        <f t="shared" ca="1" si="505"/>
        <v>#NAME?</v>
      </c>
      <c r="AM587" s="313" t="e">
        <f t="shared" ca="1" si="492"/>
        <v>#NAME?</v>
      </c>
      <c r="AN587" s="313" t="e">
        <f t="shared" ca="1" si="493"/>
        <v>#NAME?</v>
      </c>
      <c r="AO587" s="316" t="e">
        <f t="shared" ca="1" si="506"/>
        <v>#NAME?</v>
      </c>
      <c r="AP587" s="313" t="e">
        <f t="shared" ca="1" si="507"/>
        <v>#NAME?</v>
      </c>
      <c r="AQ587" s="314" t="e">
        <f t="shared" ca="1" si="494"/>
        <v>#NAME?</v>
      </c>
      <c r="AR587" s="315" t="e">
        <f t="shared" ca="1" si="508"/>
        <v>#NAME?</v>
      </c>
      <c r="AS587" s="316" t="e">
        <f t="shared" ca="1" si="509"/>
        <v>#NAME?</v>
      </c>
      <c r="AT587" s="315" t="e">
        <f t="shared" ca="1" si="510"/>
        <v>#NAME?</v>
      </c>
      <c r="AU587" s="317">
        <v>427.8</v>
      </c>
      <c r="AV587" s="315" t="e">
        <f t="shared" ca="1" si="511"/>
        <v>#NAME?</v>
      </c>
      <c r="AW587" s="318" t="e">
        <f ca="1">0.0001*BicubicInterpolation('Drag Coef Table'!$B$4:$L$28,AV587,AC587)</f>
        <v>#NAME?</v>
      </c>
      <c r="AX587" s="319" t="e">
        <f t="shared" ca="1" si="512"/>
        <v>#NAME?</v>
      </c>
      <c r="AY587" s="318" t="e">
        <f t="shared" ca="1" si="513"/>
        <v>#NAME?</v>
      </c>
      <c r="AZ587" s="320" t="e">
        <f t="shared" ca="1" si="514"/>
        <v>#NAME?</v>
      </c>
      <c r="BA587" s="321" t="e">
        <f t="shared" ca="1" si="515"/>
        <v>#NAME?</v>
      </c>
      <c r="BB587" s="322" t="e">
        <f t="shared" ca="1" si="516"/>
        <v>#NAME?</v>
      </c>
      <c r="BC587" s="323">
        <v>75.196700000000007</v>
      </c>
      <c r="BD587" s="324" t="e">
        <f t="shared" ca="1" si="517"/>
        <v>#NAME?</v>
      </c>
      <c r="BE587" s="325" t="e">
        <f t="shared" ca="1" si="518"/>
        <v>#NAME?</v>
      </c>
      <c r="BF587" s="324" t="e">
        <f ca="1">BicubicInterpolation('TSFC Eff Table'!$B$4:$E$69,2,BB587)</f>
        <v>#NAME?</v>
      </c>
      <c r="BG587" s="326" t="e">
        <f t="shared" ca="1" si="519"/>
        <v>#NAME?</v>
      </c>
      <c r="BH587" s="694" t="e">
        <f ca="1">IF( S587="LRCINOP",   (1+(0.03/10)*Z587*(1+0.2*AC587^2) )*BicubicInterpolation( 'LRC INOP FF'!$C$4:$AA$21, Y587, U587 )-200, IF(S587 ="HOLDINGINOP", (1+(0.03/10)*Z587*(1+0.2*AC587^2) )*BicubicInterpolation( 'Holding INOP FF'!$C$4:$J$13,  Y587,  U587)/1.05-200,   BA587*BG587))</f>
        <v>#NAME?</v>
      </c>
      <c r="BI587" s="344" t="e">
        <f t="shared" ca="1" si="478"/>
        <v>#NAME?</v>
      </c>
      <c r="BJ587" s="322" t="e">
        <f t="shared" ca="1" si="520"/>
        <v>#NAME?</v>
      </c>
      <c r="BK587" s="338" t="e">
        <f t="shared" ca="1" si="479"/>
        <v>#NAME?</v>
      </c>
      <c r="BL587" s="327" t="e">
        <f t="shared" ca="1" si="521"/>
        <v>#NAME?</v>
      </c>
      <c r="BM587" s="328">
        <f t="shared" si="522"/>
        <v>200</v>
      </c>
      <c r="BN587" s="329" t="e">
        <f t="shared" ca="1" si="523"/>
        <v>#NAME?</v>
      </c>
      <c r="BO587" s="344" t="e">
        <f t="shared" ca="1" si="480"/>
        <v>#NAME?</v>
      </c>
      <c r="BP587" s="320" t="e">
        <f t="shared" ca="1" si="524"/>
        <v>#NAME?</v>
      </c>
      <c r="BQ587" s="344" t="e">
        <f t="shared" ca="1" si="481"/>
        <v>#NAME?</v>
      </c>
      <c r="BR587" s="347" t="e">
        <f t="shared" ca="1" si="482"/>
        <v>#NAME?</v>
      </c>
      <c r="BS587" s="326" t="e">
        <f t="shared" ca="1" si="525"/>
        <v>#NAME?</v>
      </c>
      <c r="BT587" s="437" t="e">
        <f t="shared" ca="1" si="495"/>
        <v>#NAME?</v>
      </c>
      <c r="BU587" s="437" t="e">
        <f t="shared" ca="1" si="496"/>
        <v>#NAME?</v>
      </c>
      <c r="BV587" s="441" t="e">
        <f t="shared" ca="1" si="497"/>
        <v>#NAME?</v>
      </c>
      <c r="BW587" s="442" t="e">
        <f t="shared" ca="1" si="498"/>
        <v>#NAME?</v>
      </c>
      <c r="BX587" s="470" t="e">
        <f t="shared" ca="1" si="472"/>
        <v>#NAME?</v>
      </c>
      <c r="BY587" s="484" t="e">
        <f t="shared" ca="1" si="483"/>
        <v>#NAME?</v>
      </c>
    </row>
    <row r="588" spans="9:77" ht="17.75" customHeight="1" x14ac:dyDescent="0.2">
      <c r="I588" s="366">
        <v>504</v>
      </c>
      <c r="J588" s="414">
        <f t="shared" si="484"/>
        <v>41706.062500001142</v>
      </c>
      <c r="K588" s="435" t="e">
        <f t="shared" ca="1" si="485"/>
        <v>#NAME?</v>
      </c>
      <c r="L588" s="435" t="e">
        <f t="shared" ca="1" si="528"/>
        <v>#NAME?</v>
      </c>
      <c r="M588" s="664" t="e">
        <f t="shared" ca="1" si="526"/>
        <v>#NAME?</v>
      </c>
      <c r="N588" s="664" t="e">
        <f t="shared" ca="1" si="527"/>
        <v>#NAME?</v>
      </c>
      <c r="O588" s="140" t="e">
        <f t="shared" ca="1" si="473"/>
        <v>#NAME?</v>
      </c>
      <c r="P588" s="352" t="e">
        <f t="shared" ca="1" si="486"/>
        <v>#NAME?</v>
      </c>
      <c r="Q588" s="665" t="e">
        <f t="shared" ca="1" si="529"/>
        <v>#NAME?</v>
      </c>
      <c r="R588" s="352" t="e">
        <f t="shared" ca="1" si="499"/>
        <v>#NAME?</v>
      </c>
      <c r="S588" s="662" t="e">
        <f t="shared" ca="1" si="474"/>
        <v>#NAME?</v>
      </c>
      <c r="T588" s="443" t="e">
        <f t="shared" ca="1" si="468"/>
        <v>#NAME?</v>
      </c>
      <c r="U588" s="369" t="e">
        <f t="shared" ca="1" si="469"/>
        <v>#NAME?</v>
      </c>
      <c r="V588" s="454" t="e">
        <f t="shared" ca="1" si="475"/>
        <v>#NAME?</v>
      </c>
      <c r="W588" s="457">
        <f t="shared" si="476"/>
        <v>1000</v>
      </c>
      <c r="X588" s="463" t="e">
        <f t="shared" ca="1" si="477"/>
        <v>#NAME?</v>
      </c>
      <c r="Y588" s="455" t="e">
        <f t="shared" ca="1" si="487"/>
        <v>#NAME?</v>
      </c>
      <c r="Z588" s="699">
        <f t="shared" si="470"/>
        <v>8.5</v>
      </c>
      <c r="AA588" s="355" t="str">
        <f t="shared" si="471"/>
        <v>ON</v>
      </c>
      <c r="AB588" s="357">
        <f t="shared" si="500"/>
        <v>1.4999999999999999E-2</v>
      </c>
      <c r="AC588" s="356" t="e">
        <f ca="1">IF(  Y587=0,0,IF(OR(S588="KCAS",S588="INOP",S588="MEFE"),   ( (5*( (   (((1+0.2*(T588/661.4786)^2)^3.5 -1)  )/( (1-6.8755856*10^-6 *100*Y588)^5.2558797) +1)^(2/7) -1) )^0.5),IF(S588="MACH",T588, IF(S588="LRC",BicubicInterpolation( 'LRC Mach'!$C$4:$AL$21, Y588,U588),  IF(S588="MRC",BicubicInterpolation( 'MRC Mach'!$C$3:$T$18, Y588,U588),  IF(S588="M0.84",0.84,  IF(S588="CI52",BicubicInterpolation('CI=52 Mach'!$C$3:$T$18, Y588,U588),  IF(S588="HOLDING",BicubicInterpolation(  'Holding Mach'!$C$4:$M$13, Y588,U588),                         IF(S588="LRCINOP", BicubicInterpolation('LRC INOP Mach'!$C$4:$AA$21,Y588,U588), IF(S588="HOLDINGINOP",  BicubicInterpolation('Holding INOP Mach'!$N$4:$U$13,Y588,U588),         "XXX" )))))))   )))</f>
        <v>#NAME?</v>
      </c>
      <c r="AD588" s="313" t="e">
        <f t="shared" ca="1" si="501"/>
        <v>#NAME?</v>
      </c>
      <c r="AE588" s="314" t="e">
        <f t="shared" ca="1" si="488"/>
        <v>#NAME?</v>
      </c>
      <c r="AF588" s="313" t="e">
        <f t="shared" ca="1" si="502"/>
        <v>#NAME?</v>
      </c>
      <c r="AG588" s="314" t="e">
        <f t="shared" ca="1" si="489"/>
        <v>#NAME?</v>
      </c>
      <c r="AH588" s="313" t="e">
        <f t="shared" ca="1" si="503"/>
        <v>#NAME?</v>
      </c>
      <c r="AI588" s="314" t="e">
        <f t="shared" ca="1" si="490"/>
        <v>#NAME?</v>
      </c>
      <c r="AJ588" s="315" t="e">
        <f t="shared" ca="1" si="491"/>
        <v>#NAME?</v>
      </c>
      <c r="AK588" s="568" t="e">
        <f t="shared" ca="1" si="504"/>
        <v>#NAME?</v>
      </c>
      <c r="AL588" s="313" t="e">
        <f t="shared" ca="1" si="505"/>
        <v>#NAME?</v>
      </c>
      <c r="AM588" s="313" t="e">
        <f t="shared" ca="1" si="492"/>
        <v>#NAME?</v>
      </c>
      <c r="AN588" s="313" t="e">
        <f t="shared" ca="1" si="493"/>
        <v>#NAME?</v>
      </c>
      <c r="AO588" s="316" t="e">
        <f t="shared" ca="1" si="506"/>
        <v>#NAME?</v>
      </c>
      <c r="AP588" s="313" t="e">
        <f t="shared" ca="1" si="507"/>
        <v>#NAME?</v>
      </c>
      <c r="AQ588" s="314" t="e">
        <f t="shared" ca="1" si="494"/>
        <v>#NAME?</v>
      </c>
      <c r="AR588" s="315" t="e">
        <f t="shared" ca="1" si="508"/>
        <v>#NAME?</v>
      </c>
      <c r="AS588" s="316" t="e">
        <f t="shared" ca="1" si="509"/>
        <v>#NAME?</v>
      </c>
      <c r="AT588" s="315" t="e">
        <f t="shared" ca="1" si="510"/>
        <v>#NAME?</v>
      </c>
      <c r="AU588" s="317">
        <v>427.8</v>
      </c>
      <c r="AV588" s="315" t="e">
        <f t="shared" ca="1" si="511"/>
        <v>#NAME?</v>
      </c>
      <c r="AW588" s="318" t="e">
        <f ca="1">0.0001*BicubicInterpolation('Drag Coef Table'!$B$4:$L$28,AV588,AC588)</f>
        <v>#NAME?</v>
      </c>
      <c r="AX588" s="319" t="e">
        <f t="shared" ca="1" si="512"/>
        <v>#NAME?</v>
      </c>
      <c r="AY588" s="318" t="e">
        <f t="shared" ca="1" si="513"/>
        <v>#NAME?</v>
      </c>
      <c r="AZ588" s="320" t="e">
        <f t="shared" ca="1" si="514"/>
        <v>#NAME?</v>
      </c>
      <c r="BA588" s="321" t="e">
        <f t="shared" ca="1" si="515"/>
        <v>#NAME?</v>
      </c>
      <c r="BB588" s="322" t="e">
        <f t="shared" ca="1" si="516"/>
        <v>#NAME?</v>
      </c>
      <c r="BC588" s="323">
        <v>75.196700000000007</v>
      </c>
      <c r="BD588" s="324" t="e">
        <f t="shared" ca="1" si="517"/>
        <v>#NAME?</v>
      </c>
      <c r="BE588" s="325" t="e">
        <f t="shared" ca="1" si="518"/>
        <v>#NAME?</v>
      </c>
      <c r="BF588" s="324" t="e">
        <f ca="1">BicubicInterpolation('TSFC Eff Table'!$B$4:$E$69,2,BB588)</f>
        <v>#NAME?</v>
      </c>
      <c r="BG588" s="326" t="e">
        <f t="shared" ca="1" si="519"/>
        <v>#NAME?</v>
      </c>
      <c r="BH588" s="694" t="e">
        <f ca="1">IF( S588="LRCINOP",   (1+(0.03/10)*Z588*(1+0.2*AC588^2) )*BicubicInterpolation( 'LRC INOP FF'!$C$4:$AA$21, Y588, U588 )-200, IF(S588 ="HOLDINGINOP", (1+(0.03/10)*Z588*(1+0.2*AC588^2) )*BicubicInterpolation( 'Holding INOP FF'!$C$4:$J$13,  Y588,  U588)/1.05-200,   BA588*BG588))</f>
        <v>#NAME?</v>
      </c>
      <c r="BI588" s="344" t="e">
        <f t="shared" ca="1" si="478"/>
        <v>#NAME?</v>
      </c>
      <c r="BJ588" s="322" t="e">
        <f t="shared" ca="1" si="520"/>
        <v>#NAME?</v>
      </c>
      <c r="BK588" s="338" t="e">
        <f t="shared" ca="1" si="479"/>
        <v>#NAME?</v>
      </c>
      <c r="BL588" s="327" t="e">
        <f t="shared" ca="1" si="521"/>
        <v>#NAME?</v>
      </c>
      <c r="BM588" s="328">
        <f t="shared" si="522"/>
        <v>200</v>
      </c>
      <c r="BN588" s="329" t="e">
        <f t="shared" ca="1" si="523"/>
        <v>#NAME?</v>
      </c>
      <c r="BO588" s="344" t="e">
        <f t="shared" ca="1" si="480"/>
        <v>#NAME?</v>
      </c>
      <c r="BP588" s="320" t="e">
        <f t="shared" ca="1" si="524"/>
        <v>#NAME?</v>
      </c>
      <c r="BQ588" s="344" t="e">
        <f t="shared" ca="1" si="481"/>
        <v>#NAME?</v>
      </c>
      <c r="BR588" s="347" t="e">
        <f t="shared" ca="1" si="482"/>
        <v>#NAME?</v>
      </c>
      <c r="BS588" s="326" t="e">
        <f t="shared" ca="1" si="525"/>
        <v>#NAME?</v>
      </c>
      <c r="BT588" s="437" t="e">
        <f t="shared" ca="1" si="495"/>
        <v>#NAME?</v>
      </c>
      <c r="BU588" s="437" t="e">
        <f t="shared" ca="1" si="496"/>
        <v>#NAME?</v>
      </c>
      <c r="BV588" s="441" t="e">
        <f t="shared" ca="1" si="497"/>
        <v>#NAME?</v>
      </c>
      <c r="BW588" s="442" t="e">
        <f t="shared" ca="1" si="498"/>
        <v>#NAME?</v>
      </c>
      <c r="BX588" s="470" t="e">
        <f t="shared" ca="1" si="472"/>
        <v>#NAME?</v>
      </c>
      <c r="BY588" s="484" t="e">
        <f t="shared" ca="1" si="483"/>
        <v>#NAME?</v>
      </c>
    </row>
    <row r="589" spans="9:77" ht="17.75" customHeight="1" x14ac:dyDescent="0.2">
      <c r="I589" s="366">
        <v>505</v>
      </c>
      <c r="J589" s="414">
        <f t="shared" si="484"/>
        <v>41706.063194445589</v>
      </c>
      <c r="K589" s="435" t="e">
        <f t="shared" ca="1" si="485"/>
        <v>#NAME?</v>
      </c>
      <c r="L589" s="435" t="e">
        <f t="shared" ca="1" si="528"/>
        <v>#NAME?</v>
      </c>
      <c r="M589" s="664" t="e">
        <f t="shared" ca="1" si="526"/>
        <v>#NAME?</v>
      </c>
      <c r="N589" s="664" t="e">
        <f t="shared" ca="1" si="527"/>
        <v>#NAME?</v>
      </c>
      <c r="O589" s="140" t="e">
        <f t="shared" ca="1" si="473"/>
        <v>#NAME?</v>
      </c>
      <c r="P589" s="352" t="e">
        <f t="shared" ca="1" si="486"/>
        <v>#NAME?</v>
      </c>
      <c r="Q589" s="665" t="e">
        <f t="shared" ca="1" si="529"/>
        <v>#NAME?</v>
      </c>
      <c r="R589" s="352" t="e">
        <f t="shared" ca="1" si="499"/>
        <v>#NAME?</v>
      </c>
      <c r="S589" s="662" t="e">
        <f t="shared" ca="1" si="474"/>
        <v>#NAME?</v>
      </c>
      <c r="T589" s="443" t="e">
        <f t="shared" ca="1" si="468"/>
        <v>#NAME?</v>
      </c>
      <c r="U589" s="369" t="e">
        <f t="shared" ca="1" si="469"/>
        <v>#NAME?</v>
      </c>
      <c r="V589" s="454" t="e">
        <f t="shared" ca="1" si="475"/>
        <v>#NAME?</v>
      </c>
      <c r="W589" s="457">
        <f t="shared" si="476"/>
        <v>1000</v>
      </c>
      <c r="X589" s="463" t="e">
        <f t="shared" ca="1" si="477"/>
        <v>#NAME?</v>
      </c>
      <c r="Y589" s="455" t="e">
        <f t="shared" ca="1" si="487"/>
        <v>#NAME?</v>
      </c>
      <c r="Z589" s="699">
        <f t="shared" si="470"/>
        <v>8.5</v>
      </c>
      <c r="AA589" s="355" t="str">
        <f t="shared" si="471"/>
        <v>ON</v>
      </c>
      <c r="AB589" s="357">
        <f t="shared" si="500"/>
        <v>1.4999999999999999E-2</v>
      </c>
      <c r="AC589" s="356" t="e">
        <f ca="1">IF(  Y588=0,0,IF(OR(S589="KCAS",S589="INOP",S589="MEFE"),   ( (5*( (   (((1+0.2*(T589/661.4786)^2)^3.5 -1)  )/( (1-6.8755856*10^-6 *100*Y589)^5.2558797) +1)^(2/7) -1) )^0.5),IF(S589="MACH",T589, IF(S589="LRC",BicubicInterpolation( 'LRC Mach'!$C$4:$AL$21, Y589,U589),  IF(S589="MRC",BicubicInterpolation( 'MRC Mach'!$C$3:$T$18, Y589,U589),  IF(S589="M0.84",0.84,  IF(S589="CI52",BicubicInterpolation('CI=52 Mach'!$C$3:$T$18, Y589,U589),  IF(S589="HOLDING",BicubicInterpolation(  'Holding Mach'!$C$4:$M$13, Y589,U589),                         IF(S589="LRCINOP", BicubicInterpolation('LRC INOP Mach'!$C$4:$AA$21,Y589,U589), IF(S589="HOLDINGINOP",  BicubicInterpolation('Holding INOP Mach'!$N$4:$U$13,Y589,U589),         "XXX" )))))))   )))</f>
        <v>#NAME?</v>
      </c>
      <c r="AD589" s="313" t="e">
        <f t="shared" ca="1" si="501"/>
        <v>#NAME?</v>
      </c>
      <c r="AE589" s="314" t="e">
        <f t="shared" ca="1" si="488"/>
        <v>#NAME?</v>
      </c>
      <c r="AF589" s="313" t="e">
        <f t="shared" ca="1" si="502"/>
        <v>#NAME?</v>
      </c>
      <c r="AG589" s="314" t="e">
        <f t="shared" ca="1" si="489"/>
        <v>#NAME?</v>
      </c>
      <c r="AH589" s="313" t="e">
        <f t="shared" ca="1" si="503"/>
        <v>#NAME?</v>
      </c>
      <c r="AI589" s="314" t="e">
        <f t="shared" ca="1" si="490"/>
        <v>#NAME?</v>
      </c>
      <c r="AJ589" s="315" t="e">
        <f t="shared" ca="1" si="491"/>
        <v>#NAME?</v>
      </c>
      <c r="AK589" s="568" t="e">
        <f t="shared" ca="1" si="504"/>
        <v>#NAME?</v>
      </c>
      <c r="AL589" s="313" t="e">
        <f t="shared" ca="1" si="505"/>
        <v>#NAME?</v>
      </c>
      <c r="AM589" s="313" t="e">
        <f t="shared" ca="1" si="492"/>
        <v>#NAME?</v>
      </c>
      <c r="AN589" s="313" t="e">
        <f t="shared" ca="1" si="493"/>
        <v>#NAME?</v>
      </c>
      <c r="AO589" s="316" t="e">
        <f t="shared" ca="1" si="506"/>
        <v>#NAME?</v>
      </c>
      <c r="AP589" s="313" t="e">
        <f t="shared" ca="1" si="507"/>
        <v>#NAME?</v>
      </c>
      <c r="AQ589" s="314" t="e">
        <f t="shared" ca="1" si="494"/>
        <v>#NAME?</v>
      </c>
      <c r="AR589" s="315" t="e">
        <f t="shared" ca="1" si="508"/>
        <v>#NAME?</v>
      </c>
      <c r="AS589" s="316" t="e">
        <f t="shared" ca="1" si="509"/>
        <v>#NAME?</v>
      </c>
      <c r="AT589" s="315" t="e">
        <f t="shared" ca="1" si="510"/>
        <v>#NAME?</v>
      </c>
      <c r="AU589" s="317">
        <v>427.8</v>
      </c>
      <c r="AV589" s="315" t="e">
        <f t="shared" ca="1" si="511"/>
        <v>#NAME?</v>
      </c>
      <c r="AW589" s="318" t="e">
        <f ca="1">0.0001*BicubicInterpolation('Drag Coef Table'!$B$4:$L$28,AV589,AC589)</f>
        <v>#NAME?</v>
      </c>
      <c r="AX589" s="319" t="e">
        <f t="shared" ca="1" si="512"/>
        <v>#NAME?</v>
      </c>
      <c r="AY589" s="318" t="e">
        <f t="shared" ca="1" si="513"/>
        <v>#NAME?</v>
      </c>
      <c r="AZ589" s="320" t="e">
        <f t="shared" ca="1" si="514"/>
        <v>#NAME?</v>
      </c>
      <c r="BA589" s="321" t="e">
        <f t="shared" ca="1" si="515"/>
        <v>#NAME?</v>
      </c>
      <c r="BB589" s="322" t="e">
        <f t="shared" ca="1" si="516"/>
        <v>#NAME?</v>
      </c>
      <c r="BC589" s="323">
        <v>75.196700000000007</v>
      </c>
      <c r="BD589" s="324" t="e">
        <f t="shared" ca="1" si="517"/>
        <v>#NAME?</v>
      </c>
      <c r="BE589" s="325" t="e">
        <f t="shared" ca="1" si="518"/>
        <v>#NAME?</v>
      </c>
      <c r="BF589" s="324" t="e">
        <f ca="1">BicubicInterpolation('TSFC Eff Table'!$B$4:$E$69,2,BB589)</f>
        <v>#NAME?</v>
      </c>
      <c r="BG589" s="326" t="e">
        <f t="shared" ca="1" si="519"/>
        <v>#NAME?</v>
      </c>
      <c r="BH589" s="694" t="e">
        <f ca="1">IF( S589="LRCINOP",   (1+(0.03/10)*Z589*(1+0.2*AC589^2) )*BicubicInterpolation( 'LRC INOP FF'!$C$4:$AA$21, Y589, U589 )-200, IF(S589 ="HOLDINGINOP", (1+(0.03/10)*Z589*(1+0.2*AC589^2) )*BicubicInterpolation( 'Holding INOP FF'!$C$4:$J$13,  Y589,  U589)/1.05-200,   BA589*BG589))</f>
        <v>#NAME?</v>
      </c>
      <c r="BI589" s="344" t="e">
        <f t="shared" ca="1" si="478"/>
        <v>#NAME?</v>
      </c>
      <c r="BJ589" s="322" t="e">
        <f t="shared" ca="1" si="520"/>
        <v>#NAME?</v>
      </c>
      <c r="BK589" s="338" t="e">
        <f t="shared" ca="1" si="479"/>
        <v>#NAME?</v>
      </c>
      <c r="BL589" s="327" t="e">
        <f t="shared" ca="1" si="521"/>
        <v>#NAME?</v>
      </c>
      <c r="BM589" s="328">
        <f t="shared" si="522"/>
        <v>200</v>
      </c>
      <c r="BN589" s="329" t="e">
        <f t="shared" ca="1" si="523"/>
        <v>#NAME?</v>
      </c>
      <c r="BO589" s="344" t="e">
        <f t="shared" ca="1" si="480"/>
        <v>#NAME?</v>
      </c>
      <c r="BP589" s="320" t="e">
        <f t="shared" ca="1" si="524"/>
        <v>#NAME?</v>
      </c>
      <c r="BQ589" s="344" t="e">
        <f t="shared" ca="1" si="481"/>
        <v>#NAME?</v>
      </c>
      <c r="BR589" s="347" t="e">
        <f t="shared" ca="1" si="482"/>
        <v>#NAME?</v>
      </c>
      <c r="BS589" s="326" t="e">
        <f t="shared" ca="1" si="525"/>
        <v>#NAME?</v>
      </c>
      <c r="BT589" s="437" t="e">
        <f t="shared" ca="1" si="495"/>
        <v>#NAME?</v>
      </c>
      <c r="BU589" s="437" t="e">
        <f t="shared" ca="1" si="496"/>
        <v>#NAME?</v>
      </c>
      <c r="BV589" s="441" t="e">
        <f t="shared" ca="1" si="497"/>
        <v>#NAME?</v>
      </c>
      <c r="BW589" s="442" t="e">
        <f t="shared" ca="1" si="498"/>
        <v>#NAME?</v>
      </c>
      <c r="BX589" s="470" t="e">
        <f t="shared" ca="1" si="472"/>
        <v>#NAME?</v>
      </c>
      <c r="BY589" s="484" t="e">
        <f t="shared" ca="1" si="483"/>
        <v>#NAME?</v>
      </c>
    </row>
    <row r="590" spans="9:77" ht="17.75" customHeight="1" x14ac:dyDescent="0.2">
      <c r="I590" s="366">
        <v>506</v>
      </c>
      <c r="J590" s="414">
        <f t="shared" si="484"/>
        <v>41706.063888890036</v>
      </c>
      <c r="K590" s="435" t="e">
        <f t="shared" ca="1" si="485"/>
        <v>#NAME?</v>
      </c>
      <c r="L590" s="435" t="e">
        <f t="shared" ca="1" si="528"/>
        <v>#NAME?</v>
      </c>
      <c r="M590" s="664" t="e">
        <f t="shared" ca="1" si="526"/>
        <v>#NAME?</v>
      </c>
      <c r="N590" s="664" t="e">
        <f t="shared" ca="1" si="527"/>
        <v>#NAME?</v>
      </c>
      <c r="O590" s="140" t="e">
        <f t="shared" ca="1" si="473"/>
        <v>#NAME?</v>
      </c>
      <c r="P590" s="352" t="e">
        <f t="shared" ca="1" si="486"/>
        <v>#NAME?</v>
      </c>
      <c r="Q590" s="665" t="e">
        <f t="shared" ca="1" si="529"/>
        <v>#NAME?</v>
      </c>
      <c r="R590" s="352" t="e">
        <f t="shared" ca="1" si="499"/>
        <v>#NAME?</v>
      </c>
      <c r="S590" s="662" t="e">
        <f t="shared" ca="1" si="474"/>
        <v>#NAME?</v>
      </c>
      <c r="T590" s="443" t="e">
        <f t="shared" ca="1" si="468"/>
        <v>#NAME?</v>
      </c>
      <c r="U590" s="369" t="e">
        <f t="shared" ca="1" si="469"/>
        <v>#NAME?</v>
      </c>
      <c r="V590" s="454" t="e">
        <f t="shared" ca="1" si="475"/>
        <v>#NAME?</v>
      </c>
      <c r="W590" s="457">
        <f t="shared" si="476"/>
        <v>1000</v>
      </c>
      <c r="X590" s="463" t="e">
        <f t="shared" ca="1" si="477"/>
        <v>#NAME?</v>
      </c>
      <c r="Y590" s="455" t="e">
        <f t="shared" ca="1" si="487"/>
        <v>#NAME?</v>
      </c>
      <c r="Z590" s="699">
        <f t="shared" si="470"/>
        <v>8.5</v>
      </c>
      <c r="AA590" s="355" t="str">
        <f t="shared" si="471"/>
        <v>ON</v>
      </c>
      <c r="AB590" s="357">
        <f t="shared" si="500"/>
        <v>1.4999999999999999E-2</v>
      </c>
      <c r="AC590" s="356" t="e">
        <f ca="1">IF(  Y589=0,0,IF(OR(S590="KCAS",S590="INOP",S590="MEFE"),   ( (5*( (   (((1+0.2*(T590/661.4786)^2)^3.5 -1)  )/( (1-6.8755856*10^-6 *100*Y590)^5.2558797) +1)^(2/7) -1) )^0.5),IF(S590="MACH",T590, IF(S590="LRC",BicubicInterpolation( 'LRC Mach'!$C$4:$AL$21, Y590,U590),  IF(S590="MRC",BicubicInterpolation( 'MRC Mach'!$C$3:$T$18, Y590,U590),  IF(S590="M0.84",0.84,  IF(S590="CI52",BicubicInterpolation('CI=52 Mach'!$C$3:$T$18, Y590,U590),  IF(S590="HOLDING",BicubicInterpolation(  'Holding Mach'!$C$4:$M$13, Y590,U590),                         IF(S590="LRCINOP", BicubicInterpolation('LRC INOP Mach'!$C$4:$AA$21,Y590,U590), IF(S590="HOLDINGINOP",  BicubicInterpolation('Holding INOP Mach'!$N$4:$U$13,Y590,U590),         "XXX" )))))))   )))</f>
        <v>#NAME?</v>
      </c>
      <c r="AD590" s="313" t="e">
        <f t="shared" ca="1" si="501"/>
        <v>#NAME?</v>
      </c>
      <c r="AE590" s="314" t="e">
        <f t="shared" ca="1" si="488"/>
        <v>#NAME?</v>
      </c>
      <c r="AF590" s="313" t="e">
        <f t="shared" ca="1" si="502"/>
        <v>#NAME?</v>
      </c>
      <c r="AG590" s="314" t="e">
        <f t="shared" ca="1" si="489"/>
        <v>#NAME?</v>
      </c>
      <c r="AH590" s="313" t="e">
        <f t="shared" ca="1" si="503"/>
        <v>#NAME?</v>
      </c>
      <c r="AI590" s="314" t="e">
        <f t="shared" ca="1" si="490"/>
        <v>#NAME?</v>
      </c>
      <c r="AJ590" s="315" t="e">
        <f t="shared" ca="1" si="491"/>
        <v>#NAME?</v>
      </c>
      <c r="AK590" s="568" t="e">
        <f t="shared" ca="1" si="504"/>
        <v>#NAME?</v>
      </c>
      <c r="AL590" s="313" t="e">
        <f t="shared" ca="1" si="505"/>
        <v>#NAME?</v>
      </c>
      <c r="AM590" s="313" t="e">
        <f t="shared" ca="1" si="492"/>
        <v>#NAME?</v>
      </c>
      <c r="AN590" s="313" t="e">
        <f t="shared" ca="1" si="493"/>
        <v>#NAME?</v>
      </c>
      <c r="AO590" s="316" t="e">
        <f t="shared" ca="1" si="506"/>
        <v>#NAME?</v>
      </c>
      <c r="AP590" s="313" t="e">
        <f t="shared" ca="1" si="507"/>
        <v>#NAME?</v>
      </c>
      <c r="AQ590" s="314" t="e">
        <f t="shared" ca="1" si="494"/>
        <v>#NAME?</v>
      </c>
      <c r="AR590" s="315" t="e">
        <f t="shared" ca="1" si="508"/>
        <v>#NAME?</v>
      </c>
      <c r="AS590" s="316" t="e">
        <f t="shared" ca="1" si="509"/>
        <v>#NAME?</v>
      </c>
      <c r="AT590" s="315" t="e">
        <f t="shared" ca="1" si="510"/>
        <v>#NAME?</v>
      </c>
      <c r="AU590" s="317">
        <v>427.8</v>
      </c>
      <c r="AV590" s="315" t="e">
        <f t="shared" ca="1" si="511"/>
        <v>#NAME?</v>
      </c>
      <c r="AW590" s="318" t="e">
        <f ca="1">0.0001*BicubicInterpolation('Drag Coef Table'!$B$4:$L$28,AV590,AC590)</f>
        <v>#NAME?</v>
      </c>
      <c r="AX590" s="319" t="e">
        <f t="shared" ca="1" si="512"/>
        <v>#NAME?</v>
      </c>
      <c r="AY590" s="318" t="e">
        <f t="shared" ca="1" si="513"/>
        <v>#NAME?</v>
      </c>
      <c r="AZ590" s="320" t="e">
        <f t="shared" ca="1" si="514"/>
        <v>#NAME?</v>
      </c>
      <c r="BA590" s="321" t="e">
        <f t="shared" ca="1" si="515"/>
        <v>#NAME?</v>
      </c>
      <c r="BB590" s="322" t="e">
        <f t="shared" ca="1" si="516"/>
        <v>#NAME?</v>
      </c>
      <c r="BC590" s="323">
        <v>75.196700000000007</v>
      </c>
      <c r="BD590" s="324" t="e">
        <f t="shared" ca="1" si="517"/>
        <v>#NAME?</v>
      </c>
      <c r="BE590" s="325" t="e">
        <f t="shared" ca="1" si="518"/>
        <v>#NAME?</v>
      </c>
      <c r="BF590" s="324" t="e">
        <f ca="1">BicubicInterpolation('TSFC Eff Table'!$B$4:$E$69,2,BB590)</f>
        <v>#NAME?</v>
      </c>
      <c r="BG590" s="326" t="e">
        <f t="shared" ca="1" si="519"/>
        <v>#NAME?</v>
      </c>
      <c r="BH590" s="694" t="e">
        <f ca="1">IF( S590="LRCINOP",   (1+(0.03/10)*Z590*(1+0.2*AC590^2) )*BicubicInterpolation( 'LRC INOP FF'!$C$4:$AA$21, Y590, U590 )-200, IF(S590 ="HOLDINGINOP", (1+(0.03/10)*Z590*(1+0.2*AC590^2) )*BicubicInterpolation( 'Holding INOP FF'!$C$4:$J$13,  Y590,  U590)/1.05-200,   BA590*BG590))</f>
        <v>#NAME?</v>
      </c>
      <c r="BI590" s="344" t="e">
        <f t="shared" ca="1" si="478"/>
        <v>#NAME?</v>
      </c>
      <c r="BJ590" s="322" t="e">
        <f t="shared" ca="1" si="520"/>
        <v>#NAME?</v>
      </c>
      <c r="BK590" s="338" t="e">
        <f t="shared" ca="1" si="479"/>
        <v>#NAME?</v>
      </c>
      <c r="BL590" s="327" t="e">
        <f t="shared" ca="1" si="521"/>
        <v>#NAME?</v>
      </c>
      <c r="BM590" s="328">
        <f t="shared" si="522"/>
        <v>200</v>
      </c>
      <c r="BN590" s="329" t="e">
        <f t="shared" ca="1" si="523"/>
        <v>#NAME?</v>
      </c>
      <c r="BO590" s="344" t="e">
        <f t="shared" ca="1" si="480"/>
        <v>#NAME?</v>
      </c>
      <c r="BP590" s="320" t="e">
        <f t="shared" ca="1" si="524"/>
        <v>#NAME?</v>
      </c>
      <c r="BQ590" s="344" t="e">
        <f t="shared" ca="1" si="481"/>
        <v>#NAME?</v>
      </c>
      <c r="BR590" s="347" t="e">
        <f t="shared" ca="1" si="482"/>
        <v>#NAME?</v>
      </c>
      <c r="BS590" s="326" t="e">
        <f t="shared" ca="1" si="525"/>
        <v>#NAME?</v>
      </c>
      <c r="BT590" s="437" t="e">
        <f t="shared" ca="1" si="495"/>
        <v>#NAME?</v>
      </c>
      <c r="BU590" s="437" t="e">
        <f t="shared" ca="1" si="496"/>
        <v>#NAME?</v>
      </c>
      <c r="BV590" s="441" t="e">
        <f t="shared" ca="1" si="497"/>
        <v>#NAME?</v>
      </c>
      <c r="BW590" s="442" t="e">
        <f t="shared" ca="1" si="498"/>
        <v>#NAME?</v>
      </c>
      <c r="BX590" s="470" t="e">
        <f t="shared" ca="1" si="472"/>
        <v>#NAME?</v>
      </c>
      <c r="BY590" s="484" t="e">
        <f t="shared" ca="1" si="483"/>
        <v>#NAME?</v>
      </c>
    </row>
    <row r="591" spans="9:77" ht="17.75" customHeight="1" x14ac:dyDescent="0.2">
      <c r="I591" s="366">
        <v>507</v>
      </c>
      <c r="J591" s="414">
        <f t="shared" si="484"/>
        <v>41706.064583334482</v>
      </c>
      <c r="K591" s="435" t="e">
        <f t="shared" ca="1" si="485"/>
        <v>#NAME?</v>
      </c>
      <c r="L591" s="435" t="e">
        <f t="shared" ca="1" si="528"/>
        <v>#NAME?</v>
      </c>
      <c r="M591" s="664" t="e">
        <f t="shared" ca="1" si="526"/>
        <v>#NAME?</v>
      </c>
      <c r="N591" s="664" t="e">
        <f t="shared" ca="1" si="527"/>
        <v>#NAME?</v>
      </c>
      <c r="O591" s="140" t="e">
        <f t="shared" ca="1" si="473"/>
        <v>#NAME?</v>
      </c>
      <c r="P591" s="352" t="e">
        <f t="shared" ca="1" si="486"/>
        <v>#NAME?</v>
      </c>
      <c r="Q591" s="665" t="e">
        <f t="shared" ca="1" si="529"/>
        <v>#NAME?</v>
      </c>
      <c r="R591" s="352" t="e">
        <f t="shared" ca="1" si="499"/>
        <v>#NAME?</v>
      </c>
      <c r="S591" s="662" t="e">
        <f t="shared" ca="1" si="474"/>
        <v>#NAME?</v>
      </c>
      <c r="T591" s="443" t="e">
        <f t="shared" ca="1" si="468"/>
        <v>#NAME?</v>
      </c>
      <c r="U591" s="369" t="e">
        <f t="shared" ca="1" si="469"/>
        <v>#NAME?</v>
      </c>
      <c r="V591" s="454" t="e">
        <f t="shared" ca="1" si="475"/>
        <v>#NAME?</v>
      </c>
      <c r="W591" s="457">
        <f t="shared" si="476"/>
        <v>1000</v>
      </c>
      <c r="X591" s="463" t="e">
        <f t="shared" ca="1" si="477"/>
        <v>#NAME?</v>
      </c>
      <c r="Y591" s="455" t="e">
        <f t="shared" ca="1" si="487"/>
        <v>#NAME?</v>
      </c>
      <c r="Z591" s="699">
        <f t="shared" si="470"/>
        <v>8.5</v>
      </c>
      <c r="AA591" s="355" t="str">
        <f t="shared" si="471"/>
        <v>ON</v>
      </c>
      <c r="AB591" s="357">
        <f t="shared" si="500"/>
        <v>1.4999999999999999E-2</v>
      </c>
      <c r="AC591" s="356" t="e">
        <f ca="1">IF(  Y590=0,0,IF(OR(S591="KCAS",S591="INOP",S591="MEFE"),   ( (5*( (   (((1+0.2*(T591/661.4786)^2)^3.5 -1)  )/( (1-6.8755856*10^-6 *100*Y591)^5.2558797) +1)^(2/7) -1) )^0.5),IF(S591="MACH",T591, IF(S591="LRC",BicubicInterpolation( 'LRC Mach'!$C$4:$AL$21, Y591,U591),  IF(S591="MRC",BicubicInterpolation( 'MRC Mach'!$C$3:$T$18, Y591,U591),  IF(S591="M0.84",0.84,  IF(S591="CI52",BicubicInterpolation('CI=52 Mach'!$C$3:$T$18, Y591,U591),  IF(S591="HOLDING",BicubicInterpolation(  'Holding Mach'!$C$4:$M$13, Y591,U591),                         IF(S591="LRCINOP", BicubicInterpolation('LRC INOP Mach'!$C$4:$AA$21,Y591,U591), IF(S591="HOLDINGINOP",  BicubicInterpolation('Holding INOP Mach'!$N$4:$U$13,Y591,U591),         "XXX" )))))))   )))</f>
        <v>#NAME?</v>
      </c>
      <c r="AD591" s="313" t="e">
        <f t="shared" ca="1" si="501"/>
        <v>#NAME?</v>
      </c>
      <c r="AE591" s="314" t="e">
        <f t="shared" ca="1" si="488"/>
        <v>#NAME?</v>
      </c>
      <c r="AF591" s="313" t="e">
        <f t="shared" ca="1" si="502"/>
        <v>#NAME?</v>
      </c>
      <c r="AG591" s="314" t="e">
        <f t="shared" ca="1" si="489"/>
        <v>#NAME?</v>
      </c>
      <c r="AH591" s="313" t="e">
        <f t="shared" ca="1" si="503"/>
        <v>#NAME?</v>
      </c>
      <c r="AI591" s="314" t="e">
        <f t="shared" ca="1" si="490"/>
        <v>#NAME?</v>
      </c>
      <c r="AJ591" s="315" t="e">
        <f t="shared" ca="1" si="491"/>
        <v>#NAME?</v>
      </c>
      <c r="AK591" s="568" t="e">
        <f t="shared" ca="1" si="504"/>
        <v>#NAME?</v>
      </c>
      <c r="AL591" s="313" t="e">
        <f t="shared" ca="1" si="505"/>
        <v>#NAME?</v>
      </c>
      <c r="AM591" s="313" t="e">
        <f t="shared" ca="1" si="492"/>
        <v>#NAME?</v>
      </c>
      <c r="AN591" s="313" t="e">
        <f t="shared" ca="1" si="493"/>
        <v>#NAME?</v>
      </c>
      <c r="AO591" s="316" t="e">
        <f t="shared" ca="1" si="506"/>
        <v>#NAME?</v>
      </c>
      <c r="AP591" s="313" t="e">
        <f t="shared" ca="1" si="507"/>
        <v>#NAME?</v>
      </c>
      <c r="AQ591" s="314" t="e">
        <f t="shared" ca="1" si="494"/>
        <v>#NAME?</v>
      </c>
      <c r="AR591" s="315" t="e">
        <f t="shared" ca="1" si="508"/>
        <v>#NAME?</v>
      </c>
      <c r="AS591" s="316" t="e">
        <f t="shared" ca="1" si="509"/>
        <v>#NAME?</v>
      </c>
      <c r="AT591" s="315" t="e">
        <f t="shared" ca="1" si="510"/>
        <v>#NAME?</v>
      </c>
      <c r="AU591" s="317">
        <v>427.8</v>
      </c>
      <c r="AV591" s="315" t="e">
        <f t="shared" ca="1" si="511"/>
        <v>#NAME?</v>
      </c>
      <c r="AW591" s="318" t="e">
        <f ca="1">0.0001*BicubicInterpolation('Drag Coef Table'!$B$4:$L$28,AV591,AC591)</f>
        <v>#NAME?</v>
      </c>
      <c r="AX591" s="319" t="e">
        <f t="shared" ca="1" si="512"/>
        <v>#NAME?</v>
      </c>
      <c r="AY591" s="318" t="e">
        <f t="shared" ca="1" si="513"/>
        <v>#NAME?</v>
      </c>
      <c r="AZ591" s="320" t="e">
        <f t="shared" ca="1" si="514"/>
        <v>#NAME?</v>
      </c>
      <c r="BA591" s="321" t="e">
        <f t="shared" ca="1" si="515"/>
        <v>#NAME?</v>
      </c>
      <c r="BB591" s="322" t="e">
        <f t="shared" ca="1" si="516"/>
        <v>#NAME?</v>
      </c>
      <c r="BC591" s="323">
        <v>75.196700000000007</v>
      </c>
      <c r="BD591" s="324" t="e">
        <f t="shared" ca="1" si="517"/>
        <v>#NAME?</v>
      </c>
      <c r="BE591" s="325" t="e">
        <f t="shared" ca="1" si="518"/>
        <v>#NAME?</v>
      </c>
      <c r="BF591" s="324" t="e">
        <f ca="1">BicubicInterpolation('TSFC Eff Table'!$B$4:$E$69,2,BB591)</f>
        <v>#NAME?</v>
      </c>
      <c r="BG591" s="326" t="e">
        <f t="shared" ca="1" si="519"/>
        <v>#NAME?</v>
      </c>
      <c r="BH591" s="694" t="e">
        <f ca="1">IF( S591="LRCINOP",   (1+(0.03/10)*Z591*(1+0.2*AC591^2) )*BicubicInterpolation( 'LRC INOP FF'!$C$4:$AA$21, Y591, U591 )-200, IF(S591 ="HOLDINGINOP", (1+(0.03/10)*Z591*(1+0.2*AC591^2) )*BicubicInterpolation( 'Holding INOP FF'!$C$4:$J$13,  Y591,  U591)/1.05-200,   BA591*BG591))</f>
        <v>#NAME?</v>
      </c>
      <c r="BI591" s="344" t="e">
        <f t="shared" ca="1" si="478"/>
        <v>#NAME?</v>
      </c>
      <c r="BJ591" s="322" t="e">
        <f t="shared" ca="1" si="520"/>
        <v>#NAME?</v>
      </c>
      <c r="BK591" s="338" t="e">
        <f t="shared" ca="1" si="479"/>
        <v>#NAME?</v>
      </c>
      <c r="BL591" s="327" t="e">
        <f t="shared" ca="1" si="521"/>
        <v>#NAME?</v>
      </c>
      <c r="BM591" s="328">
        <f t="shared" si="522"/>
        <v>200</v>
      </c>
      <c r="BN591" s="329" t="e">
        <f t="shared" ca="1" si="523"/>
        <v>#NAME?</v>
      </c>
      <c r="BO591" s="344" t="e">
        <f t="shared" ca="1" si="480"/>
        <v>#NAME?</v>
      </c>
      <c r="BP591" s="320" t="e">
        <f t="shared" ca="1" si="524"/>
        <v>#NAME?</v>
      </c>
      <c r="BQ591" s="344" t="e">
        <f t="shared" ca="1" si="481"/>
        <v>#NAME?</v>
      </c>
      <c r="BR591" s="347" t="e">
        <f t="shared" ca="1" si="482"/>
        <v>#NAME?</v>
      </c>
      <c r="BS591" s="326" t="e">
        <f t="shared" ca="1" si="525"/>
        <v>#NAME?</v>
      </c>
      <c r="BT591" s="437" t="e">
        <f t="shared" ca="1" si="495"/>
        <v>#NAME?</v>
      </c>
      <c r="BU591" s="437" t="e">
        <f t="shared" ca="1" si="496"/>
        <v>#NAME?</v>
      </c>
      <c r="BV591" s="441" t="e">
        <f t="shared" ca="1" si="497"/>
        <v>#NAME?</v>
      </c>
      <c r="BW591" s="442" t="e">
        <f t="shared" ca="1" si="498"/>
        <v>#NAME?</v>
      </c>
      <c r="BX591" s="470" t="e">
        <f t="shared" ca="1" si="472"/>
        <v>#NAME?</v>
      </c>
      <c r="BY591" s="484" t="e">
        <f t="shared" ca="1" si="483"/>
        <v>#NAME?</v>
      </c>
    </row>
    <row r="592" spans="9:77" ht="17.75" customHeight="1" x14ac:dyDescent="0.2">
      <c r="I592" s="366">
        <v>508</v>
      </c>
      <c r="J592" s="414">
        <f t="shared" si="484"/>
        <v>41706.065277778929</v>
      </c>
      <c r="K592" s="435" t="e">
        <f t="shared" ca="1" si="485"/>
        <v>#NAME?</v>
      </c>
      <c r="L592" s="435" t="e">
        <f t="shared" ca="1" si="528"/>
        <v>#NAME?</v>
      </c>
      <c r="M592" s="664" t="e">
        <f t="shared" ca="1" si="526"/>
        <v>#NAME?</v>
      </c>
      <c r="N592" s="664" t="e">
        <f t="shared" ca="1" si="527"/>
        <v>#NAME?</v>
      </c>
      <c r="O592" s="140" t="e">
        <f t="shared" ca="1" si="473"/>
        <v>#NAME?</v>
      </c>
      <c r="P592" s="352" t="e">
        <f t="shared" ca="1" si="486"/>
        <v>#NAME?</v>
      </c>
      <c r="Q592" s="665" t="e">
        <f t="shared" ca="1" si="529"/>
        <v>#NAME?</v>
      </c>
      <c r="R592" s="352" t="e">
        <f t="shared" ca="1" si="499"/>
        <v>#NAME?</v>
      </c>
      <c r="S592" s="662" t="e">
        <f t="shared" ca="1" si="474"/>
        <v>#NAME?</v>
      </c>
      <c r="T592" s="443" t="e">
        <f t="shared" ca="1" si="468"/>
        <v>#NAME?</v>
      </c>
      <c r="U592" s="369" t="e">
        <f t="shared" ca="1" si="469"/>
        <v>#NAME?</v>
      </c>
      <c r="V592" s="454" t="e">
        <f t="shared" ca="1" si="475"/>
        <v>#NAME?</v>
      </c>
      <c r="W592" s="457">
        <f t="shared" si="476"/>
        <v>1000</v>
      </c>
      <c r="X592" s="463" t="e">
        <f t="shared" ca="1" si="477"/>
        <v>#NAME?</v>
      </c>
      <c r="Y592" s="455" t="e">
        <f t="shared" ca="1" si="487"/>
        <v>#NAME?</v>
      </c>
      <c r="Z592" s="699">
        <f t="shared" si="470"/>
        <v>8.5</v>
      </c>
      <c r="AA592" s="355" t="str">
        <f t="shared" si="471"/>
        <v>ON</v>
      </c>
      <c r="AB592" s="357">
        <f t="shared" si="500"/>
        <v>1.4999999999999999E-2</v>
      </c>
      <c r="AC592" s="356" t="e">
        <f ca="1">IF(  Y591=0,0,IF(OR(S592="KCAS",S592="INOP",S592="MEFE"),   ( (5*( (   (((1+0.2*(T592/661.4786)^2)^3.5 -1)  )/( (1-6.8755856*10^-6 *100*Y592)^5.2558797) +1)^(2/7) -1) )^0.5),IF(S592="MACH",T592, IF(S592="LRC",BicubicInterpolation( 'LRC Mach'!$C$4:$AL$21, Y592,U592),  IF(S592="MRC",BicubicInterpolation( 'MRC Mach'!$C$3:$T$18, Y592,U592),  IF(S592="M0.84",0.84,  IF(S592="CI52",BicubicInterpolation('CI=52 Mach'!$C$3:$T$18, Y592,U592),  IF(S592="HOLDING",BicubicInterpolation(  'Holding Mach'!$C$4:$M$13, Y592,U592),                         IF(S592="LRCINOP", BicubicInterpolation('LRC INOP Mach'!$C$4:$AA$21,Y592,U592), IF(S592="HOLDINGINOP",  BicubicInterpolation('Holding INOP Mach'!$N$4:$U$13,Y592,U592),         "XXX" )))))))   )))</f>
        <v>#NAME?</v>
      </c>
      <c r="AD592" s="313" t="e">
        <f t="shared" ca="1" si="501"/>
        <v>#NAME?</v>
      </c>
      <c r="AE592" s="314" t="e">
        <f t="shared" ca="1" si="488"/>
        <v>#NAME?</v>
      </c>
      <c r="AF592" s="313" t="e">
        <f t="shared" ca="1" si="502"/>
        <v>#NAME?</v>
      </c>
      <c r="AG592" s="314" t="e">
        <f t="shared" ca="1" si="489"/>
        <v>#NAME?</v>
      </c>
      <c r="AH592" s="313" t="e">
        <f t="shared" ca="1" si="503"/>
        <v>#NAME?</v>
      </c>
      <c r="AI592" s="314" t="e">
        <f t="shared" ca="1" si="490"/>
        <v>#NAME?</v>
      </c>
      <c r="AJ592" s="315" t="e">
        <f t="shared" ca="1" si="491"/>
        <v>#NAME?</v>
      </c>
      <c r="AK592" s="568" t="e">
        <f t="shared" ca="1" si="504"/>
        <v>#NAME?</v>
      </c>
      <c r="AL592" s="313" t="e">
        <f t="shared" ca="1" si="505"/>
        <v>#NAME?</v>
      </c>
      <c r="AM592" s="313" t="e">
        <f t="shared" ca="1" si="492"/>
        <v>#NAME?</v>
      </c>
      <c r="AN592" s="313" t="e">
        <f t="shared" ca="1" si="493"/>
        <v>#NAME?</v>
      </c>
      <c r="AO592" s="316" t="e">
        <f t="shared" ca="1" si="506"/>
        <v>#NAME?</v>
      </c>
      <c r="AP592" s="313" t="e">
        <f t="shared" ca="1" si="507"/>
        <v>#NAME?</v>
      </c>
      <c r="AQ592" s="314" t="e">
        <f t="shared" ca="1" si="494"/>
        <v>#NAME?</v>
      </c>
      <c r="AR592" s="315" t="e">
        <f t="shared" ca="1" si="508"/>
        <v>#NAME?</v>
      </c>
      <c r="AS592" s="316" t="e">
        <f t="shared" ca="1" si="509"/>
        <v>#NAME?</v>
      </c>
      <c r="AT592" s="315" t="e">
        <f t="shared" ca="1" si="510"/>
        <v>#NAME?</v>
      </c>
      <c r="AU592" s="317">
        <v>427.8</v>
      </c>
      <c r="AV592" s="315" t="e">
        <f t="shared" ca="1" si="511"/>
        <v>#NAME?</v>
      </c>
      <c r="AW592" s="318" t="e">
        <f ca="1">0.0001*BicubicInterpolation('Drag Coef Table'!$B$4:$L$28,AV592,AC592)</f>
        <v>#NAME?</v>
      </c>
      <c r="AX592" s="319" t="e">
        <f t="shared" ca="1" si="512"/>
        <v>#NAME?</v>
      </c>
      <c r="AY592" s="318" t="e">
        <f t="shared" ca="1" si="513"/>
        <v>#NAME?</v>
      </c>
      <c r="AZ592" s="320" t="e">
        <f t="shared" ca="1" si="514"/>
        <v>#NAME?</v>
      </c>
      <c r="BA592" s="321" t="e">
        <f t="shared" ca="1" si="515"/>
        <v>#NAME?</v>
      </c>
      <c r="BB592" s="322" t="e">
        <f t="shared" ca="1" si="516"/>
        <v>#NAME?</v>
      </c>
      <c r="BC592" s="323">
        <v>75.196700000000007</v>
      </c>
      <c r="BD592" s="324" t="e">
        <f t="shared" ca="1" si="517"/>
        <v>#NAME?</v>
      </c>
      <c r="BE592" s="325" t="e">
        <f t="shared" ca="1" si="518"/>
        <v>#NAME?</v>
      </c>
      <c r="BF592" s="324" t="e">
        <f ca="1">BicubicInterpolation('TSFC Eff Table'!$B$4:$E$69,2,BB592)</f>
        <v>#NAME?</v>
      </c>
      <c r="BG592" s="326" t="e">
        <f t="shared" ca="1" si="519"/>
        <v>#NAME?</v>
      </c>
      <c r="BH592" s="694" t="e">
        <f ca="1">IF( S592="LRCINOP",   (1+(0.03/10)*Z592*(1+0.2*AC592^2) )*BicubicInterpolation( 'LRC INOP FF'!$C$4:$AA$21, Y592, U592 )-200, IF(S592 ="HOLDINGINOP", (1+(0.03/10)*Z592*(1+0.2*AC592^2) )*BicubicInterpolation( 'Holding INOP FF'!$C$4:$J$13,  Y592,  U592)/1.05-200,   BA592*BG592))</f>
        <v>#NAME?</v>
      </c>
      <c r="BI592" s="344" t="e">
        <f t="shared" ca="1" si="478"/>
        <v>#NAME?</v>
      </c>
      <c r="BJ592" s="322" t="e">
        <f t="shared" ca="1" si="520"/>
        <v>#NAME?</v>
      </c>
      <c r="BK592" s="338" t="e">
        <f t="shared" ca="1" si="479"/>
        <v>#NAME?</v>
      </c>
      <c r="BL592" s="327" t="e">
        <f t="shared" ca="1" si="521"/>
        <v>#NAME?</v>
      </c>
      <c r="BM592" s="328">
        <f t="shared" si="522"/>
        <v>200</v>
      </c>
      <c r="BN592" s="329" t="e">
        <f t="shared" ca="1" si="523"/>
        <v>#NAME?</v>
      </c>
      <c r="BO592" s="344" t="e">
        <f t="shared" ca="1" si="480"/>
        <v>#NAME?</v>
      </c>
      <c r="BP592" s="320" t="e">
        <f t="shared" ca="1" si="524"/>
        <v>#NAME?</v>
      </c>
      <c r="BQ592" s="344" t="e">
        <f t="shared" ca="1" si="481"/>
        <v>#NAME?</v>
      </c>
      <c r="BR592" s="347" t="e">
        <f t="shared" ca="1" si="482"/>
        <v>#NAME?</v>
      </c>
      <c r="BS592" s="326" t="e">
        <f t="shared" ca="1" si="525"/>
        <v>#NAME?</v>
      </c>
      <c r="BT592" s="437" t="e">
        <f t="shared" ca="1" si="495"/>
        <v>#NAME?</v>
      </c>
      <c r="BU592" s="437" t="e">
        <f t="shared" ca="1" si="496"/>
        <v>#NAME?</v>
      </c>
      <c r="BV592" s="441" t="e">
        <f t="shared" ca="1" si="497"/>
        <v>#NAME?</v>
      </c>
      <c r="BW592" s="442" t="e">
        <f t="shared" ca="1" si="498"/>
        <v>#NAME?</v>
      </c>
      <c r="BX592" s="470" t="e">
        <f t="shared" ca="1" si="472"/>
        <v>#NAME?</v>
      </c>
      <c r="BY592" s="484" t="e">
        <f t="shared" ca="1" si="483"/>
        <v>#NAME?</v>
      </c>
    </row>
    <row r="593" spans="9:77" ht="17.75" customHeight="1" x14ac:dyDescent="0.2">
      <c r="I593" s="366">
        <v>509</v>
      </c>
      <c r="J593" s="414">
        <f t="shared" si="484"/>
        <v>41706.065972223376</v>
      </c>
      <c r="K593" s="435" t="e">
        <f t="shared" ca="1" si="485"/>
        <v>#NAME?</v>
      </c>
      <c r="L593" s="435" t="e">
        <f t="shared" ca="1" si="528"/>
        <v>#NAME?</v>
      </c>
      <c r="M593" s="664" t="e">
        <f t="shared" ca="1" si="526"/>
        <v>#NAME?</v>
      </c>
      <c r="N593" s="664" t="e">
        <f t="shared" ca="1" si="527"/>
        <v>#NAME?</v>
      </c>
      <c r="O593" s="140" t="e">
        <f t="shared" ca="1" si="473"/>
        <v>#NAME?</v>
      </c>
      <c r="P593" s="352" t="e">
        <f t="shared" ca="1" si="486"/>
        <v>#NAME?</v>
      </c>
      <c r="Q593" s="665" t="e">
        <f t="shared" ca="1" si="529"/>
        <v>#NAME?</v>
      </c>
      <c r="R593" s="352" t="e">
        <f t="shared" ca="1" si="499"/>
        <v>#NAME?</v>
      </c>
      <c r="S593" s="662" t="e">
        <f t="shared" ca="1" si="474"/>
        <v>#NAME?</v>
      </c>
      <c r="T593" s="443" t="e">
        <f t="shared" ca="1" si="468"/>
        <v>#NAME?</v>
      </c>
      <c r="U593" s="369" t="e">
        <f t="shared" ca="1" si="469"/>
        <v>#NAME?</v>
      </c>
      <c r="V593" s="454" t="e">
        <f t="shared" ca="1" si="475"/>
        <v>#NAME?</v>
      </c>
      <c r="W593" s="457">
        <f t="shared" si="476"/>
        <v>1000</v>
      </c>
      <c r="X593" s="463" t="e">
        <f t="shared" ca="1" si="477"/>
        <v>#NAME?</v>
      </c>
      <c r="Y593" s="455" t="e">
        <f t="shared" ca="1" si="487"/>
        <v>#NAME?</v>
      </c>
      <c r="Z593" s="699">
        <f t="shared" si="470"/>
        <v>8.5</v>
      </c>
      <c r="AA593" s="355" t="str">
        <f t="shared" si="471"/>
        <v>ON</v>
      </c>
      <c r="AB593" s="357">
        <f t="shared" si="500"/>
        <v>1.4999999999999999E-2</v>
      </c>
      <c r="AC593" s="356" t="e">
        <f ca="1">IF(  Y592=0,0,IF(OR(S593="KCAS",S593="INOP",S593="MEFE"),   ( (5*( (   (((1+0.2*(T593/661.4786)^2)^3.5 -1)  )/( (1-6.8755856*10^-6 *100*Y593)^5.2558797) +1)^(2/7) -1) )^0.5),IF(S593="MACH",T593, IF(S593="LRC",BicubicInterpolation( 'LRC Mach'!$C$4:$AL$21, Y593,U593),  IF(S593="MRC",BicubicInterpolation( 'MRC Mach'!$C$3:$T$18, Y593,U593),  IF(S593="M0.84",0.84,  IF(S593="CI52",BicubicInterpolation('CI=52 Mach'!$C$3:$T$18, Y593,U593),  IF(S593="HOLDING",BicubicInterpolation(  'Holding Mach'!$C$4:$M$13, Y593,U593),                         IF(S593="LRCINOP", BicubicInterpolation('LRC INOP Mach'!$C$4:$AA$21,Y593,U593), IF(S593="HOLDINGINOP",  BicubicInterpolation('Holding INOP Mach'!$N$4:$U$13,Y593,U593),         "XXX" )))))))   )))</f>
        <v>#NAME?</v>
      </c>
      <c r="AD593" s="313" t="e">
        <f t="shared" ca="1" si="501"/>
        <v>#NAME?</v>
      </c>
      <c r="AE593" s="314" t="e">
        <f t="shared" ca="1" si="488"/>
        <v>#NAME?</v>
      </c>
      <c r="AF593" s="313" t="e">
        <f t="shared" ca="1" si="502"/>
        <v>#NAME?</v>
      </c>
      <c r="AG593" s="314" t="e">
        <f t="shared" ca="1" si="489"/>
        <v>#NAME?</v>
      </c>
      <c r="AH593" s="313" t="e">
        <f t="shared" ca="1" si="503"/>
        <v>#NAME?</v>
      </c>
      <c r="AI593" s="314" t="e">
        <f t="shared" ca="1" si="490"/>
        <v>#NAME?</v>
      </c>
      <c r="AJ593" s="315" t="e">
        <f t="shared" ca="1" si="491"/>
        <v>#NAME?</v>
      </c>
      <c r="AK593" s="568" t="e">
        <f t="shared" ca="1" si="504"/>
        <v>#NAME?</v>
      </c>
      <c r="AL593" s="313" t="e">
        <f t="shared" ca="1" si="505"/>
        <v>#NAME?</v>
      </c>
      <c r="AM593" s="313" t="e">
        <f t="shared" ca="1" si="492"/>
        <v>#NAME?</v>
      </c>
      <c r="AN593" s="313" t="e">
        <f t="shared" ca="1" si="493"/>
        <v>#NAME?</v>
      </c>
      <c r="AO593" s="316" t="e">
        <f t="shared" ca="1" si="506"/>
        <v>#NAME?</v>
      </c>
      <c r="AP593" s="313" t="e">
        <f t="shared" ca="1" si="507"/>
        <v>#NAME?</v>
      </c>
      <c r="AQ593" s="314" t="e">
        <f t="shared" ca="1" si="494"/>
        <v>#NAME?</v>
      </c>
      <c r="AR593" s="315" t="e">
        <f t="shared" ca="1" si="508"/>
        <v>#NAME?</v>
      </c>
      <c r="AS593" s="316" t="e">
        <f t="shared" ca="1" si="509"/>
        <v>#NAME?</v>
      </c>
      <c r="AT593" s="315" t="e">
        <f t="shared" ca="1" si="510"/>
        <v>#NAME?</v>
      </c>
      <c r="AU593" s="317">
        <v>427.8</v>
      </c>
      <c r="AV593" s="315" t="e">
        <f t="shared" ca="1" si="511"/>
        <v>#NAME?</v>
      </c>
      <c r="AW593" s="318" t="e">
        <f ca="1">0.0001*BicubicInterpolation('Drag Coef Table'!$B$4:$L$28,AV593,AC593)</f>
        <v>#NAME?</v>
      </c>
      <c r="AX593" s="319" t="e">
        <f t="shared" ca="1" si="512"/>
        <v>#NAME?</v>
      </c>
      <c r="AY593" s="318" t="e">
        <f t="shared" ca="1" si="513"/>
        <v>#NAME?</v>
      </c>
      <c r="AZ593" s="320" t="e">
        <f t="shared" ca="1" si="514"/>
        <v>#NAME?</v>
      </c>
      <c r="BA593" s="321" t="e">
        <f t="shared" ca="1" si="515"/>
        <v>#NAME?</v>
      </c>
      <c r="BB593" s="322" t="e">
        <f t="shared" ca="1" si="516"/>
        <v>#NAME?</v>
      </c>
      <c r="BC593" s="323">
        <v>75.196700000000007</v>
      </c>
      <c r="BD593" s="324" t="e">
        <f t="shared" ca="1" si="517"/>
        <v>#NAME?</v>
      </c>
      <c r="BE593" s="325" t="e">
        <f t="shared" ca="1" si="518"/>
        <v>#NAME?</v>
      </c>
      <c r="BF593" s="324" t="e">
        <f ca="1">BicubicInterpolation('TSFC Eff Table'!$B$4:$E$69,2,BB593)</f>
        <v>#NAME?</v>
      </c>
      <c r="BG593" s="326" t="e">
        <f t="shared" ca="1" si="519"/>
        <v>#NAME?</v>
      </c>
      <c r="BH593" s="694" t="e">
        <f ca="1">IF( S593="LRCINOP",   (1+(0.03/10)*Z593*(1+0.2*AC593^2) )*BicubicInterpolation( 'LRC INOP FF'!$C$4:$AA$21, Y593, U593 )-200, IF(S593 ="HOLDINGINOP", (1+(0.03/10)*Z593*(1+0.2*AC593^2) )*BicubicInterpolation( 'Holding INOP FF'!$C$4:$J$13,  Y593,  U593)/1.05-200,   BA593*BG593))</f>
        <v>#NAME?</v>
      </c>
      <c r="BI593" s="344" t="e">
        <f t="shared" ca="1" si="478"/>
        <v>#NAME?</v>
      </c>
      <c r="BJ593" s="322" t="e">
        <f t="shared" ca="1" si="520"/>
        <v>#NAME?</v>
      </c>
      <c r="BK593" s="338" t="e">
        <f t="shared" ca="1" si="479"/>
        <v>#NAME?</v>
      </c>
      <c r="BL593" s="327" t="e">
        <f t="shared" ca="1" si="521"/>
        <v>#NAME?</v>
      </c>
      <c r="BM593" s="328">
        <f t="shared" si="522"/>
        <v>200</v>
      </c>
      <c r="BN593" s="329" t="e">
        <f t="shared" ca="1" si="523"/>
        <v>#NAME?</v>
      </c>
      <c r="BO593" s="344" t="e">
        <f t="shared" ca="1" si="480"/>
        <v>#NAME?</v>
      </c>
      <c r="BP593" s="320" t="e">
        <f t="shared" ca="1" si="524"/>
        <v>#NAME?</v>
      </c>
      <c r="BQ593" s="344" t="e">
        <f t="shared" ca="1" si="481"/>
        <v>#NAME?</v>
      </c>
      <c r="BR593" s="347" t="e">
        <f t="shared" ca="1" si="482"/>
        <v>#NAME?</v>
      </c>
      <c r="BS593" s="326" t="e">
        <f t="shared" ca="1" si="525"/>
        <v>#NAME?</v>
      </c>
      <c r="BT593" s="437" t="e">
        <f t="shared" ca="1" si="495"/>
        <v>#NAME?</v>
      </c>
      <c r="BU593" s="437" t="e">
        <f t="shared" ca="1" si="496"/>
        <v>#NAME?</v>
      </c>
      <c r="BV593" s="441" t="e">
        <f t="shared" ca="1" si="497"/>
        <v>#NAME?</v>
      </c>
      <c r="BW593" s="442" t="e">
        <f t="shared" ca="1" si="498"/>
        <v>#NAME?</v>
      </c>
      <c r="BX593" s="470" t="e">
        <f t="shared" ca="1" si="472"/>
        <v>#NAME?</v>
      </c>
      <c r="BY593" s="484" t="e">
        <f t="shared" ca="1" si="483"/>
        <v>#NAME?</v>
      </c>
    </row>
    <row r="594" spans="9:77" ht="17.75" customHeight="1" x14ac:dyDescent="0.2">
      <c r="I594" s="366">
        <v>510</v>
      </c>
      <c r="J594" s="414">
        <f t="shared" si="484"/>
        <v>41706.066666667823</v>
      </c>
      <c r="K594" s="435" t="e">
        <f t="shared" ca="1" si="485"/>
        <v>#NAME?</v>
      </c>
      <c r="L594" s="435" t="e">
        <f t="shared" ca="1" si="528"/>
        <v>#NAME?</v>
      </c>
      <c r="M594" s="664" t="e">
        <f t="shared" ca="1" si="526"/>
        <v>#NAME?</v>
      </c>
      <c r="N594" s="664" t="e">
        <f t="shared" ca="1" si="527"/>
        <v>#NAME?</v>
      </c>
      <c r="O594" s="140" t="e">
        <f t="shared" ca="1" si="473"/>
        <v>#NAME?</v>
      </c>
      <c r="P594" s="352" t="e">
        <f t="shared" ca="1" si="486"/>
        <v>#NAME?</v>
      </c>
      <c r="Q594" s="665" t="e">
        <f t="shared" ca="1" si="529"/>
        <v>#NAME?</v>
      </c>
      <c r="R594" s="352" t="e">
        <f t="shared" ca="1" si="499"/>
        <v>#NAME?</v>
      </c>
      <c r="S594" s="662" t="e">
        <f t="shared" ca="1" si="474"/>
        <v>#NAME?</v>
      </c>
      <c r="T594" s="443" t="e">
        <f t="shared" ca="1" si="468"/>
        <v>#NAME?</v>
      </c>
      <c r="U594" s="369" t="e">
        <f t="shared" ca="1" si="469"/>
        <v>#NAME?</v>
      </c>
      <c r="V594" s="454" t="e">
        <f t="shared" ca="1" si="475"/>
        <v>#NAME?</v>
      </c>
      <c r="W594" s="457">
        <f t="shared" si="476"/>
        <v>1000</v>
      </c>
      <c r="X594" s="463" t="e">
        <f t="shared" ca="1" si="477"/>
        <v>#NAME?</v>
      </c>
      <c r="Y594" s="455" t="e">
        <f t="shared" ca="1" si="487"/>
        <v>#NAME?</v>
      </c>
      <c r="Z594" s="699">
        <f t="shared" si="470"/>
        <v>8.5</v>
      </c>
      <c r="AA594" s="355" t="str">
        <f t="shared" si="471"/>
        <v>ON</v>
      </c>
      <c r="AB594" s="357">
        <f t="shared" si="500"/>
        <v>1.4999999999999999E-2</v>
      </c>
      <c r="AC594" s="356" t="e">
        <f ca="1">IF(  Y593=0,0,IF(OR(S594="KCAS",S594="INOP",S594="MEFE"),   ( (5*( (   (((1+0.2*(T594/661.4786)^2)^3.5 -1)  )/( (1-6.8755856*10^-6 *100*Y594)^5.2558797) +1)^(2/7) -1) )^0.5),IF(S594="MACH",T594, IF(S594="LRC",BicubicInterpolation( 'LRC Mach'!$C$4:$AL$21, Y594,U594),  IF(S594="MRC",BicubicInterpolation( 'MRC Mach'!$C$3:$T$18, Y594,U594),  IF(S594="M0.84",0.84,  IF(S594="CI52",BicubicInterpolation('CI=52 Mach'!$C$3:$T$18, Y594,U594),  IF(S594="HOLDING",BicubicInterpolation(  'Holding Mach'!$C$4:$M$13, Y594,U594),                         IF(S594="LRCINOP", BicubicInterpolation('LRC INOP Mach'!$C$4:$AA$21,Y594,U594), IF(S594="HOLDINGINOP",  BicubicInterpolation('Holding INOP Mach'!$N$4:$U$13,Y594,U594),         "XXX" )))))))   )))</f>
        <v>#NAME?</v>
      </c>
      <c r="AD594" s="313" t="e">
        <f t="shared" ca="1" si="501"/>
        <v>#NAME?</v>
      </c>
      <c r="AE594" s="314" t="e">
        <f t="shared" ca="1" si="488"/>
        <v>#NAME?</v>
      </c>
      <c r="AF594" s="313" t="e">
        <f t="shared" ca="1" si="502"/>
        <v>#NAME?</v>
      </c>
      <c r="AG594" s="314" t="e">
        <f t="shared" ca="1" si="489"/>
        <v>#NAME?</v>
      </c>
      <c r="AH594" s="313" t="e">
        <f t="shared" ca="1" si="503"/>
        <v>#NAME?</v>
      </c>
      <c r="AI594" s="314" t="e">
        <f t="shared" ca="1" si="490"/>
        <v>#NAME?</v>
      </c>
      <c r="AJ594" s="315" t="e">
        <f t="shared" ca="1" si="491"/>
        <v>#NAME?</v>
      </c>
      <c r="AK594" s="568" t="e">
        <f t="shared" ca="1" si="504"/>
        <v>#NAME?</v>
      </c>
      <c r="AL594" s="313" t="e">
        <f t="shared" ca="1" si="505"/>
        <v>#NAME?</v>
      </c>
      <c r="AM594" s="313" t="e">
        <f t="shared" ca="1" si="492"/>
        <v>#NAME?</v>
      </c>
      <c r="AN594" s="313" t="e">
        <f t="shared" ca="1" si="493"/>
        <v>#NAME?</v>
      </c>
      <c r="AO594" s="316" t="e">
        <f t="shared" ca="1" si="506"/>
        <v>#NAME?</v>
      </c>
      <c r="AP594" s="313" t="e">
        <f t="shared" ca="1" si="507"/>
        <v>#NAME?</v>
      </c>
      <c r="AQ594" s="314" t="e">
        <f t="shared" ca="1" si="494"/>
        <v>#NAME?</v>
      </c>
      <c r="AR594" s="315" t="e">
        <f t="shared" ca="1" si="508"/>
        <v>#NAME?</v>
      </c>
      <c r="AS594" s="316" t="e">
        <f t="shared" ca="1" si="509"/>
        <v>#NAME?</v>
      </c>
      <c r="AT594" s="315" t="e">
        <f t="shared" ca="1" si="510"/>
        <v>#NAME?</v>
      </c>
      <c r="AU594" s="317">
        <v>427.8</v>
      </c>
      <c r="AV594" s="315" t="e">
        <f t="shared" ca="1" si="511"/>
        <v>#NAME?</v>
      </c>
      <c r="AW594" s="318" t="e">
        <f ca="1">0.0001*BicubicInterpolation('Drag Coef Table'!$B$4:$L$28,AV594,AC594)</f>
        <v>#NAME?</v>
      </c>
      <c r="AX594" s="319" t="e">
        <f t="shared" ca="1" si="512"/>
        <v>#NAME?</v>
      </c>
      <c r="AY594" s="318" t="e">
        <f t="shared" ca="1" si="513"/>
        <v>#NAME?</v>
      </c>
      <c r="AZ594" s="320" t="e">
        <f t="shared" ca="1" si="514"/>
        <v>#NAME?</v>
      </c>
      <c r="BA594" s="321" t="e">
        <f t="shared" ca="1" si="515"/>
        <v>#NAME?</v>
      </c>
      <c r="BB594" s="322" t="e">
        <f t="shared" ca="1" si="516"/>
        <v>#NAME?</v>
      </c>
      <c r="BC594" s="323">
        <v>75.196700000000007</v>
      </c>
      <c r="BD594" s="324" t="e">
        <f t="shared" ca="1" si="517"/>
        <v>#NAME?</v>
      </c>
      <c r="BE594" s="325" t="e">
        <f t="shared" ca="1" si="518"/>
        <v>#NAME?</v>
      </c>
      <c r="BF594" s="324" t="e">
        <f ca="1">BicubicInterpolation('TSFC Eff Table'!$B$4:$E$69,2,BB594)</f>
        <v>#NAME?</v>
      </c>
      <c r="BG594" s="326" t="e">
        <f t="shared" ca="1" si="519"/>
        <v>#NAME?</v>
      </c>
      <c r="BH594" s="694" t="e">
        <f ca="1">IF( S594="LRCINOP",   (1+(0.03/10)*Z594*(1+0.2*AC594^2) )*BicubicInterpolation( 'LRC INOP FF'!$C$4:$AA$21, Y594, U594 )-200, IF(S594 ="HOLDINGINOP", (1+(0.03/10)*Z594*(1+0.2*AC594^2) )*BicubicInterpolation( 'Holding INOP FF'!$C$4:$J$13,  Y594,  U594)/1.05-200,   BA594*BG594))</f>
        <v>#NAME?</v>
      </c>
      <c r="BI594" s="344" t="e">
        <f t="shared" ca="1" si="478"/>
        <v>#NAME?</v>
      </c>
      <c r="BJ594" s="322" t="e">
        <f t="shared" ca="1" si="520"/>
        <v>#NAME?</v>
      </c>
      <c r="BK594" s="338" t="e">
        <f t="shared" ca="1" si="479"/>
        <v>#NAME?</v>
      </c>
      <c r="BL594" s="327" t="e">
        <f t="shared" ca="1" si="521"/>
        <v>#NAME?</v>
      </c>
      <c r="BM594" s="328">
        <f t="shared" si="522"/>
        <v>200</v>
      </c>
      <c r="BN594" s="329" t="e">
        <f t="shared" ca="1" si="523"/>
        <v>#NAME?</v>
      </c>
      <c r="BO594" s="344" t="e">
        <f t="shared" ca="1" si="480"/>
        <v>#NAME?</v>
      </c>
      <c r="BP594" s="320" t="e">
        <f t="shared" ca="1" si="524"/>
        <v>#NAME?</v>
      </c>
      <c r="BQ594" s="344" t="e">
        <f t="shared" ca="1" si="481"/>
        <v>#NAME?</v>
      </c>
      <c r="BR594" s="347" t="e">
        <f t="shared" ca="1" si="482"/>
        <v>#NAME?</v>
      </c>
      <c r="BS594" s="326" t="e">
        <f t="shared" ca="1" si="525"/>
        <v>#NAME?</v>
      </c>
      <c r="BT594" s="437" t="e">
        <f t="shared" ca="1" si="495"/>
        <v>#NAME?</v>
      </c>
      <c r="BU594" s="437" t="e">
        <f t="shared" ca="1" si="496"/>
        <v>#NAME?</v>
      </c>
      <c r="BV594" s="441" t="e">
        <f t="shared" ca="1" si="497"/>
        <v>#NAME?</v>
      </c>
      <c r="BW594" s="442" t="e">
        <f t="shared" ca="1" si="498"/>
        <v>#NAME?</v>
      </c>
      <c r="BX594" s="470" t="e">
        <f t="shared" ca="1" si="472"/>
        <v>#NAME?</v>
      </c>
      <c r="BY594" s="484" t="e">
        <f t="shared" ca="1" si="483"/>
        <v>#NAME?</v>
      </c>
    </row>
    <row r="595" spans="9:77" ht="17.75" customHeight="1" x14ac:dyDescent="0.2">
      <c r="I595" s="366">
        <v>511</v>
      </c>
      <c r="J595" s="414">
        <f t="shared" si="484"/>
        <v>41706.067361112269</v>
      </c>
      <c r="K595" s="435" t="e">
        <f t="shared" ca="1" si="485"/>
        <v>#NAME?</v>
      </c>
      <c r="L595" s="435" t="e">
        <f t="shared" ca="1" si="528"/>
        <v>#NAME?</v>
      </c>
      <c r="M595" s="664" t="e">
        <f t="shared" ca="1" si="526"/>
        <v>#NAME?</v>
      </c>
      <c r="N595" s="664" t="e">
        <f t="shared" ca="1" si="527"/>
        <v>#NAME?</v>
      </c>
      <c r="O595" s="140" t="e">
        <f t="shared" ca="1" si="473"/>
        <v>#NAME?</v>
      </c>
      <c r="P595" s="352" t="e">
        <f t="shared" ca="1" si="486"/>
        <v>#NAME?</v>
      </c>
      <c r="Q595" s="665" t="e">
        <f t="shared" ca="1" si="529"/>
        <v>#NAME?</v>
      </c>
      <c r="R595" s="352" t="e">
        <f t="shared" ca="1" si="499"/>
        <v>#NAME?</v>
      </c>
      <c r="S595" s="662" t="e">
        <f t="shared" ca="1" si="474"/>
        <v>#NAME?</v>
      </c>
      <c r="T595" s="443" t="e">
        <f t="shared" ca="1" si="468"/>
        <v>#NAME?</v>
      </c>
      <c r="U595" s="369" t="e">
        <f t="shared" ca="1" si="469"/>
        <v>#NAME?</v>
      </c>
      <c r="V595" s="454" t="e">
        <f t="shared" ca="1" si="475"/>
        <v>#NAME?</v>
      </c>
      <c r="W595" s="457">
        <f t="shared" si="476"/>
        <v>1000</v>
      </c>
      <c r="X595" s="463" t="e">
        <f t="shared" ca="1" si="477"/>
        <v>#NAME?</v>
      </c>
      <c r="Y595" s="455" t="e">
        <f t="shared" ca="1" si="487"/>
        <v>#NAME?</v>
      </c>
      <c r="Z595" s="699">
        <f t="shared" si="470"/>
        <v>8.5</v>
      </c>
      <c r="AA595" s="355" t="str">
        <f t="shared" si="471"/>
        <v>ON</v>
      </c>
      <c r="AB595" s="357">
        <f t="shared" si="500"/>
        <v>1.4999999999999999E-2</v>
      </c>
      <c r="AC595" s="356" t="e">
        <f ca="1">IF(  Y594=0,0,IF(OR(S595="KCAS",S595="INOP",S595="MEFE"),   ( (5*( (   (((1+0.2*(T595/661.4786)^2)^3.5 -1)  )/( (1-6.8755856*10^-6 *100*Y595)^5.2558797) +1)^(2/7) -1) )^0.5),IF(S595="MACH",T595, IF(S595="LRC",BicubicInterpolation( 'LRC Mach'!$C$4:$AL$21, Y595,U595),  IF(S595="MRC",BicubicInterpolation( 'MRC Mach'!$C$3:$T$18, Y595,U595),  IF(S595="M0.84",0.84,  IF(S595="CI52",BicubicInterpolation('CI=52 Mach'!$C$3:$T$18, Y595,U595),  IF(S595="HOLDING",BicubicInterpolation(  'Holding Mach'!$C$4:$M$13, Y595,U595),                         IF(S595="LRCINOP", BicubicInterpolation('LRC INOP Mach'!$C$4:$AA$21,Y595,U595), IF(S595="HOLDINGINOP",  BicubicInterpolation('Holding INOP Mach'!$N$4:$U$13,Y595,U595),         "XXX" )))))))   )))</f>
        <v>#NAME?</v>
      </c>
      <c r="AD595" s="313" t="e">
        <f t="shared" ca="1" si="501"/>
        <v>#NAME?</v>
      </c>
      <c r="AE595" s="314" t="e">
        <f t="shared" ca="1" si="488"/>
        <v>#NAME?</v>
      </c>
      <c r="AF595" s="313" t="e">
        <f t="shared" ca="1" si="502"/>
        <v>#NAME?</v>
      </c>
      <c r="AG595" s="314" t="e">
        <f t="shared" ca="1" si="489"/>
        <v>#NAME?</v>
      </c>
      <c r="AH595" s="313" t="e">
        <f t="shared" ca="1" si="503"/>
        <v>#NAME?</v>
      </c>
      <c r="AI595" s="314" t="e">
        <f t="shared" ca="1" si="490"/>
        <v>#NAME?</v>
      </c>
      <c r="AJ595" s="315" t="e">
        <f t="shared" ca="1" si="491"/>
        <v>#NAME?</v>
      </c>
      <c r="AK595" s="568" t="e">
        <f t="shared" ca="1" si="504"/>
        <v>#NAME?</v>
      </c>
      <c r="AL595" s="313" t="e">
        <f t="shared" ca="1" si="505"/>
        <v>#NAME?</v>
      </c>
      <c r="AM595" s="313" t="e">
        <f t="shared" ca="1" si="492"/>
        <v>#NAME?</v>
      </c>
      <c r="AN595" s="313" t="e">
        <f t="shared" ca="1" si="493"/>
        <v>#NAME?</v>
      </c>
      <c r="AO595" s="316" t="e">
        <f t="shared" ca="1" si="506"/>
        <v>#NAME?</v>
      </c>
      <c r="AP595" s="313" t="e">
        <f t="shared" ca="1" si="507"/>
        <v>#NAME?</v>
      </c>
      <c r="AQ595" s="314" t="e">
        <f t="shared" ca="1" si="494"/>
        <v>#NAME?</v>
      </c>
      <c r="AR595" s="315" t="e">
        <f t="shared" ca="1" si="508"/>
        <v>#NAME?</v>
      </c>
      <c r="AS595" s="316" t="e">
        <f t="shared" ca="1" si="509"/>
        <v>#NAME?</v>
      </c>
      <c r="AT595" s="315" t="e">
        <f t="shared" ca="1" si="510"/>
        <v>#NAME?</v>
      </c>
      <c r="AU595" s="317">
        <v>427.8</v>
      </c>
      <c r="AV595" s="315" t="e">
        <f t="shared" ca="1" si="511"/>
        <v>#NAME?</v>
      </c>
      <c r="AW595" s="318" t="e">
        <f ca="1">0.0001*BicubicInterpolation('Drag Coef Table'!$B$4:$L$28,AV595,AC595)</f>
        <v>#NAME?</v>
      </c>
      <c r="AX595" s="319" t="e">
        <f t="shared" ca="1" si="512"/>
        <v>#NAME?</v>
      </c>
      <c r="AY595" s="318" t="e">
        <f t="shared" ca="1" si="513"/>
        <v>#NAME?</v>
      </c>
      <c r="AZ595" s="320" t="e">
        <f t="shared" ca="1" si="514"/>
        <v>#NAME?</v>
      </c>
      <c r="BA595" s="321" t="e">
        <f t="shared" ca="1" si="515"/>
        <v>#NAME?</v>
      </c>
      <c r="BB595" s="322" t="e">
        <f t="shared" ca="1" si="516"/>
        <v>#NAME?</v>
      </c>
      <c r="BC595" s="323">
        <v>75.196700000000007</v>
      </c>
      <c r="BD595" s="324" t="e">
        <f t="shared" ca="1" si="517"/>
        <v>#NAME?</v>
      </c>
      <c r="BE595" s="325" t="e">
        <f t="shared" ca="1" si="518"/>
        <v>#NAME?</v>
      </c>
      <c r="BF595" s="324" t="e">
        <f ca="1">BicubicInterpolation('TSFC Eff Table'!$B$4:$E$69,2,BB595)</f>
        <v>#NAME?</v>
      </c>
      <c r="BG595" s="326" t="e">
        <f t="shared" ca="1" si="519"/>
        <v>#NAME?</v>
      </c>
      <c r="BH595" s="694" t="e">
        <f ca="1">IF( S595="LRCINOP",   (1+(0.03/10)*Z595*(1+0.2*AC595^2) )*BicubicInterpolation( 'LRC INOP FF'!$C$4:$AA$21, Y595, U595 )-200, IF(S595 ="HOLDINGINOP", (1+(0.03/10)*Z595*(1+0.2*AC595^2) )*BicubicInterpolation( 'Holding INOP FF'!$C$4:$J$13,  Y595,  U595)/1.05-200,   BA595*BG595))</f>
        <v>#NAME?</v>
      </c>
      <c r="BI595" s="344" t="e">
        <f t="shared" ca="1" si="478"/>
        <v>#NAME?</v>
      </c>
      <c r="BJ595" s="322" t="e">
        <f t="shared" ca="1" si="520"/>
        <v>#NAME?</v>
      </c>
      <c r="BK595" s="338" t="e">
        <f t="shared" ca="1" si="479"/>
        <v>#NAME?</v>
      </c>
      <c r="BL595" s="327" t="e">
        <f t="shared" ca="1" si="521"/>
        <v>#NAME?</v>
      </c>
      <c r="BM595" s="328">
        <f t="shared" si="522"/>
        <v>200</v>
      </c>
      <c r="BN595" s="329" t="e">
        <f t="shared" ca="1" si="523"/>
        <v>#NAME?</v>
      </c>
      <c r="BO595" s="344" t="e">
        <f t="shared" ca="1" si="480"/>
        <v>#NAME?</v>
      </c>
      <c r="BP595" s="320" t="e">
        <f t="shared" ca="1" si="524"/>
        <v>#NAME?</v>
      </c>
      <c r="BQ595" s="344" t="e">
        <f t="shared" ca="1" si="481"/>
        <v>#NAME?</v>
      </c>
      <c r="BR595" s="347" t="e">
        <f t="shared" ca="1" si="482"/>
        <v>#NAME?</v>
      </c>
      <c r="BS595" s="326" t="e">
        <f t="shared" ca="1" si="525"/>
        <v>#NAME?</v>
      </c>
      <c r="BT595" s="437" t="e">
        <f t="shared" ca="1" si="495"/>
        <v>#NAME?</v>
      </c>
      <c r="BU595" s="437" t="e">
        <f t="shared" ca="1" si="496"/>
        <v>#NAME?</v>
      </c>
      <c r="BV595" s="441" t="e">
        <f t="shared" ca="1" si="497"/>
        <v>#NAME?</v>
      </c>
      <c r="BW595" s="442" t="e">
        <f t="shared" ca="1" si="498"/>
        <v>#NAME?</v>
      </c>
      <c r="BX595" s="470" t="e">
        <f t="shared" ca="1" si="472"/>
        <v>#NAME?</v>
      </c>
      <c r="BY595" s="484" t="e">
        <f t="shared" ca="1" si="483"/>
        <v>#NAME?</v>
      </c>
    </row>
    <row r="596" spans="9:77" ht="17.75" customHeight="1" x14ac:dyDescent="0.2">
      <c r="I596" s="366">
        <v>512</v>
      </c>
      <c r="J596" s="414">
        <f t="shared" si="484"/>
        <v>41706.068055556716</v>
      </c>
      <c r="K596" s="435" t="e">
        <f t="shared" ca="1" si="485"/>
        <v>#NAME?</v>
      </c>
      <c r="L596" s="435" t="e">
        <f t="shared" ca="1" si="528"/>
        <v>#NAME?</v>
      </c>
      <c r="M596" s="664" t="e">
        <f t="shared" ca="1" si="526"/>
        <v>#NAME?</v>
      </c>
      <c r="N596" s="664" t="e">
        <f t="shared" ca="1" si="527"/>
        <v>#NAME?</v>
      </c>
      <c r="O596" s="140" t="e">
        <f t="shared" ca="1" si="473"/>
        <v>#NAME?</v>
      </c>
      <c r="P596" s="352" t="e">
        <f t="shared" ca="1" si="486"/>
        <v>#NAME?</v>
      </c>
      <c r="Q596" s="665" t="e">
        <f t="shared" ca="1" si="529"/>
        <v>#NAME?</v>
      </c>
      <c r="R596" s="352" t="e">
        <f t="shared" ca="1" si="499"/>
        <v>#NAME?</v>
      </c>
      <c r="S596" s="662" t="e">
        <f t="shared" ca="1" si="474"/>
        <v>#NAME?</v>
      </c>
      <c r="T596" s="443" t="e">
        <f t="shared" ca="1" si="468"/>
        <v>#NAME?</v>
      </c>
      <c r="U596" s="369" t="e">
        <f t="shared" ca="1" si="469"/>
        <v>#NAME?</v>
      </c>
      <c r="V596" s="454" t="e">
        <f t="shared" ca="1" si="475"/>
        <v>#NAME?</v>
      </c>
      <c r="W596" s="457">
        <f t="shared" si="476"/>
        <v>1000</v>
      </c>
      <c r="X596" s="463" t="e">
        <f t="shared" ca="1" si="477"/>
        <v>#NAME?</v>
      </c>
      <c r="Y596" s="455" t="e">
        <f t="shared" ca="1" si="487"/>
        <v>#NAME?</v>
      </c>
      <c r="Z596" s="699">
        <f t="shared" si="470"/>
        <v>8.5</v>
      </c>
      <c r="AA596" s="355" t="str">
        <f t="shared" si="471"/>
        <v>ON</v>
      </c>
      <c r="AB596" s="357">
        <f t="shared" si="500"/>
        <v>1.4999999999999999E-2</v>
      </c>
      <c r="AC596" s="356" t="e">
        <f ca="1">IF(  Y595=0,0,IF(OR(S596="KCAS",S596="INOP",S596="MEFE"),   ( (5*( (   (((1+0.2*(T596/661.4786)^2)^3.5 -1)  )/( (1-6.8755856*10^-6 *100*Y596)^5.2558797) +1)^(2/7) -1) )^0.5),IF(S596="MACH",T596, IF(S596="LRC",BicubicInterpolation( 'LRC Mach'!$C$4:$AL$21, Y596,U596),  IF(S596="MRC",BicubicInterpolation( 'MRC Mach'!$C$3:$T$18, Y596,U596),  IF(S596="M0.84",0.84,  IF(S596="CI52",BicubicInterpolation('CI=52 Mach'!$C$3:$T$18, Y596,U596),  IF(S596="HOLDING",BicubicInterpolation(  'Holding Mach'!$C$4:$M$13, Y596,U596),                         IF(S596="LRCINOP", BicubicInterpolation('LRC INOP Mach'!$C$4:$AA$21,Y596,U596), IF(S596="HOLDINGINOP",  BicubicInterpolation('Holding INOP Mach'!$N$4:$U$13,Y596,U596),         "XXX" )))))))   )))</f>
        <v>#NAME?</v>
      </c>
      <c r="AD596" s="313" t="e">
        <f t="shared" ca="1" si="501"/>
        <v>#NAME?</v>
      </c>
      <c r="AE596" s="314" t="e">
        <f t="shared" ca="1" si="488"/>
        <v>#NAME?</v>
      </c>
      <c r="AF596" s="313" t="e">
        <f t="shared" ca="1" si="502"/>
        <v>#NAME?</v>
      </c>
      <c r="AG596" s="314" t="e">
        <f t="shared" ca="1" si="489"/>
        <v>#NAME?</v>
      </c>
      <c r="AH596" s="313" t="e">
        <f t="shared" ca="1" si="503"/>
        <v>#NAME?</v>
      </c>
      <c r="AI596" s="314" t="e">
        <f t="shared" ca="1" si="490"/>
        <v>#NAME?</v>
      </c>
      <c r="AJ596" s="315" t="e">
        <f t="shared" ca="1" si="491"/>
        <v>#NAME?</v>
      </c>
      <c r="AK596" s="568" t="e">
        <f t="shared" ca="1" si="504"/>
        <v>#NAME?</v>
      </c>
      <c r="AL596" s="313" t="e">
        <f t="shared" ca="1" si="505"/>
        <v>#NAME?</v>
      </c>
      <c r="AM596" s="313" t="e">
        <f t="shared" ca="1" si="492"/>
        <v>#NAME?</v>
      </c>
      <c r="AN596" s="313" t="e">
        <f t="shared" ca="1" si="493"/>
        <v>#NAME?</v>
      </c>
      <c r="AO596" s="316" t="e">
        <f t="shared" ca="1" si="506"/>
        <v>#NAME?</v>
      </c>
      <c r="AP596" s="313" t="e">
        <f t="shared" ca="1" si="507"/>
        <v>#NAME?</v>
      </c>
      <c r="AQ596" s="314" t="e">
        <f t="shared" ca="1" si="494"/>
        <v>#NAME?</v>
      </c>
      <c r="AR596" s="315" t="e">
        <f t="shared" ca="1" si="508"/>
        <v>#NAME?</v>
      </c>
      <c r="AS596" s="316" t="e">
        <f t="shared" ca="1" si="509"/>
        <v>#NAME?</v>
      </c>
      <c r="AT596" s="315" t="e">
        <f t="shared" ca="1" si="510"/>
        <v>#NAME?</v>
      </c>
      <c r="AU596" s="317">
        <v>427.8</v>
      </c>
      <c r="AV596" s="315" t="e">
        <f t="shared" ca="1" si="511"/>
        <v>#NAME?</v>
      </c>
      <c r="AW596" s="318" t="e">
        <f ca="1">0.0001*BicubicInterpolation('Drag Coef Table'!$B$4:$L$28,AV596,AC596)</f>
        <v>#NAME?</v>
      </c>
      <c r="AX596" s="319" t="e">
        <f t="shared" ca="1" si="512"/>
        <v>#NAME?</v>
      </c>
      <c r="AY596" s="318" t="e">
        <f t="shared" ca="1" si="513"/>
        <v>#NAME?</v>
      </c>
      <c r="AZ596" s="320" t="e">
        <f t="shared" ca="1" si="514"/>
        <v>#NAME?</v>
      </c>
      <c r="BA596" s="321" t="e">
        <f t="shared" ca="1" si="515"/>
        <v>#NAME?</v>
      </c>
      <c r="BB596" s="322" t="e">
        <f t="shared" ca="1" si="516"/>
        <v>#NAME?</v>
      </c>
      <c r="BC596" s="323">
        <v>75.196700000000007</v>
      </c>
      <c r="BD596" s="324" t="e">
        <f t="shared" ca="1" si="517"/>
        <v>#NAME?</v>
      </c>
      <c r="BE596" s="325" t="e">
        <f t="shared" ca="1" si="518"/>
        <v>#NAME?</v>
      </c>
      <c r="BF596" s="324" t="e">
        <f ca="1">BicubicInterpolation('TSFC Eff Table'!$B$4:$E$69,2,BB596)</f>
        <v>#NAME?</v>
      </c>
      <c r="BG596" s="326" t="e">
        <f t="shared" ca="1" si="519"/>
        <v>#NAME?</v>
      </c>
      <c r="BH596" s="694" t="e">
        <f ca="1">IF( S596="LRCINOP",   (1+(0.03/10)*Z596*(1+0.2*AC596^2) )*BicubicInterpolation( 'LRC INOP FF'!$C$4:$AA$21, Y596, U596 )-200, IF(S596 ="HOLDINGINOP", (1+(0.03/10)*Z596*(1+0.2*AC596^2) )*BicubicInterpolation( 'Holding INOP FF'!$C$4:$J$13,  Y596,  U596)/1.05-200,   BA596*BG596))</f>
        <v>#NAME?</v>
      </c>
      <c r="BI596" s="344" t="e">
        <f t="shared" ca="1" si="478"/>
        <v>#NAME?</v>
      </c>
      <c r="BJ596" s="322" t="e">
        <f t="shared" ca="1" si="520"/>
        <v>#NAME?</v>
      </c>
      <c r="BK596" s="338" t="e">
        <f t="shared" ca="1" si="479"/>
        <v>#NAME?</v>
      </c>
      <c r="BL596" s="327" t="e">
        <f t="shared" ca="1" si="521"/>
        <v>#NAME?</v>
      </c>
      <c r="BM596" s="328">
        <f t="shared" si="522"/>
        <v>200</v>
      </c>
      <c r="BN596" s="329" t="e">
        <f t="shared" ca="1" si="523"/>
        <v>#NAME?</v>
      </c>
      <c r="BO596" s="344" t="e">
        <f t="shared" ca="1" si="480"/>
        <v>#NAME?</v>
      </c>
      <c r="BP596" s="320" t="e">
        <f t="shared" ca="1" si="524"/>
        <v>#NAME?</v>
      </c>
      <c r="BQ596" s="344" t="e">
        <f t="shared" ca="1" si="481"/>
        <v>#NAME?</v>
      </c>
      <c r="BR596" s="347" t="e">
        <f t="shared" ca="1" si="482"/>
        <v>#NAME?</v>
      </c>
      <c r="BS596" s="326" t="e">
        <f t="shared" ca="1" si="525"/>
        <v>#NAME?</v>
      </c>
      <c r="BT596" s="437" t="e">
        <f t="shared" ca="1" si="495"/>
        <v>#NAME?</v>
      </c>
      <c r="BU596" s="437" t="e">
        <f t="shared" ca="1" si="496"/>
        <v>#NAME?</v>
      </c>
      <c r="BV596" s="441" t="e">
        <f t="shared" ca="1" si="497"/>
        <v>#NAME?</v>
      </c>
      <c r="BW596" s="442" t="e">
        <f t="shared" ca="1" si="498"/>
        <v>#NAME?</v>
      </c>
      <c r="BX596" s="470" t="e">
        <f t="shared" ca="1" si="472"/>
        <v>#NAME?</v>
      </c>
      <c r="BY596" s="484" t="e">
        <f t="shared" ca="1" si="483"/>
        <v>#NAME?</v>
      </c>
    </row>
    <row r="597" spans="9:77" ht="17.75" customHeight="1" x14ac:dyDescent="0.2">
      <c r="I597" s="366">
        <v>513</v>
      </c>
      <c r="J597" s="414">
        <f t="shared" si="484"/>
        <v>41706.068750001163</v>
      </c>
      <c r="K597" s="435" t="e">
        <f t="shared" ca="1" si="485"/>
        <v>#NAME?</v>
      </c>
      <c r="L597" s="435" t="e">
        <f t="shared" ca="1" si="528"/>
        <v>#NAME?</v>
      </c>
      <c r="M597" s="664" t="e">
        <f t="shared" ca="1" si="526"/>
        <v>#NAME?</v>
      </c>
      <c r="N597" s="664" t="e">
        <f t="shared" ca="1" si="527"/>
        <v>#NAME?</v>
      </c>
      <c r="O597" s="140" t="e">
        <f t="shared" ca="1" si="473"/>
        <v>#NAME?</v>
      </c>
      <c r="P597" s="352" t="e">
        <f t="shared" ca="1" si="486"/>
        <v>#NAME?</v>
      </c>
      <c r="Q597" s="665" t="e">
        <f t="shared" ca="1" si="529"/>
        <v>#NAME?</v>
      </c>
      <c r="R597" s="352" t="e">
        <f t="shared" ca="1" si="499"/>
        <v>#NAME?</v>
      </c>
      <c r="S597" s="662" t="e">
        <f t="shared" ca="1" si="474"/>
        <v>#NAME?</v>
      </c>
      <c r="T597" s="443" t="e">
        <f t="shared" ref="T597:T660" ca="1" si="530">IF(AND(S597="MEFE",  S596="MEFE"), MAX(T596+$C$43,$C$39), IF(AND(S596="INOP",S597="MEFE"),  MAX(T596+$C$38,$C$39), IF(AND(S597="INOP",S596="INOP"), MAX(T596+$C$38,$C$39),IF(S597="INOP", AO596,IF($J597&lt;$C$12,$C$6,IF($J597&lt;$C$18,$C$14,$C$20))))))</f>
        <v>#NAME?</v>
      </c>
      <c r="U597" s="369" t="e">
        <f t="shared" ref="U597:U660" ca="1" si="531">P597</f>
        <v>#NAME?</v>
      </c>
      <c r="V597" s="454" t="e">
        <f t="shared" ca="1" si="475"/>
        <v>#NAME?</v>
      </c>
      <c r="W597" s="457">
        <f t="shared" si="476"/>
        <v>1000</v>
      </c>
      <c r="X597" s="463" t="e">
        <f t="shared" ca="1" si="477"/>
        <v>#NAME?</v>
      </c>
      <c r="Y597" s="455" t="e">
        <f t="shared" ca="1" si="487"/>
        <v>#NAME?</v>
      </c>
      <c r="Z597" s="699">
        <f t="shared" ref="Z597:Z660" si="532">IF(I597&gt;$M$83-1,$C$22,IF(I597&gt;$K$83-1,$C$16,$C$8))</f>
        <v>8.5</v>
      </c>
      <c r="AA597" s="355" t="str">
        <f t="shared" ref="AA597:AA660" si="533">IF(I597&lt;$K$83,$C$9, IF( I597&lt;$L$83, $C$17,$C$23))</f>
        <v>ON</v>
      </c>
      <c r="AB597" s="357">
        <f t="shared" si="500"/>
        <v>1.4999999999999999E-2</v>
      </c>
      <c r="AC597" s="356" t="e">
        <f ca="1">IF(  Y596=0,0,IF(OR(S597="KCAS",S597="INOP",S597="MEFE"),   ( (5*( (   (((1+0.2*(T597/661.4786)^2)^3.5 -1)  )/( (1-6.8755856*10^-6 *100*Y597)^5.2558797) +1)^(2/7) -1) )^0.5),IF(S597="MACH",T597, IF(S597="LRC",BicubicInterpolation( 'LRC Mach'!$C$4:$AL$21, Y597,U597),  IF(S597="MRC",BicubicInterpolation( 'MRC Mach'!$C$3:$T$18, Y597,U597),  IF(S597="M0.84",0.84,  IF(S597="CI52",BicubicInterpolation('CI=52 Mach'!$C$3:$T$18, Y597,U597),  IF(S597="HOLDING",BicubicInterpolation(  'Holding Mach'!$C$4:$M$13, Y597,U597),                         IF(S597="LRCINOP", BicubicInterpolation('LRC INOP Mach'!$C$4:$AA$21,Y597,U597), IF(S597="HOLDINGINOP",  BicubicInterpolation('Holding INOP Mach'!$N$4:$U$13,Y597,U597),         "XXX" )))))))   )))</f>
        <v>#NAME?</v>
      </c>
      <c r="AD597" s="313" t="e">
        <f t="shared" ca="1" si="501"/>
        <v>#NAME?</v>
      </c>
      <c r="AE597" s="314" t="e">
        <f t="shared" ca="1" si="488"/>
        <v>#NAME?</v>
      </c>
      <c r="AF597" s="313" t="e">
        <f t="shared" ca="1" si="502"/>
        <v>#NAME?</v>
      </c>
      <c r="AG597" s="314" t="e">
        <f t="shared" ca="1" si="489"/>
        <v>#NAME?</v>
      </c>
      <c r="AH597" s="313" t="e">
        <f t="shared" ca="1" si="503"/>
        <v>#NAME?</v>
      </c>
      <c r="AI597" s="314" t="e">
        <f t="shared" ca="1" si="490"/>
        <v>#NAME?</v>
      </c>
      <c r="AJ597" s="315" t="e">
        <f t="shared" ca="1" si="491"/>
        <v>#NAME?</v>
      </c>
      <c r="AK597" s="568" t="e">
        <f t="shared" ca="1" si="504"/>
        <v>#NAME?</v>
      </c>
      <c r="AL597" s="313" t="e">
        <f t="shared" ca="1" si="505"/>
        <v>#NAME?</v>
      </c>
      <c r="AM597" s="313" t="e">
        <f t="shared" ca="1" si="492"/>
        <v>#NAME?</v>
      </c>
      <c r="AN597" s="313" t="e">
        <f t="shared" ca="1" si="493"/>
        <v>#NAME?</v>
      </c>
      <c r="AO597" s="316" t="e">
        <f t="shared" ca="1" si="506"/>
        <v>#NAME?</v>
      </c>
      <c r="AP597" s="313" t="e">
        <f t="shared" ca="1" si="507"/>
        <v>#NAME?</v>
      </c>
      <c r="AQ597" s="314" t="e">
        <f t="shared" ca="1" si="494"/>
        <v>#NAME?</v>
      </c>
      <c r="AR597" s="315" t="e">
        <f t="shared" ca="1" si="508"/>
        <v>#NAME?</v>
      </c>
      <c r="AS597" s="316" t="e">
        <f t="shared" ca="1" si="509"/>
        <v>#NAME?</v>
      </c>
      <c r="AT597" s="315" t="e">
        <f t="shared" ca="1" si="510"/>
        <v>#NAME?</v>
      </c>
      <c r="AU597" s="317">
        <v>427.8</v>
      </c>
      <c r="AV597" s="315" t="e">
        <f t="shared" ca="1" si="511"/>
        <v>#NAME?</v>
      </c>
      <c r="AW597" s="318" t="e">
        <f ca="1">0.0001*BicubicInterpolation('Drag Coef Table'!$B$4:$L$28,AV597,AC597)</f>
        <v>#NAME?</v>
      </c>
      <c r="AX597" s="319" t="e">
        <f t="shared" ca="1" si="512"/>
        <v>#NAME?</v>
      </c>
      <c r="AY597" s="318" t="e">
        <f t="shared" ca="1" si="513"/>
        <v>#NAME?</v>
      </c>
      <c r="AZ597" s="320" t="e">
        <f t="shared" ca="1" si="514"/>
        <v>#NAME?</v>
      </c>
      <c r="BA597" s="321" t="e">
        <f t="shared" ca="1" si="515"/>
        <v>#NAME?</v>
      </c>
      <c r="BB597" s="322" t="e">
        <f t="shared" ca="1" si="516"/>
        <v>#NAME?</v>
      </c>
      <c r="BC597" s="323">
        <v>75.196700000000007</v>
      </c>
      <c r="BD597" s="324" t="e">
        <f t="shared" ca="1" si="517"/>
        <v>#NAME?</v>
      </c>
      <c r="BE597" s="325" t="e">
        <f t="shared" ca="1" si="518"/>
        <v>#NAME?</v>
      </c>
      <c r="BF597" s="324" t="e">
        <f ca="1">BicubicInterpolation('TSFC Eff Table'!$B$4:$E$69,2,BB597)</f>
        <v>#NAME?</v>
      </c>
      <c r="BG597" s="326" t="e">
        <f t="shared" ca="1" si="519"/>
        <v>#NAME?</v>
      </c>
      <c r="BH597" s="694" t="e">
        <f ca="1">IF( S597="LRCINOP",   (1+(0.03/10)*Z597*(1+0.2*AC597^2) )*BicubicInterpolation( 'LRC INOP FF'!$C$4:$AA$21, Y597, U597 )-200, IF(S597 ="HOLDINGINOP", (1+(0.03/10)*Z597*(1+0.2*AC597^2) )*BicubicInterpolation( 'Holding INOP FF'!$C$4:$J$13,  Y597,  U597)/1.05-200,   BA597*BG597))</f>
        <v>#NAME?</v>
      </c>
      <c r="BI597" s="344" t="e">
        <f t="shared" ca="1" si="478"/>
        <v>#NAME?</v>
      </c>
      <c r="BJ597" s="322" t="e">
        <f t="shared" ca="1" si="520"/>
        <v>#NAME?</v>
      </c>
      <c r="BK597" s="338" t="e">
        <f t="shared" ca="1" si="479"/>
        <v>#NAME?</v>
      </c>
      <c r="BL597" s="327" t="e">
        <f t="shared" ca="1" si="521"/>
        <v>#NAME?</v>
      </c>
      <c r="BM597" s="328">
        <f t="shared" si="522"/>
        <v>200</v>
      </c>
      <c r="BN597" s="329" t="e">
        <f t="shared" ca="1" si="523"/>
        <v>#NAME?</v>
      </c>
      <c r="BO597" s="344" t="e">
        <f t="shared" ca="1" si="480"/>
        <v>#NAME?</v>
      </c>
      <c r="BP597" s="320" t="e">
        <f t="shared" ca="1" si="524"/>
        <v>#NAME?</v>
      </c>
      <c r="BQ597" s="344" t="e">
        <f t="shared" ca="1" si="481"/>
        <v>#NAME?</v>
      </c>
      <c r="BR597" s="347" t="e">
        <f t="shared" ca="1" si="482"/>
        <v>#NAME?</v>
      </c>
      <c r="BS597" s="326" t="e">
        <f t="shared" ca="1" si="525"/>
        <v>#NAME?</v>
      </c>
      <c r="BT597" s="437" t="e">
        <f t="shared" ca="1" si="495"/>
        <v>#NAME?</v>
      </c>
      <c r="BU597" s="437" t="e">
        <f t="shared" ca="1" si="496"/>
        <v>#NAME?</v>
      </c>
      <c r="BV597" s="441" t="e">
        <f t="shared" ca="1" si="497"/>
        <v>#NAME?</v>
      </c>
      <c r="BW597" s="442" t="e">
        <f t="shared" ca="1" si="498"/>
        <v>#NAME?</v>
      </c>
      <c r="BX597" s="470" t="e">
        <f t="shared" ref="BX597:BX660" ca="1" si="534">IF(Y597=0,I597,"")</f>
        <v>#NAME?</v>
      </c>
      <c r="BY597" s="484" t="e">
        <f t="shared" ca="1" si="483"/>
        <v>#NAME?</v>
      </c>
    </row>
    <row r="598" spans="9:77" ht="17.75" customHeight="1" x14ac:dyDescent="0.2">
      <c r="I598" s="366">
        <v>514</v>
      </c>
      <c r="J598" s="414">
        <f t="shared" si="484"/>
        <v>41706.069444445609</v>
      </c>
      <c r="K598" s="435" t="e">
        <f t="shared" ca="1" si="485"/>
        <v>#NAME?</v>
      </c>
      <c r="L598" s="435" t="e">
        <f t="shared" ca="1" si="528"/>
        <v>#NAME?</v>
      </c>
      <c r="M598" s="664" t="e">
        <f t="shared" ca="1" si="526"/>
        <v>#NAME?</v>
      </c>
      <c r="N598" s="664" t="e">
        <f t="shared" ca="1" si="527"/>
        <v>#NAME?</v>
      </c>
      <c r="O598" s="140" t="e">
        <f t="shared" ref="O598:O661" ca="1" si="535">M598+N598</f>
        <v>#NAME?</v>
      </c>
      <c r="P598" s="352" t="e">
        <f t="shared" ca="1" si="486"/>
        <v>#NAME?</v>
      </c>
      <c r="Q598" s="665" t="e">
        <f t="shared" ca="1" si="529"/>
        <v>#NAME?</v>
      </c>
      <c r="R598" s="352" t="e">
        <f t="shared" ca="1" si="499"/>
        <v>#NAME?</v>
      </c>
      <c r="S598" s="662" t="e">
        <f t="shared" ref="S598:S661" ca="1" si="536">IF(O598=0, "MEFE",IF(AND(  NOT(S597="LRCINOP"),NOT(S597="HOLDINGINOP"),  N598=0), "INOP",IF(I598&gt;$M$83-1,$C$19,IF(I598&gt;$K$83-1,$C$13,$C$5))))</f>
        <v>#NAME?</v>
      </c>
      <c r="T598" s="443" t="e">
        <f t="shared" ca="1" si="530"/>
        <v>#NAME?</v>
      </c>
      <c r="U598" s="369" t="e">
        <f t="shared" ca="1" si="531"/>
        <v>#NAME?</v>
      </c>
      <c r="V598" s="454" t="e">
        <f t="shared" ref="V598:V661" ca="1" si="537">IF(S597="MEFE",0,IF(AND(S597="INOP", T598=$C$39 ), MIN($C$40,V597 ),IF(J597&lt;$C$12,$C$7,IF(J597&lt;$C$18,$C$15,$C$21))))</f>
        <v>#NAME?</v>
      </c>
      <c r="W598" s="457">
        <f t="shared" ref="W598:W661" si="538">$C$27</f>
        <v>1000</v>
      </c>
      <c r="X598" s="463" t="e">
        <f t="shared" ref="X598:X661" ca="1" si="539">IF(   Y597=0,  0,   IF(S598="INOP", $C$41, IF(S598="MEFE", $C$42,IF(OR(S598="KCAS",S598="HOLDING"), $C$31,$C$28 ) ))             )</f>
        <v>#NAME?</v>
      </c>
      <c r="Y598" s="455" t="e">
        <f t="shared" ca="1" si="487"/>
        <v>#NAME?</v>
      </c>
      <c r="Z598" s="699">
        <f t="shared" si="532"/>
        <v>8.5</v>
      </c>
      <c r="AA598" s="355" t="str">
        <f t="shared" si="533"/>
        <v>ON</v>
      </c>
      <c r="AB598" s="357">
        <f t="shared" si="500"/>
        <v>1.4999999999999999E-2</v>
      </c>
      <c r="AC598" s="356" t="e">
        <f ca="1">IF(  Y597=0,0,IF(OR(S598="KCAS",S598="INOP",S598="MEFE"),   ( (5*( (   (((1+0.2*(T598/661.4786)^2)^3.5 -1)  )/( (1-6.8755856*10^-6 *100*Y598)^5.2558797) +1)^(2/7) -1) )^0.5),IF(S598="MACH",T598, IF(S598="LRC",BicubicInterpolation( 'LRC Mach'!$C$4:$AL$21, Y598,U598),  IF(S598="MRC",BicubicInterpolation( 'MRC Mach'!$C$3:$T$18, Y598,U598),  IF(S598="M0.84",0.84,  IF(S598="CI52",BicubicInterpolation('CI=52 Mach'!$C$3:$T$18, Y598,U598),  IF(S598="HOLDING",BicubicInterpolation(  'Holding Mach'!$C$4:$M$13, Y598,U598),                         IF(S598="LRCINOP", BicubicInterpolation('LRC INOP Mach'!$C$4:$AA$21,Y598,U598), IF(S598="HOLDINGINOP",  BicubicInterpolation('Holding INOP Mach'!$N$4:$U$13,Y598,U598),         "XXX" )))))))   )))</f>
        <v>#NAME?</v>
      </c>
      <c r="AD598" s="313" t="e">
        <f t="shared" ca="1" si="501"/>
        <v>#NAME?</v>
      </c>
      <c r="AE598" s="314" t="e">
        <f t="shared" ca="1" si="488"/>
        <v>#NAME?</v>
      </c>
      <c r="AF598" s="313" t="e">
        <f t="shared" ca="1" si="502"/>
        <v>#NAME?</v>
      </c>
      <c r="AG598" s="314" t="e">
        <f t="shared" ca="1" si="489"/>
        <v>#NAME?</v>
      </c>
      <c r="AH598" s="313" t="e">
        <f t="shared" ca="1" si="503"/>
        <v>#NAME?</v>
      </c>
      <c r="AI598" s="314" t="e">
        <f t="shared" ca="1" si="490"/>
        <v>#NAME?</v>
      </c>
      <c r="AJ598" s="315" t="e">
        <f t="shared" ca="1" si="491"/>
        <v>#NAME?</v>
      </c>
      <c r="AK598" s="568" t="e">
        <f t="shared" ca="1" si="504"/>
        <v>#NAME?</v>
      </c>
      <c r="AL598" s="313" t="e">
        <f t="shared" ca="1" si="505"/>
        <v>#NAME?</v>
      </c>
      <c r="AM598" s="313" t="e">
        <f t="shared" ca="1" si="492"/>
        <v>#NAME?</v>
      </c>
      <c r="AN598" s="313" t="e">
        <f t="shared" ca="1" si="493"/>
        <v>#NAME?</v>
      </c>
      <c r="AO598" s="316" t="e">
        <f t="shared" ca="1" si="506"/>
        <v>#NAME?</v>
      </c>
      <c r="AP598" s="313" t="e">
        <f t="shared" ca="1" si="507"/>
        <v>#NAME?</v>
      </c>
      <c r="AQ598" s="314" t="e">
        <f t="shared" ca="1" si="494"/>
        <v>#NAME?</v>
      </c>
      <c r="AR598" s="315" t="e">
        <f t="shared" ca="1" si="508"/>
        <v>#NAME?</v>
      </c>
      <c r="AS598" s="316" t="e">
        <f t="shared" ca="1" si="509"/>
        <v>#NAME?</v>
      </c>
      <c r="AT598" s="315" t="e">
        <f t="shared" ca="1" si="510"/>
        <v>#NAME?</v>
      </c>
      <c r="AU598" s="317">
        <v>427.8</v>
      </c>
      <c r="AV598" s="315" t="e">
        <f t="shared" ca="1" si="511"/>
        <v>#NAME?</v>
      </c>
      <c r="AW598" s="318" t="e">
        <f ca="1">0.0001*BicubicInterpolation('Drag Coef Table'!$B$4:$L$28,AV598,AC598)</f>
        <v>#NAME?</v>
      </c>
      <c r="AX598" s="319" t="e">
        <f t="shared" ca="1" si="512"/>
        <v>#NAME?</v>
      </c>
      <c r="AY598" s="318" t="e">
        <f t="shared" ca="1" si="513"/>
        <v>#NAME?</v>
      </c>
      <c r="AZ598" s="320" t="e">
        <f t="shared" ca="1" si="514"/>
        <v>#NAME?</v>
      </c>
      <c r="BA598" s="321" t="e">
        <f t="shared" ca="1" si="515"/>
        <v>#NAME?</v>
      </c>
      <c r="BB598" s="322" t="e">
        <f t="shared" ca="1" si="516"/>
        <v>#NAME?</v>
      </c>
      <c r="BC598" s="323">
        <v>75.196700000000007</v>
      </c>
      <c r="BD598" s="324" t="e">
        <f t="shared" ca="1" si="517"/>
        <v>#NAME?</v>
      </c>
      <c r="BE598" s="325" t="e">
        <f t="shared" ca="1" si="518"/>
        <v>#NAME?</v>
      </c>
      <c r="BF598" s="324" t="e">
        <f ca="1">BicubicInterpolation('TSFC Eff Table'!$B$4:$E$69,2,BB598)</f>
        <v>#NAME?</v>
      </c>
      <c r="BG598" s="326" t="e">
        <f t="shared" ca="1" si="519"/>
        <v>#NAME?</v>
      </c>
      <c r="BH598" s="694" t="e">
        <f ca="1">IF( S598="LRCINOP",   (1+(0.03/10)*Z598*(1+0.2*AC598^2) )*BicubicInterpolation( 'LRC INOP FF'!$C$4:$AA$21, Y598, U598 )-200, IF(S598 ="HOLDINGINOP", (1+(0.03/10)*Z598*(1+0.2*AC598^2) )*BicubicInterpolation( 'Holding INOP FF'!$C$4:$J$13,  Y598,  U598)/1.05-200,   BA598*BG598))</f>
        <v>#NAME?</v>
      </c>
      <c r="BI598" s="344" t="e">
        <f t="shared" ref="BI598:BI661" ca="1" si="540">IF( OR( S598="LRCINOP", S598 ="HOLDINGINOP"),BH598, BH598/2)</f>
        <v>#NAME?</v>
      </c>
      <c r="BJ598" s="322" t="e">
        <f t="shared" ca="1" si="520"/>
        <v>#NAME?</v>
      </c>
      <c r="BK598" s="338" t="e">
        <f t="shared" ref="BK598:BK661" ca="1" si="541">IF( OR( S598="LRCINOP", S598 ="HOLDINGINOP"),BJ598, 2*BJ598)</f>
        <v>#NAME?</v>
      </c>
      <c r="BL598" s="327" t="e">
        <f t="shared" ca="1" si="521"/>
        <v>#NAME?</v>
      </c>
      <c r="BM598" s="328">
        <f t="shared" si="522"/>
        <v>200</v>
      </c>
      <c r="BN598" s="329" t="e">
        <f t="shared" ca="1" si="523"/>
        <v>#NAME?</v>
      </c>
      <c r="BO598" s="344" t="e">
        <f t="shared" ref="BO598:BO661" ca="1" si="542">IF( OR( S598="LRCINOP", S598 ="HOLDINGINOP"), BN598, 2*BN598)</f>
        <v>#NAME?</v>
      </c>
      <c r="BP598" s="320" t="e">
        <f t="shared" ca="1" si="524"/>
        <v>#NAME?</v>
      </c>
      <c r="BQ598" s="344" t="e">
        <f t="shared" ref="BQ598:BQ661" ca="1" si="543">BN598*(1+$C$25)</f>
        <v>#NAME?</v>
      </c>
      <c r="BR598" s="347" t="e">
        <f t="shared" ref="BR598:BR661" ca="1" si="544">BO598*(1+$C$25)</f>
        <v>#NAME?</v>
      </c>
      <c r="BS598" s="326" t="e">
        <f t="shared" ca="1" si="525"/>
        <v>#NAME?</v>
      </c>
      <c r="BT598" s="437" t="e">
        <f t="shared" ca="1" si="495"/>
        <v>#NAME?</v>
      </c>
      <c r="BU598" s="437" t="e">
        <f t="shared" ca="1" si="496"/>
        <v>#NAME?</v>
      </c>
      <c r="BV598" s="441" t="e">
        <f t="shared" ca="1" si="497"/>
        <v>#NAME?</v>
      </c>
      <c r="BW598" s="442" t="e">
        <f t="shared" ca="1" si="498"/>
        <v>#NAME?</v>
      </c>
      <c r="BX598" s="470" t="e">
        <f t="shared" ca="1" si="534"/>
        <v>#NAME?</v>
      </c>
      <c r="BY598" s="484" t="e">
        <f t="shared" ref="BY598:BY661" ca="1" si="545">100*O598</f>
        <v>#NAME?</v>
      </c>
    </row>
    <row r="599" spans="9:77" ht="17.75" customHeight="1" x14ac:dyDescent="0.2">
      <c r="I599" s="366">
        <v>515</v>
      </c>
      <c r="J599" s="414">
        <f t="shared" ref="J599:J662" si="546">J598+1/1440</f>
        <v>41706.070138890056</v>
      </c>
      <c r="K599" s="435" t="e">
        <f t="shared" ref="K599:K662" ca="1" si="547">IF(M599=0,0,Q599*(1+$C$78)/60)</f>
        <v>#NAME?</v>
      </c>
      <c r="L599" s="435" t="e">
        <f t="shared" ca="1" si="528"/>
        <v>#NAME?</v>
      </c>
      <c r="M599" s="664" t="e">
        <f t="shared" ca="1" si="526"/>
        <v>#NAME?</v>
      </c>
      <c r="N599" s="664" t="e">
        <f t="shared" ca="1" si="527"/>
        <v>#NAME?</v>
      </c>
      <c r="O599" s="140" t="e">
        <f t="shared" ca="1" si="535"/>
        <v>#NAME?</v>
      </c>
      <c r="P599" s="352" t="e">
        <f t="shared" ref="P599:P662" ca="1" si="548">MAX(O599+$C$24,$C$24)</f>
        <v>#NAME?</v>
      </c>
      <c r="Q599" s="665" t="e">
        <f t="shared" ca="1" si="529"/>
        <v>#NAME?</v>
      </c>
      <c r="R599" s="352" t="e">
        <f t="shared" ca="1" si="499"/>
        <v>#NAME?</v>
      </c>
      <c r="S599" s="662" t="e">
        <f t="shared" ca="1" si="536"/>
        <v>#NAME?</v>
      </c>
      <c r="T599" s="443" t="e">
        <f t="shared" ca="1" si="530"/>
        <v>#NAME?</v>
      </c>
      <c r="U599" s="369" t="e">
        <f t="shared" ca="1" si="531"/>
        <v>#NAME?</v>
      </c>
      <c r="V599" s="454" t="e">
        <f t="shared" ca="1" si="537"/>
        <v>#NAME?</v>
      </c>
      <c r="W599" s="457">
        <f t="shared" si="538"/>
        <v>1000</v>
      </c>
      <c r="X599" s="463" t="e">
        <f t="shared" ca="1" si="539"/>
        <v>#NAME?</v>
      </c>
      <c r="Y599" s="455" t="e">
        <f t="shared" ref="Y599:Y662" ca="1" si="549">Y598   +   IF(   V599=Y598,   0,   IF(V599-Y598&lt;0, MAX(V599-Y598,X599/100), IF(    V599-Y598&gt;0,    MIN(V599-Y598, W599/100 ))))</f>
        <v>#NAME?</v>
      </c>
      <c r="Z599" s="699">
        <f t="shared" si="532"/>
        <v>8.5</v>
      </c>
      <c r="AA599" s="355" t="str">
        <f t="shared" si="533"/>
        <v>ON</v>
      </c>
      <c r="AB599" s="357">
        <f t="shared" si="500"/>
        <v>1.4999999999999999E-2</v>
      </c>
      <c r="AC599" s="356" t="e">
        <f ca="1">IF(  Y598=0,0,IF(OR(S599="KCAS",S599="INOP",S599="MEFE"),   ( (5*( (   (((1+0.2*(T599/661.4786)^2)^3.5 -1)  )/( (1-6.8755856*10^-6 *100*Y599)^5.2558797) +1)^(2/7) -1) )^0.5),IF(S599="MACH",T599, IF(S599="LRC",BicubicInterpolation( 'LRC Mach'!$C$4:$AL$21, Y599,U599),  IF(S599="MRC",BicubicInterpolation( 'MRC Mach'!$C$3:$T$18, Y599,U599),  IF(S599="M0.84",0.84,  IF(S599="CI52",BicubicInterpolation('CI=52 Mach'!$C$3:$T$18, Y599,U599),  IF(S599="HOLDING",BicubicInterpolation(  'Holding Mach'!$C$4:$M$13, Y599,U599),                         IF(S599="LRCINOP", BicubicInterpolation('LRC INOP Mach'!$C$4:$AA$21,Y599,U599), IF(S599="HOLDINGINOP",  BicubicInterpolation('Holding INOP Mach'!$N$4:$U$13,Y599,U599),         "XXX" )))))))   )))</f>
        <v>#NAME?</v>
      </c>
      <c r="AD599" s="313" t="e">
        <f t="shared" ca="1" si="501"/>
        <v>#NAME?</v>
      </c>
      <c r="AE599" s="314" t="e">
        <f t="shared" ref="AE599:AE662" ca="1" si="550">AD599/288.15</f>
        <v>#NAME?</v>
      </c>
      <c r="AF599" s="313" t="e">
        <f t="shared" ca="1" si="502"/>
        <v>#NAME?</v>
      </c>
      <c r="AG599" s="314" t="e">
        <f t="shared" ref="AG599:AG662" ca="1" si="551">AF599/288.15</f>
        <v>#NAME?</v>
      </c>
      <c r="AH599" s="313" t="e">
        <f t="shared" ca="1" si="503"/>
        <v>#NAME?</v>
      </c>
      <c r="AI599" s="314" t="e">
        <f t="shared" ref="AI599:AI662" ca="1" si="552">AH599/288.15</f>
        <v>#NAME?</v>
      </c>
      <c r="AJ599" s="315" t="e">
        <f t="shared" ref="AJ599:AJ662" ca="1" si="553">AI599^0.68</f>
        <v>#NAME?</v>
      </c>
      <c r="AK599" s="568" t="e">
        <f t="shared" ca="1" si="504"/>
        <v>#NAME?</v>
      </c>
      <c r="AL599" s="313" t="e">
        <f t="shared" ca="1" si="505"/>
        <v>#NAME?</v>
      </c>
      <c r="AM599" s="313" t="e">
        <f t="shared" ref="AM599:AM662" ca="1" si="554">AL599*0.5144444</f>
        <v>#NAME?</v>
      </c>
      <c r="AN599" s="313" t="e">
        <f t="shared" ref="AN599:AN662" ca="1" si="555">AN598+AVERAGE(AL598:AL599)/60</f>
        <v>#NAME?</v>
      </c>
      <c r="AO599" s="316" t="e">
        <f t="shared" ca="1" si="506"/>
        <v>#NAME?</v>
      </c>
      <c r="AP599" s="313" t="e">
        <f t="shared" ca="1" si="507"/>
        <v>#NAME?</v>
      </c>
      <c r="AQ599" s="314" t="e">
        <f t="shared" ref="AQ599:AQ662" ca="1" si="556">AP599/1013.25</f>
        <v>#NAME?</v>
      </c>
      <c r="AR599" s="315" t="e">
        <f t="shared" ca="1" si="508"/>
        <v>#NAME?</v>
      </c>
      <c r="AS599" s="316" t="e">
        <f t="shared" ca="1" si="509"/>
        <v>#NAME?</v>
      </c>
      <c r="AT599" s="315" t="e">
        <f t="shared" ca="1" si="510"/>
        <v>#NAME?</v>
      </c>
      <c r="AU599" s="317">
        <v>427.8</v>
      </c>
      <c r="AV599" s="315" t="e">
        <f t="shared" ca="1" si="511"/>
        <v>#NAME?</v>
      </c>
      <c r="AW599" s="318" t="e">
        <f ca="1">0.0001*BicubicInterpolation('Drag Coef Table'!$B$4:$L$28,AV599,AC599)</f>
        <v>#NAME?</v>
      </c>
      <c r="AX599" s="319" t="e">
        <f t="shared" ca="1" si="512"/>
        <v>#NAME?</v>
      </c>
      <c r="AY599" s="318" t="e">
        <f t="shared" ca="1" si="513"/>
        <v>#NAME?</v>
      </c>
      <c r="AZ599" s="320" t="e">
        <f t="shared" ca="1" si="514"/>
        <v>#NAME?</v>
      </c>
      <c r="BA599" s="321" t="e">
        <f t="shared" ca="1" si="515"/>
        <v>#NAME?</v>
      </c>
      <c r="BB599" s="322" t="e">
        <f t="shared" ca="1" si="516"/>
        <v>#NAME?</v>
      </c>
      <c r="BC599" s="323">
        <v>75.196700000000007</v>
      </c>
      <c r="BD599" s="324" t="e">
        <f t="shared" ca="1" si="517"/>
        <v>#NAME?</v>
      </c>
      <c r="BE599" s="325" t="e">
        <f t="shared" ca="1" si="518"/>
        <v>#NAME?</v>
      </c>
      <c r="BF599" s="324" t="e">
        <f ca="1">BicubicInterpolation('TSFC Eff Table'!$B$4:$E$69,2,BB599)</f>
        <v>#NAME?</v>
      </c>
      <c r="BG599" s="326" t="e">
        <f t="shared" ca="1" si="519"/>
        <v>#NAME?</v>
      </c>
      <c r="BH599" s="694" t="e">
        <f ca="1">IF( S599="LRCINOP",   (1+(0.03/10)*Z599*(1+0.2*AC599^2) )*BicubicInterpolation( 'LRC INOP FF'!$C$4:$AA$21, Y599, U599 )-200, IF(S599 ="HOLDINGINOP", (1+(0.03/10)*Z599*(1+0.2*AC599^2) )*BicubicInterpolation( 'Holding INOP FF'!$C$4:$J$13,  Y599,  U599)/1.05-200,   BA599*BG599))</f>
        <v>#NAME?</v>
      </c>
      <c r="BI599" s="344" t="e">
        <f t="shared" ca="1" si="540"/>
        <v>#NAME?</v>
      </c>
      <c r="BJ599" s="322" t="e">
        <f t="shared" ca="1" si="520"/>
        <v>#NAME?</v>
      </c>
      <c r="BK599" s="338" t="e">
        <f t="shared" ca="1" si="541"/>
        <v>#NAME?</v>
      </c>
      <c r="BL599" s="327" t="e">
        <f t="shared" ca="1" si="521"/>
        <v>#NAME?</v>
      </c>
      <c r="BM599" s="328">
        <f t="shared" si="522"/>
        <v>200</v>
      </c>
      <c r="BN599" s="329" t="e">
        <f t="shared" ca="1" si="523"/>
        <v>#NAME?</v>
      </c>
      <c r="BO599" s="344" t="e">
        <f t="shared" ca="1" si="542"/>
        <v>#NAME?</v>
      </c>
      <c r="BP599" s="320" t="e">
        <f t="shared" ca="1" si="524"/>
        <v>#NAME?</v>
      </c>
      <c r="BQ599" s="344" t="e">
        <f t="shared" ca="1" si="543"/>
        <v>#NAME?</v>
      </c>
      <c r="BR599" s="347" t="e">
        <f t="shared" ca="1" si="544"/>
        <v>#NAME?</v>
      </c>
      <c r="BS599" s="326" t="e">
        <f t="shared" ca="1" si="525"/>
        <v>#NAME?</v>
      </c>
      <c r="BT599" s="437" t="e">
        <f t="shared" ref="BT599:BT662" ca="1" si="557">IF(AND(M599=0,M598&gt;0),I599,"")</f>
        <v>#NAME?</v>
      </c>
      <c r="BU599" s="437" t="e">
        <f t="shared" ref="BU599:BU662" ca="1" si="558">IF(AND(N599=0,N598&gt;0),$I599,"")</f>
        <v>#NAME?</v>
      </c>
      <c r="BV599" s="441" t="e">
        <f t="shared" ref="BV599:BV662" ca="1" si="559">BV598+AC598</f>
        <v>#NAME?</v>
      </c>
      <c r="BW599" s="442" t="e">
        <f t="shared" ref="BW599:BW662" ca="1" si="560">BW598+AL598</f>
        <v>#NAME?</v>
      </c>
      <c r="BX599" s="470" t="e">
        <f t="shared" ca="1" si="534"/>
        <v>#NAME?</v>
      </c>
      <c r="BY599" s="484" t="e">
        <f t="shared" ca="1" si="545"/>
        <v>#NAME?</v>
      </c>
    </row>
    <row r="600" spans="9:77" ht="17.75" customHeight="1" x14ac:dyDescent="0.2">
      <c r="I600" s="366">
        <v>516</v>
      </c>
      <c r="J600" s="414">
        <f t="shared" si="546"/>
        <v>41706.070833334503</v>
      </c>
      <c r="K600" s="435" t="e">
        <f t="shared" ca="1" si="547"/>
        <v>#NAME?</v>
      </c>
      <c r="L600" s="435" t="e">
        <f t="shared" ca="1" si="528"/>
        <v>#NAME?</v>
      </c>
      <c r="M600" s="664" t="e">
        <f t="shared" ca="1" si="526"/>
        <v>#NAME?</v>
      </c>
      <c r="N600" s="664" t="e">
        <f t="shared" ca="1" si="527"/>
        <v>#NAME?</v>
      </c>
      <c r="O600" s="140" t="e">
        <f t="shared" ca="1" si="535"/>
        <v>#NAME?</v>
      </c>
      <c r="P600" s="352" t="e">
        <f t="shared" ca="1" si="548"/>
        <v>#NAME?</v>
      </c>
      <c r="Q600" s="665" t="e">
        <f t="shared" ca="1" si="529"/>
        <v>#NAME?</v>
      </c>
      <c r="R600" s="352" t="e">
        <f t="shared" ca="1" si="499"/>
        <v>#NAME?</v>
      </c>
      <c r="S600" s="662" t="e">
        <f t="shared" ca="1" si="536"/>
        <v>#NAME?</v>
      </c>
      <c r="T600" s="443" t="e">
        <f t="shared" ca="1" si="530"/>
        <v>#NAME?</v>
      </c>
      <c r="U600" s="369" t="e">
        <f t="shared" ca="1" si="531"/>
        <v>#NAME?</v>
      </c>
      <c r="V600" s="454" t="e">
        <f t="shared" ca="1" si="537"/>
        <v>#NAME?</v>
      </c>
      <c r="W600" s="457">
        <f t="shared" si="538"/>
        <v>1000</v>
      </c>
      <c r="X600" s="463" t="e">
        <f t="shared" ca="1" si="539"/>
        <v>#NAME?</v>
      </c>
      <c r="Y600" s="455" t="e">
        <f t="shared" ca="1" si="549"/>
        <v>#NAME?</v>
      </c>
      <c r="Z600" s="699">
        <f t="shared" si="532"/>
        <v>8.5</v>
      </c>
      <c r="AA600" s="355" t="str">
        <f t="shared" si="533"/>
        <v>ON</v>
      </c>
      <c r="AB600" s="357">
        <f t="shared" si="500"/>
        <v>1.4999999999999999E-2</v>
      </c>
      <c r="AC600" s="356" t="e">
        <f ca="1">IF(  Y599=0,0,IF(OR(S600="KCAS",S600="INOP",S600="MEFE"),   ( (5*( (   (((1+0.2*(T600/661.4786)^2)^3.5 -1)  )/( (1-6.8755856*10^-6 *100*Y600)^5.2558797) +1)^(2/7) -1) )^0.5),IF(S600="MACH",T600, IF(S600="LRC",BicubicInterpolation( 'LRC Mach'!$C$4:$AL$21, Y600,U600),  IF(S600="MRC",BicubicInterpolation( 'MRC Mach'!$C$3:$T$18, Y600,U600),  IF(S600="M0.84",0.84,  IF(S600="CI52",BicubicInterpolation('CI=52 Mach'!$C$3:$T$18, Y600,U600),  IF(S600="HOLDING",BicubicInterpolation(  'Holding Mach'!$C$4:$M$13, Y600,U600),                         IF(S600="LRCINOP", BicubicInterpolation('LRC INOP Mach'!$C$4:$AA$21,Y600,U600), IF(S600="HOLDINGINOP",  BicubicInterpolation('Holding INOP Mach'!$N$4:$U$13,Y600,U600),         "XXX" )))))))   )))</f>
        <v>#NAME?</v>
      </c>
      <c r="AD600" s="313" t="e">
        <f t="shared" ca="1" si="501"/>
        <v>#NAME?</v>
      </c>
      <c r="AE600" s="314" t="e">
        <f t="shared" ca="1" si="550"/>
        <v>#NAME?</v>
      </c>
      <c r="AF600" s="313" t="e">
        <f t="shared" ca="1" si="502"/>
        <v>#NAME?</v>
      </c>
      <c r="AG600" s="314" t="e">
        <f t="shared" ca="1" si="551"/>
        <v>#NAME?</v>
      </c>
      <c r="AH600" s="313" t="e">
        <f t="shared" ca="1" si="503"/>
        <v>#NAME?</v>
      </c>
      <c r="AI600" s="314" t="e">
        <f t="shared" ca="1" si="552"/>
        <v>#NAME?</v>
      </c>
      <c r="AJ600" s="315" t="e">
        <f t="shared" ca="1" si="553"/>
        <v>#NAME?</v>
      </c>
      <c r="AK600" s="568" t="e">
        <f t="shared" ca="1" si="504"/>
        <v>#NAME?</v>
      </c>
      <c r="AL600" s="313" t="e">
        <f t="shared" ca="1" si="505"/>
        <v>#NAME?</v>
      </c>
      <c r="AM600" s="313" t="e">
        <f t="shared" ca="1" si="554"/>
        <v>#NAME?</v>
      </c>
      <c r="AN600" s="313" t="e">
        <f t="shared" ca="1" si="555"/>
        <v>#NAME?</v>
      </c>
      <c r="AO600" s="316" t="e">
        <f t="shared" ca="1" si="506"/>
        <v>#NAME?</v>
      </c>
      <c r="AP600" s="313" t="e">
        <f t="shared" ca="1" si="507"/>
        <v>#NAME?</v>
      </c>
      <c r="AQ600" s="314" t="e">
        <f t="shared" ca="1" si="556"/>
        <v>#NAME?</v>
      </c>
      <c r="AR600" s="315" t="e">
        <f t="shared" ca="1" si="508"/>
        <v>#NAME?</v>
      </c>
      <c r="AS600" s="316" t="e">
        <f t="shared" ca="1" si="509"/>
        <v>#NAME?</v>
      </c>
      <c r="AT600" s="315" t="e">
        <f t="shared" ca="1" si="510"/>
        <v>#NAME?</v>
      </c>
      <c r="AU600" s="317">
        <v>427.8</v>
      </c>
      <c r="AV600" s="315" t="e">
        <f t="shared" ca="1" si="511"/>
        <v>#NAME?</v>
      </c>
      <c r="AW600" s="318" t="e">
        <f ca="1">0.0001*BicubicInterpolation('Drag Coef Table'!$B$4:$L$28,AV600,AC600)</f>
        <v>#NAME?</v>
      </c>
      <c r="AX600" s="319" t="e">
        <f t="shared" ca="1" si="512"/>
        <v>#NAME?</v>
      </c>
      <c r="AY600" s="318" t="e">
        <f t="shared" ca="1" si="513"/>
        <v>#NAME?</v>
      </c>
      <c r="AZ600" s="320" t="e">
        <f t="shared" ca="1" si="514"/>
        <v>#NAME?</v>
      </c>
      <c r="BA600" s="321" t="e">
        <f t="shared" ca="1" si="515"/>
        <v>#NAME?</v>
      </c>
      <c r="BB600" s="322" t="e">
        <f t="shared" ca="1" si="516"/>
        <v>#NAME?</v>
      </c>
      <c r="BC600" s="323">
        <v>75.196700000000007</v>
      </c>
      <c r="BD600" s="324" t="e">
        <f t="shared" ca="1" si="517"/>
        <v>#NAME?</v>
      </c>
      <c r="BE600" s="325" t="e">
        <f t="shared" ca="1" si="518"/>
        <v>#NAME?</v>
      </c>
      <c r="BF600" s="324" t="e">
        <f ca="1">BicubicInterpolation('TSFC Eff Table'!$B$4:$E$69,2,BB600)</f>
        <v>#NAME?</v>
      </c>
      <c r="BG600" s="326" t="e">
        <f t="shared" ca="1" si="519"/>
        <v>#NAME?</v>
      </c>
      <c r="BH600" s="694" t="e">
        <f ca="1">IF( S600="LRCINOP",   (1+(0.03/10)*Z600*(1+0.2*AC600^2) )*BicubicInterpolation( 'LRC INOP FF'!$C$4:$AA$21, Y600, U600 )-200, IF(S600 ="HOLDINGINOP", (1+(0.03/10)*Z600*(1+0.2*AC600^2) )*BicubicInterpolation( 'Holding INOP FF'!$C$4:$J$13,  Y600,  U600)/1.05-200,   BA600*BG600))</f>
        <v>#NAME?</v>
      </c>
      <c r="BI600" s="344" t="e">
        <f t="shared" ca="1" si="540"/>
        <v>#NAME?</v>
      </c>
      <c r="BJ600" s="322" t="e">
        <f t="shared" ca="1" si="520"/>
        <v>#NAME?</v>
      </c>
      <c r="BK600" s="338" t="e">
        <f t="shared" ca="1" si="541"/>
        <v>#NAME?</v>
      </c>
      <c r="BL600" s="327" t="e">
        <f t="shared" ca="1" si="521"/>
        <v>#NAME?</v>
      </c>
      <c r="BM600" s="328">
        <f t="shared" si="522"/>
        <v>200</v>
      </c>
      <c r="BN600" s="329" t="e">
        <f t="shared" ca="1" si="523"/>
        <v>#NAME?</v>
      </c>
      <c r="BO600" s="344" t="e">
        <f t="shared" ca="1" si="542"/>
        <v>#NAME?</v>
      </c>
      <c r="BP600" s="320" t="e">
        <f t="shared" ca="1" si="524"/>
        <v>#NAME?</v>
      </c>
      <c r="BQ600" s="344" t="e">
        <f t="shared" ca="1" si="543"/>
        <v>#NAME?</v>
      </c>
      <c r="BR600" s="347" t="e">
        <f t="shared" ca="1" si="544"/>
        <v>#NAME?</v>
      </c>
      <c r="BS600" s="326" t="e">
        <f t="shared" ca="1" si="525"/>
        <v>#NAME?</v>
      </c>
      <c r="BT600" s="437" t="e">
        <f t="shared" ca="1" si="557"/>
        <v>#NAME?</v>
      </c>
      <c r="BU600" s="437" t="e">
        <f t="shared" ca="1" si="558"/>
        <v>#NAME?</v>
      </c>
      <c r="BV600" s="441" t="e">
        <f t="shared" ca="1" si="559"/>
        <v>#NAME?</v>
      </c>
      <c r="BW600" s="442" t="e">
        <f t="shared" ca="1" si="560"/>
        <v>#NAME?</v>
      </c>
      <c r="BX600" s="470" t="e">
        <f t="shared" ca="1" si="534"/>
        <v>#NAME?</v>
      </c>
      <c r="BY600" s="484" t="e">
        <f t="shared" ca="1" si="545"/>
        <v>#NAME?</v>
      </c>
    </row>
    <row r="601" spans="9:77" ht="17.75" customHeight="1" x14ac:dyDescent="0.2">
      <c r="I601" s="366">
        <v>517</v>
      </c>
      <c r="J601" s="414">
        <f t="shared" si="546"/>
        <v>41706.07152777895</v>
      </c>
      <c r="K601" s="435" t="e">
        <f t="shared" ca="1" si="547"/>
        <v>#NAME?</v>
      </c>
      <c r="L601" s="435" t="e">
        <f t="shared" ca="1" si="528"/>
        <v>#NAME?</v>
      </c>
      <c r="M601" s="664" t="e">
        <f t="shared" ca="1" si="526"/>
        <v>#NAME?</v>
      </c>
      <c r="N601" s="664" t="e">
        <f t="shared" ca="1" si="527"/>
        <v>#NAME?</v>
      </c>
      <c r="O601" s="140" t="e">
        <f t="shared" ca="1" si="535"/>
        <v>#NAME?</v>
      </c>
      <c r="P601" s="352" t="e">
        <f t="shared" ca="1" si="548"/>
        <v>#NAME?</v>
      </c>
      <c r="Q601" s="665" t="e">
        <f t="shared" ca="1" si="529"/>
        <v>#NAME?</v>
      </c>
      <c r="R601" s="352" t="e">
        <f t="shared" ca="1" si="499"/>
        <v>#NAME?</v>
      </c>
      <c r="S601" s="662" t="e">
        <f t="shared" ca="1" si="536"/>
        <v>#NAME?</v>
      </c>
      <c r="T601" s="443" t="e">
        <f t="shared" ca="1" si="530"/>
        <v>#NAME?</v>
      </c>
      <c r="U601" s="369" t="e">
        <f t="shared" ca="1" si="531"/>
        <v>#NAME?</v>
      </c>
      <c r="V601" s="454" t="e">
        <f t="shared" ca="1" si="537"/>
        <v>#NAME?</v>
      </c>
      <c r="W601" s="457">
        <f t="shared" si="538"/>
        <v>1000</v>
      </c>
      <c r="X601" s="463" t="e">
        <f t="shared" ca="1" si="539"/>
        <v>#NAME?</v>
      </c>
      <c r="Y601" s="455" t="e">
        <f t="shared" ca="1" si="549"/>
        <v>#NAME?</v>
      </c>
      <c r="Z601" s="699">
        <f t="shared" si="532"/>
        <v>8.5</v>
      </c>
      <c r="AA601" s="355" t="str">
        <f t="shared" si="533"/>
        <v>ON</v>
      </c>
      <c r="AB601" s="357">
        <f t="shared" si="500"/>
        <v>1.4999999999999999E-2</v>
      </c>
      <c r="AC601" s="356" t="e">
        <f ca="1">IF(  Y600=0,0,IF(OR(S601="KCAS",S601="INOP",S601="MEFE"),   ( (5*( (   (((1+0.2*(T601/661.4786)^2)^3.5 -1)  )/( (1-6.8755856*10^-6 *100*Y601)^5.2558797) +1)^(2/7) -1) )^0.5),IF(S601="MACH",T601, IF(S601="LRC",BicubicInterpolation( 'LRC Mach'!$C$4:$AL$21, Y601,U601),  IF(S601="MRC",BicubicInterpolation( 'MRC Mach'!$C$3:$T$18, Y601,U601),  IF(S601="M0.84",0.84,  IF(S601="CI52",BicubicInterpolation('CI=52 Mach'!$C$3:$T$18, Y601,U601),  IF(S601="HOLDING",BicubicInterpolation(  'Holding Mach'!$C$4:$M$13, Y601,U601),                         IF(S601="LRCINOP", BicubicInterpolation('LRC INOP Mach'!$C$4:$AA$21,Y601,U601), IF(S601="HOLDINGINOP",  BicubicInterpolation('Holding INOP Mach'!$N$4:$U$13,Y601,U601),         "XXX" )))))))   )))</f>
        <v>#NAME?</v>
      </c>
      <c r="AD601" s="313" t="e">
        <f t="shared" ca="1" si="501"/>
        <v>#NAME?</v>
      </c>
      <c r="AE601" s="314" t="e">
        <f t="shared" ca="1" si="550"/>
        <v>#NAME?</v>
      </c>
      <c r="AF601" s="313" t="e">
        <f t="shared" ca="1" si="502"/>
        <v>#NAME?</v>
      </c>
      <c r="AG601" s="314" t="e">
        <f t="shared" ca="1" si="551"/>
        <v>#NAME?</v>
      </c>
      <c r="AH601" s="313" t="e">
        <f t="shared" ca="1" si="503"/>
        <v>#NAME?</v>
      </c>
      <c r="AI601" s="314" t="e">
        <f t="shared" ca="1" si="552"/>
        <v>#NAME?</v>
      </c>
      <c r="AJ601" s="315" t="e">
        <f t="shared" ca="1" si="553"/>
        <v>#NAME?</v>
      </c>
      <c r="AK601" s="568" t="e">
        <f t="shared" ca="1" si="504"/>
        <v>#NAME?</v>
      </c>
      <c r="AL601" s="313" t="e">
        <f t="shared" ca="1" si="505"/>
        <v>#NAME?</v>
      </c>
      <c r="AM601" s="313" t="e">
        <f t="shared" ca="1" si="554"/>
        <v>#NAME?</v>
      </c>
      <c r="AN601" s="313" t="e">
        <f t="shared" ca="1" si="555"/>
        <v>#NAME?</v>
      </c>
      <c r="AO601" s="316" t="e">
        <f t="shared" ca="1" si="506"/>
        <v>#NAME?</v>
      </c>
      <c r="AP601" s="313" t="e">
        <f t="shared" ca="1" si="507"/>
        <v>#NAME?</v>
      </c>
      <c r="AQ601" s="314" t="e">
        <f t="shared" ca="1" si="556"/>
        <v>#NAME?</v>
      </c>
      <c r="AR601" s="315" t="e">
        <f t="shared" ca="1" si="508"/>
        <v>#NAME?</v>
      </c>
      <c r="AS601" s="316" t="e">
        <f t="shared" ca="1" si="509"/>
        <v>#NAME?</v>
      </c>
      <c r="AT601" s="315" t="e">
        <f t="shared" ca="1" si="510"/>
        <v>#NAME?</v>
      </c>
      <c r="AU601" s="317">
        <v>427.8</v>
      </c>
      <c r="AV601" s="315" t="e">
        <f t="shared" ca="1" si="511"/>
        <v>#NAME?</v>
      </c>
      <c r="AW601" s="318" t="e">
        <f ca="1">0.0001*BicubicInterpolation('Drag Coef Table'!$B$4:$L$28,AV601,AC601)</f>
        <v>#NAME?</v>
      </c>
      <c r="AX601" s="319" t="e">
        <f t="shared" ca="1" si="512"/>
        <v>#NAME?</v>
      </c>
      <c r="AY601" s="318" t="e">
        <f t="shared" ca="1" si="513"/>
        <v>#NAME?</v>
      </c>
      <c r="AZ601" s="320" t="e">
        <f t="shared" ca="1" si="514"/>
        <v>#NAME?</v>
      </c>
      <c r="BA601" s="321" t="e">
        <f t="shared" ca="1" si="515"/>
        <v>#NAME?</v>
      </c>
      <c r="BB601" s="322" t="e">
        <f t="shared" ca="1" si="516"/>
        <v>#NAME?</v>
      </c>
      <c r="BC601" s="323">
        <v>75.196700000000007</v>
      </c>
      <c r="BD601" s="324" t="e">
        <f t="shared" ca="1" si="517"/>
        <v>#NAME?</v>
      </c>
      <c r="BE601" s="325" t="e">
        <f t="shared" ca="1" si="518"/>
        <v>#NAME?</v>
      </c>
      <c r="BF601" s="324" t="e">
        <f ca="1">BicubicInterpolation('TSFC Eff Table'!$B$4:$E$69,2,BB601)</f>
        <v>#NAME?</v>
      </c>
      <c r="BG601" s="326" t="e">
        <f t="shared" ca="1" si="519"/>
        <v>#NAME?</v>
      </c>
      <c r="BH601" s="694" t="e">
        <f ca="1">IF( S601="LRCINOP",   (1+(0.03/10)*Z601*(1+0.2*AC601^2) )*BicubicInterpolation( 'LRC INOP FF'!$C$4:$AA$21, Y601, U601 )-200, IF(S601 ="HOLDINGINOP", (1+(0.03/10)*Z601*(1+0.2*AC601^2) )*BicubicInterpolation( 'Holding INOP FF'!$C$4:$J$13,  Y601,  U601)/1.05-200,   BA601*BG601))</f>
        <v>#NAME?</v>
      </c>
      <c r="BI601" s="344" t="e">
        <f t="shared" ca="1" si="540"/>
        <v>#NAME?</v>
      </c>
      <c r="BJ601" s="322" t="e">
        <f t="shared" ca="1" si="520"/>
        <v>#NAME?</v>
      </c>
      <c r="BK601" s="338" t="e">
        <f t="shared" ca="1" si="541"/>
        <v>#NAME?</v>
      </c>
      <c r="BL601" s="327" t="e">
        <f t="shared" ca="1" si="521"/>
        <v>#NAME?</v>
      </c>
      <c r="BM601" s="328">
        <f t="shared" si="522"/>
        <v>200</v>
      </c>
      <c r="BN601" s="329" t="e">
        <f t="shared" ca="1" si="523"/>
        <v>#NAME?</v>
      </c>
      <c r="BO601" s="344" t="e">
        <f t="shared" ca="1" si="542"/>
        <v>#NAME?</v>
      </c>
      <c r="BP601" s="320" t="e">
        <f t="shared" ca="1" si="524"/>
        <v>#NAME?</v>
      </c>
      <c r="BQ601" s="344" t="e">
        <f t="shared" ca="1" si="543"/>
        <v>#NAME?</v>
      </c>
      <c r="BR601" s="347" t="e">
        <f t="shared" ca="1" si="544"/>
        <v>#NAME?</v>
      </c>
      <c r="BS601" s="326" t="e">
        <f t="shared" ca="1" si="525"/>
        <v>#NAME?</v>
      </c>
      <c r="BT601" s="437" t="e">
        <f t="shared" ca="1" si="557"/>
        <v>#NAME?</v>
      </c>
      <c r="BU601" s="437" t="e">
        <f t="shared" ca="1" si="558"/>
        <v>#NAME?</v>
      </c>
      <c r="BV601" s="441" t="e">
        <f t="shared" ca="1" si="559"/>
        <v>#NAME?</v>
      </c>
      <c r="BW601" s="442" t="e">
        <f t="shared" ca="1" si="560"/>
        <v>#NAME?</v>
      </c>
      <c r="BX601" s="470" t="e">
        <f t="shared" ca="1" si="534"/>
        <v>#NAME?</v>
      </c>
      <c r="BY601" s="484" t="e">
        <f t="shared" ca="1" si="545"/>
        <v>#NAME?</v>
      </c>
    </row>
    <row r="602" spans="9:77" ht="17.75" customHeight="1" x14ac:dyDescent="0.2">
      <c r="I602" s="366">
        <v>518</v>
      </c>
      <c r="J602" s="414">
        <f t="shared" si="546"/>
        <v>41706.072222223396</v>
      </c>
      <c r="K602" s="435" t="e">
        <f t="shared" ca="1" si="547"/>
        <v>#NAME?</v>
      </c>
      <c r="L602" s="435" t="e">
        <f t="shared" ca="1" si="528"/>
        <v>#NAME?</v>
      </c>
      <c r="M602" s="664" t="e">
        <f t="shared" ca="1" si="526"/>
        <v>#NAME?</v>
      </c>
      <c r="N602" s="664" t="e">
        <f t="shared" ca="1" si="527"/>
        <v>#NAME?</v>
      </c>
      <c r="O602" s="140" t="e">
        <f t="shared" ca="1" si="535"/>
        <v>#NAME?</v>
      </c>
      <c r="P602" s="352" t="e">
        <f t="shared" ca="1" si="548"/>
        <v>#NAME?</v>
      </c>
      <c r="Q602" s="665" t="e">
        <f t="shared" ca="1" si="529"/>
        <v>#NAME?</v>
      </c>
      <c r="R602" s="352" t="e">
        <f t="shared" ca="1" si="499"/>
        <v>#NAME?</v>
      </c>
      <c r="S602" s="662" t="e">
        <f t="shared" ca="1" si="536"/>
        <v>#NAME?</v>
      </c>
      <c r="T602" s="443" t="e">
        <f t="shared" ca="1" si="530"/>
        <v>#NAME?</v>
      </c>
      <c r="U602" s="369" t="e">
        <f t="shared" ca="1" si="531"/>
        <v>#NAME?</v>
      </c>
      <c r="V602" s="454" t="e">
        <f t="shared" ca="1" si="537"/>
        <v>#NAME?</v>
      </c>
      <c r="W602" s="457">
        <f t="shared" si="538"/>
        <v>1000</v>
      </c>
      <c r="X602" s="463" t="e">
        <f t="shared" ca="1" si="539"/>
        <v>#NAME?</v>
      </c>
      <c r="Y602" s="455" t="e">
        <f t="shared" ca="1" si="549"/>
        <v>#NAME?</v>
      </c>
      <c r="Z602" s="699">
        <f t="shared" si="532"/>
        <v>8.5</v>
      </c>
      <c r="AA602" s="355" t="str">
        <f t="shared" si="533"/>
        <v>ON</v>
      </c>
      <c r="AB602" s="357">
        <f t="shared" si="500"/>
        <v>1.4999999999999999E-2</v>
      </c>
      <c r="AC602" s="356" t="e">
        <f ca="1">IF(  Y601=0,0,IF(OR(S602="KCAS",S602="INOP",S602="MEFE"),   ( (5*( (   (((1+0.2*(T602/661.4786)^2)^3.5 -1)  )/( (1-6.8755856*10^-6 *100*Y602)^5.2558797) +1)^(2/7) -1) )^0.5),IF(S602="MACH",T602, IF(S602="LRC",BicubicInterpolation( 'LRC Mach'!$C$4:$AL$21, Y602,U602),  IF(S602="MRC",BicubicInterpolation( 'MRC Mach'!$C$3:$T$18, Y602,U602),  IF(S602="M0.84",0.84,  IF(S602="CI52",BicubicInterpolation('CI=52 Mach'!$C$3:$T$18, Y602,U602),  IF(S602="HOLDING",BicubicInterpolation(  'Holding Mach'!$C$4:$M$13, Y602,U602),                         IF(S602="LRCINOP", BicubicInterpolation('LRC INOP Mach'!$C$4:$AA$21,Y602,U602), IF(S602="HOLDINGINOP",  BicubicInterpolation('Holding INOP Mach'!$N$4:$U$13,Y602,U602),         "XXX" )))))))   )))</f>
        <v>#NAME?</v>
      </c>
      <c r="AD602" s="313" t="e">
        <f t="shared" ca="1" si="501"/>
        <v>#NAME?</v>
      </c>
      <c r="AE602" s="314" t="e">
        <f t="shared" ca="1" si="550"/>
        <v>#NAME?</v>
      </c>
      <c r="AF602" s="313" t="e">
        <f t="shared" ca="1" si="502"/>
        <v>#NAME?</v>
      </c>
      <c r="AG602" s="314" t="e">
        <f t="shared" ca="1" si="551"/>
        <v>#NAME?</v>
      </c>
      <c r="AH602" s="313" t="e">
        <f t="shared" ca="1" si="503"/>
        <v>#NAME?</v>
      </c>
      <c r="AI602" s="314" t="e">
        <f t="shared" ca="1" si="552"/>
        <v>#NAME?</v>
      </c>
      <c r="AJ602" s="315" t="e">
        <f t="shared" ca="1" si="553"/>
        <v>#NAME?</v>
      </c>
      <c r="AK602" s="568" t="e">
        <f t="shared" ca="1" si="504"/>
        <v>#NAME?</v>
      </c>
      <c r="AL602" s="313" t="e">
        <f t="shared" ca="1" si="505"/>
        <v>#NAME?</v>
      </c>
      <c r="AM602" s="313" t="e">
        <f t="shared" ca="1" si="554"/>
        <v>#NAME?</v>
      </c>
      <c r="AN602" s="313" t="e">
        <f t="shared" ca="1" si="555"/>
        <v>#NAME?</v>
      </c>
      <c r="AO602" s="316" t="e">
        <f t="shared" ca="1" si="506"/>
        <v>#NAME?</v>
      </c>
      <c r="AP602" s="313" t="e">
        <f t="shared" ca="1" si="507"/>
        <v>#NAME?</v>
      </c>
      <c r="AQ602" s="314" t="e">
        <f t="shared" ca="1" si="556"/>
        <v>#NAME?</v>
      </c>
      <c r="AR602" s="315" t="e">
        <f t="shared" ca="1" si="508"/>
        <v>#NAME?</v>
      </c>
      <c r="AS602" s="316" t="e">
        <f t="shared" ca="1" si="509"/>
        <v>#NAME?</v>
      </c>
      <c r="AT602" s="315" t="e">
        <f t="shared" ca="1" si="510"/>
        <v>#NAME?</v>
      </c>
      <c r="AU602" s="317">
        <v>427.8</v>
      </c>
      <c r="AV602" s="315" t="e">
        <f t="shared" ca="1" si="511"/>
        <v>#NAME?</v>
      </c>
      <c r="AW602" s="318" t="e">
        <f ca="1">0.0001*BicubicInterpolation('Drag Coef Table'!$B$4:$L$28,AV602,AC602)</f>
        <v>#NAME?</v>
      </c>
      <c r="AX602" s="319" t="e">
        <f t="shared" ca="1" si="512"/>
        <v>#NAME?</v>
      </c>
      <c r="AY602" s="318" t="e">
        <f t="shared" ca="1" si="513"/>
        <v>#NAME?</v>
      </c>
      <c r="AZ602" s="320" t="e">
        <f t="shared" ca="1" si="514"/>
        <v>#NAME?</v>
      </c>
      <c r="BA602" s="321" t="e">
        <f t="shared" ca="1" si="515"/>
        <v>#NAME?</v>
      </c>
      <c r="BB602" s="322" t="e">
        <f t="shared" ca="1" si="516"/>
        <v>#NAME?</v>
      </c>
      <c r="BC602" s="323">
        <v>75.196700000000007</v>
      </c>
      <c r="BD602" s="324" t="e">
        <f t="shared" ca="1" si="517"/>
        <v>#NAME?</v>
      </c>
      <c r="BE602" s="325" t="e">
        <f t="shared" ca="1" si="518"/>
        <v>#NAME?</v>
      </c>
      <c r="BF602" s="324" t="e">
        <f ca="1">BicubicInterpolation('TSFC Eff Table'!$B$4:$E$69,2,BB602)</f>
        <v>#NAME?</v>
      </c>
      <c r="BG602" s="326" t="e">
        <f t="shared" ca="1" si="519"/>
        <v>#NAME?</v>
      </c>
      <c r="BH602" s="694" t="e">
        <f ca="1">IF( S602="LRCINOP",   (1+(0.03/10)*Z602*(1+0.2*AC602^2) )*BicubicInterpolation( 'LRC INOP FF'!$C$4:$AA$21, Y602, U602 )-200, IF(S602 ="HOLDINGINOP", (1+(0.03/10)*Z602*(1+0.2*AC602^2) )*BicubicInterpolation( 'Holding INOP FF'!$C$4:$J$13,  Y602,  U602)/1.05-200,   BA602*BG602))</f>
        <v>#NAME?</v>
      </c>
      <c r="BI602" s="344" t="e">
        <f t="shared" ca="1" si="540"/>
        <v>#NAME?</v>
      </c>
      <c r="BJ602" s="322" t="e">
        <f t="shared" ca="1" si="520"/>
        <v>#NAME?</v>
      </c>
      <c r="BK602" s="338" t="e">
        <f t="shared" ca="1" si="541"/>
        <v>#NAME?</v>
      </c>
      <c r="BL602" s="327" t="e">
        <f t="shared" ca="1" si="521"/>
        <v>#NAME?</v>
      </c>
      <c r="BM602" s="328">
        <f t="shared" si="522"/>
        <v>200</v>
      </c>
      <c r="BN602" s="329" t="e">
        <f t="shared" ca="1" si="523"/>
        <v>#NAME?</v>
      </c>
      <c r="BO602" s="344" t="e">
        <f t="shared" ca="1" si="542"/>
        <v>#NAME?</v>
      </c>
      <c r="BP602" s="320" t="e">
        <f t="shared" ca="1" si="524"/>
        <v>#NAME?</v>
      </c>
      <c r="BQ602" s="344" t="e">
        <f t="shared" ca="1" si="543"/>
        <v>#NAME?</v>
      </c>
      <c r="BR602" s="347" t="e">
        <f t="shared" ca="1" si="544"/>
        <v>#NAME?</v>
      </c>
      <c r="BS602" s="326" t="e">
        <f t="shared" ca="1" si="525"/>
        <v>#NAME?</v>
      </c>
      <c r="BT602" s="437" t="e">
        <f t="shared" ca="1" si="557"/>
        <v>#NAME?</v>
      </c>
      <c r="BU602" s="437" t="e">
        <f t="shared" ca="1" si="558"/>
        <v>#NAME?</v>
      </c>
      <c r="BV602" s="441" t="e">
        <f t="shared" ca="1" si="559"/>
        <v>#NAME?</v>
      </c>
      <c r="BW602" s="442" t="e">
        <f t="shared" ca="1" si="560"/>
        <v>#NAME?</v>
      </c>
      <c r="BX602" s="470" t="e">
        <f t="shared" ca="1" si="534"/>
        <v>#NAME?</v>
      </c>
      <c r="BY602" s="484" t="e">
        <f t="shared" ca="1" si="545"/>
        <v>#NAME?</v>
      </c>
    </row>
    <row r="603" spans="9:77" ht="17.75" customHeight="1" x14ac:dyDescent="0.2">
      <c r="I603" s="366">
        <v>519</v>
      </c>
      <c r="J603" s="414">
        <f t="shared" si="546"/>
        <v>41706.072916667843</v>
      </c>
      <c r="K603" s="435" t="e">
        <f t="shared" ca="1" si="547"/>
        <v>#NAME?</v>
      </c>
      <c r="L603" s="435" t="e">
        <f t="shared" ca="1" si="528"/>
        <v>#NAME?</v>
      </c>
      <c r="M603" s="664" t="e">
        <f t="shared" ca="1" si="526"/>
        <v>#NAME?</v>
      </c>
      <c r="N603" s="664" t="e">
        <f t="shared" ca="1" si="527"/>
        <v>#NAME?</v>
      </c>
      <c r="O603" s="140" t="e">
        <f t="shared" ca="1" si="535"/>
        <v>#NAME?</v>
      </c>
      <c r="P603" s="352" t="e">
        <f t="shared" ca="1" si="548"/>
        <v>#NAME?</v>
      </c>
      <c r="Q603" s="665" t="e">
        <f t="shared" ca="1" si="529"/>
        <v>#NAME?</v>
      </c>
      <c r="R603" s="352" t="e">
        <f t="shared" ca="1" si="499"/>
        <v>#NAME?</v>
      </c>
      <c r="S603" s="662" t="e">
        <f t="shared" ca="1" si="536"/>
        <v>#NAME?</v>
      </c>
      <c r="T603" s="443" t="e">
        <f t="shared" ca="1" si="530"/>
        <v>#NAME?</v>
      </c>
      <c r="U603" s="369" t="e">
        <f t="shared" ca="1" si="531"/>
        <v>#NAME?</v>
      </c>
      <c r="V603" s="454" t="e">
        <f t="shared" ca="1" si="537"/>
        <v>#NAME?</v>
      </c>
      <c r="W603" s="457">
        <f t="shared" si="538"/>
        <v>1000</v>
      </c>
      <c r="X603" s="463" t="e">
        <f t="shared" ca="1" si="539"/>
        <v>#NAME?</v>
      </c>
      <c r="Y603" s="455" t="e">
        <f t="shared" ca="1" si="549"/>
        <v>#NAME?</v>
      </c>
      <c r="Z603" s="699">
        <f t="shared" si="532"/>
        <v>8.5</v>
      </c>
      <c r="AA603" s="355" t="str">
        <f t="shared" si="533"/>
        <v>ON</v>
      </c>
      <c r="AB603" s="357">
        <f t="shared" si="500"/>
        <v>1.4999999999999999E-2</v>
      </c>
      <c r="AC603" s="356" t="e">
        <f ca="1">IF(  Y602=0,0,IF(OR(S603="KCAS",S603="INOP",S603="MEFE"),   ( (5*( (   (((1+0.2*(T603/661.4786)^2)^3.5 -1)  )/( (1-6.8755856*10^-6 *100*Y603)^5.2558797) +1)^(2/7) -1) )^0.5),IF(S603="MACH",T603, IF(S603="LRC",BicubicInterpolation( 'LRC Mach'!$C$4:$AL$21, Y603,U603),  IF(S603="MRC",BicubicInterpolation( 'MRC Mach'!$C$3:$T$18, Y603,U603),  IF(S603="M0.84",0.84,  IF(S603="CI52",BicubicInterpolation('CI=52 Mach'!$C$3:$T$18, Y603,U603),  IF(S603="HOLDING",BicubicInterpolation(  'Holding Mach'!$C$4:$M$13, Y603,U603),                         IF(S603="LRCINOP", BicubicInterpolation('LRC INOP Mach'!$C$4:$AA$21,Y603,U603), IF(S603="HOLDINGINOP",  BicubicInterpolation('Holding INOP Mach'!$N$4:$U$13,Y603,U603),         "XXX" )))))))   )))</f>
        <v>#NAME?</v>
      </c>
      <c r="AD603" s="313" t="e">
        <f t="shared" ca="1" si="501"/>
        <v>#NAME?</v>
      </c>
      <c r="AE603" s="314" t="e">
        <f t="shared" ca="1" si="550"/>
        <v>#NAME?</v>
      </c>
      <c r="AF603" s="313" t="e">
        <f t="shared" ca="1" si="502"/>
        <v>#NAME?</v>
      </c>
      <c r="AG603" s="314" t="e">
        <f t="shared" ca="1" si="551"/>
        <v>#NAME?</v>
      </c>
      <c r="AH603" s="313" t="e">
        <f t="shared" ca="1" si="503"/>
        <v>#NAME?</v>
      </c>
      <c r="AI603" s="314" t="e">
        <f t="shared" ca="1" si="552"/>
        <v>#NAME?</v>
      </c>
      <c r="AJ603" s="315" t="e">
        <f t="shared" ca="1" si="553"/>
        <v>#NAME?</v>
      </c>
      <c r="AK603" s="568" t="e">
        <f t="shared" ca="1" si="504"/>
        <v>#NAME?</v>
      </c>
      <c r="AL603" s="313" t="e">
        <f t="shared" ca="1" si="505"/>
        <v>#NAME?</v>
      </c>
      <c r="AM603" s="313" t="e">
        <f t="shared" ca="1" si="554"/>
        <v>#NAME?</v>
      </c>
      <c r="AN603" s="313" t="e">
        <f t="shared" ca="1" si="555"/>
        <v>#NAME?</v>
      </c>
      <c r="AO603" s="316" t="e">
        <f t="shared" ca="1" si="506"/>
        <v>#NAME?</v>
      </c>
      <c r="AP603" s="313" t="e">
        <f t="shared" ca="1" si="507"/>
        <v>#NAME?</v>
      </c>
      <c r="AQ603" s="314" t="e">
        <f t="shared" ca="1" si="556"/>
        <v>#NAME?</v>
      </c>
      <c r="AR603" s="315" t="e">
        <f t="shared" ca="1" si="508"/>
        <v>#NAME?</v>
      </c>
      <c r="AS603" s="316" t="e">
        <f t="shared" ca="1" si="509"/>
        <v>#NAME?</v>
      </c>
      <c r="AT603" s="315" t="e">
        <f t="shared" ca="1" si="510"/>
        <v>#NAME?</v>
      </c>
      <c r="AU603" s="317">
        <v>427.8</v>
      </c>
      <c r="AV603" s="315" t="e">
        <f t="shared" ca="1" si="511"/>
        <v>#NAME?</v>
      </c>
      <c r="AW603" s="318" t="e">
        <f ca="1">0.0001*BicubicInterpolation('Drag Coef Table'!$B$4:$L$28,AV603,AC603)</f>
        <v>#NAME?</v>
      </c>
      <c r="AX603" s="319" t="e">
        <f t="shared" ca="1" si="512"/>
        <v>#NAME?</v>
      </c>
      <c r="AY603" s="318" t="e">
        <f t="shared" ca="1" si="513"/>
        <v>#NAME?</v>
      </c>
      <c r="AZ603" s="320" t="e">
        <f t="shared" ca="1" si="514"/>
        <v>#NAME?</v>
      </c>
      <c r="BA603" s="321" t="e">
        <f t="shared" ca="1" si="515"/>
        <v>#NAME?</v>
      </c>
      <c r="BB603" s="322" t="e">
        <f t="shared" ca="1" si="516"/>
        <v>#NAME?</v>
      </c>
      <c r="BC603" s="323">
        <v>75.196700000000007</v>
      </c>
      <c r="BD603" s="324" t="e">
        <f t="shared" ca="1" si="517"/>
        <v>#NAME?</v>
      </c>
      <c r="BE603" s="325" t="e">
        <f t="shared" ca="1" si="518"/>
        <v>#NAME?</v>
      </c>
      <c r="BF603" s="324" t="e">
        <f ca="1">BicubicInterpolation('TSFC Eff Table'!$B$4:$E$69,2,BB603)</f>
        <v>#NAME?</v>
      </c>
      <c r="BG603" s="326" t="e">
        <f t="shared" ca="1" si="519"/>
        <v>#NAME?</v>
      </c>
      <c r="BH603" s="694" t="e">
        <f ca="1">IF( S603="LRCINOP",   (1+(0.03/10)*Z603*(1+0.2*AC603^2) )*BicubicInterpolation( 'LRC INOP FF'!$C$4:$AA$21, Y603, U603 )-200, IF(S603 ="HOLDINGINOP", (1+(0.03/10)*Z603*(1+0.2*AC603^2) )*BicubicInterpolation( 'Holding INOP FF'!$C$4:$J$13,  Y603,  U603)/1.05-200,   BA603*BG603))</f>
        <v>#NAME?</v>
      </c>
      <c r="BI603" s="344" t="e">
        <f t="shared" ca="1" si="540"/>
        <v>#NAME?</v>
      </c>
      <c r="BJ603" s="322" t="e">
        <f t="shared" ca="1" si="520"/>
        <v>#NAME?</v>
      </c>
      <c r="BK603" s="338" t="e">
        <f t="shared" ca="1" si="541"/>
        <v>#NAME?</v>
      </c>
      <c r="BL603" s="327" t="e">
        <f t="shared" ca="1" si="521"/>
        <v>#NAME?</v>
      </c>
      <c r="BM603" s="328">
        <f t="shared" si="522"/>
        <v>200</v>
      </c>
      <c r="BN603" s="329" t="e">
        <f t="shared" ca="1" si="523"/>
        <v>#NAME?</v>
      </c>
      <c r="BO603" s="344" t="e">
        <f t="shared" ca="1" si="542"/>
        <v>#NAME?</v>
      </c>
      <c r="BP603" s="320" t="e">
        <f t="shared" ca="1" si="524"/>
        <v>#NAME?</v>
      </c>
      <c r="BQ603" s="344" t="e">
        <f t="shared" ca="1" si="543"/>
        <v>#NAME?</v>
      </c>
      <c r="BR603" s="347" t="e">
        <f t="shared" ca="1" si="544"/>
        <v>#NAME?</v>
      </c>
      <c r="BS603" s="326" t="e">
        <f t="shared" ca="1" si="525"/>
        <v>#NAME?</v>
      </c>
      <c r="BT603" s="437" t="e">
        <f t="shared" ca="1" si="557"/>
        <v>#NAME?</v>
      </c>
      <c r="BU603" s="437" t="e">
        <f t="shared" ca="1" si="558"/>
        <v>#NAME?</v>
      </c>
      <c r="BV603" s="441" t="e">
        <f t="shared" ca="1" si="559"/>
        <v>#NAME?</v>
      </c>
      <c r="BW603" s="442" t="e">
        <f t="shared" ca="1" si="560"/>
        <v>#NAME?</v>
      </c>
      <c r="BX603" s="470" t="e">
        <f t="shared" ca="1" si="534"/>
        <v>#NAME?</v>
      </c>
      <c r="BY603" s="484" t="e">
        <f t="shared" ca="1" si="545"/>
        <v>#NAME?</v>
      </c>
    </row>
    <row r="604" spans="9:77" ht="17.75" customHeight="1" x14ac:dyDescent="0.2">
      <c r="I604" s="366">
        <v>520</v>
      </c>
      <c r="J604" s="414">
        <f t="shared" si="546"/>
        <v>41706.07361111229</v>
      </c>
      <c r="K604" s="435" t="e">
        <f t="shared" ca="1" si="547"/>
        <v>#NAME?</v>
      </c>
      <c r="L604" s="435" t="e">
        <f t="shared" ca="1" si="528"/>
        <v>#NAME?</v>
      </c>
      <c r="M604" s="664" t="e">
        <f t="shared" ca="1" si="526"/>
        <v>#NAME?</v>
      </c>
      <c r="N604" s="664" t="e">
        <f t="shared" ca="1" si="527"/>
        <v>#NAME?</v>
      </c>
      <c r="O604" s="140" t="e">
        <f t="shared" ca="1" si="535"/>
        <v>#NAME?</v>
      </c>
      <c r="P604" s="352" t="e">
        <f t="shared" ca="1" si="548"/>
        <v>#NAME?</v>
      </c>
      <c r="Q604" s="665" t="e">
        <f t="shared" ca="1" si="529"/>
        <v>#NAME?</v>
      </c>
      <c r="R604" s="352" t="e">
        <f t="shared" ca="1" si="499"/>
        <v>#NAME?</v>
      </c>
      <c r="S604" s="662" t="e">
        <f t="shared" ca="1" si="536"/>
        <v>#NAME?</v>
      </c>
      <c r="T604" s="443" t="e">
        <f t="shared" ca="1" si="530"/>
        <v>#NAME?</v>
      </c>
      <c r="U604" s="369" t="e">
        <f t="shared" ca="1" si="531"/>
        <v>#NAME?</v>
      </c>
      <c r="V604" s="454" t="e">
        <f t="shared" ca="1" si="537"/>
        <v>#NAME?</v>
      </c>
      <c r="W604" s="457">
        <f t="shared" si="538"/>
        <v>1000</v>
      </c>
      <c r="X604" s="463" t="e">
        <f t="shared" ca="1" si="539"/>
        <v>#NAME?</v>
      </c>
      <c r="Y604" s="455" t="e">
        <f t="shared" ca="1" si="549"/>
        <v>#NAME?</v>
      </c>
      <c r="Z604" s="699">
        <f t="shared" si="532"/>
        <v>8.5</v>
      </c>
      <c r="AA604" s="355" t="str">
        <f t="shared" si="533"/>
        <v>ON</v>
      </c>
      <c r="AB604" s="357">
        <f t="shared" si="500"/>
        <v>1.4999999999999999E-2</v>
      </c>
      <c r="AC604" s="356" t="e">
        <f ca="1">IF(  Y603=0,0,IF(OR(S604="KCAS",S604="INOP",S604="MEFE"),   ( (5*( (   (((1+0.2*(T604/661.4786)^2)^3.5 -1)  )/( (1-6.8755856*10^-6 *100*Y604)^5.2558797) +1)^(2/7) -1) )^0.5),IF(S604="MACH",T604, IF(S604="LRC",BicubicInterpolation( 'LRC Mach'!$C$4:$AL$21, Y604,U604),  IF(S604="MRC",BicubicInterpolation( 'MRC Mach'!$C$3:$T$18, Y604,U604),  IF(S604="M0.84",0.84,  IF(S604="CI52",BicubicInterpolation('CI=52 Mach'!$C$3:$T$18, Y604,U604),  IF(S604="HOLDING",BicubicInterpolation(  'Holding Mach'!$C$4:$M$13, Y604,U604),                         IF(S604="LRCINOP", BicubicInterpolation('LRC INOP Mach'!$C$4:$AA$21,Y604,U604), IF(S604="HOLDINGINOP",  BicubicInterpolation('Holding INOP Mach'!$N$4:$U$13,Y604,U604),         "XXX" )))))))   )))</f>
        <v>#NAME?</v>
      </c>
      <c r="AD604" s="313" t="e">
        <f t="shared" ca="1" si="501"/>
        <v>#NAME?</v>
      </c>
      <c r="AE604" s="314" t="e">
        <f t="shared" ca="1" si="550"/>
        <v>#NAME?</v>
      </c>
      <c r="AF604" s="313" t="e">
        <f t="shared" ca="1" si="502"/>
        <v>#NAME?</v>
      </c>
      <c r="AG604" s="314" t="e">
        <f t="shared" ca="1" si="551"/>
        <v>#NAME?</v>
      </c>
      <c r="AH604" s="313" t="e">
        <f t="shared" ca="1" si="503"/>
        <v>#NAME?</v>
      </c>
      <c r="AI604" s="314" t="e">
        <f t="shared" ca="1" si="552"/>
        <v>#NAME?</v>
      </c>
      <c r="AJ604" s="315" t="e">
        <f t="shared" ca="1" si="553"/>
        <v>#NAME?</v>
      </c>
      <c r="AK604" s="568" t="e">
        <f t="shared" ca="1" si="504"/>
        <v>#NAME?</v>
      </c>
      <c r="AL604" s="313" t="e">
        <f t="shared" ca="1" si="505"/>
        <v>#NAME?</v>
      </c>
      <c r="AM604" s="313" t="e">
        <f t="shared" ca="1" si="554"/>
        <v>#NAME?</v>
      </c>
      <c r="AN604" s="313" t="e">
        <f t="shared" ca="1" si="555"/>
        <v>#NAME?</v>
      </c>
      <c r="AO604" s="316" t="e">
        <f t="shared" ca="1" si="506"/>
        <v>#NAME?</v>
      </c>
      <c r="AP604" s="313" t="e">
        <f t="shared" ca="1" si="507"/>
        <v>#NAME?</v>
      </c>
      <c r="AQ604" s="314" t="e">
        <f t="shared" ca="1" si="556"/>
        <v>#NAME?</v>
      </c>
      <c r="AR604" s="315" t="e">
        <f t="shared" ca="1" si="508"/>
        <v>#NAME?</v>
      </c>
      <c r="AS604" s="316" t="e">
        <f t="shared" ca="1" si="509"/>
        <v>#NAME?</v>
      </c>
      <c r="AT604" s="315" t="e">
        <f t="shared" ca="1" si="510"/>
        <v>#NAME?</v>
      </c>
      <c r="AU604" s="317">
        <v>427.8</v>
      </c>
      <c r="AV604" s="315" t="e">
        <f t="shared" ca="1" si="511"/>
        <v>#NAME?</v>
      </c>
      <c r="AW604" s="318" t="e">
        <f ca="1">0.0001*BicubicInterpolation('Drag Coef Table'!$B$4:$L$28,AV604,AC604)</f>
        <v>#NAME?</v>
      </c>
      <c r="AX604" s="319" t="e">
        <f t="shared" ca="1" si="512"/>
        <v>#NAME?</v>
      </c>
      <c r="AY604" s="318" t="e">
        <f t="shared" ca="1" si="513"/>
        <v>#NAME?</v>
      </c>
      <c r="AZ604" s="320" t="e">
        <f t="shared" ca="1" si="514"/>
        <v>#NAME?</v>
      </c>
      <c r="BA604" s="321" t="e">
        <f t="shared" ca="1" si="515"/>
        <v>#NAME?</v>
      </c>
      <c r="BB604" s="322" t="e">
        <f t="shared" ca="1" si="516"/>
        <v>#NAME?</v>
      </c>
      <c r="BC604" s="323">
        <v>75.196700000000007</v>
      </c>
      <c r="BD604" s="324" t="e">
        <f t="shared" ca="1" si="517"/>
        <v>#NAME?</v>
      </c>
      <c r="BE604" s="325" t="e">
        <f t="shared" ca="1" si="518"/>
        <v>#NAME?</v>
      </c>
      <c r="BF604" s="324" t="e">
        <f ca="1">BicubicInterpolation('TSFC Eff Table'!$B$4:$E$69,2,BB604)</f>
        <v>#NAME?</v>
      </c>
      <c r="BG604" s="326" t="e">
        <f t="shared" ca="1" si="519"/>
        <v>#NAME?</v>
      </c>
      <c r="BH604" s="694" t="e">
        <f ca="1">IF( S604="LRCINOP",   (1+(0.03/10)*Z604*(1+0.2*AC604^2) )*BicubicInterpolation( 'LRC INOP FF'!$C$4:$AA$21, Y604, U604 )-200, IF(S604 ="HOLDINGINOP", (1+(0.03/10)*Z604*(1+0.2*AC604^2) )*BicubicInterpolation( 'Holding INOP FF'!$C$4:$J$13,  Y604,  U604)/1.05-200,   BA604*BG604))</f>
        <v>#NAME?</v>
      </c>
      <c r="BI604" s="344" t="e">
        <f t="shared" ca="1" si="540"/>
        <v>#NAME?</v>
      </c>
      <c r="BJ604" s="322" t="e">
        <f t="shared" ca="1" si="520"/>
        <v>#NAME?</v>
      </c>
      <c r="BK604" s="338" t="e">
        <f t="shared" ca="1" si="541"/>
        <v>#NAME?</v>
      </c>
      <c r="BL604" s="327" t="e">
        <f t="shared" ca="1" si="521"/>
        <v>#NAME?</v>
      </c>
      <c r="BM604" s="328">
        <f t="shared" si="522"/>
        <v>200</v>
      </c>
      <c r="BN604" s="329" t="e">
        <f t="shared" ca="1" si="523"/>
        <v>#NAME?</v>
      </c>
      <c r="BO604" s="344" t="e">
        <f t="shared" ca="1" si="542"/>
        <v>#NAME?</v>
      </c>
      <c r="BP604" s="320" t="e">
        <f t="shared" ca="1" si="524"/>
        <v>#NAME?</v>
      </c>
      <c r="BQ604" s="344" t="e">
        <f t="shared" ca="1" si="543"/>
        <v>#NAME?</v>
      </c>
      <c r="BR604" s="347" t="e">
        <f t="shared" ca="1" si="544"/>
        <v>#NAME?</v>
      </c>
      <c r="BS604" s="326" t="e">
        <f t="shared" ca="1" si="525"/>
        <v>#NAME?</v>
      </c>
      <c r="BT604" s="437" t="e">
        <f t="shared" ca="1" si="557"/>
        <v>#NAME?</v>
      </c>
      <c r="BU604" s="437" t="e">
        <f t="shared" ca="1" si="558"/>
        <v>#NAME?</v>
      </c>
      <c r="BV604" s="441" t="e">
        <f t="shared" ca="1" si="559"/>
        <v>#NAME?</v>
      </c>
      <c r="BW604" s="442" t="e">
        <f t="shared" ca="1" si="560"/>
        <v>#NAME?</v>
      </c>
      <c r="BX604" s="470" t="e">
        <f t="shared" ca="1" si="534"/>
        <v>#NAME?</v>
      </c>
      <c r="BY604" s="484" t="e">
        <f t="shared" ca="1" si="545"/>
        <v>#NAME?</v>
      </c>
    </row>
    <row r="605" spans="9:77" ht="17.75" customHeight="1" x14ac:dyDescent="0.2">
      <c r="I605" s="366">
        <v>521</v>
      </c>
      <c r="J605" s="414">
        <f t="shared" si="546"/>
        <v>41706.074305556736</v>
      </c>
      <c r="K605" s="435" t="e">
        <f t="shared" ca="1" si="547"/>
        <v>#NAME?</v>
      </c>
      <c r="L605" s="435" t="e">
        <f t="shared" ca="1" si="528"/>
        <v>#NAME?</v>
      </c>
      <c r="M605" s="664" t="e">
        <f t="shared" ca="1" si="526"/>
        <v>#NAME?</v>
      </c>
      <c r="N605" s="664" t="e">
        <f t="shared" ca="1" si="527"/>
        <v>#NAME?</v>
      </c>
      <c r="O605" s="140" t="e">
        <f t="shared" ca="1" si="535"/>
        <v>#NAME?</v>
      </c>
      <c r="P605" s="352" t="e">
        <f t="shared" ca="1" si="548"/>
        <v>#NAME?</v>
      </c>
      <c r="Q605" s="665" t="e">
        <f t="shared" ca="1" si="529"/>
        <v>#NAME?</v>
      </c>
      <c r="R605" s="352" t="e">
        <f t="shared" ca="1" si="499"/>
        <v>#NAME?</v>
      </c>
      <c r="S605" s="662" t="e">
        <f t="shared" ca="1" si="536"/>
        <v>#NAME?</v>
      </c>
      <c r="T605" s="443" t="e">
        <f t="shared" ca="1" si="530"/>
        <v>#NAME?</v>
      </c>
      <c r="U605" s="369" t="e">
        <f t="shared" ca="1" si="531"/>
        <v>#NAME?</v>
      </c>
      <c r="V605" s="454" t="e">
        <f t="shared" ca="1" si="537"/>
        <v>#NAME?</v>
      </c>
      <c r="W605" s="457">
        <f t="shared" si="538"/>
        <v>1000</v>
      </c>
      <c r="X605" s="463" t="e">
        <f t="shared" ca="1" si="539"/>
        <v>#NAME?</v>
      </c>
      <c r="Y605" s="455" t="e">
        <f t="shared" ca="1" si="549"/>
        <v>#NAME?</v>
      </c>
      <c r="Z605" s="699">
        <f t="shared" si="532"/>
        <v>8.5</v>
      </c>
      <c r="AA605" s="355" t="str">
        <f t="shared" si="533"/>
        <v>ON</v>
      </c>
      <c r="AB605" s="357">
        <f t="shared" si="500"/>
        <v>1.4999999999999999E-2</v>
      </c>
      <c r="AC605" s="356" t="e">
        <f ca="1">IF(  Y604=0,0,IF(OR(S605="KCAS",S605="INOP",S605="MEFE"),   ( (5*( (   (((1+0.2*(T605/661.4786)^2)^3.5 -1)  )/( (1-6.8755856*10^-6 *100*Y605)^5.2558797) +1)^(2/7) -1) )^0.5),IF(S605="MACH",T605, IF(S605="LRC",BicubicInterpolation( 'LRC Mach'!$C$4:$AL$21, Y605,U605),  IF(S605="MRC",BicubicInterpolation( 'MRC Mach'!$C$3:$T$18, Y605,U605),  IF(S605="M0.84",0.84,  IF(S605="CI52",BicubicInterpolation('CI=52 Mach'!$C$3:$T$18, Y605,U605),  IF(S605="HOLDING",BicubicInterpolation(  'Holding Mach'!$C$4:$M$13, Y605,U605),                         IF(S605="LRCINOP", BicubicInterpolation('LRC INOP Mach'!$C$4:$AA$21,Y605,U605), IF(S605="HOLDINGINOP",  BicubicInterpolation('Holding INOP Mach'!$N$4:$U$13,Y605,U605),         "XXX" )))))))   )))</f>
        <v>#NAME?</v>
      </c>
      <c r="AD605" s="313" t="e">
        <f t="shared" ca="1" si="501"/>
        <v>#NAME?</v>
      </c>
      <c r="AE605" s="314" t="e">
        <f t="shared" ca="1" si="550"/>
        <v>#NAME?</v>
      </c>
      <c r="AF605" s="313" t="e">
        <f t="shared" ca="1" si="502"/>
        <v>#NAME?</v>
      </c>
      <c r="AG605" s="314" t="e">
        <f t="shared" ca="1" si="551"/>
        <v>#NAME?</v>
      </c>
      <c r="AH605" s="313" t="e">
        <f t="shared" ca="1" si="503"/>
        <v>#NAME?</v>
      </c>
      <c r="AI605" s="314" t="e">
        <f t="shared" ca="1" si="552"/>
        <v>#NAME?</v>
      </c>
      <c r="AJ605" s="315" t="e">
        <f t="shared" ca="1" si="553"/>
        <v>#NAME?</v>
      </c>
      <c r="AK605" s="568" t="e">
        <f t="shared" ca="1" si="504"/>
        <v>#NAME?</v>
      </c>
      <c r="AL605" s="313" t="e">
        <f t="shared" ca="1" si="505"/>
        <v>#NAME?</v>
      </c>
      <c r="AM605" s="313" t="e">
        <f t="shared" ca="1" si="554"/>
        <v>#NAME?</v>
      </c>
      <c r="AN605" s="313" t="e">
        <f t="shared" ca="1" si="555"/>
        <v>#NAME?</v>
      </c>
      <c r="AO605" s="316" t="e">
        <f t="shared" ca="1" si="506"/>
        <v>#NAME?</v>
      </c>
      <c r="AP605" s="313" t="e">
        <f t="shared" ca="1" si="507"/>
        <v>#NAME?</v>
      </c>
      <c r="AQ605" s="314" t="e">
        <f t="shared" ca="1" si="556"/>
        <v>#NAME?</v>
      </c>
      <c r="AR605" s="315" t="e">
        <f t="shared" ca="1" si="508"/>
        <v>#NAME?</v>
      </c>
      <c r="AS605" s="316" t="e">
        <f t="shared" ca="1" si="509"/>
        <v>#NAME?</v>
      </c>
      <c r="AT605" s="315" t="e">
        <f t="shared" ca="1" si="510"/>
        <v>#NAME?</v>
      </c>
      <c r="AU605" s="317">
        <v>427.8</v>
      </c>
      <c r="AV605" s="315" t="e">
        <f t="shared" ca="1" si="511"/>
        <v>#NAME?</v>
      </c>
      <c r="AW605" s="318" t="e">
        <f ca="1">0.0001*BicubicInterpolation('Drag Coef Table'!$B$4:$L$28,AV605,AC605)</f>
        <v>#NAME?</v>
      </c>
      <c r="AX605" s="319" t="e">
        <f t="shared" ca="1" si="512"/>
        <v>#NAME?</v>
      </c>
      <c r="AY605" s="318" t="e">
        <f t="shared" ca="1" si="513"/>
        <v>#NAME?</v>
      </c>
      <c r="AZ605" s="320" t="e">
        <f t="shared" ca="1" si="514"/>
        <v>#NAME?</v>
      </c>
      <c r="BA605" s="321" t="e">
        <f t="shared" ca="1" si="515"/>
        <v>#NAME?</v>
      </c>
      <c r="BB605" s="322" t="e">
        <f t="shared" ca="1" si="516"/>
        <v>#NAME?</v>
      </c>
      <c r="BC605" s="323">
        <v>75.196700000000007</v>
      </c>
      <c r="BD605" s="324" t="e">
        <f t="shared" ca="1" si="517"/>
        <v>#NAME?</v>
      </c>
      <c r="BE605" s="325" t="e">
        <f t="shared" ca="1" si="518"/>
        <v>#NAME?</v>
      </c>
      <c r="BF605" s="324" t="e">
        <f ca="1">BicubicInterpolation('TSFC Eff Table'!$B$4:$E$69,2,BB605)</f>
        <v>#NAME?</v>
      </c>
      <c r="BG605" s="326" t="e">
        <f t="shared" ca="1" si="519"/>
        <v>#NAME?</v>
      </c>
      <c r="BH605" s="694" t="e">
        <f ca="1">IF( S605="LRCINOP",   (1+(0.03/10)*Z605*(1+0.2*AC605^2) )*BicubicInterpolation( 'LRC INOP FF'!$C$4:$AA$21, Y605, U605 )-200, IF(S605 ="HOLDINGINOP", (1+(0.03/10)*Z605*(1+0.2*AC605^2) )*BicubicInterpolation( 'Holding INOP FF'!$C$4:$J$13,  Y605,  U605)/1.05-200,   BA605*BG605))</f>
        <v>#NAME?</v>
      </c>
      <c r="BI605" s="344" t="e">
        <f t="shared" ca="1" si="540"/>
        <v>#NAME?</v>
      </c>
      <c r="BJ605" s="322" t="e">
        <f t="shared" ca="1" si="520"/>
        <v>#NAME?</v>
      </c>
      <c r="BK605" s="338" t="e">
        <f t="shared" ca="1" si="541"/>
        <v>#NAME?</v>
      </c>
      <c r="BL605" s="327" t="e">
        <f t="shared" ca="1" si="521"/>
        <v>#NAME?</v>
      </c>
      <c r="BM605" s="328">
        <f t="shared" si="522"/>
        <v>200</v>
      </c>
      <c r="BN605" s="329" t="e">
        <f t="shared" ca="1" si="523"/>
        <v>#NAME?</v>
      </c>
      <c r="BO605" s="344" t="e">
        <f t="shared" ca="1" si="542"/>
        <v>#NAME?</v>
      </c>
      <c r="BP605" s="320" t="e">
        <f t="shared" ca="1" si="524"/>
        <v>#NAME?</v>
      </c>
      <c r="BQ605" s="344" t="e">
        <f t="shared" ca="1" si="543"/>
        <v>#NAME?</v>
      </c>
      <c r="BR605" s="347" t="e">
        <f t="shared" ca="1" si="544"/>
        <v>#NAME?</v>
      </c>
      <c r="BS605" s="326" t="e">
        <f t="shared" ca="1" si="525"/>
        <v>#NAME?</v>
      </c>
      <c r="BT605" s="437" t="e">
        <f t="shared" ca="1" si="557"/>
        <v>#NAME?</v>
      </c>
      <c r="BU605" s="437" t="e">
        <f t="shared" ca="1" si="558"/>
        <v>#NAME?</v>
      </c>
      <c r="BV605" s="441" t="e">
        <f t="shared" ca="1" si="559"/>
        <v>#NAME?</v>
      </c>
      <c r="BW605" s="442" t="e">
        <f t="shared" ca="1" si="560"/>
        <v>#NAME?</v>
      </c>
      <c r="BX605" s="470" t="e">
        <f t="shared" ca="1" si="534"/>
        <v>#NAME?</v>
      </c>
      <c r="BY605" s="484" t="e">
        <f t="shared" ca="1" si="545"/>
        <v>#NAME?</v>
      </c>
    </row>
    <row r="606" spans="9:77" ht="17.75" customHeight="1" x14ac:dyDescent="0.2">
      <c r="I606" s="366">
        <v>522</v>
      </c>
      <c r="J606" s="414">
        <f t="shared" si="546"/>
        <v>41706.075000001183</v>
      </c>
      <c r="K606" s="435" t="e">
        <f t="shared" ca="1" si="547"/>
        <v>#NAME?</v>
      </c>
      <c r="L606" s="435" t="e">
        <f t="shared" ca="1" si="528"/>
        <v>#NAME?</v>
      </c>
      <c r="M606" s="664" t="e">
        <f t="shared" ca="1" si="526"/>
        <v>#NAME?</v>
      </c>
      <c r="N606" s="664" t="e">
        <f t="shared" ca="1" si="527"/>
        <v>#NAME?</v>
      </c>
      <c r="O606" s="140" t="e">
        <f t="shared" ca="1" si="535"/>
        <v>#NAME?</v>
      </c>
      <c r="P606" s="352" t="e">
        <f t="shared" ca="1" si="548"/>
        <v>#NAME?</v>
      </c>
      <c r="Q606" s="665" t="e">
        <f t="shared" ca="1" si="529"/>
        <v>#NAME?</v>
      </c>
      <c r="R606" s="352" t="e">
        <f t="shared" ca="1" si="499"/>
        <v>#NAME?</v>
      </c>
      <c r="S606" s="662" t="e">
        <f t="shared" ca="1" si="536"/>
        <v>#NAME?</v>
      </c>
      <c r="T606" s="443" t="e">
        <f t="shared" ca="1" si="530"/>
        <v>#NAME?</v>
      </c>
      <c r="U606" s="369" t="e">
        <f t="shared" ca="1" si="531"/>
        <v>#NAME?</v>
      </c>
      <c r="V606" s="454" t="e">
        <f t="shared" ca="1" si="537"/>
        <v>#NAME?</v>
      </c>
      <c r="W606" s="457">
        <f t="shared" si="538"/>
        <v>1000</v>
      </c>
      <c r="X606" s="463" t="e">
        <f t="shared" ca="1" si="539"/>
        <v>#NAME?</v>
      </c>
      <c r="Y606" s="455" t="e">
        <f t="shared" ca="1" si="549"/>
        <v>#NAME?</v>
      </c>
      <c r="Z606" s="699">
        <f t="shared" si="532"/>
        <v>8.5</v>
      </c>
      <c r="AA606" s="355" t="str">
        <f t="shared" si="533"/>
        <v>ON</v>
      </c>
      <c r="AB606" s="357">
        <f t="shared" si="500"/>
        <v>1.4999999999999999E-2</v>
      </c>
      <c r="AC606" s="356" t="e">
        <f ca="1">IF(  Y605=0,0,IF(OR(S606="KCAS",S606="INOP",S606="MEFE"),   ( (5*( (   (((1+0.2*(T606/661.4786)^2)^3.5 -1)  )/( (1-6.8755856*10^-6 *100*Y606)^5.2558797) +1)^(2/7) -1) )^0.5),IF(S606="MACH",T606, IF(S606="LRC",BicubicInterpolation( 'LRC Mach'!$C$4:$AL$21, Y606,U606),  IF(S606="MRC",BicubicInterpolation( 'MRC Mach'!$C$3:$T$18, Y606,U606),  IF(S606="M0.84",0.84,  IF(S606="CI52",BicubicInterpolation('CI=52 Mach'!$C$3:$T$18, Y606,U606),  IF(S606="HOLDING",BicubicInterpolation(  'Holding Mach'!$C$4:$M$13, Y606,U606),                         IF(S606="LRCINOP", BicubicInterpolation('LRC INOP Mach'!$C$4:$AA$21,Y606,U606), IF(S606="HOLDINGINOP",  BicubicInterpolation('Holding INOP Mach'!$N$4:$U$13,Y606,U606),         "XXX" )))))))   )))</f>
        <v>#NAME?</v>
      </c>
      <c r="AD606" s="313" t="e">
        <f t="shared" ca="1" si="501"/>
        <v>#NAME?</v>
      </c>
      <c r="AE606" s="314" t="e">
        <f t="shared" ca="1" si="550"/>
        <v>#NAME?</v>
      </c>
      <c r="AF606" s="313" t="e">
        <f t="shared" ca="1" si="502"/>
        <v>#NAME?</v>
      </c>
      <c r="AG606" s="314" t="e">
        <f t="shared" ca="1" si="551"/>
        <v>#NAME?</v>
      </c>
      <c r="AH606" s="313" t="e">
        <f t="shared" ca="1" si="503"/>
        <v>#NAME?</v>
      </c>
      <c r="AI606" s="314" t="e">
        <f t="shared" ca="1" si="552"/>
        <v>#NAME?</v>
      </c>
      <c r="AJ606" s="315" t="e">
        <f t="shared" ca="1" si="553"/>
        <v>#NAME?</v>
      </c>
      <c r="AK606" s="568" t="e">
        <f t="shared" ca="1" si="504"/>
        <v>#NAME?</v>
      </c>
      <c r="AL606" s="313" t="e">
        <f t="shared" ca="1" si="505"/>
        <v>#NAME?</v>
      </c>
      <c r="AM606" s="313" t="e">
        <f t="shared" ca="1" si="554"/>
        <v>#NAME?</v>
      </c>
      <c r="AN606" s="313" t="e">
        <f t="shared" ca="1" si="555"/>
        <v>#NAME?</v>
      </c>
      <c r="AO606" s="316" t="e">
        <f t="shared" ca="1" si="506"/>
        <v>#NAME?</v>
      </c>
      <c r="AP606" s="313" t="e">
        <f t="shared" ca="1" si="507"/>
        <v>#NAME?</v>
      </c>
      <c r="AQ606" s="314" t="e">
        <f t="shared" ca="1" si="556"/>
        <v>#NAME?</v>
      </c>
      <c r="AR606" s="315" t="e">
        <f t="shared" ca="1" si="508"/>
        <v>#NAME?</v>
      </c>
      <c r="AS606" s="316" t="e">
        <f t="shared" ca="1" si="509"/>
        <v>#NAME?</v>
      </c>
      <c r="AT606" s="315" t="e">
        <f t="shared" ca="1" si="510"/>
        <v>#NAME?</v>
      </c>
      <c r="AU606" s="317">
        <v>427.8</v>
      </c>
      <c r="AV606" s="315" t="e">
        <f t="shared" ca="1" si="511"/>
        <v>#NAME?</v>
      </c>
      <c r="AW606" s="318" t="e">
        <f ca="1">0.0001*BicubicInterpolation('Drag Coef Table'!$B$4:$L$28,AV606,AC606)</f>
        <v>#NAME?</v>
      </c>
      <c r="AX606" s="319" t="e">
        <f t="shared" ca="1" si="512"/>
        <v>#NAME?</v>
      </c>
      <c r="AY606" s="318" t="e">
        <f t="shared" ca="1" si="513"/>
        <v>#NAME?</v>
      </c>
      <c r="AZ606" s="320" t="e">
        <f t="shared" ca="1" si="514"/>
        <v>#NAME?</v>
      </c>
      <c r="BA606" s="321" t="e">
        <f t="shared" ca="1" si="515"/>
        <v>#NAME?</v>
      </c>
      <c r="BB606" s="322" t="e">
        <f t="shared" ca="1" si="516"/>
        <v>#NAME?</v>
      </c>
      <c r="BC606" s="323">
        <v>75.196700000000007</v>
      </c>
      <c r="BD606" s="324" t="e">
        <f t="shared" ca="1" si="517"/>
        <v>#NAME?</v>
      </c>
      <c r="BE606" s="325" t="e">
        <f t="shared" ca="1" si="518"/>
        <v>#NAME?</v>
      </c>
      <c r="BF606" s="324" t="e">
        <f ca="1">BicubicInterpolation('TSFC Eff Table'!$B$4:$E$69,2,BB606)</f>
        <v>#NAME?</v>
      </c>
      <c r="BG606" s="326" t="e">
        <f t="shared" ca="1" si="519"/>
        <v>#NAME?</v>
      </c>
      <c r="BH606" s="694" t="e">
        <f ca="1">IF( S606="LRCINOP",   (1+(0.03/10)*Z606*(1+0.2*AC606^2) )*BicubicInterpolation( 'LRC INOP FF'!$C$4:$AA$21, Y606, U606 )-200, IF(S606 ="HOLDINGINOP", (1+(0.03/10)*Z606*(1+0.2*AC606^2) )*BicubicInterpolation( 'Holding INOP FF'!$C$4:$J$13,  Y606,  U606)/1.05-200,   BA606*BG606))</f>
        <v>#NAME?</v>
      </c>
      <c r="BI606" s="344" t="e">
        <f t="shared" ca="1" si="540"/>
        <v>#NAME?</v>
      </c>
      <c r="BJ606" s="322" t="e">
        <f t="shared" ca="1" si="520"/>
        <v>#NAME?</v>
      </c>
      <c r="BK606" s="338" t="e">
        <f t="shared" ca="1" si="541"/>
        <v>#NAME?</v>
      </c>
      <c r="BL606" s="327" t="e">
        <f t="shared" ca="1" si="521"/>
        <v>#NAME?</v>
      </c>
      <c r="BM606" s="328">
        <f t="shared" si="522"/>
        <v>200</v>
      </c>
      <c r="BN606" s="329" t="e">
        <f t="shared" ca="1" si="523"/>
        <v>#NAME?</v>
      </c>
      <c r="BO606" s="344" t="e">
        <f t="shared" ca="1" si="542"/>
        <v>#NAME?</v>
      </c>
      <c r="BP606" s="320" t="e">
        <f t="shared" ca="1" si="524"/>
        <v>#NAME?</v>
      </c>
      <c r="BQ606" s="344" t="e">
        <f t="shared" ca="1" si="543"/>
        <v>#NAME?</v>
      </c>
      <c r="BR606" s="347" t="e">
        <f t="shared" ca="1" si="544"/>
        <v>#NAME?</v>
      </c>
      <c r="BS606" s="326" t="e">
        <f t="shared" ca="1" si="525"/>
        <v>#NAME?</v>
      </c>
      <c r="BT606" s="437" t="e">
        <f t="shared" ca="1" si="557"/>
        <v>#NAME?</v>
      </c>
      <c r="BU606" s="437" t="e">
        <f t="shared" ca="1" si="558"/>
        <v>#NAME?</v>
      </c>
      <c r="BV606" s="441" t="e">
        <f t="shared" ca="1" si="559"/>
        <v>#NAME?</v>
      </c>
      <c r="BW606" s="442" t="e">
        <f t="shared" ca="1" si="560"/>
        <v>#NAME?</v>
      </c>
      <c r="BX606" s="470" t="e">
        <f t="shared" ca="1" si="534"/>
        <v>#NAME?</v>
      </c>
      <c r="BY606" s="484" t="e">
        <f t="shared" ca="1" si="545"/>
        <v>#NAME?</v>
      </c>
    </row>
    <row r="607" spans="9:77" ht="17.75" customHeight="1" x14ac:dyDescent="0.2">
      <c r="I607" s="366">
        <v>523</v>
      </c>
      <c r="J607" s="414">
        <f t="shared" si="546"/>
        <v>41706.07569444563</v>
      </c>
      <c r="K607" s="435" t="e">
        <f t="shared" ca="1" si="547"/>
        <v>#NAME?</v>
      </c>
      <c r="L607" s="435" t="e">
        <f t="shared" ca="1" si="528"/>
        <v>#NAME?</v>
      </c>
      <c r="M607" s="664" t="e">
        <f t="shared" ca="1" si="526"/>
        <v>#NAME?</v>
      </c>
      <c r="N607" s="664" t="e">
        <f t="shared" ca="1" si="527"/>
        <v>#NAME?</v>
      </c>
      <c r="O607" s="140" t="e">
        <f t="shared" ca="1" si="535"/>
        <v>#NAME?</v>
      </c>
      <c r="P607" s="352" t="e">
        <f t="shared" ca="1" si="548"/>
        <v>#NAME?</v>
      </c>
      <c r="Q607" s="665" t="e">
        <f t="shared" ca="1" si="529"/>
        <v>#NAME?</v>
      </c>
      <c r="R607" s="352" t="e">
        <f t="shared" ref="R607:R670" ca="1" si="561">AC607</f>
        <v>#NAME?</v>
      </c>
      <c r="S607" s="662" t="e">
        <f t="shared" ca="1" si="536"/>
        <v>#NAME?</v>
      </c>
      <c r="T607" s="443" t="e">
        <f t="shared" ca="1" si="530"/>
        <v>#NAME?</v>
      </c>
      <c r="U607" s="369" t="e">
        <f t="shared" ca="1" si="531"/>
        <v>#NAME?</v>
      </c>
      <c r="V607" s="454" t="e">
        <f t="shared" ca="1" si="537"/>
        <v>#NAME?</v>
      </c>
      <c r="W607" s="457">
        <f t="shared" si="538"/>
        <v>1000</v>
      </c>
      <c r="X607" s="463" t="e">
        <f t="shared" ca="1" si="539"/>
        <v>#NAME?</v>
      </c>
      <c r="Y607" s="455" t="e">
        <f t="shared" ca="1" si="549"/>
        <v>#NAME?</v>
      </c>
      <c r="Z607" s="699">
        <f t="shared" si="532"/>
        <v>8.5</v>
      </c>
      <c r="AA607" s="355" t="str">
        <f t="shared" si="533"/>
        <v>ON</v>
      </c>
      <c r="AB607" s="357">
        <f t="shared" ref="AB607:AB670" si="562">AB606</f>
        <v>1.4999999999999999E-2</v>
      </c>
      <c r="AC607" s="356" t="e">
        <f ca="1">IF(  Y606=0,0,IF(OR(S607="KCAS",S607="INOP",S607="MEFE"),   ( (5*( (   (((1+0.2*(T607/661.4786)^2)^3.5 -1)  )/( (1-6.8755856*10^-6 *100*Y607)^5.2558797) +1)^(2/7) -1) )^0.5),IF(S607="MACH",T607, IF(S607="LRC",BicubicInterpolation( 'LRC Mach'!$C$4:$AL$21, Y607,U607),  IF(S607="MRC",BicubicInterpolation( 'MRC Mach'!$C$3:$T$18, Y607,U607),  IF(S607="M0.84",0.84,  IF(S607="CI52",BicubicInterpolation('CI=52 Mach'!$C$3:$T$18, Y607,U607),  IF(S607="HOLDING",BicubicInterpolation(  'Holding Mach'!$C$4:$M$13, Y607,U607),                         IF(S607="LRCINOP", BicubicInterpolation('LRC INOP Mach'!$C$4:$AA$21,Y607,U607), IF(S607="HOLDINGINOP",  BicubicInterpolation('Holding INOP Mach'!$N$4:$U$13,Y607,U607),         "XXX" )))))))   )))</f>
        <v>#NAME?</v>
      </c>
      <c r="AD607" s="313" t="e">
        <f t="shared" ref="AD607:AD670" ca="1" si="563">IF(Y607&lt;360.8924,288.15-1.9812*Y607/10,216.65)</f>
        <v>#NAME?</v>
      </c>
      <c r="AE607" s="314" t="e">
        <f t="shared" ca="1" si="550"/>
        <v>#NAME?</v>
      </c>
      <c r="AF607" s="313" t="e">
        <f t="shared" ref="AF607:AF670" ca="1" si="564">AD607+Z607</f>
        <v>#NAME?</v>
      </c>
      <c r="AG607" s="314" t="e">
        <f t="shared" ca="1" si="551"/>
        <v>#NAME?</v>
      </c>
      <c r="AH607" s="313" t="e">
        <f t="shared" ref="AH607:AH670" ca="1" si="565">AF607*(1+0.2*AC607^2)</f>
        <v>#NAME?</v>
      </c>
      <c r="AI607" s="314" t="e">
        <f t="shared" ca="1" si="552"/>
        <v>#NAME?</v>
      </c>
      <c r="AJ607" s="315" t="e">
        <f t="shared" ca="1" si="553"/>
        <v>#NAME?</v>
      </c>
      <c r="AK607" s="568" t="e">
        <f t="shared" ref="AK607:AK670" ca="1" si="566">661.4786*SQRT(AG607)</f>
        <v>#NAME?</v>
      </c>
      <c r="AL607" s="313" t="e">
        <f t="shared" ref="AL607:AL670" ca="1" si="567">AC607*AK607</f>
        <v>#NAME?</v>
      </c>
      <c r="AM607" s="313" t="e">
        <f t="shared" ca="1" si="554"/>
        <v>#NAME?</v>
      </c>
      <c r="AN607" s="313" t="e">
        <f t="shared" ca="1" si="555"/>
        <v>#NAME?</v>
      </c>
      <c r="AO607" s="316" t="e">
        <f t="shared" ref="AO607:AO670" ca="1" si="568">661.4786*(5*((1 + ( (1-0.00068755856*Y607)^5.2558797)*((1 + AC607^2/5)^3.5 - 1))^(2/7) - 1))^0.5</f>
        <v>#NAME?</v>
      </c>
      <c r="AP607" s="313" t="e">
        <f t="shared" ref="AP607:AP670" ca="1" si="569">IF(Y607&lt;360.8924,1013.25*(1-0.0000068755856*100*Y607)^5.2558797,0.01*0.2233609*101325*EXP(-0.004806346*(Y607-360.8924)))</f>
        <v>#NAME?</v>
      </c>
      <c r="AQ607" s="314" t="e">
        <f t="shared" ca="1" si="556"/>
        <v>#NAME?</v>
      </c>
      <c r="AR607" s="315" t="e">
        <f t="shared" ref="AR607:AR670" ca="1" si="570">AQ607*(1+0.2*AC607^2)^3.5</f>
        <v>#NAME?</v>
      </c>
      <c r="AS607" s="316" t="e">
        <f t="shared" ref="AS607:AS670" ca="1" si="571">U607/AQ607</f>
        <v>#NAME?</v>
      </c>
      <c r="AT607" s="315" t="e">
        <f t="shared" ref="AT607:AT670" ca="1" si="572">1.225*AQ607/AG607</f>
        <v>#NAME?</v>
      </c>
      <c r="AU607" s="317">
        <v>427.8</v>
      </c>
      <c r="AV607" s="315" t="e">
        <f t="shared" ref="AV607:AV670" ca="1" si="573">1000*9.80665*U607/(0.5*AT607*AU607*(AM607)^2)</f>
        <v>#NAME?</v>
      </c>
      <c r="AW607" s="318" t="e">
        <f ca="1">0.0001*BicubicInterpolation('Drag Coef Table'!$B$4:$L$28,AV607,AC607)</f>
        <v>#NAME?</v>
      </c>
      <c r="AX607" s="319" t="e">
        <f t="shared" ref="AX607:AX670" ca="1" si="574">(-45.29)*0.0001*LOG10(  (  ( AG607 + 0.38312 ) / AG607^2    )   /   (   (AE607 +0.38312)/(AE607)^2  ) )</f>
        <v>#NAME?</v>
      </c>
      <c r="AY607" s="318" t="e">
        <f t="shared" ref="AY607:AY670" ca="1" si="575">AW607+AX607</f>
        <v>#NAME?</v>
      </c>
      <c r="AZ607" s="320" t="e">
        <f t="shared" ref="AZ607:AZ670" ca="1" si="576">AV607/AY607</f>
        <v>#NAME?</v>
      </c>
      <c r="BA607" s="321" t="e">
        <f t="shared" ref="BA607:BA670" ca="1" si="577">AY607*0.5*AT607*(AM607^2)*AU607/1000</f>
        <v>#NAME?</v>
      </c>
      <c r="BB607" s="322" t="e">
        <f t="shared" ref="BB607:BB670" ca="1" si="578">BA607/AQ607/9.80665</f>
        <v>#NAME?</v>
      </c>
      <c r="BC607" s="323">
        <v>75.196700000000007</v>
      </c>
      <c r="BD607" s="324" t="e">
        <f t="shared" ref="BD607:BD670" ca="1" si="579">AG607^0.68</f>
        <v>#NAME?</v>
      </c>
      <c r="BE607" s="325" t="e">
        <f t="shared" ref="BE607:BE670" ca="1" si="580">AC607^0.53</f>
        <v>#NAME?</v>
      </c>
      <c r="BF607" s="324" t="e">
        <f ca="1">BicubicInterpolation('TSFC Eff Table'!$B$4:$E$69,2,BB607)</f>
        <v>#NAME?</v>
      </c>
      <c r="BG607" s="326" t="e">
        <f t="shared" ref="BG607:BG670" ca="1" si="581">BC607*BD607*BE607/BF607</f>
        <v>#NAME?</v>
      </c>
      <c r="BH607" s="694" t="e">
        <f ca="1">IF( S607="LRCINOP",   (1+(0.03/10)*Z607*(1+0.2*AC607^2) )*BicubicInterpolation( 'LRC INOP FF'!$C$4:$AA$21, Y607, U607 )-200, IF(S607 ="HOLDINGINOP", (1+(0.03/10)*Z607*(1+0.2*AC607^2) )*BicubicInterpolation( 'Holding INOP FF'!$C$4:$J$13,  Y607,  U607)/1.05-200,   BA607*BG607))</f>
        <v>#NAME?</v>
      </c>
      <c r="BI607" s="344" t="e">
        <f t="shared" ca="1" si="540"/>
        <v>#NAME?</v>
      </c>
      <c r="BJ607" s="322" t="e">
        <f t="shared" ref="BJ607:BJ670" ca="1" si="582">BI607/(AR607*AJ607)/1000</f>
        <v>#NAME?</v>
      </c>
      <c r="BK607" s="338" t="e">
        <f t="shared" ca="1" si="541"/>
        <v>#NAME?</v>
      </c>
      <c r="BL607" s="327" t="e">
        <f t="shared" ref="BL607:BL670" ca="1" si="583">100*BK607/AS607</f>
        <v>#NAME?</v>
      </c>
      <c r="BM607" s="328">
        <f t="shared" ref="BM607:BM670" si="584">200-IF(AA607="OFF",55,0)</f>
        <v>200</v>
      </c>
      <c r="BN607" s="329" t="e">
        <f t="shared" ref="BN607:BN670" ca="1" si="585">BI607+BM607</f>
        <v>#NAME?</v>
      </c>
      <c r="BO607" s="344" t="e">
        <f t="shared" ca="1" si="542"/>
        <v>#NAME?</v>
      </c>
      <c r="BP607" s="320" t="e">
        <f t="shared" ref="BP607:BP670" ca="1" si="586">1000*AL607/BO607</f>
        <v>#NAME?</v>
      </c>
      <c r="BQ607" s="344" t="e">
        <f t="shared" ca="1" si="543"/>
        <v>#NAME?</v>
      </c>
      <c r="BR607" s="347" t="e">
        <f t="shared" ca="1" si="544"/>
        <v>#NAME?</v>
      </c>
      <c r="BS607" s="326" t="e">
        <f t="shared" ref="BS607:BS670" ca="1" si="587">1000*AL607/BR607</f>
        <v>#NAME?</v>
      </c>
      <c r="BT607" s="437" t="e">
        <f t="shared" ca="1" si="557"/>
        <v>#NAME?</v>
      </c>
      <c r="BU607" s="437" t="e">
        <f t="shared" ca="1" si="558"/>
        <v>#NAME?</v>
      </c>
      <c r="BV607" s="441" t="e">
        <f t="shared" ca="1" si="559"/>
        <v>#NAME?</v>
      </c>
      <c r="BW607" s="442" t="e">
        <f t="shared" ca="1" si="560"/>
        <v>#NAME?</v>
      </c>
      <c r="BX607" s="470" t="e">
        <f t="shared" ca="1" si="534"/>
        <v>#NAME?</v>
      </c>
      <c r="BY607" s="484" t="e">
        <f t="shared" ca="1" si="545"/>
        <v>#NAME?</v>
      </c>
    </row>
    <row r="608" spans="9:77" ht="17.75" customHeight="1" x14ac:dyDescent="0.2">
      <c r="I608" s="366">
        <v>524</v>
      </c>
      <c r="J608" s="414">
        <f t="shared" si="546"/>
        <v>41706.076388890076</v>
      </c>
      <c r="K608" s="435" t="e">
        <f t="shared" ca="1" si="547"/>
        <v>#NAME?</v>
      </c>
      <c r="L608" s="435" t="e">
        <f t="shared" ca="1" si="528"/>
        <v>#NAME?</v>
      </c>
      <c r="M608" s="664" t="e">
        <f t="shared" ca="1" si="526"/>
        <v>#NAME?</v>
      </c>
      <c r="N608" s="664" t="e">
        <f t="shared" ca="1" si="527"/>
        <v>#NAME?</v>
      </c>
      <c r="O608" s="140" t="e">
        <f t="shared" ca="1" si="535"/>
        <v>#NAME?</v>
      </c>
      <c r="P608" s="352" t="e">
        <f t="shared" ca="1" si="548"/>
        <v>#NAME?</v>
      </c>
      <c r="Q608" s="665" t="e">
        <f t="shared" ca="1" si="529"/>
        <v>#NAME?</v>
      </c>
      <c r="R608" s="352" t="e">
        <f t="shared" ca="1" si="561"/>
        <v>#NAME?</v>
      </c>
      <c r="S608" s="662" t="e">
        <f t="shared" ca="1" si="536"/>
        <v>#NAME?</v>
      </c>
      <c r="T608" s="443" t="e">
        <f t="shared" ca="1" si="530"/>
        <v>#NAME?</v>
      </c>
      <c r="U608" s="369" t="e">
        <f t="shared" ca="1" si="531"/>
        <v>#NAME?</v>
      </c>
      <c r="V608" s="454" t="e">
        <f t="shared" ca="1" si="537"/>
        <v>#NAME?</v>
      </c>
      <c r="W608" s="457">
        <f t="shared" si="538"/>
        <v>1000</v>
      </c>
      <c r="X608" s="463" t="e">
        <f t="shared" ca="1" si="539"/>
        <v>#NAME?</v>
      </c>
      <c r="Y608" s="455" t="e">
        <f t="shared" ca="1" si="549"/>
        <v>#NAME?</v>
      </c>
      <c r="Z608" s="699">
        <f t="shared" si="532"/>
        <v>8.5</v>
      </c>
      <c r="AA608" s="355" t="str">
        <f t="shared" si="533"/>
        <v>ON</v>
      </c>
      <c r="AB608" s="357">
        <f t="shared" si="562"/>
        <v>1.4999999999999999E-2</v>
      </c>
      <c r="AC608" s="356" t="e">
        <f ca="1">IF(  Y607=0,0,IF(OR(S608="KCAS",S608="INOP",S608="MEFE"),   ( (5*( (   (((1+0.2*(T608/661.4786)^2)^3.5 -1)  )/( (1-6.8755856*10^-6 *100*Y608)^5.2558797) +1)^(2/7) -1) )^0.5),IF(S608="MACH",T608, IF(S608="LRC",BicubicInterpolation( 'LRC Mach'!$C$4:$AL$21, Y608,U608),  IF(S608="MRC",BicubicInterpolation( 'MRC Mach'!$C$3:$T$18, Y608,U608),  IF(S608="M0.84",0.84,  IF(S608="CI52",BicubicInterpolation('CI=52 Mach'!$C$3:$T$18, Y608,U608),  IF(S608="HOLDING",BicubicInterpolation(  'Holding Mach'!$C$4:$M$13, Y608,U608),                         IF(S608="LRCINOP", BicubicInterpolation('LRC INOP Mach'!$C$4:$AA$21,Y608,U608), IF(S608="HOLDINGINOP",  BicubicInterpolation('Holding INOP Mach'!$N$4:$U$13,Y608,U608),         "XXX" )))))))   )))</f>
        <v>#NAME?</v>
      </c>
      <c r="AD608" s="313" t="e">
        <f t="shared" ca="1" si="563"/>
        <v>#NAME?</v>
      </c>
      <c r="AE608" s="314" t="e">
        <f t="shared" ca="1" si="550"/>
        <v>#NAME?</v>
      </c>
      <c r="AF608" s="313" t="e">
        <f t="shared" ca="1" si="564"/>
        <v>#NAME?</v>
      </c>
      <c r="AG608" s="314" t="e">
        <f t="shared" ca="1" si="551"/>
        <v>#NAME?</v>
      </c>
      <c r="AH608" s="313" t="e">
        <f t="shared" ca="1" si="565"/>
        <v>#NAME?</v>
      </c>
      <c r="AI608" s="314" t="e">
        <f t="shared" ca="1" si="552"/>
        <v>#NAME?</v>
      </c>
      <c r="AJ608" s="315" t="e">
        <f t="shared" ca="1" si="553"/>
        <v>#NAME?</v>
      </c>
      <c r="AK608" s="568" t="e">
        <f t="shared" ca="1" si="566"/>
        <v>#NAME?</v>
      </c>
      <c r="AL608" s="313" t="e">
        <f t="shared" ca="1" si="567"/>
        <v>#NAME?</v>
      </c>
      <c r="AM608" s="313" t="e">
        <f t="shared" ca="1" si="554"/>
        <v>#NAME?</v>
      </c>
      <c r="AN608" s="313" t="e">
        <f t="shared" ca="1" si="555"/>
        <v>#NAME?</v>
      </c>
      <c r="AO608" s="316" t="e">
        <f t="shared" ca="1" si="568"/>
        <v>#NAME?</v>
      </c>
      <c r="AP608" s="313" t="e">
        <f t="shared" ca="1" si="569"/>
        <v>#NAME?</v>
      </c>
      <c r="AQ608" s="314" t="e">
        <f t="shared" ca="1" si="556"/>
        <v>#NAME?</v>
      </c>
      <c r="AR608" s="315" t="e">
        <f t="shared" ca="1" si="570"/>
        <v>#NAME?</v>
      </c>
      <c r="AS608" s="316" t="e">
        <f t="shared" ca="1" si="571"/>
        <v>#NAME?</v>
      </c>
      <c r="AT608" s="315" t="e">
        <f t="shared" ca="1" si="572"/>
        <v>#NAME?</v>
      </c>
      <c r="AU608" s="317">
        <v>427.8</v>
      </c>
      <c r="AV608" s="315" t="e">
        <f t="shared" ca="1" si="573"/>
        <v>#NAME?</v>
      </c>
      <c r="AW608" s="318" t="e">
        <f ca="1">0.0001*BicubicInterpolation('Drag Coef Table'!$B$4:$L$28,AV608,AC608)</f>
        <v>#NAME?</v>
      </c>
      <c r="AX608" s="319" t="e">
        <f t="shared" ca="1" si="574"/>
        <v>#NAME?</v>
      </c>
      <c r="AY608" s="318" t="e">
        <f t="shared" ca="1" si="575"/>
        <v>#NAME?</v>
      </c>
      <c r="AZ608" s="320" t="e">
        <f t="shared" ca="1" si="576"/>
        <v>#NAME?</v>
      </c>
      <c r="BA608" s="321" t="e">
        <f t="shared" ca="1" si="577"/>
        <v>#NAME?</v>
      </c>
      <c r="BB608" s="322" t="e">
        <f t="shared" ca="1" si="578"/>
        <v>#NAME?</v>
      </c>
      <c r="BC608" s="323">
        <v>75.196700000000007</v>
      </c>
      <c r="BD608" s="324" t="e">
        <f t="shared" ca="1" si="579"/>
        <v>#NAME?</v>
      </c>
      <c r="BE608" s="325" t="e">
        <f t="shared" ca="1" si="580"/>
        <v>#NAME?</v>
      </c>
      <c r="BF608" s="324" t="e">
        <f ca="1">BicubicInterpolation('TSFC Eff Table'!$B$4:$E$69,2,BB608)</f>
        <v>#NAME?</v>
      </c>
      <c r="BG608" s="326" t="e">
        <f t="shared" ca="1" si="581"/>
        <v>#NAME?</v>
      </c>
      <c r="BH608" s="694" t="e">
        <f ca="1">IF( S608="LRCINOP",   (1+(0.03/10)*Z608*(1+0.2*AC608^2) )*BicubicInterpolation( 'LRC INOP FF'!$C$4:$AA$21, Y608, U608 )-200, IF(S608 ="HOLDINGINOP", (1+(0.03/10)*Z608*(1+0.2*AC608^2) )*BicubicInterpolation( 'Holding INOP FF'!$C$4:$J$13,  Y608,  U608)/1.05-200,   BA608*BG608))</f>
        <v>#NAME?</v>
      </c>
      <c r="BI608" s="344" t="e">
        <f t="shared" ca="1" si="540"/>
        <v>#NAME?</v>
      </c>
      <c r="BJ608" s="322" t="e">
        <f t="shared" ca="1" si="582"/>
        <v>#NAME?</v>
      </c>
      <c r="BK608" s="338" t="e">
        <f t="shared" ca="1" si="541"/>
        <v>#NAME?</v>
      </c>
      <c r="BL608" s="327" t="e">
        <f t="shared" ca="1" si="583"/>
        <v>#NAME?</v>
      </c>
      <c r="BM608" s="328">
        <f t="shared" si="584"/>
        <v>200</v>
      </c>
      <c r="BN608" s="329" t="e">
        <f t="shared" ca="1" si="585"/>
        <v>#NAME?</v>
      </c>
      <c r="BO608" s="344" t="e">
        <f t="shared" ca="1" si="542"/>
        <v>#NAME?</v>
      </c>
      <c r="BP608" s="320" t="e">
        <f t="shared" ca="1" si="586"/>
        <v>#NAME?</v>
      </c>
      <c r="BQ608" s="344" t="e">
        <f t="shared" ca="1" si="543"/>
        <v>#NAME?</v>
      </c>
      <c r="BR608" s="347" t="e">
        <f t="shared" ca="1" si="544"/>
        <v>#NAME?</v>
      </c>
      <c r="BS608" s="326" t="e">
        <f t="shared" ca="1" si="587"/>
        <v>#NAME?</v>
      </c>
      <c r="BT608" s="437" t="e">
        <f t="shared" ca="1" si="557"/>
        <v>#NAME?</v>
      </c>
      <c r="BU608" s="437" t="e">
        <f t="shared" ca="1" si="558"/>
        <v>#NAME?</v>
      </c>
      <c r="BV608" s="441" t="e">
        <f t="shared" ca="1" si="559"/>
        <v>#NAME?</v>
      </c>
      <c r="BW608" s="442" t="e">
        <f t="shared" ca="1" si="560"/>
        <v>#NAME?</v>
      </c>
      <c r="BX608" s="470" t="e">
        <f t="shared" ca="1" si="534"/>
        <v>#NAME?</v>
      </c>
      <c r="BY608" s="484" t="e">
        <f t="shared" ca="1" si="545"/>
        <v>#NAME?</v>
      </c>
    </row>
    <row r="609" spans="9:77" ht="17.75" customHeight="1" x14ac:dyDescent="0.2">
      <c r="I609" s="366">
        <v>525</v>
      </c>
      <c r="J609" s="414">
        <f t="shared" si="546"/>
        <v>41706.077083334523</v>
      </c>
      <c r="K609" s="435" t="e">
        <f t="shared" ca="1" si="547"/>
        <v>#NAME?</v>
      </c>
      <c r="L609" s="435" t="e">
        <f t="shared" ca="1" si="528"/>
        <v>#NAME?</v>
      </c>
      <c r="M609" s="664" t="e">
        <f t="shared" ca="1" si="526"/>
        <v>#NAME?</v>
      </c>
      <c r="N609" s="664" t="e">
        <f t="shared" ca="1" si="527"/>
        <v>#NAME?</v>
      </c>
      <c r="O609" s="140" t="e">
        <f t="shared" ca="1" si="535"/>
        <v>#NAME?</v>
      </c>
      <c r="P609" s="352" t="e">
        <f t="shared" ca="1" si="548"/>
        <v>#NAME?</v>
      </c>
      <c r="Q609" s="665" t="e">
        <f t="shared" ca="1" si="529"/>
        <v>#NAME?</v>
      </c>
      <c r="R609" s="352" t="e">
        <f t="shared" ca="1" si="561"/>
        <v>#NAME?</v>
      </c>
      <c r="S609" s="662" t="e">
        <f t="shared" ca="1" si="536"/>
        <v>#NAME?</v>
      </c>
      <c r="T609" s="443" t="e">
        <f t="shared" ca="1" si="530"/>
        <v>#NAME?</v>
      </c>
      <c r="U609" s="369" t="e">
        <f t="shared" ca="1" si="531"/>
        <v>#NAME?</v>
      </c>
      <c r="V609" s="454" t="e">
        <f t="shared" ca="1" si="537"/>
        <v>#NAME?</v>
      </c>
      <c r="W609" s="457">
        <f t="shared" si="538"/>
        <v>1000</v>
      </c>
      <c r="X609" s="463" t="e">
        <f t="shared" ca="1" si="539"/>
        <v>#NAME?</v>
      </c>
      <c r="Y609" s="455" t="e">
        <f t="shared" ca="1" si="549"/>
        <v>#NAME?</v>
      </c>
      <c r="Z609" s="699">
        <f t="shared" si="532"/>
        <v>8.5</v>
      </c>
      <c r="AA609" s="355" t="str">
        <f t="shared" si="533"/>
        <v>ON</v>
      </c>
      <c r="AB609" s="357">
        <f t="shared" si="562"/>
        <v>1.4999999999999999E-2</v>
      </c>
      <c r="AC609" s="356" t="e">
        <f ca="1">IF(  Y608=0,0,IF(OR(S609="KCAS",S609="INOP",S609="MEFE"),   ( (5*( (   (((1+0.2*(T609/661.4786)^2)^3.5 -1)  )/( (1-6.8755856*10^-6 *100*Y609)^5.2558797) +1)^(2/7) -1) )^0.5),IF(S609="MACH",T609, IF(S609="LRC",BicubicInterpolation( 'LRC Mach'!$C$4:$AL$21, Y609,U609),  IF(S609="MRC",BicubicInterpolation( 'MRC Mach'!$C$3:$T$18, Y609,U609),  IF(S609="M0.84",0.84,  IF(S609="CI52",BicubicInterpolation('CI=52 Mach'!$C$3:$T$18, Y609,U609),  IF(S609="HOLDING",BicubicInterpolation(  'Holding Mach'!$C$4:$M$13, Y609,U609),                         IF(S609="LRCINOP", BicubicInterpolation('LRC INOP Mach'!$C$4:$AA$21,Y609,U609), IF(S609="HOLDINGINOP",  BicubicInterpolation('Holding INOP Mach'!$N$4:$U$13,Y609,U609),         "XXX" )))))))   )))</f>
        <v>#NAME?</v>
      </c>
      <c r="AD609" s="313" t="e">
        <f t="shared" ca="1" si="563"/>
        <v>#NAME?</v>
      </c>
      <c r="AE609" s="314" t="e">
        <f t="shared" ca="1" si="550"/>
        <v>#NAME?</v>
      </c>
      <c r="AF609" s="313" t="e">
        <f t="shared" ca="1" si="564"/>
        <v>#NAME?</v>
      </c>
      <c r="AG609" s="314" t="e">
        <f t="shared" ca="1" si="551"/>
        <v>#NAME?</v>
      </c>
      <c r="AH609" s="313" t="e">
        <f t="shared" ca="1" si="565"/>
        <v>#NAME?</v>
      </c>
      <c r="AI609" s="314" t="e">
        <f t="shared" ca="1" si="552"/>
        <v>#NAME?</v>
      </c>
      <c r="AJ609" s="315" t="e">
        <f t="shared" ca="1" si="553"/>
        <v>#NAME?</v>
      </c>
      <c r="AK609" s="568" t="e">
        <f t="shared" ca="1" si="566"/>
        <v>#NAME?</v>
      </c>
      <c r="AL609" s="313" t="e">
        <f t="shared" ca="1" si="567"/>
        <v>#NAME?</v>
      </c>
      <c r="AM609" s="313" t="e">
        <f t="shared" ca="1" si="554"/>
        <v>#NAME?</v>
      </c>
      <c r="AN609" s="313" t="e">
        <f t="shared" ca="1" si="555"/>
        <v>#NAME?</v>
      </c>
      <c r="AO609" s="316" t="e">
        <f t="shared" ca="1" si="568"/>
        <v>#NAME?</v>
      </c>
      <c r="AP609" s="313" t="e">
        <f t="shared" ca="1" si="569"/>
        <v>#NAME?</v>
      </c>
      <c r="AQ609" s="314" t="e">
        <f t="shared" ca="1" si="556"/>
        <v>#NAME?</v>
      </c>
      <c r="AR609" s="315" t="e">
        <f t="shared" ca="1" si="570"/>
        <v>#NAME?</v>
      </c>
      <c r="AS609" s="316" t="e">
        <f t="shared" ca="1" si="571"/>
        <v>#NAME?</v>
      </c>
      <c r="AT609" s="315" t="e">
        <f t="shared" ca="1" si="572"/>
        <v>#NAME?</v>
      </c>
      <c r="AU609" s="317">
        <v>427.8</v>
      </c>
      <c r="AV609" s="315" t="e">
        <f t="shared" ca="1" si="573"/>
        <v>#NAME?</v>
      </c>
      <c r="AW609" s="318" t="e">
        <f ca="1">0.0001*BicubicInterpolation('Drag Coef Table'!$B$4:$L$28,AV609,AC609)</f>
        <v>#NAME?</v>
      </c>
      <c r="AX609" s="319" t="e">
        <f t="shared" ca="1" si="574"/>
        <v>#NAME?</v>
      </c>
      <c r="AY609" s="318" t="e">
        <f t="shared" ca="1" si="575"/>
        <v>#NAME?</v>
      </c>
      <c r="AZ609" s="320" t="e">
        <f t="shared" ca="1" si="576"/>
        <v>#NAME?</v>
      </c>
      <c r="BA609" s="321" t="e">
        <f t="shared" ca="1" si="577"/>
        <v>#NAME?</v>
      </c>
      <c r="BB609" s="322" t="e">
        <f t="shared" ca="1" si="578"/>
        <v>#NAME?</v>
      </c>
      <c r="BC609" s="323">
        <v>75.196700000000007</v>
      </c>
      <c r="BD609" s="324" t="e">
        <f t="shared" ca="1" si="579"/>
        <v>#NAME?</v>
      </c>
      <c r="BE609" s="325" t="e">
        <f t="shared" ca="1" si="580"/>
        <v>#NAME?</v>
      </c>
      <c r="BF609" s="324" t="e">
        <f ca="1">BicubicInterpolation('TSFC Eff Table'!$B$4:$E$69,2,BB609)</f>
        <v>#NAME?</v>
      </c>
      <c r="BG609" s="326" t="e">
        <f t="shared" ca="1" si="581"/>
        <v>#NAME?</v>
      </c>
      <c r="BH609" s="694" t="e">
        <f ca="1">IF( S609="LRCINOP",   (1+(0.03/10)*Z609*(1+0.2*AC609^2) )*BicubicInterpolation( 'LRC INOP FF'!$C$4:$AA$21, Y609, U609 )-200, IF(S609 ="HOLDINGINOP", (1+(0.03/10)*Z609*(1+0.2*AC609^2) )*BicubicInterpolation( 'Holding INOP FF'!$C$4:$J$13,  Y609,  U609)/1.05-200,   BA609*BG609))</f>
        <v>#NAME?</v>
      </c>
      <c r="BI609" s="344" t="e">
        <f t="shared" ca="1" si="540"/>
        <v>#NAME?</v>
      </c>
      <c r="BJ609" s="322" t="e">
        <f t="shared" ca="1" si="582"/>
        <v>#NAME?</v>
      </c>
      <c r="BK609" s="338" t="e">
        <f t="shared" ca="1" si="541"/>
        <v>#NAME?</v>
      </c>
      <c r="BL609" s="327" t="e">
        <f t="shared" ca="1" si="583"/>
        <v>#NAME?</v>
      </c>
      <c r="BM609" s="328">
        <f t="shared" si="584"/>
        <v>200</v>
      </c>
      <c r="BN609" s="329" t="e">
        <f t="shared" ca="1" si="585"/>
        <v>#NAME?</v>
      </c>
      <c r="BO609" s="344" t="e">
        <f t="shared" ca="1" si="542"/>
        <v>#NAME?</v>
      </c>
      <c r="BP609" s="320" t="e">
        <f t="shared" ca="1" si="586"/>
        <v>#NAME?</v>
      </c>
      <c r="BQ609" s="344" t="e">
        <f t="shared" ca="1" si="543"/>
        <v>#NAME?</v>
      </c>
      <c r="BR609" s="347" t="e">
        <f t="shared" ca="1" si="544"/>
        <v>#NAME?</v>
      </c>
      <c r="BS609" s="326" t="e">
        <f t="shared" ca="1" si="587"/>
        <v>#NAME?</v>
      </c>
      <c r="BT609" s="437" t="e">
        <f t="shared" ca="1" si="557"/>
        <v>#NAME?</v>
      </c>
      <c r="BU609" s="437" t="e">
        <f t="shared" ca="1" si="558"/>
        <v>#NAME?</v>
      </c>
      <c r="BV609" s="441" t="e">
        <f t="shared" ca="1" si="559"/>
        <v>#NAME?</v>
      </c>
      <c r="BW609" s="442" t="e">
        <f t="shared" ca="1" si="560"/>
        <v>#NAME?</v>
      </c>
      <c r="BX609" s="470" t="e">
        <f t="shared" ca="1" si="534"/>
        <v>#NAME?</v>
      </c>
      <c r="BY609" s="484" t="e">
        <f t="shared" ca="1" si="545"/>
        <v>#NAME?</v>
      </c>
    </row>
    <row r="610" spans="9:77" ht="17.75" customHeight="1" x14ac:dyDescent="0.2">
      <c r="I610" s="366">
        <v>526</v>
      </c>
      <c r="J610" s="414">
        <f t="shared" si="546"/>
        <v>41706.07777777897</v>
      </c>
      <c r="K610" s="435" t="e">
        <f t="shared" ca="1" si="547"/>
        <v>#NAME?</v>
      </c>
      <c r="L610" s="435" t="e">
        <f t="shared" ca="1" si="528"/>
        <v>#NAME?</v>
      </c>
      <c r="M610" s="664" t="e">
        <f t="shared" ca="1" si="526"/>
        <v>#NAME?</v>
      </c>
      <c r="N610" s="664" t="e">
        <f t="shared" ca="1" si="527"/>
        <v>#NAME?</v>
      </c>
      <c r="O610" s="140" t="e">
        <f t="shared" ca="1" si="535"/>
        <v>#NAME?</v>
      </c>
      <c r="P610" s="352" t="e">
        <f t="shared" ca="1" si="548"/>
        <v>#NAME?</v>
      </c>
      <c r="Q610" s="665" t="e">
        <f t="shared" ca="1" si="529"/>
        <v>#NAME?</v>
      </c>
      <c r="R610" s="352" t="e">
        <f t="shared" ca="1" si="561"/>
        <v>#NAME?</v>
      </c>
      <c r="S610" s="662" t="e">
        <f t="shared" ca="1" si="536"/>
        <v>#NAME?</v>
      </c>
      <c r="T610" s="443" t="e">
        <f t="shared" ca="1" si="530"/>
        <v>#NAME?</v>
      </c>
      <c r="U610" s="369" t="e">
        <f t="shared" ca="1" si="531"/>
        <v>#NAME?</v>
      </c>
      <c r="V610" s="454" t="e">
        <f t="shared" ca="1" si="537"/>
        <v>#NAME?</v>
      </c>
      <c r="W610" s="457">
        <f t="shared" si="538"/>
        <v>1000</v>
      </c>
      <c r="X610" s="463" t="e">
        <f t="shared" ca="1" si="539"/>
        <v>#NAME?</v>
      </c>
      <c r="Y610" s="455" t="e">
        <f t="shared" ca="1" si="549"/>
        <v>#NAME?</v>
      </c>
      <c r="Z610" s="699">
        <f t="shared" si="532"/>
        <v>8.5</v>
      </c>
      <c r="AA610" s="355" t="str">
        <f t="shared" si="533"/>
        <v>ON</v>
      </c>
      <c r="AB610" s="357">
        <f t="shared" si="562"/>
        <v>1.4999999999999999E-2</v>
      </c>
      <c r="AC610" s="356" t="e">
        <f ca="1">IF(  Y609=0,0,IF(OR(S610="KCAS",S610="INOP",S610="MEFE"),   ( (5*( (   (((1+0.2*(T610/661.4786)^2)^3.5 -1)  )/( (1-6.8755856*10^-6 *100*Y610)^5.2558797) +1)^(2/7) -1) )^0.5),IF(S610="MACH",T610, IF(S610="LRC",BicubicInterpolation( 'LRC Mach'!$C$4:$AL$21, Y610,U610),  IF(S610="MRC",BicubicInterpolation( 'MRC Mach'!$C$3:$T$18, Y610,U610),  IF(S610="M0.84",0.84,  IF(S610="CI52",BicubicInterpolation('CI=52 Mach'!$C$3:$T$18, Y610,U610),  IF(S610="HOLDING",BicubicInterpolation(  'Holding Mach'!$C$4:$M$13, Y610,U610),                         IF(S610="LRCINOP", BicubicInterpolation('LRC INOP Mach'!$C$4:$AA$21,Y610,U610), IF(S610="HOLDINGINOP",  BicubicInterpolation('Holding INOP Mach'!$N$4:$U$13,Y610,U610),         "XXX" )))))))   )))</f>
        <v>#NAME?</v>
      </c>
      <c r="AD610" s="313" t="e">
        <f t="shared" ca="1" si="563"/>
        <v>#NAME?</v>
      </c>
      <c r="AE610" s="314" t="e">
        <f t="shared" ca="1" si="550"/>
        <v>#NAME?</v>
      </c>
      <c r="AF610" s="313" t="e">
        <f t="shared" ca="1" si="564"/>
        <v>#NAME?</v>
      </c>
      <c r="AG610" s="314" t="e">
        <f t="shared" ca="1" si="551"/>
        <v>#NAME?</v>
      </c>
      <c r="AH610" s="313" t="e">
        <f t="shared" ca="1" si="565"/>
        <v>#NAME?</v>
      </c>
      <c r="AI610" s="314" t="e">
        <f t="shared" ca="1" si="552"/>
        <v>#NAME?</v>
      </c>
      <c r="AJ610" s="315" t="e">
        <f t="shared" ca="1" si="553"/>
        <v>#NAME?</v>
      </c>
      <c r="AK610" s="568" t="e">
        <f t="shared" ca="1" si="566"/>
        <v>#NAME?</v>
      </c>
      <c r="AL610" s="313" t="e">
        <f t="shared" ca="1" si="567"/>
        <v>#NAME?</v>
      </c>
      <c r="AM610" s="313" t="e">
        <f t="shared" ca="1" si="554"/>
        <v>#NAME?</v>
      </c>
      <c r="AN610" s="313" t="e">
        <f t="shared" ca="1" si="555"/>
        <v>#NAME?</v>
      </c>
      <c r="AO610" s="316" t="e">
        <f t="shared" ca="1" si="568"/>
        <v>#NAME?</v>
      </c>
      <c r="AP610" s="313" t="e">
        <f t="shared" ca="1" si="569"/>
        <v>#NAME?</v>
      </c>
      <c r="AQ610" s="314" t="e">
        <f t="shared" ca="1" si="556"/>
        <v>#NAME?</v>
      </c>
      <c r="AR610" s="315" t="e">
        <f t="shared" ca="1" si="570"/>
        <v>#NAME?</v>
      </c>
      <c r="AS610" s="316" t="e">
        <f t="shared" ca="1" si="571"/>
        <v>#NAME?</v>
      </c>
      <c r="AT610" s="315" t="e">
        <f t="shared" ca="1" si="572"/>
        <v>#NAME?</v>
      </c>
      <c r="AU610" s="317">
        <v>427.8</v>
      </c>
      <c r="AV610" s="315" t="e">
        <f t="shared" ca="1" si="573"/>
        <v>#NAME?</v>
      </c>
      <c r="AW610" s="318" t="e">
        <f ca="1">0.0001*BicubicInterpolation('Drag Coef Table'!$B$4:$L$28,AV610,AC610)</f>
        <v>#NAME?</v>
      </c>
      <c r="AX610" s="319" t="e">
        <f t="shared" ca="1" si="574"/>
        <v>#NAME?</v>
      </c>
      <c r="AY610" s="318" t="e">
        <f t="shared" ca="1" si="575"/>
        <v>#NAME?</v>
      </c>
      <c r="AZ610" s="320" t="e">
        <f t="shared" ca="1" si="576"/>
        <v>#NAME?</v>
      </c>
      <c r="BA610" s="321" t="e">
        <f t="shared" ca="1" si="577"/>
        <v>#NAME?</v>
      </c>
      <c r="BB610" s="322" t="e">
        <f t="shared" ca="1" si="578"/>
        <v>#NAME?</v>
      </c>
      <c r="BC610" s="323">
        <v>75.196700000000007</v>
      </c>
      <c r="BD610" s="324" t="e">
        <f t="shared" ca="1" si="579"/>
        <v>#NAME?</v>
      </c>
      <c r="BE610" s="325" t="e">
        <f t="shared" ca="1" si="580"/>
        <v>#NAME?</v>
      </c>
      <c r="BF610" s="324" t="e">
        <f ca="1">BicubicInterpolation('TSFC Eff Table'!$B$4:$E$69,2,BB610)</f>
        <v>#NAME?</v>
      </c>
      <c r="BG610" s="326" t="e">
        <f t="shared" ca="1" si="581"/>
        <v>#NAME?</v>
      </c>
      <c r="BH610" s="694" t="e">
        <f ca="1">IF( S610="LRCINOP",   (1+(0.03/10)*Z610*(1+0.2*AC610^2) )*BicubicInterpolation( 'LRC INOP FF'!$C$4:$AA$21, Y610, U610 )-200, IF(S610 ="HOLDINGINOP", (1+(0.03/10)*Z610*(1+0.2*AC610^2) )*BicubicInterpolation( 'Holding INOP FF'!$C$4:$J$13,  Y610,  U610)/1.05-200,   BA610*BG610))</f>
        <v>#NAME?</v>
      </c>
      <c r="BI610" s="344" t="e">
        <f t="shared" ca="1" si="540"/>
        <v>#NAME?</v>
      </c>
      <c r="BJ610" s="322" t="e">
        <f t="shared" ca="1" si="582"/>
        <v>#NAME?</v>
      </c>
      <c r="BK610" s="338" t="e">
        <f t="shared" ca="1" si="541"/>
        <v>#NAME?</v>
      </c>
      <c r="BL610" s="327" t="e">
        <f t="shared" ca="1" si="583"/>
        <v>#NAME?</v>
      </c>
      <c r="BM610" s="328">
        <f t="shared" si="584"/>
        <v>200</v>
      </c>
      <c r="BN610" s="329" t="e">
        <f t="shared" ca="1" si="585"/>
        <v>#NAME?</v>
      </c>
      <c r="BO610" s="344" t="e">
        <f t="shared" ca="1" si="542"/>
        <v>#NAME?</v>
      </c>
      <c r="BP610" s="320" t="e">
        <f t="shared" ca="1" si="586"/>
        <v>#NAME?</v>
      </c>
      <c r="BQ610" s="344" t="e">
        <f t="shared" ca="1" si="543"/>
        <v>#NAME?</v>
      </c>
      <c r="BR610" s="347" t="e">
        <f t="shared" ca="1" si="544"/>
        <v>#NAME?</v>
      </c>
      <c r="BS610" s="326" t="e">
        <f t="shared" ca="1" si="587"/>
        <v>#NAME?</v>
      </c>
      <c r="BT610" s="437" t="e">
        <f t="shared" ca="1" si="557"/>
        <v>#NAME?</v>
      </c>
      <c r="BU610" s="437" t="e">
        <f t="shared" ca="1" si="558"/>
        <v>#NAME?</v>
      </c>
      <c r="BV610" s="441" t="e">
        <f t="shared" ca="1" si="559"/>
        <v>#NAME?</v>
      </c>
      <c r="BW610" s="442" t="e">
        <f t="shared" ca="1" si="560"/>
        <v>#NAME?</v>
      </c>
      <c r="BX610" s="470" t="e">
        <f t="shared" ca="1" si="534"/>
        <v>#NAME?</v>
      </c>
      <c r="BY610" s="484" t="e">
        <f t="shared" ca="1" si="545"/>
        <v>#NAME?</v>
      </c>
    </row>
    <row r="611" spans="9:77" ht="17.75" customHeight="1" x14ac:dyDescent="0.2">
      <c r="I611" s="366">
        <v>527</v>
      </c>
      <c r="J611" s="414">
        <f t="shared" si="546"/>
        <v>41706.078472223417</v>
      </c>
      <c r="K611" s="435" t="e">
        <f t="shared" ca="1" si="547"/>
        <v>#NAME?</v>
      </c>
      <c r="L611" s="435" t="e">
        <f t="shared" ca="1" si="528"/>
        <v>#NAME?</v>
      </c>
      <c r="M611" s="664" t="e">
        <f t="shared" ca="1" si="526"/>
        <v>#NAME?</v>
      </c>
      <c r="N611" s="664" t="e">
        <f t="shared" ca="1" si="527"/>
        <v>#NAME?</v>
      </c>
      <c r="O611" s="140" t="e">
        <f t="shared" ca="1" si="535"/>
        <v>#NAME?</v>
      </c>
      <c r="P611" s="352" t="e">
        <f t="shared" ca="1" si="548"/>
        <v>#NAME?</v>
      </c>
      <c r="Q611" s="665" t="e">
        <f t="shared" ca="1" si="529"/>
        <v>#NAME?</v>
      </c>
      <c r="R611" s="352" t="e">
        <f t="shared" ca="1" si="561"/>
        <v>#NAME?</v>
      </c>
      <c r="S611" s="662" t="e">
        <f t="shared" ca="1" si="536"/>
        <v>#NAME?</v>
      </c>
      <c r="T611" s="443" t="e">
        <f t="shared" ca="1" si="530"/>
        <v>#NAME?</v>
      </c>
      <c r="U611" s="369" t="e">
        <f t="shared" ca="1" si="531"/>
        <v>#NAME?</v>
      </c>
      <c r="V611" s="454" t="e">
        <f t="shared" ca="1" si="537"/>
        <v>#NAME?</v>
      </c>
      <c r="W611" s="457">
        <f t="shared" si="538"/>
        <v>1000</v>
      </c>
      <c r="X611" s="463" t="e">
        <f t="shared" ca="1" si="539"/>
        <v>#NAME?</v>
      </c>
      <c r="Y611" s="455" t="e">
        <f t="shared" ca="1" si="549"/>
        <v>#NAME?</v>
      </c>
      <c r="Z611" s="699">
        <f t="shared" si="532"/>
        <v>8.5</v>
      </c>
      <c r="AA611" s="355" t="str">
        <f t="shared" si="533"/>
        <v>ON</v>
      </c>
      <c r="AB611" s="357">
        <f t="shared" si="562"/>
        <v>1.4999999999999999E-2</v>
      </c>
      <c r="AC611" s="356" t="e">
        <f ca="1">IF(  Y610=0,0,IF(OR(S611="KCAS",S611="INOP",S611="MEFE"),   ( (5*( (   (((1+0.2*(T611/661.4786)^2)^3.5 -1)  )/( (1-6.8755856*10^-6 *100*Y611)^5.2558797) +1)^(2/7) -1) )^0.5),IF(S611="MACH",T611, IF(S611="LRC",BicubicInterpolation( 'LRC Mach'!$C$4:$AL$21, Y611,U611),  IF(S611="MRC",BicubicInterpolation( 'MRC Mach'!$C$3:$T$18, Y611,U611),  IF(S611="M0.84",0.84,  IF(S611="CI52",BicubicInterpolation('CI=52 Mach'!$C$3:$T$18, Y611,U611),  IF(S611="HOLDING",BicubicInterpolation(  'Holding Mach'!$C$4:$M$13, Y611,U611),                         IF(S611="LRCINOP", BicubicInterpolation('LRC INOP Mach'!$C$4:$AA$21,Y611,U611), IF(S611="HOLDINGINOP",  BicubicInterpolation('Holding INOP Mach'!$N$4:$U$13,Y611,U611),         "XXX" )))))))   )))</f>
        <v>#NAME?</v>
      </c>
      <c r="AD611" s="313" t="e">
        <f t="shared" ca="1" si="563"/>
        <v>#NAME?</v>
      </c>
      <c r="AE611" s="314" t="e">
        <f t="shared" ca="1" si="550"/>
        <v>#NAME?</v>
      </c>
      <c r="AF611" s="313" t="e">
        <f t="shared" ca="1" si="564"/>
        <v>#NAME?</v>
      </c>
      <c r="AG611" s="314" t="e">
        <f t="shared" ca="1" si="551"/>
        <v>#NAME?</v>
      </c>
      <c r="AH611" s="313" t="e">
        <f t="shared" ca="1" si="565"/>
        <v>#NAME?</v>
      </c>
      <c r="AI611" s="314" t="e">
        <f t="shared" ca="1" si="552"/>
        <v>#NAME?</v>
      </c>
      <c r="AJ611" s="315" t="e">
        <f t="shared" ca="1" si="553"/>
        <v>#NAME?</v>
      </c>
      <c r="AK611" s="568" t="e">
        <f t="shared" ca="1" si="566"/>
        <v>#NAME?</v>
      </c>
      <c r="AL611" s="313" t="e">
        <f t="shared" ca="1" si="567"/>
        <v>#NAME?</v>
      </c>
      <c r="AM611" s="313" t="e">
        <f t="shared" ca="1" si="554"/>
        <v>#NAME?</v>
      </c>
      <c r="AN611" s="313" t="e">
        <f t="shared" ca="1" si="555"/>
        <v>#NAME?</v>
      </c>
      <c r="AO611" s="316" t="e">
        <f t="shared" ca="1" si="568"/>
        <v>#NAME?</v>
      </c>
      <c r="AP611" s="313" t="e">
        <f t="shared" ca="1" si="569"/>
        <v>#NAME?</v>
      </c>
      <c r="AQ611" s="314" t="e">
        <f t="shared" ca="1" si="556"/>
        <v>#NAME?</v>
      </c>
      <c r="AR611" s="315" t="e">
        <f t="shared" ca="1" si="570"/>
        <v>#NAME?</v>
      </c>
      <c r="AS611" s="316" t="e">
        <f t="shared" ca="1" si="571"/>
        <v>#NAME?</v>
      </c>
      <c r="AT611" s="315" t="e">
        <f t="shared" ca="1" si="572"/>
        <v>#NAME?</v>
      </c>
      <c r="AU611" s="317">
        <v>427.8</v>
      </c>
      <c r="AV611" s="315" t="e">
        <f t="shared" ca="1" si="573"/>
        <v>#NAME?</v>
      </c>
      <c r="AW611" s="318" t="e">
        <f ca="1">0.0001*BicubicInterpolation('Drag Coef Table'!$B$4:$L$28,AV611,AC611)</f>
        <v>#NAME?</v>
      </c>
      <c r="AX611" s="319" t="e">
        <f t="shared" ca="1" si="574"/>
        <v>#NAME?</v>
      </c>
      <c r="AY611" s="318" t="e">
        <f t="shared" ca="1" si="575"/>
        <v>#NAME?</v>
      </c>
      <c r="AZ611" s="320" t="e">
        <f t="shared" ca="1" si="576"/>
        <v>#NAME?</v>
      </c>
      <c r="BA611" s="321" t="e">
        <f t="shared" ca="1" si="577"/>
        <v>#NAME?</v>
      </c>
      <c r="BB611" s="322" t="e">
        <f t="shared" ca="1" si="578"/>
        <v>#NAME?</v>
      </c>
      <c r="BC611" s="323">
        <v>75.196700000000007</v>
      </c>
      <c r="BD611" s="324" t="e">
        <f t="shared" ca="1" si="579"/>
        <v>#NAME?</v>
      </c>
      <c r="BE611" s="325" t="e">
        <f t="shared" ca="1" si="580"/>
        <v>#NAME?</v>
      </c>
      <c r="BF611" s="324" t="e">
        <f ca="1">BicubicInterpolation('TSFC Eff Table'!$B$4:$E$69,2,BB611)</f>
        <v>#NAME?</v>
      </c>
      <c r="BG611" s="326" t="e">
        <f t="shared" ca="1" si="581"/>
        <v>#NAME?</v>
      </c>
      <c r="BH611" s="694" t="e">
        <f ca="1">IF( S611="LRCINOP",   (1+(0.03/10)*Z611*(1+0.2*AC611^2) )*BicubicInterpolation( 'LRC INOP FF'!$C$4:$AA$21, Y611, U611 )-200, IF(S611 ="HOLDINGINOP", (1+(0.03/10)*Z611*(1+0.2*AC611^2) )*BicubicInterpolation( 'Holding INOP FF'!$C$4:$J$13,  Y611,  U611)/1.05-200,   BA611*BG611))</f>
        <v>#NAME?</v>
      </c>
      <c r="BI611" s="344" t="e">
        <f t="shared" ca="1" si="540"/>
        <v>#NAME?</v>
      </c>
      <c r="BJ611" s="322" t="e">
        <f t="shared" ca="1" si="582"/>
        <v>#NAME?</v>
      </c>
      <c r="BK611" s="338" t="e">
        <f t="shared" ca="1" si="541"/>
        <v>#NAME?</v>
      </c>
      <c r="BL611" s="327" t="e">
        <f t="shared" ca="1" si="583"/>
        <v>#NAME?</v>
      </c>
      <c r="BM611" s="328">
        <f t="shared" si="584"/>
        <v>200</v>
      </c>
      <c r="BN611" s="329" t="e">
        <f t="shared" ca="1" si="585"/>
        <v>#NAME?</v>
      </c>
      <c r="BO611" s="344" t="e">
        <f t="shared" ca="1" si="542"/>
        <v>#NAME?</v>
      </c>
      <c r="BP611" s="320" t="e">
        <f t="shared" ca="1" si="586"/>
        <v>#NAME?</v>
      </c>
      <c r="BQ611" s="344" t="e">
        <f t="shared" ca="1" si="543"/>
        <v>#NAME?</v>
      </c>
      <c r="BR611" s="347" t="e">
        <f t="shared" ca="1" si="544"/>
        <v>#NAME?</v>
      </c>
      <c r="BS611" s="326" t="e">
        <f t="shared" ca="1" si="587"/>
        <v>#NAME?</v>
      </c>
      <c r="BT611" s="437" t="e">
        <f t="shared" ca="1" si="557"/>
        <v>#NAME?</v>
      </c>
      <c r="BU611" s="437" t="e">
        <f t="shared" ca="1" si="558"/>
        <v>#NAME?</v>
      </c>
      <c r="BV611" s="441" t="e">
        <f t="shared" ca="1" si="559"/>
        <v>#NAME?</v>
      </c>
      <c r="BW611" s="442" t="e">
        <f t="shared" ca="1" si="560"/>
        <v>#NAME?</v>
      </c>
      <c r="BX611" s="470" t="e">
        <f t="shared" ca="1" si="534"/>
        <v>#NAME?</v>
      </c>
      <c r="BY611" s="484" t="e">
        <f t="shared" ca="1" si="545"/>
        <v>#NAME?</v>
      </c>
    </row>
    <row r="612" spans="9:77" ht="17.75" customHeight="1" x14ac:dyDescent="0.2">
      <c r="I612" s="366">
        <v>528</v>
      </c>
      <c r="J612" s="414">
        <f t="shared" si="546"/>
        <v>41706.079166667863</v>
      </c>
      <c r="K612" s="435" t="e">
        <f t="shared" ca="1" si="547"/>
        <v>#NAME?</v>
      </c>
      <c r="L612" s="435" t="e">
        <f t="shared" ca="1" si="528"/>
        <v>#NAME?</v>
      </c>
      <c r="M612" s="664" t="e">
        <f t="shared" ca="1" si="526"/>
        <v>#NAME?</v>
      </c>
      <c r="N612" s="664" t="e">
        <f t="shared" ca="1" si="527"/>
        <v>#NAME?</v>
      </c>
      <c r="O612" s="140" t="e">
        <f t="shared" ca="1" si="535"/>
        <v>#NAME?</v>
      </c>
      <c r="P612" s="352" t="e">
        <f t="shared" ca="1" si="548"/>
        <v>#NAME?</v>
      </c>
      <c r="Q612" s="665" t="e">
        <f t="shared" ca="1" si="529"/>
        <v>#NAME?</v>
      </c>
      <c r="R612" s="352" t="e">
        <f t="shared" ca="1" si="561"/>
        <v>#NAME?</v>
      </c>
      <c r="S612" s="662" t="e">
        <f t="shared" ca="1" si="536"/>
        <v>#NAME?</v>
      </c>
      <c r="T612" s="443" t="e">
        <f t="shared" ca="1" si="530"/>
        <v>#NAME?</v>
      </c>
      <c r="U612" s="369" t="e">
        <f t="shared" ca="1" si="531"/>
        <v>#NAME?</v>
      </c>
      <c r="V612" s="454" t="e">
        <f t="shared" ca="1" si="537"/>
        <v>#NAME?</v>
      </c>
      <c r="W612" s="457">
        <f t="shared" si="538"/>
        <v>1000</v>
      </c>
      <c r="X612" s="463" t="e">
        <f t="shared" ca="1" si="539"/>
        <v>#NAME?</v>
      </c>
      <c r="Y612" s="455" t="e">
        <f t="shared" ca="1" si="549"/>
        <v>#NAME?</v>
      </c>
      <c r="Z612" s="699">
        <f t="shared" si="532"/>
        <v>8.5</v>
      </c>
      <c r="AA612" s="355" t="str">
        <f t="shared" si="533"/>
        <v>ON</v>
      </c>
      <c r="AB612" s="357">
        <f t="shared" si="562"/>
        <v>1.4999999999999999E-2</v>
      </c>
      <c r="AC612" s="356" t="e">
        <f ca="1">IF(  Y611=0,0,IF(OR(S612="KCAS",S612="INOP",S612="MEFE"),   ( (5*( (   (((1+0.2*(T612/661.4786)^2)^3.5 -1)  )/( (1-6.8755856*10^-6 *100*Y612)^5.2558797) +1)^(2/7) -1) )^0.5),IF(S612="MACH",T612, IF(S612="LRC",BicubicInterpolation( 'LRC Mach'!$C$4:$AL$21, Y612,U612),  IF(S612="MRC",BicubicInterpolation( 'MRC Mach'!$C$3:$T$18, Y612,U612),  IF(S612="M0.84",0.84,  IF(S612="CI52",BicubicInterpolation('CI=52 Mach'!$C$3:$T$18, Y612,U612),  IF(S612="HOLDING",BicubicInterpolation(  'Holding Mach'!$C$4:$M$13, Y612,U612),                         IF(S612="LRCINOP", BicubicInterpolation('LRC INOP Mach'!$C$4:$AA$21,Y612,U612), IF(S612="HOLDINGINOP",  BicubicInterpolation('Holding INOP Mach'!$N$4:$U$13,Y612,U612),         "XXX" )))))))   )))</f>
        <v>#NAME?</v>
      </c>
      <c r="AD612" s="313" t="e">
        <f t="shared" ca="1" si="563"/>
        <v>#NAME?</v>
      </c>
      <c r="AE612" s="314" t="e">
        <f t="shared" ca="1" si="550"/>
        <v>#NAME?</v>
      </c>
      <c r="AF612" s="313" t="e">
        <f t="shared" ca="1" si="564"/>
        <v>#NAME?</v>
      </c>
      <c r="AG612" s="314" t="e">
        <f t="shared" ca="1" si="551"/>
        <v>#NAME?</v>
      </c>
      <c r="AH612" s="313" t="e">
        <f t="shared" ca="1" si="565"/>
        <v>#NAME?</v>
      </c>
      <c r="AI612" s="314" t="e">
        <f t="shared" ca="1" si="552"/>
        <v>#NAME?</v>
      </c>
      <c r="AJ612" s="315" t="e">
        <f t="shared" ca="1" si="553"/>
        <v>#NAME?</v>
      </c>
      <c r="AK612" s="568" t="e">
        <f t="shared" ca="1" si="566"/>
        <v>#NAME?</v>
      </c>
      <c r="AL612" s="313" t="e">
        <f t="shared" ca="1" si="567"/>
        <v>#NAME?</v>
      </c>
      <c r="AM612" s="313" t="e">
        <f t="shared" ca="1" si="554"/>
        <v>#NAME?</v>
      </c>
      <c r="AN612" s="313" t="e">
        <f t="shared" ca="1" si="555"/>
        <v>#NAME?</v>
      </c>
      <c r="AO612" s="316" t="e">
        <f t="shared" ca="1" si="568"/>
        <v>#NAME?</v>
      </c>
      <c r="AP612" s="313" t="e">
        <f t="shared" ca="1" si="569"/>
        <v>#NAME?</v>
      </c>
      <c r="AQ612" s="314" t="e">
        <f t="shared" ca="1" si="556"/>
        <v>#NAME?</v>
      </c>
      <c r="AR612" s="315" t="e">
        <f t="shared" ca="1" si="570"/>
        <v>#NAME?</v>
      </c>
      <c r="AS612" s="316" t="e">
        <f t="shared" ca="1" si="571"/>
        <v>#NAME?</v>
      </c>
      <c r="AT612" s="315" t="e">
        <f t="shared" ca="1" si="572"/>
        <v>#NAME?</v>
      </c>
      <c r="AU612" s="317">
        <v>427.8</v>
      </c>
      <c r="AV612" s="315" t="e">
        <f t="shared" ca="1" si="573"/>
        <v>#NAME?</v>
      </c>
      <c r="AW612" s="318" t="e">
        <f ca="1">0.0001*BicubicInterpolation('Drag Coef Table'!$B$4:$L$28,AV612,AC612)</f>
        <v>#NAME?</v>
      </c>
      <c r="AX612" s="319" t="e">
        <f t="shared" ca="1" si="574"/>
        <v>#NAME?</v>
      </c>
      <c r="AY612" s="318" t="e">
        <f t="shared" ca="1" si="575"/>
        <v>#NAME?</v>
      </c>
      <c r="AZ612" s="320" t="e">
        <f t="shared" ca="1" si="576"/>
        <v>#NAME?</v>
      </c>
      <c r="BA612" s="321" t="e">
        <f t="shared" ca="1" si="577"/>
        <v>#NAME?</v>
      </c>
      <c r="BB612" s="322" t="e">
        <f t="shared" ca="1" si="578"/>
        <v>#NAME?</v>
      </c>
      <c r="BC612" s="323">
        <v>75.196700000000007</v>
      </c>
      <c r="BD612" s="324" t="e">
        <f t="shared" ca="1" si="579"/>
        <v>#NAME?</v>
      </c>
      <c r="BE612" s="325" t="e">
        <f t="shared" ca="1" si="580"/>
        <v>#NAME?</v>
      </c>
      <c r="BF612" s="324" t="e">
        <f ca="1">BicubicInterpolation('TSFC Eff Table'!$B$4:$E$69,2,BB612)</f>
        <v>#NAME?</v>
      </c>
      <c r="BG612" s="326" t="e">
        <f t="shared" ca="1" si="581"/>
        <v>#NAME?</v>
      </c>
      <c r="BH612" s="694" t="e">
        <f ca="1">IF( S612="LRCINOP",   (1+(0.03/10)*Z612*(1+0.2*AC612^2) )*BicubicInterpolation( 'LRC INOP FF'!$C$4:$AA$21, Y612, U612 )-200, IF(S612 ="HOLDINGINOP", (1+(0.03/10)*Z612*(1+0.2*AC612^2) )*BicubicInterpolation( 'Holding INOP FF'!$C$4:$J$13,  Y612,  U612)/1.05-200,   BA612*BG612))</f>
        <v>#NAME?</v>
      </c>
      <c r="BI612" s="344" t="e">
        <f t="shared" ca="1" si="540"/>
        <v>#NAME?</v>
      </c>
      <c r="BJ612" s="322" t="e">
        <f t="shared" ca="1" si="582"/>
        <v>#NAME?</v>
      </c>
      <c r="BK612" s="338" t="e">
        <f t="shared" ca="1" si="541"/>
        <v>#NAME?</v>
      </c>
      <c r="BL612" s="327" t="e">
        <f t="shared" ca="1" si="583"/>
        <v>#NAME?</v>
      </c>
      <c r="BM612" s="328">
        <f t="shared" si="584"/>
        <v>200</v>
      </c>
      <c r="BN612" s="329" t="e">
        <f t="shared" ca="1" si="585"/>
        <v>#NAME?</v>
      </c>
      <c r="BO612" s="344" t="e">
        <f t="shared" ca="1" si="542"/>
        <v>#NAME?</v>
      </c>
      <c r="BP612" s="320" t="e">
        <f t="shared" ca="1" si="586"/>
        <v>#NAME?</v>
      </c>
      <c r="BQ612" s="344" t="e">
        <f t="shared" ca="1" si="543"/>
        <v>#NAME?</v>
      </c>
      <c r="BR612" s="347" t="e">
        <f t="shared" ca="1" si="544"/>
        <v>#NAME?</v>
      </c>
      <c r="BS612" s="326" t="e">
        <f t="shared" ca="1" si="587"/>
        <v>#NAME?</v>
      </c>
      <c r="BT612" s="437" t="e">
        <f t="shared" ca="1" si="557"/>
        <v>#NAME?</v>
      </c>
      <c r="BU612" s="437" t="e">
        <f t="shared" ca="1" si="558"/>
        <v>#NAME?</v>
      </c>
      <c r="BV612" s="441" t="e">
        <f t="shared" ca="1" si="559"/>
        <v>#NAME?</v>
      </c>
      <c r="BW612" s="442" t="e">
        <f t="shared" ca="1" si="560"/>
        <v>#NAME?</v>
      </c>
      <c r="BX612" s="470" t="e">
        <f t="shared" ca="1" si="534"/>
        <v>#NAME?</v>
      </c>
      <c r="BY612" s="484" t="e">
        <f t="shared" ca="1" si="545"/>
        <v>#NAME?</v>
      </c>
    </row>
    <row r="613" spans="9:77" ht="17.75" customHeight="1" x14ac:dyDescent="0.2">
      <c r="I613" s="366">
        <v>529</v>
      </c>
      <c r="J613" s="414">
        <f t="shared" si="546"/>
        <v>41706.07986111231</v>
      </c>
      <c r="K613" s="435" t="e">
        <f t="shared" ca="1" si="547"/>
        <v>#NAME?</v>
      </c>
      <c r="L613" s="435" t="e">
        <f t="shared" ca="1" si="528"/>
        <v>#NAME?</v>
      </c>
      <c r="M613" s="664" t="e">
        <f t="shared" ca="1" si="526"/>
        <v>#NAME?</v>
      </c>
      <c r="N613" s="664" t="e">
        <f t="shared" ca="1" si="527"/>
        <v>#NAME?</v>
      </c>
      <c r="O613" s="140" t="e">
        <f t="shared" ca="1" si="535"/>
        <v>#NAME?</v>
      </c>
      <c r="P613" s="352" t="e">
        <f t="shared" ca="1" si="548"/>
        <v>#NAME?</v>
      </c>
      <c r="Q613" s="665" t="e">
        <f t="shared" ca="1" si="529"/>
        <v>#NAME?</v>
      </c>
      <c r="R613" s="352" t="e">
        <f t="shared" ca="1" si="561"/>
        <v>#NAME?</v>
      </c>
      <c r="S613" s="662" t="e">
        <f t="shared" ca="1" si="536"/>
        <v>#NAME?</v>
      </c>
      <c r="T613" s="443" t="e">
        <f t="shared" ca="1" si="530"/>
        <v>#NAME?</v>
      </c>
      <c r="U613" s="369" t="e">
        <f t="shared" ca="1" si="531"/>
        <v>#NAME?</v>
      </c>
      <c r="V613" s="454" t="e">
        <f t="shared" ca="1" si="537"/>
        <v>#NAME?</v>
      </c>
      <c r="W613" s="457">
        <f t="shared" si="538"/>
        <v>1000</v>
      </c>
      <c r="X613" s="463" t="e">
        <f t="shared" ca="1" si="539"/>
        <v>#NAME?</v>
      </c>
      <c r="Y613" s="455" t="e">
        <f t="shared" ca="1" si="549"/>
        <v>#NAME?</v>
      </c>
      <c r="Z613" s="699">
        <f t="shared" si="532"/>
        <v>8.5</v>
      </c>
      <c r="AA613" s="355" t="str">
        <f t="shared" si="533"/>
        <v>ON</v>
      </c>
      <c r="AB613" s="357">
        <f t="shared" si="562"/>
        <v>1.4999999999999999E-2</v>
      </c>
      <c r="AC613" s="356" t="e">
        <f ca="1">IF(  Y612=0,0,IF(OR(S613="KCAS",S613="INOP",S613="MEFE"),   ( (5*( (   (((1+0.2*(T613/661.4786)^2)^3.5 -1)  )/( (1-6.8755856*10^-6 *100*Y613)^5.2558797) +1)^(2/7) -1) )^0.5),IF(S613="MACH",T613, IF(S613="LRC",BicubicInterpolation( 'LRC Mach'!$C$4:$AL$21, Y613,U613),  IF(S613="MRC",BicubicInterpolation( 'MRC Mach'!$C$3:$T$18, Y613,U613),  IF(S613="M0.84",0.84,  IF(S613="CI52",BicubicInterpolation('CI=52 Mach'!$C$3:$T$18, Y613,U613),  IF(S613="HOLDING",BicubicInterpolation(  'Holding Mach'!$C$4:$M$13, Y613,U613),                         IF(S613="LRCINOP", BicubicInterpolation('LRC INOP Mach'!$C$4:$AA$21,Y613,U613), IF(S613="HOLDINGINOP",  BicubicInterpolation('Holding INOP Mach'!$N$4:$U$13,Y613,U613),         "XXX" )))))))   )))</f>
        <v>#NAME?</v>
      </c>
      <c r="AD613" s="313" t="e">
        <f t="shared" ca="1" si="563"/>
        <v>#NAME?</v>
      </c>
      <c r="AE613" s="314" t="e">
        <f t="shared" ca="1" si="550"/>
        <v>#NAME?</v>
      </c>
      <c r="AF613" s="313" t="e">
        <f t="shared" ca="1" si="564"/>
        <v>#NAME?</v>
      </c>
      <c r="AG613" s="314" t="e">
        <f t="shared" ca="1" si="551"/>
        <v>#NAME?</v>
      </c>
      <c r="AH613" s="313" t="e">
        <f t="shared" ca="1" si="565"/>
        <v>#NAME?</v>
      </c>
      <c r="AI613" s="314" t="e">
        <f t="shared" ca="1" si="552"/>
        <v>#NAME?</v>
      </c>
      <c r="AJ613" s="315" t="e">
        <f t="shared" ca="1" si="553"/>
        <v>#NAME?</v>
      </c>
      <c r="AK613" s="568" t="e">
        <f t="shared" ca="1" si="566"/>
        <v>#NAME?</v>
      </c>
      <c r="AL613" s="313" t="e">
        <f t="shared" ca="1" si="567"/>
        <v>#NAME?</v>
      </c>
      <c r="AM613" s="313" t="e">
        <f t="shared" ca="1" si="554"/>
        <v>#NAME?</v>
      </c>
      <c r="AN613" s="313" t="e">
        <f t="shared" ca="1" si="555"/>
        <v>#NAME?</v>
      </c>
      <c r="AO613" s="316" t="e">
        <f t="shared" ca="1" si="568"/>
        <v>#NAME?</v>
      </c>
      <c r="AP613" s="313" t="e">
        <f t="shared" ca="1" si="569"/>
        <v>#NAME?</v>
      </c>
      <c r="AQ613" s="314" t="e">
        <f t="shared" ca="1" si="556"/>
        <v>#NAME?</v>
      </c>
      <c r="AR613" s="315" t="e">
        <f t="shared" ca="1" si="570"/>
        <v>#NAME?</v>
      </c>
      <c r="AS613" s="316" t="e">
        <f t="shared" ca="1" si="571"/>
        <v>#NAME?</v>
      </c>
      <c r="AT613" s="315" t="e">
        <f t="shared" ca="1" si="572"/>
        <v>#NAME?</v>
      </c>
      <c r="AU613" s="317">
        <v>427.8</v>
      </c>
      <c r="AV613" s="315" t="e">
        <f t="shared" ca="1" si="573"/>
        <v>#NAME?</v>
      </c>
      <c r="AW613" s="318" t="e">
        <f ca="1">0.0001*BicubicInterpolation('Drag Coef Table'!$B$4:$L$28,AV613,AC613)</f>
        <v>#NAME?</v>
      </c>
      <c r="AX613" s="319" t="e">
        <f t="shared" ca="1" si="574"/>
        <v>#NAME?</v>
      </c>
      <c r="AY613" s="318" t="e">
        <f t="shared" ca="1" si="575"/>
        <v>#NAME?</v>
      </c>
      <c r="AZ613" s="320" t="e">
        <f t="shared" ca="1" si="576"/>
        <v>#NAME?</v>
      </c>
      <c r="BA613" s="321" t="e">
        <f t="shared" ca="1" si="577"/>
        <v>#NAME?</v>
      </c>
      <c r="BB613" s="322" t="e">
        <f t="shared" ca="1" si="578"/>
        <v>#NAME?</v>
      </c>
      <c r="BC613" s="323">
        <v>75.196700000000007</v>
      </c>
      <c r="BD613" s="324" t="e">
        <f t="shared" ca="1" si="579"/>
        <v>#NAME?</v>
      </c>
      <c r="BE613" s="325" t="e">
        <f t="shared" ca="1" si="580"/>
        <v>#NAME?</v>
      </c>
      <c r="BF613" s="324" t="e">
        <f ca="1">BicubicInterpolation('TSFC Eff Table'!$B$4:$E$69,2,BB613)</f>
        <v>#NAME?</v>
      </c>
      <c r="BG613" s="326" t="e">
        <f t="shared" ca="1" si="581"/>
        <v>#NAME?</v>
      </c>
      <c r="BH613" s="694" t="e">
        <f ca="1">IF( S613="LRCINOP",   (1+(0.03/10)*Z613*(1+0.2*AC613^2) )*BicubicInterpolation( 'LRC INOP FF'!$C$4:$AA$21, Y613, U613 )-200, IF(S613 ="HOLDINGINOP", (1+(0.03/10)*Z613*(1+0.2*AC613^2) )*BicubicInterpolation( 'Holding INOP FF'!$C$4:$J$13,  Y613,  U613)/1.05-200,   BA613*BG613))</f>
        <v>#NAME?</v>
      </c>
      <c r="BI613" s="344" t="e">
        <f t="shared" ca="1" si="540"/>
        <v>#NAME?</v>
      </c>
      <c r="BJ613" s="322" t="e">
        <f t="shared" ca="1" si="582"/>
        <v>#NAME?</v>
      </c>
      <c r="BK613" s="338" t="e">
        <f t="shared" ca="1" si="541"/>
        <v>#NAME?</v>
      </c>
      <c r="BL613" s="327" t="e">
        <f t="shared" ca="1" si="583"/>
        <v>#NAME?</v>
      </c>
      <c r="BM613" s="328">
        <f t="shared" si="584"/>
        <v>200</v>
      </c>
      <c r="BN613" s="329" t="e">
        <f t="shared" ca="1" si="585"/>
        <v>#NAME?</v>
      </c>
      <c r="BO613" s="344" t="e">
        <f t="shared" ca="1" si="542"/>
        <v>#NAME?</v>
      </c>
      <c r="BP613" s="320" t="e">
        <f t="shared" ca="1" si="586"/>
        <v>#NAME?</v>
      </c>
      <c r="BQ613" s="344" t="e">
        <f t="shared" ca="1" si="543"/>
        <v>#NAME?</v>
      </c>
      <c r="BR613" s="347" t="e">
        <f t="shared" ca="1" si="544"/>
        <v>#NAME?</v>
      </c>
      <c r="BS613" s="326" t="e">
        <f t="shared" ca="1" si="587"/>
        <v>#NAME?</v>
      </c>
      <c r="BT613" s="437" t="e">
        <f t="shared" ca="1" si="557"/>
        <v>#NAME?</v>
      </c>
      <c r="BU613" s="437" t="e">
        <f t="shared" ca="1" si="558"/>
        <v>#NAME?</v>
      </c>
      <c r="BV613" s="441" t="e">
        <f t="shared" ca="1" si="559"/>
        <v>#NAME?</v>
      </c>
      <c r="BW613" s="442" t="e">
        <f t="shared" ca="1" si="560"/>
        <v>#NAME?</v>
      </c>
      <c r="BX613" s="470" t="e">
        <f t="shared" ca="1" si="534"/>
        <v>#NAME?</v>
      </c>
      <c r="BY613" s="484" t="e">
        <f t="shared" ca="1" si="545"/>
        <v>#NAME?</v>
      </c>
    </row>
    <row r="614" spans="9:77" ht="17.75" customHeight="1" x14ac:dyDescent="0.2">
      <c r="I614" s="366">
        <v>530</v>
      </c>
      <c r="J614" s="414">
        <f t="shared" si="546"/>
        <v>41706.080555556757</v>
      </c>
      <c r="K614" s="435" t="e">
        <f t="shared" ca="1" si="547"/>
        <v>#NAME?</v>
      </c>
      <c r="L614" s="435" t="e">
        <f t="shared" ca="1" si="528"/>
        <v>#NAME?</v>
      </c>
      <c r="M614" s="664" t="e">
        <f t="shared" ca="1" si="526"/>
        <v>#NAME?</v>
      </c>
      <c r="N614" s="664" t="e">
        <f t="shared" ca="1" si="527"/>
        <v>#NAME?</v>
      </c>
      <c r="O614" s="140" t="e">
        <f t="shared" ca="1" si="535"/>
        <v>#NAME?</v>
      </c>
      <c r="P614" s="352" t="e">
        <f t="shared" ca="1" si="548"/>
        <v>#NAME?</v>
      </c>
      <c r="Q614" s="665" t="e">
        <f t="shared" ca="1" si="529"/>
        <v>#NAME?</v>
      </c>
      <c r="R614" s="352" t="e">
        <f t="shared" ca="1" si="561"/>
        <v>#NAME?</v>
      </c>
      <c r="S614" s="662" t="e">
        <f t="shared" ca="1" si="536"/>
        <v>#NAME?</v>
      </c>
      <c r="T614" s="443" t="e">
        <f t="shared" ca="1" si="530"/>
        <v>#NAME?</v>
      </c>
      <c r="U614" s="369" t="e">
        <f t="shared" ca="1" si="531"/>
        <v>#NAME?</v>
      </c>
      <c r="V614" s="454" t="e">
        <f t="shared" ca="1" si="537"/>
        <v>#NAME?</v>
      </c>
      <c r="W614" s="457">
        <f t="shared" si="538"/>
        <v>1000</v>
      </c>
      <c r="X614" s="463" t="e">
        <f t="shared" ca="1" si="539"/>
        <v>#NAME?</v>
      </c>
      <c r="Y614" s="455" t="e">
        <f t="shared" ca="1" si="549"/>
        <v>#NAME?</v>
      </c>
      <c r="Z614" s="699">
        <f t="shared" si="532"/>
        <v>8.5</v>
      </c>
      <c r="AA614" s="355" t="str">
        <f t="shared" si="533"/>
        <v>ON</v>
      </c>
      <c r="AB614" s="357">
        <f t="shared" si="562"/>
        <v>1.4999999999999999E-2</v>
      </c>
      <c r="AC614" s="356" t="e">
        <f ca="1">IF(  Y613=0,0,IF(OR(S614="KCAS",S614="INOP",S614="MEFE"),   ( (5*( (   (((1+0.2*(T614/661.4786)^2)^3.5 -1)  )/( (1-6.8755856*10^-6 *100*Y614)^5.2558797) +1)^(2/7) -1) )^0.5),IF(S614="MACH",T614, IF(S614="LRC",BicubicInterpolation( 'LRC Mach'!$C$4:$AL$21, Y614,U614),  IF(S614="MRC",BicubicInterpolation( 'MRC Mach'!$C$3:$T$18, Y614,U614),  IF(S614="M0.84",0.84,  IF(S614="CI52",BicubicInterpolation('CI=52 Mach'!$C$3:$T$18, Y614,U614),  IF(S614="HOLDING",BicubicInterpolation(  'Holding Mach'!$C$4:$M$13, Y614,U614),                         IF(S614="LRCINOP", BicubicInterpolation('LRC INOP Mach'!$C$4:$AA$21,Y614,U614), IF(S614="HOLDINGINOP",  BicubicInterpolation('Holding INOP Mach'!$N$4:$U$13,Y614,U614),         "XXX" )))))))   )))</f>
        <v>#NAME?</v>
      </c>
      <c r="AD614" s="313" t="e">
        <f t="shared" ca="1" si="563"/>
        <v>#NAME?</v>
      </c>
      <c r="AE614" s="314" t="e">
        <f t="shared" ca="1" si="550"/>
        <v>#NAME?</v>
      </c>
      <c r="AF614" s="313" t="e">
        <f t="shared" ca="1" si="564"/>
        <v>#NAME?</v>
      </c>
      <c r="AG614" s="314" t="e">
        <f t="shared" ca="1" si="551"/>
        <v>#NAME?</v>
      </c>
      <c r="AH614" s="313" t="e">
        <f t="shared" ca="1" si="565"/>
        <v>#NAME?</v>
      </c>
      <c r="AI614" s="314" t="e">
        <f t="shared" ca="1" si="552"/>
        <v>#NAME?</v>
      </c>
      <c r="AJ614" s="315" t="e">
        <f t="shared" ca="1" si="553"/>
        <v>#NAME?</v>
      </c>
      <c r="AK614" s="568" t="e">
        <f t="shared" ca="1" si="566"/>
        <v>#NAME?</v>
      </c>
      <c r="AL614" s="313" t="e">
        <f t="shared" ca="1" si="567"/>
        <v>#NAME?</v>
      </c>
      <c r="AM614" s="313" t="e">
        <f t="shared" ca="1" si="554"/>
        <v>#NAME?</v>
      </c>
      <c r="AN614" s="313" t="e">
        <f t="shared" ca="1" si="555"/>
        <v>#NAME?</v>
      </c>
      <c r="AO614" s="316" t="e">
        <f t="shared" ca="1" si="568"/>
        <v>#NAME?</v>
      </c>
      <c r="AP614" s="313" t="e">
        <f t="shared" ca="1" si="569"/>
        <v>#NAME?</v>
      </c>
      <c r="AQ614" s="314" t="e">
        <f t="shared" ca="1" si="556"/>
        <v>#NAME?</v>
      </c>
      <c r="AR614" s="315" t="e">
        <f t="shared" ca="1" si="570"/>
        <v>#NAME?</v>
      </c>
      <c r="AS614" s="316" t="e">
        <f t="shared" ca="1" si="571"/>
        <v>#NAME?</v>
      </c>
      <c r="AT614" s="315" t="e">
        <f t="shared" ca="1" si="572"/>
        <v>#NAME?</v>
      </c>
      <c r="AU614" s="317">
        <v>427.8</v>
      </c>
      <c r="AV614" s="315" t="e">
        <f t="shared" ca="1" si="573"/>
        <v>#NAME?</v>
      </c>
      <c r="AW614" s="318" t="e">
        <f ca="1">0.0001*BicubicInterpolation('Drag Coef Table'!$B$4:$L$28,AV614,AC614)</f>
        <v>#NAME?</v>
      </c>
      <c r="AX614" s="319" t="e">
        <f t="shared" ca="1" si="574"/>
        <v>#NAME?</v>
      </c>
      <c r="AY614" s="318" t="e">
        <f t="shared" ca="1" si="575"/>
        <v>#NAME?</v>
      </c>
      <c r="AZ614" s="320" t="e">
        <f t="shared" ca="1" si="576"/>
        <v>#NAME?</v>
      </c>
      <c r="BA614" s="321" t="e">
        <f t="shared" ca="1" si="577"/>
        <v>#NAME?</v>
      </c>
      <c r="BB614" s="322" t="e">
        <f t="shared" ca="1" si="578"/>
        <v>#NAME?</v>
      </c>
      <c r="BC614" s="323">
        <v>75.196700000000007</v>
      </c>
      <c r="BD614" s="324" t="e">
        <f t="shared" ca="1" si="579"/>
        <v>#NAME?</v>
      </c>
      <c r="BE614" s="325" t="e">
        <f t="shared" ca="1" si="580"/>
        <v>#NAME?</v>
      </c>
      <c r="BF614" s="324" t="e">
        <f ca="1">BicubicInterpolation('TSFC Eff Table'!$B$4:$E$69,2,BB614)</f>
        <v>#NAME?</v>
      </c>
      <c r="BG614" s="326" t="e">
        <f t="shared" ca="1" si="581"/>
        <v>#NAME?</v>
      </c>
      <c r="BH614" s="694" t="e">
        <f ca="1">IF( S614="LRCINOP",   (1+(0.03/10)*Z614*(1+0.2*AC614^2) )*BicubicInterpolation( 'LRC INOP FF'!$C$4:$AA$21, Y614, U614 )-200, IF(S614 ="HOLDINGINOP", (1+(0.03/10)*Z614*(1+0.2*AC614^2) )*BicubicInterpolation( 'Holding INOP FF'!$C$4:$J$13,  Y614,  U614)/1.05-200,   BA614*BG614))</f>
        <v>#NAME?</v>
      </c>
      <c r="BI614" s="344" t="e">
        <f t="shared" ca="1" si="540"/>
        <v>#NAME?</v>
      </c>
      <c r="BJ614" s="322" t="e">
        <f t="shared" ca="1" si="582"/>
        <v>#NAME?</v>
      </c>
      <c r="BK614" s="338" t="e">
        <f t="shared" ca="1" si="541"/>
        <v>#NAME?</v>
      </c>
      <c r="BL614" s="327" t="e">
        <f t="shared" ca="1" si="583"/>
        <v>#NAME?</v>
      </c>
      <c r="BM614" s="328">
        <f t="shared" si="584"/>
        <v>200</v>
      </c>
      <c r="BN614" s="329" t="e">
        <f t="shared" ca="1" si="585"/>
        <v>#NAME?</v>
      </c>
      <c r="BO614" s="344" t="e">
        <f t="shared" ca="1" si="542"/>
        <v>#NAME?</v>
      </c>
      <c r="BP614" s="320" t="e">
        <f t="shared" ca="1" si="586"/>
        <v>#NAME?</v>
      </c>
      <c r="BQ614" s="344" t="e">
        <f t="shared" ca="1" si="543"/>
        <v>#NAME?</v>
      </c>
      <c r="BR614" s="347" t="e">
        <f t="shared" ca="1" si="544"/>
        <v>#NAME?</v>
      </c>
      <c r="BS614" s="326" t="e">
        <f t="shared" ca="1" si="587"/>
        <v>#NAME?</v>
      </c>
      <c r="BT614" s="437" t="e">
        <f t="shared" ca="1" si="557"/>
        <v>#NAME?</v>
      </c>
      <c r="BU614" s="437" t="e">
        <f t="shared" ca="1" si="558"/>
        <v>#NAME?</v>
      </c>
      <c r="BV614" s="441" t="e">
        <f t="shared" ca="1" si="559"/>
        <v>#NAME?</v>
      </c>
      <c r="BW614" s="442" t="e">
        <f t="shared" ca="1" si="560"/>
        <v>#NAME?</v>
      </c>
      <c r="BX614" s="470" t="e">
        <f t="shared" ca="1" si="534"/>
        <v>#NAME?</v>
      </c>
      <c r="BY614" s="484" t="e">
        <f t="shared" ca="1" si="545"/>
        <v>#NAME?</v>
      </c>
    </row>
    <row r="615" spans="9:77" ht="17.75" customHeight="1" x14ac:dyDescent="0.2">
      <c r="I615" s="366">
        <v>531</v>
      </c>
      <c r="J615" s="414">
        <f t="shared" si="546"/>
        <v>41706.081250001203</v>
      </c>
      <c r="K615" s="435" t="e">
        <f t="shared" ca="1" si="547"/>
        <v>#NAME?</v>
      </c>
      <c r="L615" s="435" t="e">
        <f t="shared" ca="1" si="528"/>
        <v>#NAME?</v>
      </c>
      <c r="M615" s="664" t="e">
        <f t="shared" ca="1" si="526"/>
        <v>#NAME?</v>
      </c>
      <c r="N615" s="664" t="e">
        <f t="shared" ca="1" si="527"/>
        <v>#NAME?</v>
      </c>
      <c r="O615" s="140" t="e">
        <f t="shared" ca="1" si="535"/>
        <v>#NAME?</v>
      </c>
      <c r="P615" s="352" t="e">
        <f t="shared" ca="1" si="548"/>
        <v>#NAME?</v>
      </c>
      <c r="Q615" s="665" t="e">
        <f t="shared" ca="1" si="529"/>
        <v>#NAME?</v>
      </c>
      <c r="R615" s="352" t="e">
        <f t="shared" ca="1" si="561"/>
        <v>#NAME?</v>
      </c>
      <c r="S615" s="662" t="e">
        <f t="shared" ca="1" si="536"/>
        <v>#NAME?</v>
      </c>
      <c r="T615" s="443" t="e">
        <f t="shared" ca="1" si="530"/>
        <v>#NAME?</v>
      </c>
      <c r="U615" s="369" t="e">
        <f t="shared" ca="1" si="531"/>
        <v>#NAME?</v>
      </c>
      <c r="V615" s="454" t="e">
        <f t="shared" ca="1" si="537"/>
        <v>#NAME?</v>
      </c>
      <c r="W615" s="457">
        <f t="shared" si="538"/>
        <v>1000</v>
      </c>
      <c r="X615" s="463" t="e">
        <f t="shared" ca="1" si="539"/>
        <v>#NAME?</v>
      </c>
      <c r="Y615" s="455" t="e">
        <f t="shared" ca="1" si="549"/>
        <v>#NAME?</v>
      </c>
      <c r="Z615" s="699">
        <f t="shared" si="532"/>
        <v>8.5</v>
      </c>
      <c r="AA615" s="355" t="str">
        <f t="shared" si="533"/>
        <v>ON</v>
      </c>
      <c r="AB615" s="357">
        <f t="shared" si="562"/>
        <v>1.4999999999999999E-2</v>
      </c>
      <c r="AC615" s="356" t="e">
        <f ca="1">IF(  Y614=0,0,IF(OR(S615="KCAS",S615="INOP",S615="MEFE"),   ( (5*( (   (((1+0.2*(T615/661.4786)^2)^3.5 -1)  )/( (1-6.8755856*10^-6 *100*Y615)^5.2558797) +1)^(2/7) -1) )^0.5),IF(S615="MACH",T615, IF(S615="LRC",BicubicInterpolation( 'LRC Mach'!$C$4:$AL$21, Y615,U615),  IF(S615="MRC",BicubicInterpolation( 'MRC Mach'!$C$3:$T$18, Y615,U615),  IF(S615="M0.84",0.84,  IF(S615="CI52",BicubicInterpolation('CI=52 Mach'!$C$3:$T$18, Y615,U615),  IF(S615="HOLDING",BicubicInterpolation(  'Holding Mach'!$C$4:$M$13, Y615,U615),                         IF(S615="LRCINOP", BicubicInterpolation('LRC INOP Mach'!$C$4:$AA$21,Y615,U615), IF(S615="HOLDINGINOP",  BicubicInterpolation('Holding INOP Mach'!$N$4:$U$13,Y615,U615),         "XXX" )))))))   )))</f>
        <v>#NAME?</v>
      </c>
      <c r="AD615" s="313" t="e">
        <f t="shared" ca="1" si="563"/>
        <v>#NAME?</v>
      </c>
      <c r="AE615" s="314" t="e">
        <f t="shared" ca="1" si="550"/>
        <v>#NAME?</v>
      </c>
      <c r="AF615" s="313" t="e">
        <f t="shared" ca="1" si="564"/>
        <v>#NAME?</v>
      </c>
      <c r="AG615" s="314" t="e">
        <f t="shared" ca="1" si="551"/>
        <v>#NAME?</v>
      </c>
      <c r="AH615" s="313" t="e">
        <f t="shared" ca="1" si="565"/>
        <v>#NAME?</v>
      </c>
      <c r="AI615" s="314" t="e">
        <f t="shared" ca="1" si="552"/>
        <v>#NAME?</v>
      </c>
      <c r="AJ615" s="315" t="e">
        <f t="shared" ca="1" si="553"/>
        <v>#NAME?</v>
      </c>
      <c r="AK615" s="568" t="e">
        <f t="shared" ca="1" si="566"/>
        <v>#NAME?</v>
      </c>
      <c r="AL615" s="313" t="e">
        <f t="shared" ca="1" si="567"/>
        <v>#NAME?</v>
      </c>
      <c r="AM615" s="313" t="e">
        <f t="shared" ca="1" si="554"/>
        <v>#NAME?</v>
      </c>
      <c r="AN615" s="313" t="e">
        <f t="shared" ca="1" si="555"/>
        <v>#NAME?</v>
      </c>
      <c r="AO615" s="316" t="e">
        <f t="shared" ca="1" si="568"/>
        <v>#NAME?</v>
      </c>
      <c r="AP615" s="313" t="e">
        <f t="shared" ca="1" si="569"/>
        <v>#NAME?</v>
      </c>
      <c r="AQ615" s="314" t="e">
        <f t="shared" ca="1" si="556"/>
        <v>#NAME?</v>
      </c>
      <c r="AR615" s="315" t="e">
        <f t="shared" ca="1" si="570"/>
        <v>#NAME?</v>
      </c>
      <c r="AS615" s="316" t="e">
        <f t="shared" ca="1" si="571"/>
        <v>#NAME?</v>
      </c>
      <c r="AT615" s="315" t="e">
        <f t="shared" ca="1" si="572"/>
        <v>#NAME?</v>
      </c>
      <c r="AU615" s="317">
        <v>427.8</v>
      </c>
      <c r="AV615" s="315" t="e">
        <f t="shared" ca="1" si="573"/>
        <v>#NAME?</v>
      </c>
      <c r="AW615" s="318" t="e">
        <f ca="1">0.0001*BicubicInterpolation('Drag Coef Table'!$B$4:$L$28,AV615,AC615)</f>
        <v>#NAME?</v>
      </c>
      <c r="AX615" s="319" t="e">
        <f t="shared" ca="1" si="574"/>
        <v>#NAME?</v>
      </c>
      <c r="AY615" s="318" t="e">
        <f t="shared" ca="1" si="575"/>
        <v>#NAME?</v>
      </c>
      <c r="AZ615" s="320" t="e">
        <f t="shared" ca="1" si="576"/>
        <v>#NAME?</v>
      </c>
      <c r="BA615" s="321" t="e">
        <f t="shared" ca="1" si="577"/>
        <v>#NAME?</v>
      </c>
      <c r="BB615" s="322" t="e">
        <f t="shared" ca="1" si="578"/>
        <v>#NAME?</v>
      </c>
      <c r="BC615" s="323">
        <v>75.196700000000007</v>
      </c>
      <c r="BD615" s="324" t="e">
        <f t="shared" ca="1" si="579"/>
        <v>#NAME?</v>
      </c>
      <c r="BE615" s="325" t="e">
        <f t="shared" ca="1" si="580"/>
        <v>#NAME?</v>
      </c>
      <c r="BF615" s="324" t="e">
        <f ca="1">BicubicInterpolation('TSFC Eff Table'!$B$4:$E$69,2,BB615)</f>
        <v>#NAME?</v>
      </c>
      <c r="BG615" s="326" t="e">
        <f t="shared" ca="1" si="581"/>
        <v>#NAME?</v>
      </c>
      <c r="BH615" s="694" t="e">
        <f ca="1">IF( S615="LRCINOP",   (1+(0.03/10)*Z615*(1+0.2*AC615^2) )*BicubicInterpolation( 'LRC INOP FF'!$C$4:$AA$21, Y615, U615 )-200, IF(S615 ="HOLDINGINOP", (1+(0.03/10)*Z615*(1+0.2*AC615^2) )*BicubicInterpolation( 'Holding INOP FF'!$C$4:$J$13,  Y615,  U615)/1.05-200,   BA615*BG615))</f>
        <v>#NAME?</v>
      </c>
      <c r="BI615" s="344" t="e">
        <f t="shared" ca="1" si="540"/>
        <v>#NAME?</v>
      </c>
      <c r="BJ615" s="322" t="e">
        <f t="shared" ca="1" si="582"/>
        <v>#NAME?</v>
      </c>
      <c r="BK615" s="338" t="e">
        <f t="shared" ca="1" si="541"/>
        <v>#NAME?</v>
      </c>
      <c r="BL615" s="327" t="e">
        <f t="shared" ca="1" si="583"/>
        <v>#NAME?</v>
      </c>
      <c r="BM615" s="328">
        <f t="shared" si="584"/>
        <v>200</v>
      </c>
      <c r="BN615" s="329" t="e">
        <f t="shared" ca="1" si="585"/>
        <v>#NAME?</v>
      </c>
      <c r="BO615" s="344" t="e">
        <f t="shared" ca="1" si="542"/>
        <v>#NAME?</v>
      </c>
      <c r="BP615" s="320" t="e">
        <f t="shared" ca="1" si="586"/>
        <v>#NAME?</v>
      </c>
      <c r="BQ615" s="344" t="e">
        <f t="shared" ca="1" si="543"/>
        <v>#NAME?</v>
      </c>
      <c r="BR615" s="347" t="e">
        <f t="shared" ca="1" si="544"/>
        <v>#NAME?</v>
      </c>
      <c r="BS615" s="326" t="e">
        <f t="shared" ca="1" si="587"/>
        <v>#NAME?</v>
      </c>
      <c r="BT615" s="437" t="e">
        <f t="shared" ca="1" si="557"/>
        <v>#NAME?</v>
      </c>
      <c r="BU615" s="437" t="e">
        <f t="shared" ca="1" si="558"/>
        <v>#NAME?</v>
      </c>
      <c r="BV615" s="441" t="e">
        <f t="shared" ca="1" si="559"/>
        <v>#NAME?</v>
      </c>
      <c r="BW615" s="442" t="e">
        <f t="shared" ca="1" si="560"/>
        <v>#NAME?</v>
      </c>
      <c r="BX615" s="470" t="e">
        <f t="shared" ca="1" si="534"/>
        <v>#NAME?</v>
      </c>
      <c r="BY615" s="484" t="e">
        <f t="shared" ca="1" si="545"/>
        <v>#NAME?</v>
      </c>
    </row>
    <row r="616" spans="9:77" ht="17.75" customHeight="1" x14ac:dyDescent="0.2">
      <c r="I616" s="366">
        <v>532</v>
      </c>
      <c r="J616" s="414">
        <f t="shared" si="546"/>
        <v>41706.08194444565</v>
      </c>
      <c r="K616" s="435" t="e">
        <f t="shared" ca="1" si="547"/>
        <v>#NAME?</v>
      </c>
      <c r="L616" s="435" t="e">
        <f t="shared" ca="1" si="528"/>
        <v>#NAME?</v>
      </c>
      <c r="M616" s="664" t="e">
        <f t="shared" ca="1" si="526"/>
        <v>#NAME?</v>
      </c>
      <c r="N616" s="664" t="e">
        <f t="shared" ca="1" si="527"/>
        <v>#NAME?</v>
      </c>
      <c r="O616" s="140" t="e">
        <f t="shared" ca="1" si="535"/>
        <v>#NAME?</v>
      </c>
      <c r="P616" s="352" t="e">
        <f t="shared" ca="1" si="548"/>
        <v>#NAME?</v>
      </c>
      <c r="Q616" s="665" t="e">
        <f t="shared" ca="1" si="529"/>
        <v>#NAME?</v>
      </c>
      <c r="R616" s="352" t="e">
        <f t="shared" ca="1" si="561"/>
        <v>#NAME?</v>
      </c>
      <c r="S616" s="662" t="e">
        <f t="shared" ca="1" si="536"/>
        <v>#NAME?</v>
      </c>
      <c r="T616" s="443" t="e">
        <f t="shared" ca="1" si="530"/>
        <v>#NAME?</v>
      </c>
      <c r="U616" s="369" t="e">
        <f t="shared" ca="1" si="531"/>
        <v>#NAME?</v>
      </c>
      <c r="V616" s="454" t="e">
        <f t="shared" ca="1" si="537"/>
        <v>#NAME?</v>
      </c>
      <c r="W616" s="457">
        <f t="shared" si="538"/>
        <v>1000</v>
      </c>
      <c r="X616" s="463" t="e">
        <f t="shared" ca="1" si="539"/>
        <v>#NAME?</v>
      </c>
      <c r="Y616" s="455" t="e">
        <f t="shared" ca="1" si="549"/>
        <v>#NAME?</v>
      </c>
      <c r="Z616" s="699">
        <f t="shared" si="532"/>
        <v>8.5</v>
      </c>
      <c r="AA616" s="355" t="str">
        <f t="shared" si="533"/>
        <v>ON</v>
      </c>
      <c r="AB616" s="357">
        <f t="shared" si="562"/>
        <v>1.4999999999999999E-2</v>
      </c>
      <c r="AC616" s="356" t="e">
        <f ca="1">IF(  Y615=0,0,IF(OR(S616="KCAS",S616="INOP",S616="MEFE"),   ( (5*( (   (((1+0.2*(T616/661.4786)^2)^3.5 -1)  )/( (1-6.8755856*10^-6 *100*Y616)^5.2558797) +1)^(2/7) -1) )^0.5),IF(S616="MACH",T616, IF(S616="LRC",BicubicInterpolation( 'LRC Mach'!$C$4:$AL$21, Y616,U616),  IF(S616="MRC",BicubicInterpolation( 'MRC Mach'!$C$3:$T$18, Y616,U616),  IF(S616="M0.84",0.84,  IF(S616="CI52",BicubicInterpolation('CI=52 Mach'!$C$3:$T$18, Y616,U616),  IF(S616="HOLDING",BicubicInterpolation(  'Holding Mach'!$C$4:$M$13, Y616,U616),                         IF(S616="LRCINOP", BicubicInterpolation('LRC INOP Mach'!$C$4:$AA$21,Y616,U616), IF(S616="HOLDINGINOP",  BicubicInterpolation('Holding INOP Mach'!$N$4:$U$13,Y616,U616),         "XXX" )))))))   )))</f>
        <v>#NAME?</v>
      </c>
      <c r="AD616" s="313" t="e">
        <f t="shared" ca="1" si="563"/>
        <v>#NAME?</v>
      </c>
      <c r="AE616" s="314" t="e">
        <f t="shared" ca="1" si="550"/>
        <v>#NAME?</v>
      </c>
      <c r="AF616" s="313" t="e">
        <f t="shared" ca="1" si="564"/>
        <v>#NAME?</v>
      </c>
      <c r="AG616" s="314" t="e">
        <f t="shared" ca="1" si="551"/>
        <v>#NAME?</v>
      </c>
      <c r="AH616" s="313" t="e">
        <f t="shared" ca="1" si="565"/>
        <v>#NAME?</v>
      </c>
      <c r="AI616" s="314" t="e">
        <f t="shared" ca="1" si="552"/>
        <v>#NAME?</v>
      </c>
      <c r="AJ616" s="315" t="e">
        <f t="shared" ca="1" si="553"/>
        <v>#NAME?</v>
      </c>
      <c r="AK616" s="568" t="e">
        <f t="shared" ca="1" si="566"/>
        <v>#NAME?</v>
      </c>
      <c r="AL616" s="313" t="e">
        <f t="shared" ca="1" si="567"/>
        <v>#NAME?</v>
      </c>
      <c r="AM616" s="313" t="e">
        <f t="shared" ca="1" si="554"/>
        <v>#NAME?</v>
      </c>
      <c r="AN616" s="313" t="e">
        <f t="shared" ca="1" si="555"/>
        <v>#NAME?</v>
      </c>
      <c r="AO616" s="316" t="e">
        <f t="shared" ca="1" si="568"/>
        <v>#NAME?</v>
      </c>
      <c r="AP616" s="313" t="e">
        <f t="shared" ca="1" si="569"/>
        <v>#NAME?</v>
      </c>
      <c r="AQ616" s="314" t="e">
        <f t="shared" ca="1" si="556"/>
        <v>#NAME?</v>
      </c>
      <c r="AR616" s="315" t="e">
        <f t="shared" ca="1" si="570"/>
        <v>#NAME?</v>
      </c>
      <c r="AS616" s="316" t="e">
        <f t="shared" ca="1" si="571"/>
        <v>#NAME?</v>
      </c>
      <c r="AT616" s="315" t="e">
        <f t="shared" ca="1" si="572"/>
        <v>#NAME?</v>
      </c>
      <c r="AU616" s="317">
        <v>427.8</v>
      </c>
      <c r="AV616" s="315" t="e">
        <f t="shared" ca="1" si="573"/>
        <v>#NAME?</v>
      </c>
      <c r="AW616" s="318" t="e">
        <f ca="1">0.0001*BicubicInterpolation('Drag Coef Table'!$B$4:$L$28,AV616,AC616)</f>
        <v>#NAME?</v>
      </c>
      <c r="AX616" s="319" t="e">
        <f t="shared" ca="1" si="574"/>
        <v>#NAME?</v>
      </c>
      <c r="AY616" s="318" t="e">
        <f t="shared" ca="1" si="575"/>
        <v>#NAME?</v>
      </c>
      <c r="AZ616" s="320" t="e">
        <f t="shared" ca="1" si="576"/>
        <v>#NAME?</v>
      </c>
      <c r="BA616" s="321" t="e">
        <f t="shared" ca="1" si="577"/>
        <v>#NAME?</v>
      </c>
      <c r="BB616" s="322" t="e">
        <f t="shared" ca="1" si="578"/>
        <v>#NAME?</v>
      </c>
      <c r="BC616" s="323">
        <v>75.196700000000007</v>
      </c>
      <c r="BD616" s="324" t="e">
        <f t="shared" ca="1" si="579"/>
        <v>#NAME?</v>
      </c>
      <c r="BE616" s="325" t="e">
        <f t="shared" ca="1" si="580"/>
        <v>#NAME?</v>
      </c>
      <c r="BF616" s="324" t="e">
        <f ca="1">BicubicInterpolation('TSFC Eff Table'!$B$4:$E$69,2,BB616)</f>
        <v>#NAME?</v>
      </c>
      <c r="BG616" s="326" t="e">
        <f t="shared" ca="1" si="581"/>
        <v>#NAME?</v>
      </c>
      <c r="BH616" s="694" t="e">
        <f ca="1">IF( S616="LRCINOP",   (1+(0.03/10)*Z616*(1+0.2*AC616^2) )*BicubicInterpolation( 'LRC INOP FF'!$C$4:$AA$21, Y616, U616 )-200, IF(S616 ="HOLDINGINOP", (1+(0.03/10)*Z616*(1+0.2*AC616^2) )*BicubicInterpolation( 'Holding INOP FF'!$C$4:$J$13,  Y616,  U616)/1.05-200,   BA616*BG616))</f>
        <v>#NAME?</v>
      </c>
      <c r="BI616" s="344" t="e">
        <f t="shared" ca="1" si="540"/>
        <v>#NAME?</v>
      </c>
      <c r="BJ616" s="322" t="e">
        <f t="shared" ca="1" si="582"/>
        <v>#NAME?</v>
      </c>
      <c r="BK616" s="338" t="e">
        <f t="shared" ca="1" si="541"/>
        <v>#NAME?</v>
      </c>
      <c r="BL616" s="327" t="e">
        <f t="shared" ca="1" si="583"/>
        <v>#NAME?</v>
      </c>
      <c r="BM616" s="328">
        <f t="shared" si="584"/>
        <v>200</v>
      </c>
      <c r="BN616" s="329" t="e">
        <f t="shared" ca="1" si="585"/>
        <v>#NAME?</v>
      </c>
      <c r="BO616" s="344" t="e">
        <f t="shared" ca="1" si="542"/>
        <v>#NAME?</v>
      </c>
      <c r="BP616" s="320" t="e">
        <f t="shared" ca="1" si="586"/>
        <v>#NAME?</v>
      </c>
      <c r="BQ616" s="344" t="e">
        <f t="shared" ca="1" si="543"/>
        <v>#NAME?</v>
      </c>
      <c r="BR616" s="347" t="e">
        <f t="shared" ca="1" si="544"/>
        <v>#NAME?</v>
      </c>
      <c r="BS616" s="326" t="e">
        <f t="shared" ca="1" si="587"/>
        <v>#NAME?</v>
      </c>
      <c r="BT616" s="437" t="e">
        <f t="shared" ca="1" si="557"/>
        <v>#NAME?</v>
      </c>
      <c r="BU616" s="437" t="e">
        <f t="shared" ca="1" si="558"/>
        <v>#NAME?</v>
      </c>
      <c r="BV616" s="441" t="e">
        <f t="shared" ca="1" si="559"/>
        <v>#NAME?</v>
      </c>
      <c r="BW616" s="442" t="e">
        <f t="shared" ca="1" si="560"/>
        <v>#NAME?</v>
      </c>
      <c r="BX616" s="470" t="e">
        <f t="shared" ca="1" si="534"/>
        <v>#NAME?</v>
      </c>
      <c r="BY616" s="484" t="e">
        <f t="shared" ca="1" si="545"/>
        <v>#NAME?</v>
      </c>
    </row>
    <row r="617" spans="9:77" ht="17.75" customHeight="1" x14ac:dyDescent="0.2">
      <c r="I617" s="366">
        <v>533</v>
      </c>
      <c r="J617" s="414">
        <f t="shared" si="546"/>
        <v>41706.082638890097</v>
      </c>
      <c r="K617" s="435" t="e">
        <f t="shared" ca="1" si="547"/>
        <v>#NAME?</v>
      </c>
      <c r="L617" s="435" t="e">
        <f t="shared" ca="1" si="528"/>
        <v>#NAME?</v>
      </c>
      <c r="M617" s="664" t="e">
        <f t="shared" ref="M617:M680" ca="1" si="588">IF(  AND(OR(S616="LRCINOP",S616="HOLDINGINOP"),NOT(S616=S615), $C$35="L"), 0,   IF(  AND(OR(S616="LRCINOP",S616="HOLDINGINOP"),NOT(S616=S615), $C$35="R"),  MAX(M616-K616/1000+N616,0),MAX(M616-K616/1000,0)   ))</f>
        <v>#NAME?</v>
      </c>
      <c r="N617" s="664" t="e">
        <f t="shared" ref="N617:N680" ca="1" si="589">IF(  AND(OR(S616="LRCINOP",S616="HOLDINGINOP"),NOT(S616=S615), $C$35="R"), 0,   IF(  AND(OR(S616="LRCINOP",S616="HOLDINGINOP"),NOT(S616=S615), $C$35="L"),  MAX(N616-L616/1000+M616,0),MAX(N616-L616/1000,0)   ))</f>
        <v>#NAME?</v>
      </c>
      <c r="O617" s="140" t="e">
        <f t="shared" ca="1" si="535"/>
        <v>#NAME?</v>
      </c>
      <c r="P617" s="352" t="e">
        <f t="shared" ca="1" si="548"/>
        <v>#NAME?</v>
      </c>
      <c r="Q617" s="665" t="e">
        <f t="shared" ca="1" si="529"/>
        <v>#NAME?</v>
      </c>
      <c r="R617" s="352" t="e">
        <f t="shared" ca="1" si="561"/>
        <v>#NAME?</v>
      </c>
      <c r="S617" s="662" t="e">
        <f t="shared" ca="1" si="536"/>
        <v>#NAME?</v>
      </c>
      <c r="T617" s="443" t="e">
        <f t="shared" ca="1" si="530"/>
        <v>#NAME?</v>
      </c>
      <c r="U617" s="369" t="e">
        <f t="shared" ca="1" si="531"/>
        <v>#NAME?</v>
      </c>
      <c r="V617" s="454" t="e">
        <f t="shared" ca="1" si="537"/>
        <v>#NAME?</v>
      </c>
      <c r="W617" s="457">
        <f t="shared" si="538"/>
        <v>1000</v>
      </c>
      <c r="X617" s="463" t="e">
        <f t="shared" ca="1" si="539"/>
        <v>#NAME?</v>
      </c>
      <c r="Y617" s="455" t="e">
        <f t="shared" ca="1" si="549"/>
        <v>#NAME?</v>
      </c>
      <c r="Z617" s="699">
        <f t="shared" si="532"/>
        <v>8.5</v>
      </c>
      <c r="AA617" s="355" t="str">
        <f t="shared" si="533"/>
        <v>ON</v>
      </c>
      <c r="AB617" s="357">
        <f t="shared" si="562"/>
        <v>1.4999999999999999E-2</v>
      </c>
      <c r="AC617" s="356" t="e">
        <f ca="1">IF(  Y616=0,0,IF(OR(S617="KCAS",S617="INOP",S617="MEFE"),   ( (5*( (   (((1+0.2*(T617/661.4786)^2)^3.5 -1)  )/( (1-6.8755856*10^-6 *100*Y617)^5.2558797) +1)^(2/7) -1) )^0.5),IF(S617="MACH",T617, IF(S617="LRC",BicubicInterpolation( 'LRC Mach'!$C$4:$AL$21, Y617,U617),  IF(S617="MRC",BicubicInterpolation( 'MRC Mach'!$C$3:$T$18, Y617,U617),  IF(S617="M0.84",0.84,  IF(S617="CI52",BicubicInterpolation('CI=52 Mach'!$C$3:$T$18, Y617,U617),  IF(S617="HOLDING",BicubicInterpolation(  'Holding Mach'!$C$4:$M$13, Y617,U617),                         IF(S617="LRCINOP", BicubicInterpolation('LRC INOP Mach'!$C$4:$AA$21,Y617,U617), IF(S617="HOLDINGINOP",  BicubicInterpolation('Holding INOP Mach'!$N$4:$U$13,Y617,U617),         "XXX" )))))))   )))</f>
        <v>#NAME?</v>
      </c>
      <c r="AD617" s="313" t="e">
        <f t="shared" ca="1" si="563"/>
        <v>#NAME?</v>
      </c>
      <c r="AE617" s="314" t="e">
        <f t="shared" ca="1" si="550"/>
        <v>#NAME?</v>
      </c>
      <c r="AF617" s="313" t="e">
        <f t="shared" ca="1" si="564"/>
        <v>#NAME?</v>
      </c>
      <c r="AG617" s="314" t="e">
        <f t="shared" ca="1" si="551"/>
        <v>#NAME?</v>
      </c>
      <c r="AH617" s="313" t="e">
        <f t="shared" ca="1" si="565"/>
        <v>#NAME?</v>
      </c>
      <c r="AI617" s="314" t="e">
        <f t="shared" ca="1" si="552"/>
        <v>#NAME?</v>
      </c>
      <c r="AJ617" s="315" t="e">
        <f t="shared" ca="1" si="553"/>
        <v>#NAME?</v>
      </c>
      <c r="AK617" s="568" t="e">
        <f t="shared" ca="1" si="566"/>
        <v>#NAME?</v>
      </c>
      <c r="AL617" s="313" t="e">
        <f t="shared" ca="1" si="567"/>
        <v>#NAME?</v>
      </c>
      <c r="AM617" s="313" t="e">
        <f t="shared" ca="1" si="554"/>
        <v>#NAME?</v>
      </c>
      <c r="AN617" s="313" t="e">
        <f t="shared" ca="1" si="555"/>
        <v>#NAME?</v>
      </c>
      <c r="AO617" s="316" t="e">
        <f t="shared" ca="1" si="568"/>
        <v>#NAME?</v>
      </c>
      <c r="AP617" s="313" t="e">
        <f t="shared" ca="1" si="569"/>
        <v>#NAME?</v>
      </c>
      <c r="AQ617" s="314" t="e">
        <f t="shared" ca="1" si="556"/>
        <v>#NAME?</v>
      </c>
      <c r="AR617" s="315" t="e">
        <f t="shared" ca="1" si="570"/>
        <v>#NAME?</v>
      </c>
      <c r="AS617" s="316" t="e">
        <f t="shared" ca="1" si="571"/>
        <v>#NAME?</v>
      </c>
      <c r="AT617" s="315" t="e">
        <f t="shared" ca="1" si="572"/>
        <v>#NAME?</v>
      </c>
      <c r="AU617" s="317">
        <v>427.8</v>
      </c>
      <c r="AV617" s="315" t="e">
        <f t="shared" ca="1" si="573"/>
        <v>#NAME?</v>
      </c>
      <c r="AW617" s="318" t="e">
        <f ca="1">0.0001*BicubicInterpolation('Drag Coef Table'!$B$4:$L$28,AV617,AC617)</f>
        <v>#NAME?</v>
      </c>
      <c r="AX617" s="319" t="e">
        <f t="shared" ca="1" si="574"/>
        <v>#NAME?</v>
      </c>
      <c r="AY617" s="318" t="e">
        <f t="shared" ca="1" si="575"/>
        <v>#NAME?</v>
      </c>
      <c r="AZ617" s="320" t="e">
        <f t="shared" ca="1" si="576"/>
        <v>#NAME?</v>
      </c>
      <c r="BA617" s="321" t="e">
        <f t="shared" ca="1" si="577"/>
        <v>#NAME?</v>
      </c>
      <c r="BB617" s="322" t="e">
        <f t="shared" ca="1" si="578"/>
        <v>#NAME?</v>
      </c>
      <c r="BC617" s="323">
        <v>75.196700000000007</v>
      </c>
      <c r="BD617" s="324" t="e">
        <f t="shared" ca="1" si="579"/>
        <v>#NAME?</v>
      </c>
      <c r="BE617" s="325" t="e">
        <f t="shared" ca="1" si="580"/>
        <v>#NAME?</v>
      </c>
      <c r="BF617" s="324" t="e">
        <f ca="1">BicubicInterpolation('TSFC Eff Table'!$B$4:$E$69,2,BB617)</f>
        <v>#NAME?</v>
      </c>
      <c r="BG617" s="326" t="e">
        <f t="shared" ca="1" si="581"/>
        <v>#NAME?</v>
      </c>
      <c r="BH617" s="694" t="e">
        <f ca="1">IF( S617="LRCINOP",   (1+(0.03/10)*Z617*(1+0.2*AC617^2) )*BicubicInterpolation( 'LRC INOP FF'!$C$4:$AA$21, Y617, U617 )-200, IF(S617 ="HOLDINGINOP", (1+(0.03/10)*Z617*(1+0.2*AC617^2) )*BicubicInterpolation( 'Holding INOP FF'!$C$4:$J$13,  Y617,  U617)/1.05-200,   BA617*BG617))</f>
        <v>#NAME?</v>
      </c>
      <c r="BI617" s="344" t="e">
        <f t="shared" ca="1" si="540"/>
        <v>#NAME?</v>
      </c>
      <c r="BJ617" s="322" t="e">
        <f t="shared" ca="1" si="582"/>
        <v>#NAME?</v>
      </c>
      <c r="BK617" s="338" t="e">
        <f t="shared" ca="1" si="541"/>
        <v>#NAME?</v>
      </c>
      <c r="BL617" s="327" t="e">
        <f t="shared" ca="1" si="583"/>
        <v>#NAME?</v>
      </c>
      <c r="BM617" s="328">
        <f t="shared" si="584"/>
        <v>200</v>
      </c>
      <c r="BN617" s="329" t="e">
        <f t="shared" ca="1" si="585"/>
        <v>#NAME?</v>
      </c>
      <c r="BO617" s="344" t="e">
        <f t="shared" ca="1" si="542"/>
        <v>#NAME?</v>
      </c>
      <c r="BP617" s="320" t="e">
        <f t="shared" ca="1" si="586"/>
        <v>#NAME?</v>
      </c>
      <c r="BQ617" s="344" t="e">
        <f t="shared" ca="1" si="543"/>
        <v>#NAME?</v>
      </c>
      <c r="BR617" s="347" t="e">
        <f t="shared" ca="1" si="544"/>
        <v>#NAME?</v>
      </c>
      <c r="BS617" s="326" t="e">
        <f t="shared" ca="1" si="587"/>
        <v>#NAME?</v>
      </c>
      <c r="BT617" s="437" t="e">
        <f t="shared" ca="1" si="557"/>
        <v>#NAME?</v>
      </c>
      <c r="BU617" s="437" t="e">
        <f t="shared" ca="1" si="558"/>
        <v>#NAME?</v>
      </c>
      <c r="BV617" s="441" t="e">
        <f t="shared" ca="1" si="559"/>
        <v>#NAME?</v>
      </c>
      <c r="BW617" s="442" t="e">
        <f t="shared" ca="1" si="560"/>
        <v>#NAME?</v>
      </c>
      <c r="BX617" s="470" t="e">
        <f t="shared" ca="1" si="534"/>
        <v>#NAME?</v>
      </c>
      <c r="BY617" s="484" t="e">
        <f t="shared" ca="1" si="545"/>
        <v>#NAME?</v>
      </c>
    </row>
    <row r="618" spans="9:77" ht="17.75" customHeight="1" x14ac:dyDescent="0.2">
      <c r="I618" s="366">
        <v>534</v>
      </c>
      <c r="J618" s="414">
        <f t="shared" si="546"/>
        <v>41706.083333334544</v>
      </c>
      <c r="K618" s="435" t="e">
        <f t="shared" ca="1" si="547"/>
        <v>#NAME?</v>
      </c>
      <c r="L618" s="435" t="e">
        <f t="shared" ca="1" si="528"/>
        <v>#NAME?</v>
      </c>
      <c r="M618" s="664" t="e">
        <f t="shared" ca="1" si="588"/>
        <v>#NAME?</v>
      </c>
      <c r="N618" s="664" t="e">
        <f t="shared" ca="1" si="589"/>
        <v>#NAME?</v>
      </c>
      <c r="O618" s="140" t="e">
        <f t="shared" ca="1" si="535"/>
        <v>#NAME?</v>
      </c>
      <c r="P618" s="352" t="e">
        <f t="shared" ca="1" si="548"/>
        <v>#NAME?</v>
      </c>
      <c r="Q618" s="665" t="e">
        <f t="shared" ca="1" si="529"/>
        <v>#NAME?</v>
      </c>
      <c r="R618" s="352" t="e">
        <f t="shared" ca="1" si="561"/>
        <v>#NAME?</v>
      </c>
      <c r="S618" s="662" t="e">
        <f t="shared" ca="1" si="536"/>
        <v>#NAME?</v>
      </c>
      <c r="T618" s="443" t="e">
        <f t="shared" ca="1" si="530"/>
        <v>#NAME?</v>
      </c>
      <c r="U618" s="369" t="e">
        <f t="shared" ca="1" si="531"/>
        <v>#NAME?</v>
      </c>
      <c r="V618" s="454" t="e">
        <f t="shared" ca="1" si="537"/>
        <v>#NAME?</v>
      </c>
      <c r="W618" s="457">
        <f t="shared" si="538"/>
        <v>1000</v>
      </c>
      <c r="X618" s="463" t="e">
        <f t="shared" ca="1" si="539"/>
        <v>#NAME?</v>
      </c>
      <c r="Y618" s="455" t="e">
        <f t="shared" ca="1" si="549"/>
        <v>#NAME?</v>
      </c>
      <c r="Z618" s="699">
        <f t="shared" si="532"/>
        <v>8.5</v>
      </c>
      <c r="AA618" s="355" t="str">
        <f t="shared" si="533"/>
        <v>ON</v>
      </c>
      <c r="AB618" s="357">
        <f t="shared" si="562"/>
        <v>1.4999999999999999E-2</v>
      </c>
      <c r="AC618" s="356" t="e">
        <f ca="1">IF(  Y617=0,0,IF(OR(S618="KCAS",S618="INOP",S618="MEFE"),   ( (5*( (   (((1+0.2*(T618/661.4786)^2)^3.5 -1)  )/( (1-6.8755856*10^-6 *100*Y618)^5.2558797) +1)^(2/7) -1) )^0.5),IF(S618="MACH",T618, IF(S618="LRC",BicubicInterpolation( 'LRC Mach'!$C$4:$AL$21, Y618,U618),  IF(S618="MRC",BicubicInterpolation( 'MRC Mach'!$C$3:$T$18, Y618,U618),  IF(S618="M0.84",0.84,  IF(S618="CI52",BicubicInterpolation('CI=52 Mach'!$C$3:$T$18, Y618,U618),  IF(S618="HOLDING",BicubicInterpolation(  'Holding Mach'!$C$4:$M$13, Y618,U618),                         IF(S618="LRCINOP", BicubicInterpolation('LRC INOP Mach'!$C$4:$AA$21,Y618,U618), IF(S618="HOLDINGINOP",  BicubicInterpolation('Holding INOP Mach'!$N$4:$U$13,Y618,U618),         "XXX" )))))))   )))</f>
        <v>#NAME?</v>
      </c>
      <c r="AD618" s="313" t="e">
        <f t="shared" ca="1" si="563"/>
        <v>#NAME?</v>
      </c>
      <c r="AE618" s="314" t="e">
        <f t="shared" ca="1" si="550"/>
        <v>#NAME?</v>
      </c>
      <c r="AF618" s="313" t="e">
        <f t="shared" ca="1" si="564"/>
        <v>#NAME?</v>
      </c>
      <c r="AG618" s="314" t="e">
        <f t="shared" ca="1" si="551"/>
        <v>#NAME?</v>
      </c>
      <c r="AH618" s="313" t="e">
        <f t="shared" ca="1" si="565"/>
        <v>#NAME?</v>
      </c>
      <c r="AI618" s="314" t="e">
        <f t="shared" ca="1" si="552"/>
        <v>#NAME?</v>
      </c>
      <c r="AJ618" s="315" t="e">
        <f t="shared" ca="1" si="553"/>
        <v>#NAME?</v>
      </c>
      <c r="AK618" s="568" t="e">
        <f t="shared" ca="1" si="566"/>
        <v>#NAME?</v>
      </c>
      <c r="AL618" s="313" t="e">
        <f t="shared" ca="1" si="567"/>
        <v>#NAME?</v>
      </c>
      <c r="AM618" s="313" t="e">
        <f t="shared" ca="1" si="554"/>
        <v>#NAME?</v>
      </c>
      <c r="AN618" s="313" t="e">
        <f t="shared" ca="1" si="555"/>
        <v>#NAME?</v>
      </c>
      <c r="AO618" s="316" t="e">
        <f t="shared" ca="1" si="568"/>
        <v>#NAME?</v>
      </c>
      <c r="AP618" s="313" t="e">
        <f t="shared" ca="1" si="569"/>
        <v>#NAME?</v>
      </c>
      <c r="AQ618" s="314" t="e">
        <f t="shared" ca="1" si="556"/>
        <v>#NAME?</v>
      </c>
      <c r="AR618" s="315" t="e">
        <f t="shared" ca="1" si="570"/>
        <v>#NAME?</v>
      </c>
      <c r="AS618" s="316" t="e">
        <f t="shared" ca="1" si="571"/>
        <v>#NAME?</v>
      </c>
      <c r="AT618" s="315" t="e">
        <f t="shared" ca="1" si="572"/>
        <v>#NAME?</v>
      </c>
      <c r="AU618" s="317">
        <v>427.8</v>
      </c>
      <c r="AV618" s="315" t="e">
        <f t="shared" ca="1" si="573"/>
        <v>#NAME?</v>
      </c>
      <c r="AW618" s="318" t="e">
        <f ca="1">0.0001*BicubicInterpolation('Drag Coef Table'!$B$4:$L$28,AV618,AC618)</f>
        <v>#NAME?</v>
      </c>
      <c r="AX618" s="319" t="e">
        <f t="shared" ca="1" si="574"/>
        <v>#NAME?</v>
      </c>
      <c r="AY618" s="318" t="e">
        <f t="shared" ca="1" si="575"/>
        <v>#NAME?</v>
      </c>
      <c r="AZ618" s="320" t="e">
        <f t="shared" ca="1" si="576"/>
        <v>#NAME?</v>
      </c>
      <c r="BA618" s="321" t="e">
        <f t="shared" ca="1" si="577"/>
        <v>#NAME?</v>
      </c>
      <c r="BB618" s="322" t="e">
        <f t="shared" ca="1" si="578"/>
        <v>#NAME?</v>
      </c>
      <c r="BC618" s="323">
        <v>75.196700000000007</v>
      </c>
      <c r="BD618" s="324" t="e">
        <f t="shared" ca="1" si="579"/>
        <v>#NAME?</v>
      </c>
      <c r="BE618" s="325" t="e">
        <f t="shared" ca="1" si="580"/>
        <v>#NAME?</v>
      </c>
      <c r="BF618" s="324" t="e">
        <f ca="1">BicubicInterpolation('TSFC Eff Table'!$B$4:$E$69,2,BB618)</f>
        <v>#NAME?</v>
      </c>
      <c r="BG618" s="326" t="e">
        <f t="shared" ca="1" si="581"/>
        <v>#NAME?</v>
      </c>
      <c r="BH618" s="694" t="e">
        <f ca="1">IF( S618="LRCINOP",   (1+(0.03/10)*Z618*(1+0.2*AC618^2) )*BicubicInterpolation( 'LRC INOP FF'!$C$4:$AA$21, Y618, U618 )-200, IF(S618 ="HOLDINGINOP", (1+(0.03/10)*Z618*(1+0.2*AC618^2) )*BicubicInterpolation( 'Holding INOP FF'!$C$4:$J$13,  Y618,  U618)/1.05-200,   BA618*BG618))</f>
        <v>#NAME?</v>
      </c>
      <c r="BI618" s="344" t="e">
        <f t="shared" ca="1" si="540"/>
        <v>#NAME?</v>
      </c>
      <c r="BJ618" s="322" t="e">
        <f t="shared" ca="1" si="582"/>
        <v>#NAME?</v>
      </c>
      <c r="BK618" s="338" t="e">
        <f t="shared" ca="1" si="541"/>
        <v>#NAME?</v>
      </c>
      <c r="BL618" s="327" t="e">
        <f t="shared" ca="1" si="583"/>
        <v>#NAME?</v>
      </c>
      <c r="BM618" s="328">
        <f t="shared" si="584"/>
        <v>200</v>
      </c>
      <c r="BN618" s="329" t="e">
        <f t="shared" ca="1" si="585"/>
        <v>#NAME?</v>
      </c>
      <c r="BO618" s="344" t="e">
        <f t="shared" ca="1" si="542"/>
        <v>#NAME?</v>
      </c>
      <c r="BP618" s="320" t="e">
        <f t="shared" ca="1" si="586"/>
        <v>#NAME?</v>
      </c>
      <c r="BQ618" s="344" t="e">
        <f t="shared" ca="1" si="543"/>
        <v>#NAME?</v>
      </c>
      <c r="BR618" s="347" t="e">
        <f t="shared" ca="1" si="544"/>
        <v>#NAME?</v>
      </c>
      <c r="BS618" s="326" t="e">
        <f t="shared" ca="1" si="587"/>
        <v>#NAME?</v>
      </c>
      <c r="BT618" s="437" t="e">
        <f t="shared" ca="1" si="557"/>
        <v>#NAME?</v>
      </c>
      <c r="BU618" s="437" t="e">
        <f t="shared" ca="1" si="558"/>
        <v>#NAME?</v>
      </c>
      <c r="BV618" s="441" t="e">
        <f t="shared" ca="1" si="559"/>
        <v>#NAME?</v>
      </c>
      <c r="BW618" s="442" t="e">
        <f t="shared" ca="1" si="560"/>
        <v>#NAME?</v>
      </c>
      <c r="BX618" s="470" t="e">
        <f t="shared" ca="1" si="534"/>
        <v>#NAME?</v>
      </c>
      <c r="BY618" s="484" t="e">
        <f t="shared" ca="1" si="545"/>
        <v>#NAME?</v>
      </c>
    </row>
    <row r="619" spans="9:77" ht="17.75" customHeight="1" x14ac:dyDescent="0.2">
      <c r="I619" s="366">
        <v>535</v>
      </c>
      <c r="J619" s="414">
        <f t="shared" si="546"/>
        <v>41706.08402777899</v>
      </c>
      <c r="K619" s="435" t="e">
        <f t="shared" ca="1" si="547"/>
        <v>#NAME?</v>
      </c>
      <c r="L619" s="435" t="e">
        <f t="shared" ca="1" si="528"/>
        <v>#NAME?</v>
      </c>
      <c r="M619" s="664" t="e">
        <f t="shared" ca="1" si="588"/>
        <v>#NAME?</v>
      </c>
      <c r="N619" s="664" t="e">
        <f t="shared" ca="1" si="589"/>
        <v>#NAME?</v>
      </c>
      <c r="O619" s="140" t="e">
        <f t="shared" ca="1" si="535"/>
        <v>#NAME?</v>
      </c>
      <c r="P619" s="352" t="e">
        <f t="shared" ca="1" si="548"/>
        <v>#NAME?</v>
      </c>
      <c r="Q619" s="665" t="e">
        <f t="shared" ca="1" si="529"/>
        <v>#NAME?</v>
      </c>
      <c r="R619" s="352" t="e">
        <f t="shared" ca="1" si="561"/>
        <v>#NAME?</v>
      </c>
      <c r="S619" s="662" t="e">
        <f t="shared" ca="1" si="536"/>
        <v>#NAME?</v>
      </c>
      <c r="T619" s="443" t="e">
        <f t="shared" ca="1" si="530"/>
        <v>#NAME?</v>
      </c>
      <c r="U619" s="369" t="e">
        <f t="shared" ca="1" si="531"/>
        <v>#NAME?</v>
      </c>
      <c r="V619" s="454" t="e">
        <f t="shared" ca="1" si="537"/>
        <v>#NAME?</v>
      </c>
      <c r="W619" s="457">
        <f t="shared" si="538"/>
        <v>1000</v>
      </c>
      <c r="X619" s="463" t="e">
        <f t="shared" ca="1" si="539"/>
        <v>#NAME?</v>
      </c>
      <c r="Y619" s="455" t="e">
        <f t="shared" ca="1" si="549"/>
        <v>#NAME?</v>
      </c>
      <c r="Z619" s="699">
        <f t="shared" si="532"/>
        <v>8.5</v>
      </c>
      <c r="AA619" s="355" t="str">
        <f t="shared" si="533"/>
        <v>ON</v>
      </c>
      <c r="AB619" s="357">
        <f t="shared" si="562"/>
        <v>1.4999999999999999E-2</v>
      </c>
      <c r="AC619" s="356" t="e">
        <f ca="1">IF(  Y618=0,0,IF(OR(S619="KCAS",S619="INOP",S619="MEFE"),   ( (5*( (   (((1+0.2*(T619/661.4786)^2)^3.5 -1)  )/( (1-6.8755856*10^-6 *100*Y619)^5.2558797) +1)^(2/7) -1) )^0.5),IF(S619="MACH",T619, IF(S619="LRC",BicubicInterpolation( 'LRC Mach'!$C$4:$AL$21, Y619,U619),  IF(S619="MRC",BicubicInterpolation( 'MRC Mach'!$C$3:$T$18, Y619,U619),  IF(S619="M0.84",0.84,  IF(S619="CI52",BicubicInterpolation('CI=52 Mach'!$C$3:$T$18, Y619,U619),  IF(S619="HOLDING",BicubicInterpolation(  'Holding Mach'!$C$4:$M$13, Y619,U619),                         IF(S619="LRCINOP", BicubicInterpolation('LRC INOP Mach'!$C$4:$AA$21,Y619,U619), IF(S619="HOLDINGINOP",  BicubicInterpolation('Holding INOP Mach'!$N$4:$U$13,Y619,U619),         "XXX" )))))))   )))</f>
        <v>#NAME?</v>
      </c>
      <c r="AD619" s="313" t="e">
        <f t="shared" ca="1" si="563"/>
        <v>#NAME?</v>
      </c>
      <c r="AE619" s="314" t="e">
        <f t="shared" ca="1" si="550"/>
        <v>#NAME?</v>
      </c>
      <c r="AF619" s="313" t="e">
        <f t="shared" ca="1" si="564"/>
        <v>#NAME?</v>
      </c>
      <c r="AG619" s="314" t="e">
        <f t="shared" ca="1" si="551"/>
        <v>#NAME?</v>
      </c>
      <c r="AH619" s="313" t="e">
        <f t="shared" ca="1" si="565"/>
        <v>#NAME?</v>
      </c>
      <c r="AI619" s="314" t="e">
        <f t="shared" ca="1" si="552"/>
        <v>#NAME?</v>
      </c>
      <c r="AJ619" s="315" t="e">
        <f t="shared" ca="1" si="553"/>
        <v>#NAME?</v>
      </c>
      <c r="AK619" s="568" t="e">
        <f t="shared" ca="1" si="566"/>
        <v>#NAME?</v>
      </c>
      <c r="AL619" s="313" t="e">
        <f t="shared" ca="1" si="567"/>
        <v>#NAME?</v>
      </c>
      <c r="AM619" s="313" t="e">
        <f t="shared" ca="1" si="554"/>
        <v>#NAME?</v>
      </c>
      <c r="AN619" s="313" t="e">
        <f t="shared" ca="1" si="555"/>
        <v>#NAME?</v>
      </c>
      <c r="AO619" s="316" t="e">
        <f t="shared" ca="1" si="568"/>
        <v>#NAME?</v>
      </c>
      <c r="AP619" s="313" t="e">
        <f t="shared" ca="1" si="569"/>
        <v>#NAME?</v>
      </c>
      <c r="AQ619" s="314" t="e">
        <f t="shared" ca="1" si="556"/>
        <v>#NAME?</v>
      </c>
      <c r="AR619" s="315" t="e">
        <f t="shared" ca="1" si="570"/>
        <v>#NAME?</v>
      </c>
      <c r="AS619" s="316" t="e">
        <f t="shared" ca="1" si="571"/>
        <v>#NAME?</v>
      </c>
      <c r="AT619" s="315" t="e">
        <f t="shared" ca="1" si="572"/>
        <v>#NAME?</v>
      </c>
      <c r="AU619" s="317">
        <v>427.8</v>
      </c>
      <c r="AV619" s="315" t="e">
        <f t="shared" ca="1" si="573"/>
        <v>#NAME?</v>
      </c>
      <c r="AW619" s="318" t="e">
        <f ca="1">0.0001*BicubicInterpolation('Drag Coef Table'!$B$4:$L$28,AV619,AC619)</f>
        <v>#NAME?</v>
      </c>
      <c r="AX619" s="319" t="e">
        <f t="shared" ca="1" si="574"/>
        <v>#NAME?</v>
      </c>
      <c r="AY619" s="318" t="e">
        <f t="shared" ca="1" si="575"/>
        <v>#NAME?</v>
      </c>
      <c r="AZ619" s="320" t="e">
        <f t="shared" ca="1" si="576"/>
        <v>#NAME?</v>
      </c>
      <c r="BA619" s="321" t="e">
        <f t="shared" ca="1" si="577"/>
        <v>#NAME?</v>
      </c>
      <c r="BB619" s="322" t="e">
        <f t="shared" ca="1" si="578"/>
        <v>#NAME?</v>
      </c>
      <c r="BC619" s="323">
        <v>75.196700000000007</v>
      </c>
      <c r="BD619" s="324" t="e">
        <f t="shared" ca="1" si="579"/>
        <v>#NAME?</v>
      </c>
      <c r="BE619" s="325" t="e">
        <f t="shared" ca="1" si="580"/>
        <v>#NAME?</v>
      </c>
      <c r="BF619" s="324" t="e">
        <f ca="1">BicubicInterpolation('TSFC Eff Table'!$B$4:$E$69,2,BB619)</f>
        <v>#NAME?</v>
      </c>
      <c r="BG619" s="326" t="e">
        <f t="shared" ca="1" si="581"/>
        <v>#NAME?</v>
      </c>
      <c r="BH619" s="694" t="e">
        <f ca="1">IF( S619="LRCINOP",   (1+(0.03/10)*Z619*(1+0.2*AC619^2) )*BicubicInterpolation( 'LRC INOP FF'!$C$4:$AA$21, Y619, U619 )-200, IF(S619 ="HOLDINGINOP", (1+(0.03/10)*Z619*(1+0.2*AC619^2) )*BicubicInterpolation( 'Holding INOP FF'!$C$4:$J$13,  Y619,  U619)/1.05-200,   BA619*BG619))</f>
        <v>#NAME?</v>
      </c>
      <c r="BI619" s="344" t="e">
        <f t="shared" ca="1" si="540"/>
        <v>#NAME?</v>
      </c>
      <c r="BJ619" s="322" t="e">
        <f t="shared" ca="1" si="582"/>
        <v>#NAME?</v>
      </c>
      <c r="BK619" s="338" t="e">
        <f t="shared" ca="1" si="541"/>
        <v>#NAME?</v>
      </c>
      <c r="BL619" s="327" t="e">
        <f t="shared" ca="1" si="583"/>
        <v>#NAME?</v>
      </c>
      <c r="BM619" s="328">
        <f t="shared" si="584"/>
        <v>200</v>
      </c>
      <c r="BN619" s="329" t="e">
        <f t="shared" ca="1" si="585"/>
        <v>#NAME?</v>
      </c>
      <c r="BO619" s="344" t="e">
        <f t="shared" ca="1" si="542"/>
        <v>#NAME?</v>
      </c>
      <c r="BP619" s="320" t="e">
        <f t="shared" ca="1" si="586"/>
        <v>#NAME?</v>
      </c>
      <c r="BQ619" s="344" t="e">
        <f t="shared" ca="1" si="543"/>
        <v>#NAME?</v>
      </c>
      <c r="BR619" s="347" t="e">
        <f t="shared" ca="1" si="544"/>
        <v>#NAME?</v>
      </c>
      <c r="BS619" s="326" t="e">
        <f t="shared" ca="1" si="587"/>
        <v>#NAME?</v>
      </c>
      <c r="BT619" s="437" t="e">
        <f t="shared" ca="1" si="557"/>
        <v>#NAME?</v>
      </c>
      <c r="BU619" s="437" t="e">
        <f t="shared" ca="1" si="558"/>
        <v>#NAME?</v>
      </c>
      <c r="BV619" s="441" t="e">
        <f t="shared" ca="1" si="559"/>
        <v>#NAME?</v>
      </c>
      <c r="BW619" s="442" t="e">
        <f t="shared" ca="1" si="560"/>
        <v>#NAME?</v>
      </c>
      <c r="BX619" s="470" t="e">
        <f t="shared" ca="1" si="534"/>
        <v>#NAME?</v>
      </c>
      <c r="BY619" s="484" t="e">
        <f t="shared" ca="1" si="545"/>
        <v>#NAME?</v>
      </c>
    </row>
    <row r="620" spans="9:77" ht="17.75" customHeight="1" x14ac:dyDescent="0.2">
      <c r="I620" s="366">
        <v>536</v>
      </c>
      <c r="J620" s="414">
        <f t="shared" si="546"/>
        <v>41706.084722223437</v>
      </c>
      <c r="K620" s="435" t="e">
        <f t="shared" ca="1" si="547"/>
        <v>#NAME?</v>
      </c>
      <c r="L620" s="435" t="e">
        <f t="shared" ca="1" si="528"/>
        <v>#NAME?</v>
      </c>
      <c r="M620" s="664" t="e">
        <f t="shared" ca="1" si="588"/>
        <v>#NAME?</v>
      </c>
      <c r="N620" s="664" t="e">
        <f t="shared" ca="1" si="589"/>
        <v>#NAME?</v>
      </c>
      <c r="O620" s="140" t="e">
        <f t="shared" ca="1" si="535"/>
        <v>#NAME?</v>
      </c>
      <c r="P620" s="352" t="e">
        <f t="shared" ca="1" si="548"/>
        <v>#NAME?</v>
      </c>
      <c r="Q620" s="665" t="e">
        <f t="shared" ca="1" si="529"/>
        <v>#NAME?</v>
      </c>
      <c r="R620" s="352" t="e">
        <f t="shared" ca="1" si="561"/>
        <v>#NAME?</v>
      </c>
      <c r="S620" s="662" t="e">
        <f t="shared" ca="1" si="536"/>
        <v>#NAME?</v>
      </c>
      <c r="T620" s="443" t="e">
        <f t="shared" ca="1" si="530"/>
        <v>#NAME?</v>
      </c>
      <c r="U620" s="369" t="e">
        <f t="shared" ca="1" si="531"/>
        <v>#NAME?</v>
      </c>
      <c r="V620" s="454" t="e">
        <f t="shared" ca="1" si="537"/>
        <v>#NAME?</v>
      </c>
      <c r="W620" s="457">
        <f t="shared" si="538"/>
        <v>1000</v>
      </c>
      <c r="X620" s="463" t="e">
        <f t="shared" ca="1" si="539"/>
        <v>#NAME?</v>
      </c>
      <c r="Y620" s="455" t="e">
        <f t="shared" ca="1" si="549"/>
        <v>#NAME?</v>
      </c>
      <c r="Z620" s="699">
        <f t="shared" si="532"/>
        <v>8.5</v>
      </c>
      <c r="AA620" s="355" t="str">
        <f t="shared" si="533"/>
        <v>ON</v>
      </c>
      <c r="AB620" s="357">
        <f t="shared" si="562"/>
        <v>1.4999999999999999E-2</v>
      </c>
      <c r="AC620" s="356" t="e">
        <f ca="1">IF(  Y619=0,0,IF(OR(S620="KCAS",S620="INOP",S620="MEFE"),   ( (5*( (   (((1+0.2*(T620/661.4786)^2)^3.5 -1)  )/( (1-6.8755856*10^-6 *100*Y620)^5.2558797) +1)^(2/7) -1) )^0.5),IF(S620="MACH",T620, IF(S620="LRC",BicubicInterpolation( 'LRC Mach'!$C$4:$AL$21, Y620,U620),  IF(S620="MRC",BicubicInterpolation( 'MRC Mach'!$C$3:$T$18, Y620,U620),  IF(S620="M0.84",0.84,  IF(S620="CI52",BicubicInterpolation('CI=52 Mach'!$C$3:$T$18, Y620,U620),  IF(S620="HOLDING",BicubicInterpolation(  'Holding Mach'!$C$4:$M$13, Y620,U620),                         IF(S620="LRCINOP", BicubicInterpolation('LRC INOP Mach'!$C$4:$AA$21,Y620,U620), IF(S620="HOLDINGINOP",  BicubicInterpolation('Holding INOP Mach'!$N$4:$U$13,Y620,U620),         "XXX" )))))))   )))</f>
        <v>#NAME?</v>
      </c>
      <c r="AD620" s="313" t="e">
        <f t="shared" ca="1" si="563"/>
        <v>#NAME?</v>
      </c>
      <c r="AE620" s="314" t="e">
        <f t="shared" ca="1" si="550"/>
        <v>#NAME?</v>
      </c>
      <c r="AF620" s="313" t="e">
        <f t="shared" ca="1" si="564"/>
        <v>#NAME?</v>
      </c>
      <c r="AG620" s="314" t="e">
        <f t="shared" ca="1" si="551"/>
        <v>#NAME?</v>
      </c>
      <c r="AH620" s="313" t="e">
        <f t="shared" ca="1" si="565"/>
        <v>#NAME?</v>
      </c>
      <c r="AI620" s="314" t="e">
        <f t="shared" ca="1" si="552"/>
        <v>#NAME?</v>
      </c>
      <c r="AJ620" s="315" t="e">
        <f t="shared" ca="1" si="553"/>
        <v>#NAME?</v>
      </c>
      <c r="AK620" s="568" t="e">
        <f t="shared" ca="1" si="566"/>
        <v>#NAME?</v>
      </c>
      <c r="AL620" s="313" t="e">
        <f t="shared" ca="1" si="567"/>
        <v>#NAME?</v>
      </c>
      <c r="AM620" s="313" t="e">
        <f t="shared" ca="1" si="554"/>
        <v>#NAME?</v>
      </c>
      <c r="AN620" s="313" t="e">
        <f t="shared" ca="1" si="555"/>
        <v>#NAME?</v>
      </c>
      <c r="AO620" s="316" t="e">
        <f t="shared" ca="1" si="568"/>
        <v>#NAME?</v>
      </c>
      <c r="AP620" s="313" t="e">
        <f t="shared" ca="1" si="569"/>
        <v>#NAME?</v>
      </c>
      <c r="AQ620" s="314" t="e">
        <f t="shared" ca="1" si="556"/>
        <v>#NAME?</v>
      </c>
      <c r="AR620" s="315" t="e">
        <f t="shared" ca="1" si="570"/>
        <v>#NAME?</v>
      </c>
      <c r="AS620" s="316" t="e">
        <f t="shared" ca="1" si="571"/>
        <v>#NAME?</v>
      </c>
      <c r="AT620" s="315" t="e">
        <f t="shared" ca="1" si="572"/>
        <v>#NAME?</v>
      </c>
      <c r="AU620" s="317">
        <v>427.8</v>
      </c>
      <c r="AV620" s="315" t="e">
        <f t="shared" ca="1" si="573"/>
        <v>#NAME?</v>
      </c>
      <c r="AW620" s="318" t="e">
        <f ca="1">0.0001*BicubicInterpolation('Drag Coef Table'!$B$4:$L$28,AV620,AC620)</f>
        <v>#NAME?</v>
      </c>
      <c r="AX620" s="319" t="e">
        <f t="shared" ca="1" si="574"/>
        <v>#NAME?</v>
      </c>
      <c r="AY620" s="318" t="e">
        <f t="shared" ca="1" si="575"/>
        <v>#NAME?</v>
      </c>
      <c r="AZ620" s="320" t="e">
        <f t="shared" ca="1" si="576"/>
        <v>#NAME?</v>
      </c>
      <c r="BA620" s="321" t="e">
        <f t="shared" ca="1" si="577"/>
        <v>#NAME?</v>
      </c>
      <c r="BB620" s="322" t="e">
        <f t="shared" ca="1" si="578"/>
        <v>#NAME?</v>
      </c>
      <c r="BC620" s="323">
        <v>75.196700000000007</v>
      </c>
      <c r="BD620" s="324" t="e">
        <f t="shared" ca="1" si="579"/>
        <v>#NAME?</v>
      </c>
      <c r="BE620" s="325" t="e">
        <f t="shared" ca="1" si="580"/>
        <v>#NAME?</v>
      </c>
      <c r="BF620" s="324" t="e">
        <f ca="1">BicubicInterpolation('TSFC Eff Table'!$B$4:$E$69,2,BB620)</f>
        <v>#NAME?</v>
      </c>
      <c r="BG620" s="326" t="e">
        <f t="shared" ca="1" si="581"/>
        <v>#NAME?</v>
      </c>
      <c r="BH620" s="694" t="e">
        <f ca="1">IF( S620="LRCINOP",   (1+(0.03/10)*Z620*(1+0.2*AC620^2) )*BicubicInterpolation( 'LRC INOP FF'!$C$4:$AA$21, Y620, U620 )-200, IF(S620 ="HOLDINGINOP", (1+(0.03/10)*Z620*(1+0.2*AC620^2) )*BicubicInterpolation( 'Holding INOP FF'!$C$4:$J$13,  Y620,  U620)/1.05-200,   BA620*BG620))</f>
        <v>#NAME?</v>
      </c>
      <c r="BI620" s="344" t="e">
        <f t="shared" ca="1" si="540"/>
        <v>#NAME?</v>
      </c>
      <c r="BJ620" s="322" t="e">
        <f t="shared" ca="1" si="582"/>
        <v>#NAME?</v>
      </c>
      <c r="BK620" s="338" t="e">
        <f t="shared" ca="1" si="541"/>
        <v>#NAME?</v>
      </c>
      <c r="BL620" s="327" t="e">
        <f t="shared" ca="1" si="583"/>
        <v>#NAME?</v>
      </c>
      <c r="BM620" s="328">
        <f t="shared" si="584"/>
        <v>200</v>
      </c>
      <c r="BN620" s="329" t="e">
        <f t="shared" ca="1" si="585"/>
        <v>#NAME?</v>
      </c>
      <c r="BO620" s="344" t="e">
        <f t="shared" ca="1" si="542"/>
        <v>#NAME?</v>
      </c>
      <c r="BP620" s="320" t="e">
        <f t="shared" ca="1" si="586"/>
        <v>#NAME?</v>
      </c>
      <c r="BQ620" s="344" t="e">
        <f t="shared" ca="1" si="543"/>
        <v>#NAME?</v>
      </c>
      <c r="BR620" s="347" t="e">
        <f t="shared" ca="1" si="544"/>
        <v>#NAME?</v>
      </c>
      <c r="BS620" s="326" t="e">
        <f t="shared" ca="1" si="587"/>
        <v>#NAME?</v>
      </c>
      <c r="BT620" s="437" t="e">
        <f t="shared" ca="1" si="557"/>
        <v>#NAME?</v>
      </c>
      <c r="BU620" s="437" t="e">
        <f t="shared" ca="1" si="558"/>
        <v>#NAME?</v>
      </c>
      <c r="BV620" s="441" t="e">
        <f t="shared" ca="1" si="559"/>
        <v>#NAME?</v>
      </c>
      <c r="BW620" s="442" t="e">
        <f t="shared" ca="1" si="560"/>
        <v>#NAME?</v>
      </c>
      <c r="BX620" s="470" t="e">
        <f t="shared" ca="1" si="534"/>
        <v>#NAME?</v>
      </c>
      <c r="BY620" s="484" t="e">
        <f t="shared" ca="1" si="545"/>
        <v>#NAME?</v>
      </c>
    </row>
    <row r="621" spans="9:77" ht="17.75" customHeight="1" x14ac:dyDescent="0.2">
      <c r="I621" s="366">
        <v>537</v>
      </c>
      <c r="J621" s="414">
        <f t="shared" si="546"/>
        <v>41706.085416667884</v>
      </c>
      <c r="K621" s="435" t="e">
        <f t="shared" ca="1" si="547"/>
        <v>#NAME?</v>
      </c>
      <c r="L621" s="435" t="e">
        <f t="shared" ca="1" si="528"/>
        <v>#NAME?</v>
      </c>
      <c r="M621" s="664" t="e">
        <f t="shared" ca="1" si="588"/>
        <v>#NAME?</v>
      </c>
      <c r="N621" s="664" t="e">
        <f t="shared" ca="1" si="589"/>
        <v>#NAME?</v>
      </c>
      <c r="O621" s="140" t="e">
        <f t="shared" ca="1" si="535"/>
        <v>#NAME?</v>
      </c>
      <c r="P621" s="352" t="e">
        <f t="shared" ca="1" si="548"/>
        <v>#NAME?</v>
      </c>
      <c r="Q621" s="665" t="e">
        <f t="shared" ca="1" si="529"/>
        <v>#NAME?</v>
      </c>
      <c r="R621" s="352" t="e">
        <f t="shared" ca="1" si="561"/>
        <v>#NAME?</v>
      </c>
      <c r="S621" s="662" t="e">
        <f t="shared" ca="1" si="536"/>
        <v>#NAME?</v>
      </c>
      <c r="T621" s="443" t="e">
        <f t="shared" ca="1" si="530"/>
        <v>#NAME?</v>
      </c>
      <c r="U621" s="369" t="e">
        <f t="shared" ca="1" si="531"/>
        <v>#NAME?</v>
      </c>
      <c r="V621" s="454" t="e">
        <f t="shared" ca="1" si="537"/>
        <v>#NAME?</v>
      </c>
      <c r="W621" s="457">
        <f t="shared" si="538"/>
        <v>1000</v>
      </c>
      <c r="X621" s="463" t="e">
        <f t="shared" ca="1" si="539"/>
        <v>#NAME?</v>
      </c>
      <c r="Y621" s="455" t="e">
        <f t="shared" ca="1" si="549"/>
        <v>#NAME?</v>
      </c>
      <c r="Z621" s="699">
        <f t="shared" si="532"/>
        <v>8.5</v>
      </c>
      <c r="AA621" s="355" t="str">
        <f t="shared" si="533"/>
        <v>ON</v>
      </c>
      <c r="AB621" s="357">
        <f t="shared" si="562"/>
        <v>1.4999999999999999E-2</v>
      </c>
      <c r="AC621" s="356" t="e">
        <f ca="1">IF(  Y620=0,0,IF(OR(S621="KCAS",S621="INOP",S621="MEFE"),   ( (5*( (   (((1+0.2*(T621/661.4786)^2)^3.5 -1)  )/( (1-6.8755856*10^-6 *100*Y621)^5.2558797) +1)^(2/7) -1) )^0.5),IF(S621="MACH",T621, IF(S621="LRC",BicubicInterpolation( 'LRC Mach'!$C$4:$AL$21, Y621,U621),  IF(S621="MRC",BicubicInterpolation( 'MRC Mach'!$C$3:$T$18, Y621,U621),  IF(S621="M0.84",0.84,  IF(S621="CI52",BicubicInterpolation('CI=52 Mach'!$C$3:$T$18, Y621,U621),  IF(S621="HOLDING",BicubicInterpolation(  'Holding Mach'!$C$4:$M$13, Y621,U621),                         IF(S621="LRCINOP", BicubicInterpolation('LRC INOP Mach'!$C$4:$AA$21,Y621,U621), IF(S621="HOLDINGINOP",  BicubicInterpolation('Holding INOP Mach'!$N$4:$U$13,Y621,U621),         "XXX" )))))))   )))</f>
        <v>#NAME?</v>
      </c>
      <c r="AD621" s="313" t="e">
        <f t="shared" ca="1" si="563"/>
        <v>#NAME?</v>
      </c>
      <c r="AE621" s="314" t="e">
        <f t="shared" ca="1" si="550"/>
        <v>#NAME?</v>
      </c>
      <c r="AF621" s="313" t="e">
        <f t="shared" ca="1" si="564"/>
        <v>#NAME?</v>
      </c>
      <c r="AG621" s="314" t="e">
        <f t="shared" ca="1" si="551"/>
        <v>#NAME?</v>
      </c>
      <c r="AH621" s="313" t="e">
        <f t="shared" ca="1" si="565"/>
        <v>#NAME?</v>
      </c>
      <c r="AI621" s="314" t="e">
        <f t="shared" ca="1" si="552"/>
        <v>#NAME?</v>
      </c>
      <c r="AJ621" s="315" t="e">
        <f t="shared" ca="1" si="553"/>
        <v>#NAME?</v>
      </c>
      <c r="AK621" s="568" t="e">
        <f t="shared" ca="1" si="566"/>
        <v>#NAME?</v>
      </c>
      <c r="AL621" s="313" t="e">
        <f t="shared" ca="1" si="567"/>
        <v>#NAME?</v>
      </c>
      <c r="AM621" s="313" t="e">
        <f t="shared" ca="1" si="554"/>
        <v>#NAME?</v>
      </c>
      <c r="AN621" s="313" t="e">
        <f t="shared" ca="1" si="555"/>
        <v>#NAME?</v>
      </c>
      <c r="AO621" s="316" t="e">
        <f t="shared" ca="1" si="568"/>
        <v>#NAME?</v>
      </c>
      <c r="AP621" s="313" t="e">
        <f t="shared" ca="1" si="569"/>
        <v>#NAME?</v>
      </c>
      <c r="AQ621" s="314" t="e">
        <f t="shared" ca="1" si="556"/>
        <v>#NAME?</v>
      </c>
      <c r="AR621" s="315" t="e">
        <f t="shared" ca="1" si="570"/>
        <v>#NAME?</v>
      </c>
      <c r="AS621" s="316" t="e">
        <f t="shared" ca="1" si="571"/>
        <v>#NAME?</v>
      </c>
      <c r="AT621" s="315" t="e">
        <f t="shared" ca="1" si="572"/>
        <v>#NAME?</v>
      </c>
      <c r="AU621" s="317">
        <v>427.8</v>
      </c>
      <c r="AV621" s="315" t="e">
        <f t="shared" ca="1" si="573"/>
        <v>#NAME?</v>
      </c>
      <c r="AW621" s="318" t="e">
        <f ca="1">0.0001*BicubicInterpolation('Drag Coef Table'!$B$4:$L$28,AV621,AC621)</f>
        <v>#NAME?</v>
      </c>
      <c r="AX621" s="319" t="e">
        <f t="shared" ca="1" si="574"/>
        <v>#NAME?</v>
      </c>
      <c r="AY621" s="318" t="e">
        <f t="shared" ca="1" si="575"/>
        <v>#NAME?</v>
      </c>
      <c r="AZ621" s="320" t="e">
        <f t="shared" ca="1" si="576"/>
        <v>#NAME?</v>
      </c>
      <c r="BA621" s="321" t="e">
        <f t="shared" ca="1" si="577"/>
        <v>#NAME?</v>
      </c>
      <c r="BB621" s="322" t="e">
        <f t="shared" ca="1" si="578"/>
        <v>#NAME?</v>
      </c>
      <c r="BC621" s="323">
        <v>75.196700000000007</v>
      </c>
      <c r="BD621" s="324" t="e">
        <f t="shared" ca="1" si="579"/>
        <v>#NAME?</v>
      </c>
      <c r="BE621" s="325" t="e">
        <f t="shared" ca="1" si="580"/>
        <v>#NAME?</v>
      </c>
      <c r="BF621" s="324" t="e">
        <f ca="1">BicubicInterpolation('TSFC Eff Table'!$B$4:$E$69,2,BB621)</f>
        <v>#NAME?</v>
      </c>
      <c r="BG621" s="326" t="e">
        <f t="shared" ca="1" si="581"/>
        <v>#NAME?</v>
      </c>
      <c r="BH621" s="694" t="e">
        <f ca="1">IF( S621="LRCINOP",   (1+(0.03/10)*Z621*(1+0.2*AC621^2) )*BicubicInterpolation( 'LRC INOP FF'!$C$4:$AA$21, Y621, U621 )-200, IF(S621 ="HOLDINGINOP", (1+(0.03/10)*Z621*(1+0.2*AC621^2) )*BicubicInterpolation( 'Holding INOP FF'!$C$4:$J$13,  Y621,  U621)/1.05-200,   BA621*BG621))</f>
        <v>#NAME?</v>
      </c>
      <c r="BI621" s="344" t="e">
        <f t="shared" ca="1" si="540"/>
        <v>#NAME?</v>
      </c>
      <c r="BJ621" s="322" t="e">
        <f t="shared" ca="1" si="582"/>
        <v>#NAME?</v>
      </c>
      <c r="BK621" s="338" t="e">
        <f t="shared" ca="1" si="541"/>
        <v>#NAME?</v>
      </c>
      <c r="BL621" s="327" t="e">
        <f t="shared" ca="1" si="583"/>
        <v>#NAME?</v>
      </c>
      <c r="BM621" s="328">
        <f t="shared" si="584"/>
        <v>200</v>
      </c>
      <c r="BN621" s="329" t="e">
        <f t="shared" ca="1" si="585"/>
        <v>#NAME?</v>
      </c>
      <c r="BO621" s="344" t="e">
        <f t="shared" ca="1" si="542"/>
        <v>#NAME?</v>
      </c>
      <c r="BP621" s="320" t="e">
        <f t="shared" ca="1" si="586"/>
        <v>#NAME?</v>
      </c>
      <c r="BQ621" s="344" t="e">
        <f t="shared" ca="1" si="543"/>
        <v>#NAME?</v>
      </c>
      <c r="BR621" s="347" t="e">
        <f t="shared" ca="1" si="544"/>
        <v>#NAME?</v>
      </c>
      <c r="BS621" s="326" t="e">
        <f t="shared" ca="1" si="587"/>
        <v>#NAME?</v>
      </c>
      <c r="BT621" s="437" t="e">
        <f t="shared" ca="1" si="557"/>
        <v>#NAME?</v>
      </c>
      <c r="BU621" s="437" t="e">
        <f t="shared" ca="1" si="558"/>
        <v>#NAME?</v>
      </c>
      <c r="BV621" s="441" t="e">
        <f t="shared" ca="1" si="559"/>
        <v>#NAME?</v>
      </c>
      <c r="BW621" s="442" t="e">
        <f t="shared" ca="1" si="560"/>
        <v>#NAME?</v>
      </c>
      <c r="BX621" s="470" t="e">
        <f t="shared" ca="1" si="534"/>
        <v>#NAME?</v>
      </c>
      <c r="BY621" s="484" t="e">
        <f t="shared" ca="1" si="545"/>
        <v>#NAME?</v>
      </c>
    </row>
    <row r="622" spans="9:77" ht="17.75" customHeight="1" x14ac:dyDescent="0.2">
      <c r="I622" s="366">
        <v>538</v>
      </c>
      <c r="J622" s="414">
        <f t="shared" si="546"/>
        <v>41706.08611111233</v>
      </c>
      <c r="K622" s="435" t="e">
        <f t="shared" ca="1" si="547"/>
        <v>#NAME?</v>
      </c>
      <c r="L622" s="435" t="e">
        <f t="shared" ca="1" si="528"/>
        <v>#NAME?</v>
      </c>
      <c r="M622" s="664" t="e">
        <f t="shared" ca="1" si="588"/>
        <v>#NAME?</v>
      </c>
      <c r="N622" s="664" t="e">
        <f t="shared" ca="1" si="589"/>
        <v>#NAME?</v>
      </c>
      <c r="O622" s="140" t="e">
        <f t="shared" ca="1" si="535"/>
        <v>#NAME?</v>
      </c>
      <c r="P622" s="352" t="e">
        <f t="shared" ca="1" si="548"/>
        <v>#NAME?</v>
      </c>
      <c r="Q622" s="665" t="e">
        <f t="shared" ca="1" si="529"/>
        <v>#NAME?</v>
      </c>
      <c r="R622" s="352" t="e">
        <f t="shared" ca="1" si="561"/>
        <v>#NAME?</v>
      </c>
      <c r="S622" s="662" t="e">
        <f t="shared" ca="1" si="536"/>
        <v>#NAME?</v>
      </c>
      <c r="T622" s="443" t="e">
        <f t="shared" ca="1" si="530"/>
        <v>#NAME?</v>
      </c>
      <c r="U622" s="369" t="e">
        <f t="shared" ca="1" si="531"/>
        <v>#NAME?</v>
      </c>
      <c r="V622" s="454" t="e">
        <f t="shared" ca="1" si="537"/>
        <v>#NAME?</v>
      </c>
      <c r="W622" s="457">
        <f t="shared" si="538"/>
        <v>1000</v>
      </c>
      <c r="X622" s="463" t="e">
        <f t="shared" ca="1" si="539"/>
        <v>#NAME?</v>
      </c>
      <c r="Y622" s="455" t="e">
        <f t="shared" ca="1" si="549"/>
        <v>#NAME?</v>
      </c>
      <c r="Z622" s="699">
        <f t="shared" si="532"/>
        <v>8.5</v>
      </c>
      <c r="AA622" s="355" t="str">
        <f t="shared" si="533"/>
        <v>ON</v>
      </c>
      <c r="AB622" s="357">
        <f t="shared" si="562"/>
        <v>1.4999999999999999E-2</v>
      </c>
      <c r="AC622" s="356" t="e">
        <f ca="1">IF(  Y621=0,0,IF(OR(S622="KCAS",S622="INOP",S622="MEFE"),   ( (5*( (   (((1+0.2*(T622/661.4786)^2)^3.5 -1)  )/( (1-6.8755856*10^-6 *100*Y622)^5.2558797) +1)^(2/7) -1) )^0.5),IF(S622="MACH",T622, IF(S622="LRC",BicubicInterpolation( 'LRC Mach'!$C$4:$AL$21, Y622,U622),  IF(S622="MRC",BicubicInterpolation( 'MRC Mach'!$C$3:$T$18, Y622,U622),  IF(S622="M0.84",0.84,  IF(S622="CI52",BicubicInterpolation('CI=52 Mach'!$C$3:$T$18, Y622,U622),  IF(S622="HOLDING",BicubicInterpolation(  'Holding Mach'!$C$4:$M$13, Y622,U622),                         IF(S622="LRCINOP", BicubicInterpolation('LRC INOP Mach'!$C$4:$AA$21,Y622,U622), IF(S622="HOLDINGINOP",  BicubicInterpolation('Holding INOP Mach'!$N$4:$U$13,Y622,U622),         "XXX" )))))))   )))</f>
        <v>#NAME?</v>
      </c>
      <c r="AD622" s="313" t="e">
        <f t="shared" ca="1" si="563"/>
        <v>#NAME?</v>
      </c>
      <c r="AE622" s="314" t="e">
        <f t="shared" ca="1" si="550"/>
        <v>#NAME?</v>
      </c>
      <c r="AF622" s="313" t="e">
        <f t="shared" ca="1" si="564"/>
        <v>#NAME?</v>
      </c>
      <c r="AG622" s="314" t="e">
        <f t="shared" ca="1" si="551"/>
        <v>#NAME?</v>
      </c>
      <c r="AH622" s="313" t="e">
        <f t="shared" ca="1" si="565"/>
        <v>#NAME?</v>
      </c>
      <c r="AI622" s="314" t="e">
        <f t="shared" ca="1" si="552"/>
        <v>#NAME?</v>
      </c>
      <c r="AJ622" s="315" t="e">
        <f t="shared" ca="1" si="553"/>
        <v>#NAME?</v>
      </c>
      <c r="AK622" s="568" t="e">
        <f t="shared" ca="1" si="566"/>
        <v>#NAME?</v>
      </c>
      <c r="AL622" s="313" t="e">
        <f t="shared" ca="1" si="567"/>
        <v>#NAME?</v>
      </c>
      <c r="AM622" s="313" t="e">
        <f t="shared" ca="1" si="554"/>
        <v>#NAME?</v>
      </c>
      <c r="AN622" s="313" t="e">
        <f t="shared" ca="1" si="555"/>
        <v>#NAME?</v>
      </c>
      <c r="AO622" s="316" t="e">
        <f t="shared" ca="1" si="568"/>
        <v>#NAME?</v>
      </c>
      <c r="AP622" s="313" t="e">
        <f t="shared" ca="1" si="569"/>
        <v>#NAME?</v>
      </c>
      <c r="AQ622" s="314" t="e">
        <f t="shared" ca="1" si="556"/>
        <v>#NAME?</v>
      </c>
      <c r="AR622" s="315" t="e">
        <f t="shared" ca="1" si="570"/>
        <v>#NAME?</v>
      </c>
      <c r="AS622" s="316" t="e">
        <f t="shared" ca="1" si="571"/>
        <v>#NAME?</v>
      </c>
      <c r="AT622" s="315" t="e">
        <f t="shared" ca="1" si="572"/>
        <v>#NAME?</v>
      </c>
      <c r="AU622" s="317">
        <v>427.8</v>
      </c>
      <c r="AV622" s="315" t="e">
        <f t="shared" ca="1" si="573"/>
        <v>#NAME?</v>
      </c>
      <c r="AW622" s="318" t="e">
        <f ca="1">0.0001*BicubicInterpolation('Drag Coef Table'!$B$4:$L$28,AV622,AC622)</f>
        <v>#NAME?</v>
      </c>
      <c r="AX622" s="319" t="e">
        <f t="shared" ca="1" si="574"/>
        <v>#NAME?</v>
      </c>
      <c r="AY622" s="318" t="e">
        <f t="shared" ca="1" si="575"/>
        <v>#NAME?</v>
      </c>
      <c r="AZ622" s="320" t="e">
        <f t="shared" ca="1" si="576"/>
        <v>#NAME?</v>
      </c>
      <c r="BA622" s="321" t="e">
        <f t="shared" ca="1" si="577"/>
        <v>#NAME?</v>
      </c>
      <c r="BB622" s="322" t="e">
        <f t="shared" ca="1" si="578"/>
        <v>#NAME?</v>
      </c>
      <c r="BC622" s="323">
        <v>75.196700000000007</v>
      </c>
      <c r="BD622" s="324" t="e">
        <f t="shared" ca="1" si="579"/>
        <v>#NAME?</v>
      </c>
      <c r="BE622" s="325" t="e">
        <f t="shared" ca="1" si="580"/>
        <v>#NAME?</v>
      </c>
      <c r="BF622" s="324" t="e">
        <f ca="1">BicubicInterpolation('TSFC Eff Table'!$B$4:$E$69,2,BB622)</f>
        <v>#NAME?</v>
      </c>
      <c r="BG622" s="326" t="e">
        <f t="shared" ca="1" si="581"/>
        <v>#NAME?</v>
      </c>
      <c r="BH622" s="694" t="e">
        <f ca="1">IF( S622="LRCINOP",   (1+(0.03/10)*Z622*(1+0.2*AC622^2) )*BicubicInterpolation( 'LRC INOP FF'!$C$4:$AA$21, Y622, U622 )-200, IF(S622 ="HOLDINGINOP", (1+(0.03/10)*Z622*(1+0.2*AC622^2) )*BicubicInterpolation( 'Holding INOP FF'!$C$4:$J$13,  Y622,  U622)/1.05-200,   BA622*BG622))</f>
        <v>#NAME?</v>
      </c>
      <c r="BI622" s="344" t="e">
        <f t="shared" ca="1" si="540"/>
        <v>#NAME?</v>
      </c>
      <c r="BJ622" s="322" t="e">
        <f t="shared" ca="1" si="582"/>
        <v>#NAME?</v>
      </c>
      <c r="BK622" s="338" t="e">
        <f t="shared" ca="1" si="541"/>
        <v>#NAME?</v>
      </c>
      <c r="BL622" s="327" t="e">
        <f t="shared" ca="1" si="583"/>
        <v>#NAME?</v>
      </c>
      <c r="BM622" s="328">
        <f t="shared" si="584"/>
        <v>200</v>
      </c>
      <c r="BN622" s="329" t="e">
        <f t="shared" ca="1" si="585"/>
        <v>#NAME?</v>
      </c>
      <c r="BO622" s="344" t="e">
        <f t="shared" ca="1" si="542"/>
        <v>#NAME?</v>
      </c>
      <c r="BP622" s="320" t="e">
        <f t="shared" ca="1" si="586"/>
        <v>#NAME?</v>
      </c>
      <c r="BQ622" s="344" t="e">
        <f t="shared" ca="1" si="543"/>
        <v>#NAME?</v>
      </c>
      <c r="BR622" s="347" t="e">
        <f t="shared" ca="1" si="544"/>
        <v>#NAME?</v>
      </c>
      <c r="BS622" s="326" t="e">
        <f t="shared" ca="1" si="587"/>
        <v>#NAME?</v>
      </c>
      <c r="BT622" s="437" t="e">
        <f t="shared" ca="1" si="557"/>
        <v>#NAME?</v>
      </c>
      <c r="BU622" s="437" t="e">
        <f t="shared" ca="1" si="558"/>
        <v>#NAME?</v>
      </c>
      <c r="BV622" s="441" t="e">
        <f t="shared" ca="1" si="559"/>
        <v>#NAME?</v>
      </c>
      <c r="BW622" s="442" t="e">
        <f t="shared" ca="1" si="560"/>
        <v>#NAME?</v>
      </c>
      <c r="BX622" s="470" t="e">
        <f t="shared" ca="1" si="534"/>
        <v>#NAME?</v>
      </c>
      <c r="BY622" s="484" t="e">
        <f t="shared" ca="1" si="545"/>
        <v>#NAME?</v>
      </c>
    </row>
    <row r="623" spans="9:77" ht="17.75" customHeight="1" x14ac:dyDescent="0.2">
      <c r="I623" s="366">
        <v>539</v>
      </c>
      <c r="J623" s="414">
        <f t="shared" si="546"/>
        <v>41706.086805556777</v>
      </c>
      <c r="K623" s="435" t="e">
        <f t="shared" ca="1" si="547"/>
        <v>#NAME?</v>
      </c>
      <c r="L623" s="435" t="e">
        <f t="shared" ca="1" si="528"/>
        <v>#NAME?</v>
      </c>
      <c r="M623" s="664" t="e">
        <f t="shared" ca="1" si="588"/>
        <v>#NAME?</v>
      </c>
      <c r="N623" s="664" t="e">
        <f t="shared" ca="1" si="589"/>
        <v>#NAME?</v>
      </c>
      <c r="O623" s="140" t="e">
        <f t="shared" ca="1" si="535"/>
        <v>#NAME?</v>
      </c>
      <c r="P623" s="352" t="e">
        <f t="shared" ca="1" si="548"/>
        <v>#NAME?</v>
      </c>
      <c r="Q623" s="665" t="e">
        <f t="shared" ca="1" si="529"/>
        <v>#NAME?</v>
      </c>
      <c r="R623" s="352" t="e">
        <f t="shared" ca="1" si="561"/>
        <v>#NAME?</v>
      </c>
      <c r="S623" s="662" t="e">
        <f t="shared" ca="1" si="536"/>
        <v>#NAME?</v>
      </c>
      <c r="T623" s="443" t="e">
        <f t="shared" ca="1" si="530"/>
        <v>#NAME?</v>
      </c>
      <c r="U623" s="369" t="e">
        <f t="shared" ca="1" si="531"/>
        <v>#NAME?</v>
      </c>
      <c r="V623" s="454" t="e">
        <f t="shared" ca="1" si="537"/>
        <v>#NAME?</v>
      </c>
      <c r="W623" s="457">
        <f t="shared" si="538"/>
        <v>1000</v>
      </c>
      <c r="X623" s="463" t="e">
        <f t="shared" ca="1" si="539"/>
        <v>#NAME?</v>
      </c>
      <c r="Y623" s="455" t="e">
        <f t="shared" ca="1" si="549"/>
        <v>#NAME?</v>
      </c>
      <c r="Z623" s="699">
        <f t="shared" si="532"/>
        <v>8.5</v>
      </c>
      <c r="AA623" s="355" t="str">
        <f t="shared" si="533"/>
        <v>ON</v>
      </c>
      <c r="AB623" s="357">
        <f t="shared" si="562"/>
        <v>1.4999999999999999E-2</v>
      </c>
      <c r="AC623" s="356" t="e">
        <f ca="1">IF(  Y622=0,0,IF(OR(S623="KCAS",S623="INOP",S623="MEFE"),   ( (5*( (   (((1+0.2*(T623/661.4786)^2)^3.5 -1)  )/( (1-6.8755856*10^-6 *100*Y623)^5.2558797) +1)^(2/7) -1) )^0.5),IF(S623="MACH",T623, IF(S623="LRC",BicubicInterpolation( 'LRC Mach'!$C$4:$AL$21, Y623,U623),  IF(S623="MRC",BicubicInterpolation( 'MRC Mach'!$C$3:$T$18, Y623,U623),  IF(S623="M0.84",0.84,  IF(S623="CI52",BicubicInterpolation('CI=52 Mach'!$C$3:$T$18, Y623,U623),  IF(S623="HOLDING",BicubicInterpolation(  'Holding Mach'!$C$4:$M$13, Y623,U623),                         IF(S623="LRCINOP", BicubicInterpolation('LRC INOP Mach'!$C$4:$AA$21,Y623,U623), IF(S623="HOLDINGINOP",  BicubicInterpolation('Holding INOP Mach'!$N$4:$U$13,Y623,U623),         "XXX" )))))))   )))</f>
        <v>#NAME?</v>
      </c>
      <c r="AD623" s="313" t="e">
        <f t="shared" ca="1" si="563"/>
        <v>#NAME?</v>
      </c>
      <c r="AE623" s="314" t="e">
        <f t="shared" ca="1" si="550"/>
        <v>#NAME?</v>
      </c>
      <c r="AF623" s="313" t="e">
        <f t="shared" ca="1" si="564"/>
        <v>#NAME?</v>
      </c>
      <c r="AG623" s="314" t="e">
        <f t="shared" ca="1" si="551"/>
        <v>#NAME?</v>
      </c>
      <c r="AH623" s="313" t="e">
        <f t="shared" ca="1" si="565"/>
        <v>#NAME?</v>
      </c>
      <c r="AI623" s="314" t="e">
        <f t="shared" ca="1" si="552"/>
        <v>#NAME?</v>
      </c>
      <c r="AJ623" s="315" t="e">
        <f t="shared" ca="1" si="553"/>
        <v>#NAME?</v>
      </c>
      <c r="AK623" s="568" t="e">
        <f t="shared" ca="1" si="566"/>
        <v>#NAME?</v>
      </c>
      <c r="AL623" s="313" t="e">
        <f t="shared" ca="1" si="567"/>
        <v>#NAME?</v>
      </c>
      <c r="AM623" s="313" t="e">
        <f t="shared" ca="1" si="554"/>
        <v>#NAME?</v>
      </c>
      <c r="AN623" s="313" t="e">
        <f t="shared" ca="1" si="555"/>
        <v>#NAME?</v>
      </c>
      <c r="AO623" s="316" t="e">
        <f t="shared" ca="1" si="568"/>
        <v>#NAME?</v>
      </c>
      <c r="AP623" s="313" t="e">
        <f t="shared" ca="1" si="569"/>
        <v>#NAME?</v>
      </c>
      <c r="AQ623" s="314" t="e">
        <f t="shared" ca="1" si="556"/>
        <v>#NAME?</v>
      </c>
      <c r="AR623" s="315" t="e">
        <f t="shared" ca="1" si="570"/>
        <v>#NAME?</v>
      </c>
      <c r="AS623" s="316" t="e">
        <f t="shared" ca="1" si="571"/>
        <v>#NAME?</v>
      </c>
      <c r="AT623" s="315" t="e">
        <f t="shared" ca="1" si="572"/>
        <v>#NAME?</v>
      </c>
      <c r="AU623" s="317">
        <v>427.8</v>
      </c>
      <c r="AV623" s="315" t="e">
        <f t="shared" ca="1" si="573"/>
        <v>#NAME?</v>
      </c>
      <c r="AW623" s="318" t="e">
        <f ca="1">0.0001*BicubicInterpolation('Drag Coef Table'!$B$4:$L$28,AV623,AC623)</f>
        <v>#NAME?</v>
      </c>
      <c r="AX623" s="319" t="e">
        <f t="shared" ca="1" si="574"/>
        <v>#NAME?</v>
      </c>
      <c r="AY623" s="318" t="e">
        <f t="shared" ca="1" si="575"/>
        <v>#NAME?</v>
      </c>
      <c r="AZ623" s="320" t="e">
        <f t="shared" ca="1" si="576"/>
        <v>#NAME?</v>
      </c>
      <c r="BA623" s="321" t="e">
        <f t="shared" ca="1" si="577"/>
        <v>#NAME?</v>
      </c>
      <c r="BB623" s="322" t="e">
        <f t="shared" ca="1" si="578"/>
        <v>#NAME?</v>
      </c>
      <c r="BC623" s="323">
        <v>75.196700000000007</v>
      </c>
      <c r="BD623" s="324" t="e">
        <f t="shared" ca="1" si="579"/>
        <v>#NAME?</v>
      </c>
      <c r="BE623" s="325" t="e">
        <f t="shared" ca="1" si="580"/>
        <v>#NAME?</v>
      </c>
      <c r="BF623" s="324" t="e">
        <f ca="1">BicubicInterpolation('TSFC Eff Table'!$B$4:$E$69,2,BB623)</f>
        <v>#NAME?</v>
      </c>
      <c r="BG623" s="326" t="e">
        <f t="shared" ca="1" si="581"/>
        <v>#NAME?</v>
      </c>
      <c r="BH623" s="694" t="e">
        <f ca="1">IF( S623="LRCINOP",   (1+(0.03/10)*Z623*(1+0.2*AC623^2) )*BicubicInterpolation( 'LRC INOP FF'!$C$4:$AA$21, Y623, U623 )-200, IF(S623 ="HOLDINGINOP", (1+(0.03/10)*Z623*(1+0.2*AC623^2) )*BicubicInterpolation( 'Holding INOP FF'!$C$4:$J$13,  Y623,  U623)/1.05-200,   BA623*BG623))</f>
        <v>#NAME?</v>
      </c>
      <c r="BI623" s="344" t="e">
        <f t="shared" ca="1" si="540"/>
        <v>#NAME?</v>
      </c>
      <c r="BJ623" s="322" t="e">
        <f t="shared" ca="1" si="582"/>
        <v>#NAME?</v>
      </c>
      <c r="BK623" s="338" t="e">
        <f t="shared" ca="1" si="541"/>
        <v>#NAME?</v>
      </c>
      <c r="BL623" s="327" t="e">
        <f t="shared" ca="1" si="583"/>
        <v>#NAME?</v>
      </c>
      <c r="BM623" s="328">
        <f t="shared" si="584"/>
        <v>200</v>
      </c>
      <c r="BN623" s="329" t="e">
        <f t="shared" ca="1" si="585"/>
        <v>#NAME?</v>
      </c>
      <c r="BO623" s="344" t="e">
        <f t="shared" ca="1" si="542"/>
        <v>#NAME?</v>
      </c>
      <c r="BP623" s="320" t="e">
        <f t="shared" ca="1" si="586"/>
        <v>#NAME?</v>
      </c>
      <c r="BQ623" s="344" t="e">
        <f t="shared" ca="1" si="543"/>
        <v>#NAME?</v>
      </c>
      <c r="BR623" s="347" t="e">
        <f t="shared" ca="1" si="544"/>
        <v>#NAME?</v>
      </c>
      <c r="BS623" s="326" t="e">
        <f t="shared" ca="1" si="587"/>
        <v>#NAME?</v>
      </c>
      <c r="BT623" s="437" t="e">
        <f t="shared" ca="1" si="557"/>
        <v>#NAME?</v>
      </c>
      <c r="BU623" s="437" t="e">
        <f t="shared" ca="1" si="558"/>
        <v>#NAME?</v>
      </c>
      <c r="BV623" s="441" t="e">
        <f t="shared" ca="1" si="559"/>
        <v>#NAME?</v>
      </c>
      <c r="BW623" s="442" t="e">
        <f t="shared" ca="1" si="560"/>
        <v>#NAME?</v>
      </c>
      <c r="BX623" s="470" t="e">
        <f t="shared" ca="1" si="534"/>
        <v>#NAME?</v>
      </c>
      <c r="BY623" s="484" t="e">
        <f t="shared" ca="1" si="545"/>
        <v>#NAME?</v>
      </c>
    </row>
    <row r="624" spans="9:77" ht="17.75" customHeight="1" x14ac:dyDescent="0.2">
      <c r="I624" s="366">
        <v>540</v>
      </c>
      <c r="J624" s="414">
        <f t="shared" si="546"/>
        <v>41706.087500001224</v>
      </c>
      <c r="K624" s="435" t="e">
        <f t="shared" ca="1" si="547"/>
        <v>#NAME?</v>
      </c>
      <c r="L624" s="435" t="e">
        <f t="shared" ca="1" si="528"/>
        <v>#NAME?</v>
      </c>
      <c r="M624" s="664" t="e">
        <f t="shared" ca="1" si="588"/>
        <v>#NAME?</v>
      </c>
      <c r="N624" s="664" t="e">
        <f t="shared" ca="1" si="589"/>
        <v>#NAME?</v>
      </c>
      <c r="O624" s="140" t="e">
        <f t="shared" ca="1" si="535"/>
        <v>#NAME?</v>
      </c>
      <c r="P624" s="352" t="e">
        <f t="shared" ca="1" si="548"/>
        <v>#NAME?</v>
      </c>
      <c r="Q624" s="665" t="e">
        <f t="shared" ca="1" si="529"/>
        <v>#NAME?</v>
      </c>
      <c r="R624" s="352" t="e">
        <f t="shared" ca="1" si="561"/>
        <v>#NAME?</v>
      </c>
      <c r="S624" s="662" t="e">
        <f t="shared" ca="1" si="536"/>
        <v>#NAME?</v>
      </c>
      <c r="T624" s="443" t="e">
        <f t="shared" ca="1" si="530"/>
        <v>#NAME?</v>
      </c>
      <c r="U624" s="369" t="e">
        <f t="shared" ca="1" si="531"/>
        <v>#NAME?</v>
      </c>
      <c r="V624" s="454" t="e">
        <f t="shared" ca="1" si="537"/>
        <v>#NAME?</v>
      </c>
      <c r="W624" s="457">
        <f t="shared" si="538"/>
        <v>1000</v>
      </c>
      <c r="X624" s="463" t="e">
        <f t="shared" ca="1" si="539"/>
        <v>#NAME?</v>
      </c>
      <c r="Y624" s="455" t="e">
        <f t="shared" ca="1" si="549"/>
        <v>#NAME?</v>
      </c>
      <c r="Z624" s="699">
        <f t="shared" si="532"/>
        <v>8.5</v>
      </c>
      <c r="AA624" s="355" t="str">
        <f t="shared" si="533"/>
        <v>ON</v>
      </c>
      <c r="AB624" s="357">
        <f t="shared" si="562"/>
        <v>1.4999999999999999E-2</v>
      </c>
      <c r="AC624" s="356" t="e">
        <f ca="1">IF(  Y623=0,0,IF(OR(S624="KCAS",S624="INOP",S624="MEFE"),   ( (5*( (   (((1+0.2*(T624/661.4786)^2)^3.5 -1)  )/( (1-6.8755856*10^-6 *100*Y624)^5.2558797) +1)^(2/7) -1) )^0.5),IF(S624="MACH",T624, IF(S624="LRC",BicubicInterpolation( 'LRC Mach'!$C$4:$AL$21, Y624,U624),  IF(S624="MRC",BicubicInterpolation( 'MRC Mach'!$C$3:$T$18, Y624,U624),  IF(S624="M0.84",0.84,  IF(S624="CI52",BicubicInterpolation('CI=52 Mach'!$C$3:$T$18, Y624,U624),  IF(S624="HOLDING",BicubicInterpolation(  'Holding Mach'!$C$4:$M$13, Y624,U624),                         IF(S624="LRCINOP", BicubicInterpolation('LRC INOP Mach'!$C$4:$AA$21,Y624,U624), IF(S624="HOLDINGINOP",  BicubicInterpolation('Holding INOP Mach'!$N$4:$U$13,Y624,U624),         "XXX" )))))))   )))</f>
        <v>#NAME?</v>
      </c>
      <c r="AD624" s="313" t="e">
        <f t="shared" ca="1" si="563"/>
        <v>#NAME?</v>
      </c>
      <c r="AE624" s="314" t="e">
        <f t="shared" ca="1" si="550"/>
        <v>#NAME?</v>
      </c>
      <c r="AF624" s="313" t="e">
        <f t="shared" ca="1" si="564"/>
        <v>#NAME?</v>
      </c>
      <c r="AG624" s="314" t="e">
        <f t="shared" ca="1" si="551"/>
        <v>#NAME?</v>
      </c>
      <c r="AH624" s="313" t="e">
        <f t="shared" ca="1" si="565"/>
        <v>#NAME?</v>
      </c>
      <c r="AI624" s="314" t="e">
        <f t="shared" ca="1" si="552"/>
        <v>#NAME?</v>
      </c>
      <c r="AJ624" s="315" t="e">
        <f t="shared" ca="1" si="553"/>
        <v>#NAME?</v>
      </c>
      <c r="AK624" s="568" t="e">
        <f t="shared" ca="1" si="566"/>
        <v>#NAME?</v>
      </c>
      <c r="AL624" s="313" t="e">
        <f t="shared" ca="1" si="567"/>
        <v>#NAME?</v>
      </c>
      <c r="AM624" s="313" t="e">
        <f t="shared" ca="1" si="554"/>
        <v>#NAME?</v>
      </c>
      <c r="AN624" s="313" t="e">
        <f t="shared" ca="1" si="555"/>
        <v>#NAME?</v>
      </c>
      <c r="AO624" s="316" t="e">
        <f t="shared" ca="1" si="568"/>
        <v>#NAME?</v>
      </c>
      <c r="AP624" s="313" t="e">
        <f t="shared" ca="1" si="569"/>
        <v>#NAME?</v>
      </c>
      <c r="AQ624" s="314" t="e">
        <f t="shared" ca="1" si="556"/>
        <v>#NAME?</v>
      </c>
      <c r="AR624" s="315" t="e">
        <f t="shared" ca="1" si="570"/>
        <v>#NAME?</v>
      </c>
      <c r="AS624" s="316" t="e">
        <f t="shared" ca="1" si="571"/>
        <v>#NAME?</v>
      </c>
      <c r="AT624" s="315" t="e">
        <f t="shared" ca="1" si="572"/>
        <v>#NAME?</v>
      </c>
      <c r="AU624" s="317">
        <v>427.8</v>
      </c>
      <c r="AV624" s="315" t="e">
        <f t="shared" ca="1" si="573"/>
        <v>#NAME?</v>
      </c>
      <c r="AW624" s="318" t="e">
        <f ca="1">0.0001*BicubicInterpolation('Drag Coef Table'!$B$4:$L$28,AV624,AC624)</f>
        <v>#NAME?</v>
      </c>
      <c r="AX624" s="319" t="e">
        <f t="shared" ca="1" si="574"/>
        <v>#NAME?</v>
      </c>
      <c r="AY624" s="318" t="e">
        <f t="shared" ca="1" si="575"/>
        <v>#NAME?</v>
      </c>
      <c r="AZ624" s="320" t="e">
        <f t="shared" ca="1" si="576"/>
        <v>#NAME?</v>
      </c>
      <c r="BA624" s="321" t="e">
        <f t="shared" ca="1" si="577"/>
        <v>#NAME?</v>
      </c>
      <c r="BB624" s="322" t="e">
        <f t="shared" ca="1" si="578"/>
        <v>#NAME?</v>
      </c>
      <c r="BC624" s="323">
        <v>75.196700000000007</v>
      </c>
      <c r="BD624" s="324" t="e">
        <f t="shared" ca="1" si="579"/>
        <v>#NAME?</v>
      </c>
      <c r="BE624" s="325" t="e">
        <f t="shared" ca="1" si="580"/>
        <v>#NAME?</v>
      </c>
      <c r="BF624" s="324" t="e">
        <f ca="1">BicubicInterpolation('TSFC Eff Table'!$B$4:$E$69,2,BB624)</f>
        <v>#NAME?</v>
      </c>
      <c r="BG624" s="326" t="e">
        <f t="shared" ca="1" si="581"/>
        <v>#NAME?</v>
      </c>
      <c r="BH624" s="694" t="e">
        <f ca="1">IF( S624="LRCINOP",   (1+(0.03/10)*Z624*(1+0.2*AC624^2) )*BicubicInterpolation( 'LRC INOP FF'!$C$4:$AA$21, Y624, U624 )-200, IF(S624 ="HOLDINGINOP", (1+(0.03/10)*Z624*(1+0.2*AC624^2) )*BicubicInterpolation( 'Holding INOP FF'!$C$4:$J$13,  Y624,  U624)/1.05-200,   BA624*BG624))</f>
        <v>#NAME?</v>
      </c>
      <c r="BI624" s="344" t="e">
        <f t="shared" ca="1" si="540"/>
        <v>#NAME?</v>
      </c>
      <c r="BJ624" s="322" t="e">
        <f t="shared" ca="1" si="582"/>
        <v>#NAME?</v>
      </c>
      <c r="BK624" s="338" t="e">
        <f t="shared" ca="1" si="541"/>
        <v>#NAME?</v>
      </c>
      <c r="BL624" s="327" t="e">
        <f t="shared" ca="1" si="583"/>
        <v>#NAME?</v>
      </c>
      <c r="BM624" s="328">
        <f t="shared" si="584"/>
        <v>200</v>
      </c>
      <c r="BN624" s="329" t="e">
        <f t="shared" ca="1" si="585"/>
        <v>#NAME?</v>
      </c>
      <c r="BO624" s="344" t="e">
        <f t="shared" ca="1" si="542"/>
        <v>#NAME?</v>
      </c>
      <c r="BP624" s="320" t="e">
        <f t="shared" ca="1" si="586"/>
        <v>#NAME?</v>
      </c>
      <c r="BQ624" s="344" t="e">
        <f t="shared" ca="1" si="543"/>
        <v>#NAME?</v>
      </c>
      <c r="BR624" s="347" t="e">
        <f t="shared" ca="1" si="544"/>
        <v>#NAME?</v>
      </c>
      <c r="BS624" s="326" t="e">
        <f t="shared" ca="1" si="587"/>
        <v>#NAME?</v>
      </c>
      <c r="BT624" s="437" t="e">
        <f t="shared" ca="1" si="557"/>
        <v>#NAME?</v>
      </c>
      <c r="BU624" s="437" t="e">
        <f t="shared" ca="1" si="558"/>
        <v>#NAME?</v>
      </c>
      <c r="BV624" s="441" t="e">
        <f t="shared" ca="1" si="559"/>
        <v>#NAME?</v>
      </c>
      <c r="BW624" s="442" t="e">
        <f t="shared" ca="1" si="560"/>
        <v>#NAME?</v>
      </c>
      <c r="BX624" s="470" t="e">
        <f t="shared" ca="1" si="534"/>
        <v>#NAME?</v>
      </c>
      <c r="BY624" s="484" t="e">
        <f t="shared" ca="1" si="545"/>
        <v>#NAME?</v>
      </c>
    </row>
    <row r="625" spans="9:77" ht="17.75" customHeight="1" x14ac:dyDescent="0.2">
      <c r="I625" s="366">
        <v>541</v>
      </c>
      <c r="J625" s="414">
        <f t="shared" si="546"/>
        <v>41706.088194445671</v>
      </c>
      <c r="K625" s="435" t="e">
        <f t="shared" ca="1" si="547"/>
        <v>#NAME?</v>
      </c>
      <c r="L625" s="435" t="e">
        <f t="shared" ca="1" si="528"/>
        <v>#NAME?</v>
      </c>
      <c r="M625" s="664" t="e">
        <f t="shared" ca="1" si="588"/>
        <v>#NAME?</v>
      </c>
      <c r="N625" s="664" t="e">
        <f t="shared" ca="1" si="589"/>
        <v>#NAME?</v>
      </c>
      <c r="O625" s="140" t="e">
        <f t="shared" ca="1" si="535"/>
        <v>#NAME?</v>
      </c>
      <c r="P625" s="352" t="e">
        <f t="shared" ca="1" si="548"/>
        <v>#NAME?</v>
      </c>
      <c r="Q625" s="665" t="e">
        <f t="shared" ca="1" si="529"/>
        <v>#NAME?</v>
      </c>
      <c r="R625" s="352" t="e">
        <f t="shared" ca="1" si="561"/>
        <v>#NAME?</v>
      </c>
      <c r="S625" s="662" t="e">
        <f t="shared" ca="1" si="536"/>
        <v>#NAME?</v>
      </c>
      <c r="T625" s="443" t="e">
        <f t="shared" ca="1" si="530"/>
        <v>#NAME?</v>
      </c>
      <c r="U625" s="369" t="e">
        <f t="shared" ca="1" si="531"/>
        <v>#NAME?</v>
      </c>
      <c r="V625" s="454" t="e">
        <f t="shared" ca="1" si="537"/>
        <v>#NAME?</v>
      </c>
      <c r="W625" s="457">
        <f t="shared" si="538"/>
        <v>1000</v>
      </c>
      <c r="X625" s="463" t="e">
        <f t="shared" ca="1" si="539"/>
        <v>#NAME?</v>
      </c>
      <c r="Y625" s="455" t="e">
        <f t="shared" ca="1" si="549"/>
        <v>#NAME?</v>
      </c>
      <c r="Z625" s="699">
        <f t="shared" si="532"/>
        <v>8.5</v>
      </c>
      <c r="AA625" s="355" t="str">
        <f t="shared" si="533"/>
        <v>ON</v>
      </c>
      <c r="AB625" s="357">
        <f t="shared" si="562"/>
        <v>1.4999999999999999E-2</v>
      </c>
      <c r="AC625" s="356" t="e">
        <f ca="1">IF(  Y624=0,0,IF(OR(S625="KCAS",S625="INOP",S625="MEFE"),   ( (5*( (   (((1+0.2*(T625/661.4786)^2)^3.5 -1)  )/( (1-6.8755856*10^-6 *100*Y625)^5.2558797) +1)^(2/7) -1) )^0.5),IF(S625="MACH",T625, IF(S625="LRC",BicubicInterpolation( 'LRC Mach'!$C$4:$AL$21, Y625,U625),  IF(S625="MRC",BicubicInterpolation( 'MRC Mach'!$C$3:$T$18, Y625,U625),  IF(S625="M0.84",0.84,  IF(S625="CI52",BicubicInterpolation('CI=52 Mach'!$C$3:$T$18, Y625,U625),  IF(S625="HOLDING",BicubicInterpolation(  'Holding Mach'!$C$4:$M$13, Y625,U625),                         IF(S625="LRCINOP", BicubicInterpolation('LRC INOP Mach'!$C$4:$AA$21,Y625,U625), IF(S625="HOLDINGINOP",  BicubicInterpolation('Holding INOP Mach'!$N$4:$U$13,Y625,U625),         "XXX" )))))))   )))</f>
        <v>#NAME?</v>
      </c>
      <c r="AD625" s="313" t="e">
        <f t="shared" ca="1" si="563"/>
        <v>#NAME?</v>
      </c>
      <c r="AE625" s="314" t="e">
        <f t="shared" ca="1" si="550"/>
        <v>#NAME?</v>
      </c>
      <c r="AF625" s="313" t="e">
        <f t="shared" ca="1" si="564"/>
        <v>#NAME?</v>
      </c>
      <c r="AG625" s="314" t="e">
        <f t="shared" ca="1" si="551"/>
        <v>#NAME?</v>
      </c>
      <c r="AH625" s="313" t="e">
        <f t="shared" ca="1" si="565"/>
        <v>#NAME?</v>
      </c>
      <c r="AI625" s="314" t="e">
        <f t="shared" ca="1" si="552"/>
        <v>#NAME?</v>
      </c>
      <c r="AJ625" s="315" t="e">
        <f t="shared" ca="1" si="553"/>
        <v>#NAME?</v>
      </c>
      <c r="AK625" s="568" t="e">
        <f t="shared" ca="1" si="566"/>
        <v>#NAME?</v>
      </c>
      <c r="AL625" s="313" t="e">
        <f t="shared" ca="1" si="567"/>
        <v>#NAME?</v>
      </c>
      <c r="AM625" s="313" t="e">
        <f t="shared" ca="1" si="554"/>
        <v>#NAME?</v>
      </c>
      <c r="AN625" s="313" t="e">
        <f t="shared" ca="1" si="555"/>
        <v>#NAME?</v>
      </c>
      <c r="AO625" s="316" t="e">
        <f t="shared" ca="1" si="568"/>
        <v>#NAME?</v>
      </c>
      <c r="AP625" s="313" t="e">
        <f t="shared" ca="1" si="569"/>
        <v>#NAME?</v>
      </c>
      <c r="AQ625" s="314" t="e">
        <f t="shared" ca="1" si="556"/>
        <v>#NAME?</v>
      </c>
      <c r="AR625" s="315" t="e">
        <f t="shared" ca="1" si="570"/>
        <v>#NAME?</v>
      </c>
      <c r="AS625" s="316" t="e">
        <f t="shared" ca="1" si="571"/>
        <v>#NAME?</v>
      </c>
      <c r="AT625" s="315" t="e">
        <f t="shared" ca="1" si="572"/>
        <v>#NAME?</v>
      </c>
      <c r="AU625" s="317">
        <v>427.8</v>
      </c>
      <c r="AV625" s="315" t="e">
        <f t="shared" ca="1" si="573"/>
        <v>#NAME?</v>
      </c>
      <c r="AW625" s="318" t="e">
        <f ca="1">0.0001*BicubicInterpolation('Drag Coef Table'!$B$4:$L$28,AV625,AC625)</f>
        <v>#NAME?</v>
      </c>
      <c r="AX625" s="319" t="e">
        <f t="shared" ca="1" si="574"/>
        <v>#NAME?</v>
      </c>
      <c r="AY625" s="318" t="e">
        <f t="shared" ca="1" si="575"/>
        <v>#NAME?</v>
      </c>
      <c r="AZ625" s="320" t="e">
        <f t="shared" ca="1" si="576"/>
        <v>#NAME?</v>
      </c>
      <c r="BA625" s="321" t="e">
        <f t="shared" ca="1" si="577"/>
        <v>#NAME?</v>
      </c>
      <c r="BB625" s="322" t="e">
        <f t="shared" ca="1" si="578"/>
        <v>#NAME?</v>
      </c>
      <c r="BC625" s="323">
        <v>75.196700000000007</v>
      </c>
      <c r="BD625" s="324" t="e">
        <f t="shared" ca="1" si="579"/>
        <v>#NAME?</v>
      </c>
      <c r="BE625" s="325" t="e">
        <f t="shared" ca="1" si="580"/>
        <v>#NAME?</v>
      </c>
      <c r="BF625" s="324" t="e">
        <f ca="1">BicubicInterpolation('TSFC Eff Table'!$B$4:$E$69,2,BB625)</f>
        <v>#NAME?</v>
      </c>
      <c r="BG625" s="326" t="e">
        <f t="shared" ca="1" si="581"/>
        <v>#NAME?</v>
      </c>
      <c r="BH625" s="694" t="e">
        <f ca="1">IF( S625="LRCINOP",   (1+(0.03/10)*Z625*(1+0.2*AC625^2) )*BicubicInterpolation( 'LRC INOP FF'!$C$4:$AA$21, Y625, U625 )-200, IF(S625 ="HOLDINGINOP", (1+(0.03/10)*Z625*(1+0.2*AC625^2) )*BicubicInterpolation( 'Holding INOP FF'!$C$4:$J$13,  Y625,  U625)/1.05-200,   BA625*BG625))</f>
        <v>#NAME?</v>
      </c>
      <c r="BI625" s="344" t="e">
        <f t="shared" ca="1" si="540"/>
        <v>#NAME?</v>
      </c>
      <c r="BJ625" s="322" t="e">
        <f t="shared" ca="1" si="582"/>
        <v>#NAME?</v>
      </c>
      <c r="BK625" s="338" t="e">
        <f t="shared" ca="1" si="541"/>
        <v>#NAME?</v>
      </c>
      <c r="BL625" s="327" t="e">
        <f t="shared" ca="1" si="583"/>
        <v>#NAME?</v>
      </c>
      <c r="BM625" s="328">
        <f t="shared" si="584"/>
        <v>200</v>
      </c>
      <c r="BN625" s="329" t="e">
        <f t="shared" ca="1" si="585"/>
        <v>#NAME?</v>
      </c>
      <c r="BO625" s="344" t="e">
        <f t="shared" ca="1" si="542"/>
        <v>#NAME?</v>
      </c>
      <c r="BP625" s="320" t="e">
        <f t="shared" ca="1" si="586"/>
        <v>#NAME?</v>
      </c>
      <c r="BQ625" s="344" t="e">
        <f t="shared" ca="1" si="543"/>
        <v>#NAME?</v>
      </c>
      <c r="BR625" s="347" t="e">
        <f t="shared" ca="1" si="544"/>
        <v>#NAME?</v>
      </c>
      <c r="BS625" s="326" t="e">
        <f t="shared" ca="1" si="587"/>
        <v>#NAME?</v>
      </c>
      <c r="BT625" s="437" t="e">
        <f t="shared" ca="1" si="557"/>
        <v>#NAME?</v>
      </c>
      <c r="BU625" s="437" t="e">
        <f t="shared" ca="1" si="558"/>
        <v>#NAME?</v>
      </c>
      <c r="BV625" s="441" t="e">
        <f t="shared" ca="1" si="559"/>
        <v>#NAME?</v>
      </c>
      <c r="BW625" s="442" t="e">
        <f t="shared" ca="1" si="560"/>
        <v>#NAME?</v>
      </c>
      <c r="BX625" s="470" t="e">
        <f t="shared" ca="1" si="534"/>
        <v>#NAME?</v>
      </c>
      <c r="BY625" s="484" t="e">
        <f t="shared" ca="1" si="545"/>
        <v>#NAME?</v>
      </c>
    </row>
    <row r="626" spans="9:77" ht="17.75" customHeight="1" x14ac:dyDescent="0.2">
      <c r="I626" s="366">
        <v>542</v>
      </c>
      <c r="J626" s="414">
        <f t="shared" si="546"/>
        <v>41706.088888890117</v>
      </c>
      <c r="K626" s="435" t="e">
        <f t="shared" ca="1" si="547"/>
        <v>#NAME?</v>
      </c>
      <c r="L626" s="435" t="e">
        <f t="shared" ca="1" si="528"/>
        <v>#NAME?</v>
      </c>
      <c r="M626" s="664" t="e">
        <f t="shared" ca="1" si="588"/>
        <v>#NAME?</v>
      </c>
      <c r="N626" s="664" t="e">
        <f t="shared" ca="1" si="589"/>
        <v>#NAME?</v>
      </c>
      <c r="O626" s="140" t="e">
        <f t="shared" ca="1" si="535"/>
        <v>#NAME?</v>
      </c>
      <c r="P626" s="352" t="e">
        <f t="shared" ca="1" si="548"/>
        <v>#NAME?</v>
      </c>
      <c r="Q626" s="665" t="e">
        <f t="shared" ca="1" si="529"/>
        <v>#NAME?</v>
      </c>
      <c r="R626" s="352" t="e">
        <f t="shared" ca="1" si="561"/>
        <v>#NAME?</v>
      </c>
      <c r="S626" s="662" t="e">
        <f t="shared" ca="1" si="536"/>
        <v>#NAME?</v>
      </c>
      <c r="T626" s="443" t="e">
        <f t="shared" ca="1" si="530"/>
        <v>#NAME?</v>
      </c>
      <c r="U626" s="369" t="e">
        <f t="shared" ca="1" si="531"/>
        <v>#NAME?</v>
      </c>
      <c r="V626" s="454" t="e">
        <f t="shared" ca="1" si="537"/>
        <v>#NAME?</v>
      </c>
      <c r="W626" s="457">
        <f t="shared" si="538"/>
        <v>1000</v>
      </c>
      <c r="X626" s="463" t="e">
        <f t="shared" ca="1" si="539"/>
        <v>#NAME?</v>
      </c>
      <c r="Y626" s="455" t="e">
        <f t="shared" ca="1" si="549"/>
        <v>#NAME?</v>
      </c>
      <c r="Z626" s="699">
        <f t="shared" si="532"/>
        <v>8.5</v>
      </c>
      <c r="AA626" s="355" t="str">
        <f t="shared" si="533"/>
        <v>ON</v>
      </c>
      <c r="AB626" s="357">
        <f t="shared" si="562"/>
        <v>1.4999999999999999E-2</v>
      </c>
      <c r="AC626" s="356" t="e">
        <f ca="1">IF(  Y625=0,0,IF(OR(S626="KCAS",S626="INOP",S626="MEFE"),   ( (5*( (   (((1+0.2*(T626/661.4786)^2)^3.5 -1)  )/( (1-6.8755856*10^-6 *100*Y626)^5.2558797) +1)^(2/7) -1) )^0.5),IF(S626="MACH",T626, IF(S626="LRC",BicubicInterpolation( 'LRC Mach'!$C$4:$AL$21, Y626,U626),  IF(S626="MRC",BicubicInterpolation( 'MRC Mach'!$C$3:$T$18, Y626,U626),  IF(S626="M0.84",0.84,  IF(S626="CI52",BicubicInterpolation('CI=52 Mach'!$C$3:$T$18, Y626,U626),  IF(S626="HOLDING",BicubicInterpolation(  'Holding Mach'!$C$4:$M$13, Y626,U626),                         IF(S626="LRCINOP", BicubicInterpolation('LRC INOP Mach'!$C$4:$AA$21,Y626,U626), IF(S626="HOLDINGINOP",  BicubicInterpolation('Holding INOP Mach'!$N$4:$U$13,Y626,U626),         "XXX" )))))))   )))</f>
        <v>#NAME?</v>
      </c>
      <c r="AD626" s="313" t="e">
        <f t="shared" ca="1" si="563"/>
        <v>#NAME?</v>
      </c>
      <c r="AE626" s="314" t="e">
        <f t="shared" ca="1" si="550"/>
        <v>#NAME?</v>
      </c>
      <c r="AF626" s="313" t="e">
        <f t="shared" ca="1" si="564"/>
        <v>#NAME?</v>
      </c>
      <c r="AG626" s="314" t="e">
        <f t="shared" ca="1" si="551"/>
        <v>#NAME?</v>
      </c>
      <c r="AH626" s="313" t="e">
        <f t="shared" ca="1" si="565"/>
        <v>#NAME?</v>
      </c>
      <c r="AI626" s="314" t="e">
        <f t="shared" ca="1" si="552"/>
        <v>#NAME?</v>
      </c>
      <c r="AJ626" s="315" t="e">
        <f t="shared" ca="1" si="553"/>
        <v>#NAME?</v>
      </c>
      <c r="AK626" s="568" t="e">
        <f t="shared" ca="1" si="566"/>
        <v>#NAME?</v>
      </c>
      <c r="AL626" s="313" t="e">
        <f t="shared" ca="1" si="567"/>
        <v>#NAME?</v>
      </c>
      <c r="AM626" s="313" t="e">
        <f t="shared" ca="1" si="554"/>
        <v>#NAME?</v>
      </c>
      <c r="AN626" s="313" t="e">
        <f t="shared" ca="1" si="555"/>
        <v>#NAME?</v>
      </c>
      <c r="AO626" s="316" t="e">
        <f t="shared" ca="1" si="568"/>
        <v>#NAME?</v>
      </c>
      <c r="AP626" s="313" t="e">
        <f t="shared" ca="1" si="569"/>
        <v>#NAME?</v>
      </c>
      <c r="AQ626" s="314" t="e">
        <f t="shared" ca="1" si="556"/>
        <v>#NAME?</v>
      </c>
      <c r="AR626" s="315" t="e">
        <f t="shared" ca="1" si="570"/>
        <v>#NAME?</v>
      </c>
      <c r="AS626" s="316" t="e">
        <f t="shared" ca="1" si="571"/>
        <v>#NAME?</v>
      </c>
      <c r="AT626" s="315" t="e">
        <f t="shared" ca="1" si="572"/>
        <v>#NAME?</v>
      </c>
      <c r="AU626" s="317">
        <v>427.8</v>
      </c>
      <c r="AV626" s="315" t="e">
        <f t="shared" ca="1" si="573"/>
        <v>#NAME?</v>
      </c>
      <c r="AW626" s="318" t="e">
        <f ca="1">0.0001*BicubicInterpolation('Drag Coef Table'!$B$4:$L$28,AV626,AC626)</f>
        <v>#NAME?</v>
      </c>
      <c r="AX626" s="319" t="e">
        <f t="shared" ca="1" si="574"/>
        <v>#NAME?</v>
      </c>
      <c r="AY626" s="318" t="e">
        <f t="shared" ca="1" si="575"/>
        <v>#NAME?</v>
      </c>
      <c r="AZ626" s="320" t="e">
        <f t="shared" ca="1" si="576"/>
        <v>#NAME?</v>
      </c>
      <c r="BA626" s="321" t="e">
        <f t="shared" ca="1" si="577"/>
        <v>#NAME?</v>
      </c>
      <c r="BB626" s="322" t="e">
        <f t="shared" ca="1" si="578"/>
        <v>#NAME?</v>
      </c>
      <c r="BC626" s="323">
        <v>75.196700000000007</v>
      </c>
      <c r="BD626" s="324" t="e">
        <f t="shared" ca="1" si="579"/>
        <v>#NAME?</v>
      </c>
      <c r="BE626" s="325" t="e">
        <f t="shared" ca="1" si="580"/>
        <v>#NAME?</v>
      </c>
      <c r="BF626" s="324" t="e">
        <f ca="1">BicubicInterpolation('TSFC Eff Table'!$B$4:$E$69,2,BB626)</f>
        <v>#NAME?</v>
      </c>
      <c r="BG626" s="326" t="e">
        <f t="shared" ca="1" si="581"/>
        <v>#NAME?</v>
      </c>
      <c r="BH626" s="694" t="e">
        <f ca="1">IF( S626="LRCINOP",   (1+(0.03/10)*Z626*(1+0.2*AC626^2) )*BicubicInterpolation( 'LRC INOP FF'!$C$4:$AA$21, Y626, U626 )-200, IF(S626 ="HOLDINGINOP", (1+(0.03/10)*Z626*(1+0.2*AC626^2) )*BicubicInterpolation( 'Holding INOP FF'!$C$4:$J$13,  Y626,  U626)/1.05-200,   BA626*BG626))</f>
        <v>#NAME?</v>
      </c>
      <c r="BI626" s="344" t="e">
        <f t="shared" ca="1" si="540"/>
        <v>#NAME?</v>
      </c>
      <c r="BJ626" s="322" t="e">
        <f t="shared" ca="1" si="582"/>
        <v>#NAME?</v>
      </c>
      <c r="BK626" s="338" t="e">
        <f t="shared" ca="1" si="541"/>
        <v>#NAME?</v>
      </c>
      <c r="BL626" s="327" t="e">
        <f t="shared" ca="1" si="583"/>
        <v>#NAME?</v>
      </c>
      <c r="BM626" s="328">
        <f t="shared" si="584"/>
        <v>200</v>
      </c>
      <c r="BN626" s="329" t="e">
        <f t="shared" ca="1" si="585"/>
        <v>#NAME?</v>
      </c>
      <c r="BO626" s="344" t="e">
        <f t="shared" ca="1" si="542"/>
        <v>#NAME?</v>
      </c>
      <c r="BP626" s="320" t="e">
        <f t="shared" ca="1" si="586"/>
        <v>#NAME?</v>
      </c>
      <c r="BQ626" s="344" t="e">
        <f t="shared" ca="1" si="543"/>
        <v>#NAME?</v>
      </c>
      <c r="BR626" s="347" t="e">
        <f t="shared" ca="1" si="544"/>
        <v>#NAME?</v>
      </c>
      <c r="BS626" s="326" t="e">
        <f t="shared" ca="1" si="587"/>
        <v>#NAME?</v>
      </c>
      <c r="BT626" s="437" t="e">
        <f t="shared" ca="1" si="557"/>
        <v>#NAME?</v>
      </c>
      <c r="BU626" s="437" t="e">
        <f t="shared" ca="1" si="558"/>
        <v>#NAME?</v>
      </c>
      <c r="BV626" s="441" t="e">
        <f t="shared" ca="1" si="559"/>
        <v>#NAME?</v>
      </c>
      <c r="BW626" s="442" t="e">
        <f t="shared" ca="1" si="560"/>
        <v>#NAME?</v>
      </c>
      <c r="BX626" s="470" t="e">
        <f t="shared" ca="1" si="534"/>
        <v>#NAME?</v>
      </c>
      <c r="BY626" s="484" t="e">
        <f t="shared" ca="1" si="545"/>
        <v>#NAME?</v>
      </c>
    </row>
    <row r="627" spans="9:77" ht="17.75" customHeight="1" x14ac:dyDescent="0.2">
      <c r="I627" s="366">
        <v>543</v>
      </c>
      <c r="J627" s="414">
        <f t="shared" si="546"/>
        <v>41706.089583334564</v>
      </c>
      <c r="K627" s="435" t="e">
        <f t="shared" ca="1" si="547"/>
        <v>#NAME?</v>
      </c>
      <c r="L627" s="435" t="e">
        <f t="shared" ca="1" si="528"/>
        <v>#NAME?</v>
      </c>
      <c r="M627" s="664" t="e">
        <f t="shared" ca="1" si="588"/>
        <v>#NAME?</v>
      </c>
      <c r="N627" s="664" t="e">
        <f t="shared" ca="1" si="589"/>
        <v>#NAME?</v>
      </c>
      <c r="O627" s="140" t="e">
        <f t="shared" ca="1" si="535"/>
        <v>#NAME?</v>
      </c>
      <c r="P627" s="352" t="e">
        <f t="shared" ca="1" si="548"/>
        <v>#NAME?</v>
      </c>
      <c r="Q627" s="665" t="e">
        <f t="shared" ca="1" si="529"/>
        <v>#NAME?</v>
      </c>
      <c r="R627" s="352" t="e">
        <f t="shared" ca="1" si="561"/>
        <v>#NAME?</v>
      </c>
      <c r="S627" s="662" t="e">
        <f t="shared" ca="1" si="536"/>
        <v>#NAME?</v>
      </c>
      <c r="T627" s="443" t="e">
        <f t="shared" ca="1" si="530"/>
        <v>#NAME?</v>
      </c>
      <c r="U627" s="369" t="e">
        <f t="shared" ca="1" si="531"/>
        <v>#NAME?</v>
      </c>
      <c r="V627" s="454" t="e">
        <f t="shared" ca="1" si="537"/>
        <v>#NAME?</v>
      </c>
      <c r="W627" s="457">
        <f t="shared" si="538"/>
        <v>1000</v>
      </c>
      <c r="X627" s="463" t="e">
        <f t="shared" ca="1" si="539"/>
        <v>#NAME?</v>
      </c>
      <c r="Y627" s="455" t="e">
        <f t="shared" ca="1" si="549"/>
        <v>#NAME?</v>
      </c>
      <c r="Z627" s="699">
        <f t="shared" si="532"/>
        <v>8.5</v>
      </c>
      <c r="AA627" s="355" t="str">
        <f t="shared" si="533"/>
        <v>ON</v>
      </c>
      <c r="AB627" s="357">
        <f t="shared" si="562"/>
        <v>1.4999999999999999E-2</v>
      </c>
      <c r="AC627" s="356" t="e">
        <f ca="1">IF(  Y626=0,0,IF(OR(S627="KCAS",S627="INOP",S627="MEFE"),   ( (5*( (   (((1+0.2*(T627/661.4786)^2)^3.5 -1)  )/( (1-6.8755856*10^-6 *100*Y627)^5.2558797) +1)^(2/7) -1) )^0.5),IF(S627="MACH",T627, IF(S627="LRC",BicubicInterpolation( 'LRC Mach'!$C$4:$AL$21, Y627,U627),  IF(S627="MRC",BicubicInterpolation( 'MRC Mach'!$C$3:$T$18, Y627,U627),  IF(S627="M0.84",0.84,  IF(S627="CI52",BicubicInterpolation('CI=52 Mach'!$C$3:$T$18, Y627,U627),  IF(S627="HOLDING",BicubicInterpolation(  'Holding Mach'!$C$4:$M$13, Y627,U627),                         IF(S627="LRCINOP", BicubicInterpolation('LRC INOP Mach'!$C$4:$AA$21,Y627,U627), IF(S627="HOLDINGINOP",  BicubicInterpolation('Holding INOP Mach'!$N$4:$U$13,Y627,U627),         "XXX" )))))))   )))</f>
        <v>#NAME?</v>
      </c>
      <c r="AD627" s="313" t="e">
        <f t="shared" ca="1" si="563"/>
        <v>#NAME?</v>
      </c>
      <c r="AE627" s="314" t="e">
        <f t="shared" ca="1" si="550"/>
        <v>#NAME?</v>
      </c>
      <c r="AF627" s="313" t="e">
        <f t="shared" ca="1" si="564"/>
        <v>#NAME?</v>
      </c>
      <c r="AG627" s="314" t="e">
        <f t="shared" ca="1" si="551"/>
        <v>#NAME?</v>
      </c>
      <c r="AH627" s="313" t="e">
        <f t="shared" ca="1" si="565"/>
        <v>#NAME?</v>
      </c>
      <c r="AI627" s="314" t="e">
        <f t="shared" ca="1" si="552"/>
        <v>#NAME?</v>
      </c>
      <c r="AJ627" s="315" t="e">
        <f t="shared" ca="1" si="553"/>
        <v>#NAME?</v>
      </c>
      <c r="AK627" s="568" t="e">
        <f t="shared" ca="1" si="566"/>
        <v>#NAME?</v>
      </c>
      <c r="AL627" s="313" t="e">
        <f t="shared" ca="1" si="567"/>
        <v>#NAME?</v>
      </c>
      <c r="AM627" s="313" t="e">
        <f t="shared" ca="1" si="554"/>
        <v>#NAME?</v>
      </c>
      <c r="AN627" s="313" t="e">
        <f t="shared" ca="1" si="555"/>
        <v>#NAME?</v>
      </c>
      <c r="AO627" s="316" t="e">
        <f t="shared" ca="1" si="568"/>
        <v>#NAME?</v>
      </c>
      <c r="AP627" s="313" t="e">
        <f t="shared" ca="1" si="569"/>
        <v>#NAME?</v>
      </c>
      <c r="AQ627" s="314" t="e">
        <f t="shared" ca="1" si="556"/>
        <v>#NAME?</v>
      </c>
      <c r="AR627" s="315" t="e">
        <f t="shared" ca="1" si="570"/>
        <v>#NAME?</v>
      </c>
      <c r="AS627" s="316" t="e">
        <f t="shared" ca="1" si="571"/>
        <v>#NAME?</v>
      </c>
      <c r="AT627" s="315" t="e">
        <f t="shared" ca="1" si="572"/>
        <v>#NAME?</v>
      </c>
      <c r="AU627" s="317">
        <v>427.8</v>
      </c>
      <c r="AV627" s="315" t="e">
        <f t="shared" ca="1" si="573"/>
        <v>#NAME?</v>
      </c>
      <c r="AW627" s="318" t="e">
        <f ca="1">0.0001*BicubicInterpolation('Drag Coef Table'!$B$4:$L$28,AV627,AC627)</f>
        <v>#NAME?</v>
      </c>
      <c r="AX627" s="319" t="e">
        <f t="shared" ca="1" si="574"/>
        <v>#NAME?</v>
      </c>
      <c r="AY627" s="318" t="e">
        <f t="shared" ca="1" si="575"/>
        <v>#NAME?</v>
      </c>
      <c r="AZ627" s="320" t="e">
        <f t="shared" ca="1" si="576"/>
        <v>#NAME?</v>
      </c>
      <c r="BA627" s="321" t="e">
        <f t="shared" ca="1" si="577"/>
        <v>#NAME?</v>
      </c>
      <c r="BB627" s="322" t="e">
        <f t="shared" ca="1" si="578"/>
        <v>#NAME?</v>
      </c>
      <c r="BC627" s="323">
        <v>75.196700000000007</v>
      </c>
      <c r="BD627" s="324" t="e">
        <f t="shared" ca="1" si="579"/>
        <v>#NAME?</v>
      </c>
      <c r="BE627" s="325" t="e">
        <f t="shared" ca="1" si="580"/>
        <v>#NAME?</v>
      </c>
      <c r="BF627" s="324" t="e">
        <f ca="1">BicubicInterpolation('TSFC Eff Table'!$B$4:$E$69,2,BB627)</f>
        <v>#NAME?</v>
      </c>
      <c r="BG627" s="326" t="e">
        <f t="shared" ca="1" si="581"/>
        <v>#NAME?</v>
      </c>
      <c r="BH627" s="694" t="e">
        <f ca="1">IF( S627="LRCINOP",   (1+(0.03/10)*Z627*(1+0.2*AC627^2) )*BicubicInterpolation( 'LRC INOP FF'!$C$4:$AA$21, Y627, U627 )-200, IF(S627 ="HOLDINGINOP", (1+(0.03/10)*Z627*(1+0.2*AC627^2) )*BicubicInterpolation( 'Holding INOP FF'!$C$4:$J$13,  Y627,  U627)/1.05-200,   BA627*BG627))</f>
        <v>#NAME?</v>
      </c>
      <c r="BI627" s="344" t="e">
        <f t="shared" ca="1" si="540"/>
        <v>#NAME?</v>
      </c>
      <c r="BJ627" s="322" t="e">
        <f t="shared" ca="1" si="582"/>
        <v>#NAME?</v>
      </c>
      <c r="BK627" s="338" t="e">
        <f t="shared" ca="1" si="541"/>
        <v>#NAME?</v>
      </c>
      <c r="BL627" s="327" t="e">
        <f t="shared" ca="1" si="583"/>
        <v>#NAME?</v>
      </c>
      <c r="BM627" s="328">
        <f t="shared" si="584"/>
        <v>200</v>
      </c>
      <c r="BN627" s="329" t="e">
        <f t="shared" ca="1" si="585"/>
        <v>#NAME?</v>
      </c>
      <c r="BO627" s="344" t="e">
        <f t="shared" ca="1" si="542"/>
        <v>#NAME?</v>
      </c>
      <c r="BP627" s="320" t="e">
        <f t="shared" ca="1" si="586"/>
        <v>#NAME?</v>
      </c>
      <c r="BQ627" s="344" t="e">
        <f t="shared" ca="1" si="543"/>
        <v>#NAME?</v>
      </c>
      <c r="BR627" s="347" t="e">
        <f t="shared" ca="1" si="544"/>
        <v>#NAME?</v>
      </c>
      <c r="BS627" s="326" t="e">
        <f t="shared" ca="1" si="587"/>
        <v>#NAME?</v>
      </c>
      <c r="BT627" s="437" t="e">
        <f t="shared" ca="1" si="557"/>
        <v>#NAME?</v>
      </c>
      <c r="BU627" s="437" t="e">
        <f t="shared" ca="1" si="558"/>
        <v>#NAME?</v>
      </c>
      <c r="BV627" s="441" t="e">
        <f t="shared" ca="1" si="559"/>
        <v>#NAME?</v>
      </c>
      <c r="BW627" s="442" t="e">
        <f t="shared" ca="1" si="560"/>
        <v>#NAME?</v>
      </c>
      <c r="BX627" s="470" t="e">
        <f t="shared" ca="1" si="534"/>
        <v>#NAME?</v>
      </c>
      <c r="BY627" s="484" t="e">
        <f t="shared" ca="1" si="545"/>
        <v>#NAME?</v>
      </c>
    </row>
    <row r="628" spans="9:77" ht="17.75" customHeight="1" x14ac:dyDescent="0.2">
      <c r="I628" s="366">
        <v>544</v>
      </c>
      <c r="J628" s="414">
        <f t="shared" si="546"/>
        <v>41706.090277779011</v>
      </c>
      <c r="K628" s="435" t="e">
        <f t="shared" ca="1" si="547"/>
        <v>#NAME?</v>
      </c>
      <c r="L628" s="435" t="e">
        <f t="shared" ca="1" si="528"/>
        <v>#NAME?</v>
      </c>
      <c r="M628" s="664" t="e">
        <f t="shared" ca="1" si="588"/>
        <v>#NAME?</v>
      </c>
      <c r="N628" s="664" t="e">
        <f t="shared" ca="1" si="589"/>
        <v>#NAME?</v>
      </c>
      <c r="O628" s="140" t="e">
        <f t="shared" ca="1" si="535"/>
        <v>#NAME?</v>
      </c>
      <c r="P628" s="352" t="e">
        <f t="shared" ca="1" si="548"/>
        <v>#NAME?</v>
      </c>
      <c r="Q628" s="665" t="e">
        <f t="shared" ca="1" si="529"/>
        <v>#NAME?</v>
      </c>
      <c r="R628" s="352" t="e">
        <f t="shared" ca="1" si="561"/>
        <v>#NAME?</v>
      </c>
      <c r="S628" s="662" t="e">
        <f t="shared" ca="1" si="536"/>
        <v>#NAME?</v>
      </c>
      <c r="T628" s="443" t="e">
        <f t="shared" ca="1" si="530"/>
        <v>#NAME?</v>
      </c>
      <c r="U628" s="369" t="e">
        <f t="shared" ca="1" si="531"/>
        <v>#NAME?</v>
      </c>
      <c r="V628" s="454" t="e">
        <f t="shared" ca="1" si="537"/>
        <v>#NAME?</v>
      </c>
      <c r="W628" s="457">
        <f t="shared" si="538"/>
        <v>1000</v>
      </c>
      <c r="X628" s="463" t="e">
        <f t="shared" ca="1" si="539"/>
        <v>#NAME?</v>
      </c>
      <c r="Y628" s="455" t="e">
        <f t="shared" ca="1" si="549"/>
        <v>#NAME?</v>
      </c>
      <c r="Z628" s="699">
        <f t="shared" si="532"/>
        <v>8.5</v>
      </c>
      <c r="AA628" s="355" t="str">
        <f t="shared" si="533"/>
        <v>ON</v>
      </c>
      <c r="AB628" s="357">
        <f t="shared" si="562"/>
        <v>1.4999999999999999E-2</v>
      </c>
      <c r="AC628" s="356" t="e">
        <f ca="1">IF(  Y627=0,0,IF(OR(S628="KCAS",S628="INOP",S628="MEFE"),   ( (5*( (   (((1+0.2*(T628/661.4786)^2)^3.5 -1)  )/( (1-6.8755856*10^-6 *100*Y628)^5.2558797) +1)^(2/7) -1) )^0.5),IF(S628="MACH",T628, IF(S628="LRC",BicubicInterpolation( 'LRC Mach'!$C$4:$AL$21, Y628,U628),  IF(S628="MRC",BicubicInterpolation( 'MRC Mach'!$C$3:$T$18, Y628,U628),  IF(S628="M0.84",0.84,  IF(S628="CI52",BicubicInterpolation('CI=52 Mach'!$C$3:$T$18, Y628,U628),  IF(S628="HOLDING",BicubicInterpolation(  'Holding Mach'!$C$4:$M$13, Y628,U628),                         IF(S628="LRCINOP", BicubicInterpolation('LRC INOP Mach'!$C$4:$AA$21,Y628,U628), IF(S628="HOLDINGINOP",  BicubicInterpolation('Holding INOP Mach'!$N$4:$U$13,Y628,U628),         "XXX" )))))))   )))</f>
        <v>#NAME?</v>
      </c>
      <c r="AD628" s="313" t="e">
        <f t="shared" ca="1" si="563"/>
        <v>#NAME?</v>
      </c>
      <c r="AE628" s="314" t="e">
        <f t="shared" ca="1" si="550"/>
        <v>#NAME?</v>
      </c>
      <c r="AF628" s="313" t="e">
        <f t="shared" ca="1" si="564"/>
        <v>#NAME?</v>
      </c>
      <c r="AG628" s="314" t="e">
        <f t="shared" ca="1" si="551"/>
        <v>#NAME?</v>
      </c>
      <c r="AH628" s="313" t="e">
        <f t="shared" ca="1" si="565"/>
        <v>#NAME?</v>
      </c>
      <c r="AI628" s="314" t="e">
        <f t="shared" ca="1" si="552"/>
        <v>#NAME?</v>
      </c>
      <c r="AJ628" s="315" t="e">
        <f t="shared" ca="1" si="553"/>
        <v>#NAME?</v>
      </c>
      <c r="AK628" s="568" t="e">
        <f t="shared" ca="1" si="566"/>
        <v>#NAME?</v>
      </c>
      <c r="AL628" s="313" t="e">
        <f t="shared" ca="1" si="567"/>
        <v>#NAME?</v>
      </c>
      <c r="AM628" s="313" t="e">
        <f t="shared" ca="1" si="554"/>
        <v>#NAME?</v>
      </c>
      <c r="AN628" s="313" t="e">
        <f t="shared" ca="1" si="555"/>
        <v>#NAME?</v>
      </c>
      <c r="AO628" s="316" t="e">
        <f t="shared" ca="1" si="568"/>
        <v>#NAME?</v>
      </c>
      <c r="AP628" s="313" t="e">
        <f t="shared" ca="1" si="569"/>
        <v>#NAME?</v>
      </c>
      <c r="AQ628" s="314" t="e">
        <f t="shared" ca="1" si="556"/>
        <v>#NAME?</v>
      </c>
      <c r="AR628" s="315" t="e">
        <f t="shared" ca="1" si="570"/>
        <v>#NAME?</v>
      </c>
      <c r="AS628" s="316" t="e">
        <f t="shared" ca="1" si="571"/>
        <v>#NAME?</v>
      </c>
      <c r="AT628" s="315" t="e">
        <f t="shared" ca="1" si="572"/>
        <v>#NAME?</v>
      </c>
      <c r="AU628" s="317">
        <v>427.8</v>
      </c>
      <c r="AV628" s="315" t="e">
        <f t="shared" ca="1" si="573"/>
        <v>#NAME?</v>
      </c>
      <c r="AW628" s="318" t="e">
        <f ca="1">0.0001*BicubicInterpolation('Drag Coef Table'!$B$4:$L$28,AV628,AC628)</f>
        <v>#NAME?</v>
      </c>
      <c r="AX628" s="319" t="e">
        <f t="shared" ca="1" si="574"/>
        <v>#NAME?</v>
      </c>
      <c r="AY628" s="318" t="e">
        <f t="shared" ca="1" si="575"/>
        <v>#NAME?</v>
      </c>
      <c r="AZ628" s="320" t="e">
        <f t="shared" ca="1" si="576"/>
        <v>#NAME?</v>
      </c>
      <c r="BA628" s="321" t="e">
        <f t="shared" ca="1" si="577"/>
        <v>#NAME?</v>
      </c>
      <c r="BB628" s="322" t="e">
        <f t="shared" ca="1" si="578"/>
        <v>#NAME?</v>
      </c>
      <c r="BC628" s="323">
        <v>75.196700000000007</v>
      </c>
      <c r="BD628" s="324" t="e">
        <f t="shared" ca="1" si="579"/>
        <v>#NAME?</v>
      </c>
      <c r="BE628" s="325" t="e">
        <f t="shared" ca="1" si="580"/>
        <v>#NAME?</v>
      </c>
      <c r="BF628" s="324" t="e">
        <f ca="1">BicubicInterpolation('TSFC Eff Table'!$B$4:$E$69,2,BB628)</f>
        <v>#NAME?</v>
      </c>
      <c r="BG628" s="326" t="e">
        <f t="shared" ca="1" si="581"/>
        <v>#NAME?</v>
      </c>
      <c r="BH628" s="694" t="e">
        <f ca="1">IF( S628="LRCINOP",   (1+(0.03/10)*Z628*(1+0.2*AC628^2) )*BicubicInterpolation( 'LRC INOP FF'!$C$4:$AA$21, Y628, U628 )-200, IF(S628 ="HOLDINGINOP", (1+(0.03/10)*Z628*(1+0.2*AC628^2) )*BicubicInterpolation( 'Holding INOP FF'!$C$4:$J$13,  Y628,  U628)/1.05-200,   BA628*BG628))</f>
        <v>#NAME?</v>
      </c>
      <c r="BI628" s="344" t="e">
        <f t="shared" ca="1" si="540"/>
        <v>#NAME?</v>
      </c>
      <c r="BJ628" s="322" t="e">
        <f t="shared" ca="1" si="582"/>
        <v>#NAME?</v>
      </c>
      <c r="BK628" s="338" t="e">
        <f t="shared" ca="1" si="541"/>
        <v>#NAME?</v>
      </c>
      <c r="BL628" s="327" t="e">
        <f t="shared" ca="1" si="583"/>
        <v>#NAME?</v>
      </c>
      <c r="BM628" s="328">
        <f t="shared" si="584"/>
        <v>200</v>
      </c>
      <c r="BN628" s="329" t="e">
        <f t="shared" ca="1" si="585"/>
        <v>#NAME?</v>
      </c>
      <c r="BO628" s="344" t="e">
        <f t="shared" ca="1" si="542"/>
        <v>#NAME?</v>
      </c>
      <c r="BP628" s="320" t="e">
        <f t="shared" ca="1" si="586"/>
        <v>#NAME?</v>
      </c>
      <c r="BQ628" s="344" t="e">
        <f t="shared" ca="1" si="543"/>
        <v>#NAME?</v>
      </c>
      <c r="BR628" s="347" t="e">
        <f t="shared" ca="1" si="544"/>
        <v>#NAME?</v>
      </c>
      <c r="BS628" s="326" t="e">
        <f t="shared" ca="1" si="587"/>
        <v>#NAME?</v>
      </c>
      <c r="BT628" s="437" t="e">
        <f t="shared" ca="1" si="557"/>
        <v>#NAME?</v>
      </c>
      <c r="BU628" s="437" t="e">
        <f t="shared" ca="1" si="558"/>
        <v>#NAME?</v>
      </c>
      <c r="BV628" s="441" t="e">
        <f t="shared" ca="1" si="559"/>
        <v>#NAME?</v>
      </c>
      <c r="BW628" s="442" t="e">
        <f t="shared" ca="1" si="560"/>
        <v>#NAME?</v>
      </c>
      <c r="BX628" s="470" t="e">
        <f t="shared" ca="1" si="534"/>
        <v>#NAME?</v>
      </c>
      <c r="BY628" s="484" t="e">
        <f t="shared" ca="1" si="545"/>
        <v>#NAME?</v>
      </c>
    </row>
    <row r="629" spans="9:77" ht="17.75" customHeight="1" x14ac:dyDescent="0.2">
      <c r="I629" s="366">
        <v>545</v>
      </c>
      <c r="J629" s="414">
        <f t="shared" si="546"/>
        <v>41706.090972223457</v>
      </c>
      <c r="K629" s="435" t="e">
        <f t="shared" ca="1" si="547"/>
        <v>#NAME?</v>
      </c>
      <c r="L629" s="435" t="e">
        <f t="shared" ca="1" si="528"/>
        <v>#NAME?</v>
      </c>
      <c r="M629" s="664" t="e">
        <f t="shared" ca="1" si="588"/>
        <v>#NAME?</v>
      </c>
      <c r="N629" s="664" t="e">
        <f t="shared" ca="1" si="589"/>
        <v>#NAME?</v>
      </c>
      <c r="O629" s="140" t="e">
        <f t="shared" ca="1" si="535"/>
        <v>#NAME?</v>
      </c>
      <c r="P629" s="352" t="e">
        <f t="shared" ca="1" si="548"/>
        <v>#NAME?</v>
      </c>
      <c r="Q629" s="665" t="e">
        <f t="shared" ca="1" si="529"/>
        <v>#NAME?</v>
      </c>
      <c r="R629" s="352" t="e">
        <f t="shared" ca="1" si="561"/>
        <v>#NAME?</v>
      </c>
      <c r="S629" s="662" t="e">
        <f t="shared" ca="1" si="536"/>
        <v>#NAME?</v>
      </c>
      <c r="T629" s="443" t="e">
        <f t="shared" ca="1" si="530"/>
        <v>#NAME?</v>
      </c>
      <c r="U629" s="369" t="e">
        <f t="shared" ca="1" si="531"/>
        <v>#NAME?</v>
      </c>
      <c r="V629" s="454" t="e">
        <f t="shared" ca="1" si="537"/>
        <v>#NAME?</v>
      </c>
      <c r="W629" s="457">
        <f t="shared" si="538"/>
        <v>1000</v>
      </c>
      <c r="X629" s="463" t="e">
        <f t="shared" ca="1" si="539"/>
        <v>#NAME?</v>
      </c>
      <c r="Y629" s="455" t="e">
        <f t="shared" ca="1" si="549"/>
        <v>#NAME?</v>
      </c>
      <c r="Z629" s="699">
        <f t="shared" si="532"/>
        <v>8.5</v>
      </c>
      <c r="AA629" s="355" t="str">
        <f t="shared" si="533"/>
        <v>ON</v>
      </c>
      <c r="AB629" s="357">
        <f t="shared" si="562"/>
        <v>1.4999999999999999E-2</v>
      </c>
      <c r="AC629" s="356" t="e">
        <f ca="1">IF(  Y628=0,0,IF(OR(S629="KCAS",S629="INOP",S629="MEFE"),   ( (5*( (   (((1+0.2*(T629/661.4786)^2)^3.5 -1)  )/( (1-6.8755856*10^-6 *100*Y629)^5.2558797) +1)^(2/7) -1) )^0.5),IF(S629="MACH",T629, IF(S629="LRC",BicubicInterpolation( 'LRC Mach'!$C$4:$AL$21, Y629,U629),  IF(S629="MRC",BicubicInterpolation( 'MRC Mach'!$C$3:$T$18, Y629,U629),  IF(S629="M0.84",0.84,  IF(S629="CI52",BicubicInterpolation('CI=52 Mach'!$C$3:$T$18, Y629,U629),  IF(S629="HOLDING",BicubicInterpolation(  'Holding Mach'!$C$4:$M$13, Y629,U629),                         IF(S629="LRCINOP", BicubicInterpolation('LRC INOP Mach'!$C$4:$AA$21,Y629,U629), IF(S629="HOLDINGINOP",  BicubicInterpolation('Holding INOP Mach'!$N$4:$U$13,Y629,U629),         "XXX" )))))))   )))</f>
        <v>#NAME?</v>
      </c>
      <c r="AD629" s="313" t="e">
        <f t="shared" ca="1" si="563"/>
        <v>#NAME?</v>
      </c>
      <c r="AE629" s="314" t="e">
        <f t="shared" ca="1" si="550"/>
        <v>#NAME?</v>
      </c>
      <c r="AF629" s="313" t="e">
        <f t="shared" ca="1" si="564"/>
        <v>#NAME?</v>
      </c>
      <c r="AG629" s="314" t="e">
        <f t="shared" ca="1" si="551"/>
        <v>#NAME?</v>
      </c>
      <c r="AH629" s="313" t="e">
        <f t="shared" ca="1" si="565"/>
        <v>#NAME?</v>
      </c>
      <c r="AI629" s="314" t="e">
        <f t="shared" ca="1" si="552"/>
        <v>#NAME?</v>
      </c>
      <c r="AJ629" s="315" t="e">
        <f t="shared" ca="1" si="553"/>
        <v>#NAME?</v>
      </c>
      <c r="AK629" s="568" t="e">
        <f t="shared" ca="1" si="566"/>
        <v>#NAME?</v>
      </c>
      <c r="AL629" s="313" t="e">
        <f t="shared" ca="1" si="567"/>
        <v>#NAME?</v>
      </c>
      <c r="AM629" s="313" t="e">
        <f t="shared" ca="1" si="554"/>
        <v>#NAME?</v>
      </c>
      <c r="AN629" s="313" t="e">
        <f t="shared" ca="1" si="555"/>
        <v>#NAME?</v>
      </c>
      <c r="AO629" s="316" t="e">
        <f t="shared" ca="1" si="568"/>
        <v>#NAME?</v>
      </c>
      <c r="AP629" s="313" t="e">
        <f t="shared" ca="1" si="569"/>
        <v>#NAME?</v>
      </c>
      <c r="AQ629" s="314" t="e">
        <f t="shared" ca="1" si="556"/>
        <v>#NAME?</v>
      </c>
      <c r="AR629" s="315" t="e">
        <f t="shared" ca="1" si="570"/>
        <v>#NAME?</v>
      </c>
      <c r="AS629" s="316" t="e">
        <f t="shared" ca="1" si="571"/>
        <v>#NAME?</v>
      </c>
      <c r="AT629" s="315" t="e">
        <f t="shared" ca="1" si="572"/>
        <v>#NAME?</v>
      </c>
      <c r="AU629" s="317">
        <v>427.8</v>
      </c>
      <c r="AV629" s="315" t="e">
        <f t="shared" ca="1" si="573"/>
        <v>#NAME?</v>
      </c>
      <c r="AW629" s="318" t="e">
        <f ca="1">0.0001*BicubicInterpolation('Drag Coef Table'!$B$4:$L$28,AV629,AC629)</f>
        <v>#NAME?</v>
      </c>
      <c r="AX629" s="319" t="e">
        <f t="shared" ca="1" si="574"/>
        <v>#NAME?</v>
      </c>
      <c r="AY629" s="318" t="e">
        <f t="shared" ca="1" si="575"/>
        <v>#NAME?</v>
      </c>
      <c r="AZ629" s="320" t="e">
        <f t="shared" ca="1" si="576"/>
        <v>#NAME?</v>
      </c>
      <c r="BA629" s="321" t="e">
        <f t="shared" ca="1" si="577"/>
        <v>#NAME?</v>
      </c>
      <c r="BB629" s="322" t="e">
        <f t="shared" ca="1" si="578"/>
        <v>#NAME?</v>
      </c>
      <c r="BC629" s="323">
        <v>75.196700000000007</v>
      </c>
      <c r="BD629" s="324" t="e">
        <f t="shared" ca="1" si="579"/>
        <v>#NAME?</v>
      </c>
      <c r="BE629" s="325" t="e">
        <f t="shared" ca="1" si="580"/>
        <v>#NAME?</v>
      </c>
      <c r="BF629" s="324" t="e">
        <f ca="1">BicubicInterpolation('TSFC Eff Table'!$B$4:$E$69,2,BB629)</f>
        <v>#NAME?</v>
      </c>
      <c r="BG629" s="326" t="e">
        <f t="shared" ca="1" si="581"/>
        <v>#NAME?</v>
      </c>
      <c r="BH629" s="694" t="e">
        <f ca="1">IF( S629="LRCINOP",   (1+(0.03/10)*Z629*(1+0.2*AC629^2) )*BicubicInterpolation( 'LRC INOP FF'!$C$4:$AA$21, Y629, U629 )-200, IF(S629 ="HOLDINGINOP", (1+(0.03/10)*Z629*(1+0.2*AC629^2) )*BicubicInterpolation( 'Holding INOP FF'!$C$4:$J$13,  Y629,  U629)/1.05-200,   BA629*BG629))</f>
        <v>#NAME?</v>
      </c>
      <c r="BI629" s="344" t="e">
        <f t="shared" ca="1" si="540"/>
        <v>#NAME?</v>
      </c>
      <c r="BJ629" s="322" t="e">
        <f t="shared" ca="1" si="582"/>
        <v>#NAME?</v>
      </c>
      <c r="BK629" s="338" t="e">
        <f t="shared" ca="1" si="541"/>
        <v>#NAME?</v>
      </c>
      <c r="BL629" s="327" t="e">
        <f t="shared" ca="1" si="583"/>
        <v>#NAME?</v>
      </c>
      <c r="BM629" s="328">
        <f t="shared" si="584"/>
        <v>200</v>
      </c>
      <c r="BN629" s="329" t="e">
        <f t="shared" ca="1" si="585"/>
        <v>#NAME?</v>
      </c>
      <c r="BO629" s="344" t="e">
        <f t="shared" ca="1" si="542"/>
        <v>#NAME?</v>
      </c>
      <c r="BP629" s="320" t="e">
        <f t="shared" ca="1" si="586"/>
        <v>#NAME?</v>
      </c>
      <c r="BQ629" s="344" t="e">
        <f t="shared" ca="1" si="543"/>
        <v>#NAME?</v>
      </c>
      <c r="BR629" s="347" t="e">
        <f t="shared" ca="1" si="544"/>
        <v>#NAME?</v>
      </c>
      <c r="BS629" s="326" t="e">
        <f t="shared" ca="1" si="587"/>
        <v>#NAME?</v>
      </c>
      <c r="BT629" s="437" t="e">
        <f t="shared" ca="1" si="557"/>
        <v>#NAME?</v>
      </c>
      <c r="BU629" s="437" t="e">
        <f t="shared" ca="1" si="558"/>
        <v>#NAME?</v>
      </c>
      <c r="BV629" s="441" t="e">
        <f t="shared" ca="1" si="559"/>
        <v>#NAME?</v>
      </c>
      <c r="BW629" s="442" t="e">
        <f t="shared" ca="1" si="560"/>
        <v>#NAME?</v>
      </c>
      <c r="BX629" s="470" t="e">
        <f t="shared" ca="1" si="534"/>
        <v>#NAME?</v>
      </c>
      <c r="BY629" s="484" t="e">
        <f t="shared" ca="1" si="545"/>
        <v>#NAME?</v>
      </c>
    </row>
    <row r="630" spans="9:77" ht="17.75" customHeight="1" x14ac:dyDescent="0.2">
      <c r="I630" s="366">
        <v>546</v>
      </c>
      <c r="J630" s="414">
        <f t="shared" si="546"/>
        <v>41706.091666667904</v>
      </c>
      <c r="K630" s="435" t="e">
        <f t="shared" ca="1" si="547"/>
        <v>#NAME?</v>
      </c>
      <c r="L630" s="435" t="e">
        <f t="shared" ref="L630:L680" ca="1" si="590">IF(N630=0,0,Q630*(1+$C$79)/60)</f>
        <v>#NAME?</v>
      </c>
      <c r="M630" s="664" t="e">
        <f t="shared" ca="1" si="588"/>
        <v>#NAME?</v>
      </c>
      <c r="N630" s="664" t="e">
        <f t="shared" ca="1" si="589"/>
        <v>#NAME?</v>
      </c>
      <c r="O630" s="140" t="e">
        <f t="shared" ca="1" si="535"/>
        <v>#NAME?</v>
      </c>
      <c r="P630" s="352" t="e">
        <f t="shared" ca="1" si="548"/>
        <v>#NAME?</v>
      </c>
      <c r="Q630" s="665" t="e">
        <f t="shared" ca="1" si="529"/>
        <v>#NAME?</v>
      </c>
      <c r="R630" s="352" t="e">
        <f t="shared" ca="1" si="561"/>
        <v>#NAME?</v>
      </c>
      <c r="S630" s="662" t="e">
        <f t="shared" ca="1" si="536"/>
        <v>#NAME?</v>
      </c>
      <c r="T630" s="443" t="e">
        <f t="shared" ca="1" si="530"/>
        <v>#NAME?</v>
      </c>
      <c r="U630" s="369" t="e">
        <f t="shared" ca="1" si="531"/>
        <v>#NAME?</v>
      </c>
      <c r="V630" s="454" t="e">
        <f t="shared" ca="1" si="537"/>
        <v>#NAME?</v>
      </c>
      <c r="W630" s="457">
        <f t="shared" si="538"/>
        <v>1000</v>
      </c>
      <c r="X630" s="463" t="e">
        <f t="shared" ca="1" si="539"/>
        <v>#NAME?</v>
      </c>
      <c r="Y630" s="455" t="e">
        <f t="shared" ca="1" si="549"/>
        <v>#NAME?</v>
      </c>
      <c r="Z630" s="699">
        <f t="shared" si="532"/>
        <v>8.5</v>
      </c>
      <c r="AA630" s="355" t="str">
        <f t="shared" si="533"/>
        <v>ON</v>
      </c>
      <c r="AB630" s="357">
        <f t="shared" si="562"/>
        <v>1.4999999999999999E-2</v>
      </c>
      <c r="AC630" s="356" t="e">
        <f ca="1">IF(  Y629=0,0,IF(OR(S630="KCAS",S630="INOP",S630="MEFE"),   ( (5*( (   (((1+0.2*(T630/661.4786)^2)^3.5 -1)  )/( (1-6.8755856*10^-6 *100*Y630)^5.2558797) +1)^(2/7) -1) )^0.5),IF(S630="MACH",T630, IF(S630="LRC",BicubicInterpolation( 'LRC Mach'!$C$4:$AL$21, Y630,U630),  IF(S630="MRC",BicubicInterpolation( 'MRC Mach'!$C$3:$T$18, Y630,U630),  IF(S630="M0.84",0.84,  IF(S630="CI52",BicubicInterpolation('CI=52 Mach'!$C$3:$T$18, Y630,U630),  IF(S630="HOLDING",BicubicInterpolation(  'Holding Mach'!$C$4:$M$13, Y630,U630),                         IF(S630="LRCINOP", BicubicInterpolation('LRC INOP Mach'!$C$4:$AA$21,Y630,U630), IF(S630="HOLDINGINOP",  BicubicInterpolation('Holding INOP Mach'!$N$4:$U$13,Y630,U630),         "XXX" )))))))   )))</f>
        <v>#NAME?</v>
      </c>
      <c r="AD630" s="313" t="e">
        <f t="shared" ca="1" si="563"/>
        <v>#NAME?</v>
      </c>
      <c r="AE630" s="314" t="e">
        <f t="shared" ca="1" si="550"/>
        <v>#NAME?</v>
      </c>
      <c r="AF630" s="313" t="e">
        <f t="shared" ca="1" si="564"/>
        <v>#NAME?</v>
      </c>
      <c r="AG630" s="314" t="e">
        <f t="shared" ca="1" si="551"/>
        <v>#NAME?</v>
      </c>
      <c r="AH630" s="313" t="e">
        <f t="shared" ca="1" si="565"/>
        <v>#NAME?</v>
      </c>
      <c r="AI630" s="314" t="e">
        <f t="shared" ca="1" si="552"/>
        <v>#NAME?</v>
      </c>
      <c r="AJ630" s="315" t="e">
        <f t="shared" ca="1" si="553"/>
        <v>#NAME?</v>
      </c>
      <c r="AK630" s="568" t="e">
        <f t="shared" ca="1" si="566"/>
        <v>#NAME?</v>
      </c>
      <c r="AL630" s="313" t="e">
        <f t="shared" ca="1" si="567"/>
        <v>#NAME?</v>
      </c>
      <c r="AM630" s="313" t="e">
        <f t="shared" ca="1" si="554"/>
        <v>#NAME?</v>
      </c>
      <c r="AN630" s="313" t="e">
        <f t="shared" ca="1" si="555"/>
        <v>#NAME?</v>
      </c>
      <c r="AO630" s="316" t="e">
        <f t="shared" ca="1" si="568"/>
        <v>#NAME?</v>
      </c>
      <c r="AP630" s="313" t="e">
        <f t="shared" ca="1" si="569"/>
        <v>#NAME?</v>
      </c>
      <c r="AQ630" s="314" t="e">
        <f t="shared" ca="1" si="556"/>
        <v>#NAME?</v>
      </c>
      <c r="AR630" s="315" t="e">
        <f t="shared" ca="1" si="570"/>
        <v>#NAME?</v>
      </c>
      <c r="AS630" s="316" t="e">
        <f t="shared" ca="1" si="571"/>
        <v>#NAME?</v>
      </c>
      <c r="AT630" s="315" t="e">
        <f t="shared" ca="1" si="572"/>
        <v>#NAME?</v>
      </c>
      <c r="AU630" s="317">
        <v>427.8</v>
      </c>
      <c r="AV630" s="315" t="e">
        <f t="shared" ca="1" si="573"/>
        <v>#NAME?</v>
      </c>
      <c r="AW630" s="318" t="e">
        <f ca="1">0.0001*BicubicInterpolation('Drag Coef Table'!$B$4:$L$28,AV630,AC630)</f>
        <v>#NAME?</v>
      </c>
      <c r="AX630" s="319" t="e">
        <f t="shared" ca="1" si="574"/>
        <v>#NAME?</v>
      </c>
      <c r="AY630" s="318" t="e">
        <f t="shared" ca="1" si="575"/>
        <v>#NAME?</v>
      </c>
      <c r="AZ630" s="320" t="e">
        <f t="shared" ca="1" si="576"/>
        <v>#NAME?</v>
      </c>
      <c r="BA630" s="321" t="e">
        <f t="shared" ca="1" si="577"/>
        <v>#NAME?</v>
      </c>
      <c r="BB630" s="322" t="e">
        <f t="shared" ca="1" si="578"/>
        <v>#NAME?</v>
      </c>
      <c r="BC630" s="323">
        <v>75.196700000000007</v>
      </c>
      <c r="BD630" s="324" t="e">
        <f t="shared" ca="1" si="579"/>
        <v>#NAME?</v>
      </c>
      <c r="BE630" s="325" t="e">
        <f t="shared" ca="1" si="580"/>
        <v>#NAME?</v>
      </c>
      <c r="BF630" s="324" t="e">
        <f ca="1">BicubicInterpolation('TSFC Eff Table'!$B$4:$E$69,2,BB630)</f>
        <v>#NAME?</v>
      </c>
      <c r="BG630" s="326" t="e">
        <f t="shared" ca="1" si="581"/>
        <v>#NAME?</v>
      </c>
      <c r="BH630" s="694" t="e">
        <f ca="1">IF( S630="LRCINOP",   (1+(0.03/10)*Z630*(1+0.2*AC630^2) )*BicubicInterpolation( 'LRC INOP FF'!$C$4:$AA$21, Y630, U630 )-200, IF(S630 ="HOLDINGINOP", (1+(0.03/10)*Z630*(1+0.2*AC630^2) )*BicubicInterpolation( 'Holding INOP FF'!$C$4:$J$13,  Y630,  U630)/1.05-200,   BA630*BG630))</f>
        <v>#NAME?</v>
      </c>
      <c r="BI630" s="344" t="e">
        <f t="shared" ca="1" si="540"/>
        <v>#NAME?</v>
      </c>
      <c r="BJ630" s="322" t="e">
        <f t="shared" ca="1" si="582"/>
        <v>#NAME?</v>
      </c>
      <c r="BK630" s="338" t="e">
        <f t="shared" ca="1" si="541"/>
        <v>#NAME?</v>
      </c>
      <c r="BL630" s="327" t="e">
        <f t="shared" ca="1" si="583"/>
        <v>#NAME?</v>
      </c>
      <c r="BM630" s="328">
        <f t="shared" si="584"/>
        <v>200</v>
      </c>
      <c r="BN630" s="329" t="e">
        <f t="shared" ca="1" si="585"/>
        <v>#NAME?</v>
      </c>
      <c r="BO630" s="344" t="e">
        <f t="shared" ca="1" si="542"/>
        <v>#NAME?</v>
      </c>
      <c r="BP630" s="320" t="e">
        <f t="shared" ca="1" si="586"/>
        <v>#NAME?</v>
      </c>
      <c r="BQ630" s="344" t="e">
        <f t="shared" ca="1" si="543"/>
        <v>#NAME?</v>
      </c>
      <c r="BR630" s="347" t="e">
        <f t="shared" ca="1" si="544"/>
        <v>#NAME?</v>
      </c>
      <c r="BS630" s="326" t="e">
        <f t="shared" ca="1" si="587"/>
        <v>#NAME?</v>
      </c>
      <c r="BT630" s="437" t="e">
        <f t="shared" ca="1" si="557"/>
        <v>#NAME?</v>
      </c>
      <c r="BU630" s="437" t="e">
        <f t="shared" ca="1" si="558"/>
        <v>#NAME?</v>
      </c>
      <c r="BV630" s="441" t="e">
        <f t="shared" ca="1" si="559"/>
        <v>#NAME?</v>
      </c>
      <c r="BW630" s="442" t="e">
        <f t="shared" ca="1" si="560"/>
        <v>#NAME?</v>
      </c>
      <c r="BX630" s="470" t="e">
        <f t="shared" ca="1" si="534"/>
        <v>#NAME?</v>
      </c>
      <c r="BY630" s="484" t="e">
        <f t="shared" ca="1" si="545"/>
        <v>#NAME?</v>
      </c>
    </row>
    <row r="631" spans="9:77" ht="17.75" customHeight="1" x14ac:dyDescent="0.2">
      <c r="I631" s="366">
        <v>547</v>
      </c>
      <c r="J631" s="414">
        <f t="shared" si="546"/>
        <v>41706.092361112351</v>
      </c>
      <c r="K631" s="435" t="e">
        <f t="shared" ca="1" si="547"/>
        <v>#NAME?</v>
      </c>
      <c r="L631" s="435" t="e">
        <f t="shared" ca="1" si="590"/>
        <v>#NAME?</v>
      </c>
      <c r="M631" s="664" t="e">
        <f t="shared" ca="1" si="588"/>
        <v>#NAME?</v>
      </c>
      <c r="N631" s="664" t="e">
        <f t="shared" ca="1" si="589"/>
        <v>#NAME?</v>
      </c>
      <c r="O631" s="140" t="e">
        <f t="shared" ca="1" si="535"/>
        <v>#NAME?</v>
      </c>
      <c r="P631" s="352" t="e">
        <f t="shared" ca="1" si="548"/>
        <v>#NAME?</v>
      </c>
      <c r="Q631" s="665" t="e">
        <f t="shared" ca="1" si="529"/>
        <v>#NAME?</v>
      </c>
      <c r="R631" s="352" t="e">
        <f t="shared" ca="1" si="561"/>
        <v>#NAME?</v>
      </c>
      <c r="S631" s="662" t="e">
        <f t="shared" ca="1" si="536"/>
        <v>#NAME?</v>
      </c>
      <c r="T631" s="443" t="e">
        <f t="shared" ca="1" si="530"/>
        <v>#NAME?</v>
      </c>
      <c r="U631" s="369" t="e">
        <f t="shared" ca="1" si="531"/>
        <v>#NAME?</v>
      </c>
      <c r="V631" s="454" t="e">
        <f t="shared" ca="1" si="537"/>
        <v>#NAME?</v>
      </c>
      <c r="W631" s="457">
        <f t="shared" si="538"/>
        <v>1000</v>
      </c>
      <c r="X631" s="463" t="e">
        <f t="shared" ca="1" si="539"/>
        <v>#NAME?</v>
      </c>
      <c r="Y631" s="455" t="e">
        <f t="shared" ca="1" si="549"/>
        <v>#NAME?</v>
      </c>
      <c r="Z631" s="699">
        <f t="shared" si="532"/>
        <v>8.5</v>
      </c>
      <c r="AA631" s="355" t="str">
        <f t="shared" si="533"/>
        <v>ON</v>
      </c>
      <c r="AB631" s="357">
        <f t="shared" si="562"/>
        <v>1.4999999999999999E-2</v>
      </c>
      <c r="AC631" s="356" t="e">
        <f ca="1">IF(  Y630=0,0,IF(OR(S631="KCAS",S631="INOP",S631="MEFE"),   ( (5*( (   (((1+0.2*(T631/661.4786)^2)^3.5 -1)  )/( (1-6.8755856*10^-6 *100*Y631)^5.2558797) +1)^(2/7) -1) )^0.5),IF(S631="MACH",T631, IF(S631="LRC",BicubicInterpolation( 'LRC Mach'!$C$4:$AL$21, Y631,U631),  IF(S631="MRC",BicubicInterpolation( 'MRC Mach'!$C$3:$T$18, Y631,U631),  IF(S631="M0.84",0.84,  IF(S631="CI52",BicubicInterpolation('CI=52 Mach'!$C$3:$T$18, Y631,U631),  IF(S631="HOLDING",BicubicInterpolation(  'Holding Mach'!$C$4:$M$13, Y631,U631),                         IF(S631="LRCINOP", BicubicInterpolation('LRC INOP Mach'!$C$4:$AA$21,Y631,U631), IF(S631="HOLDINGINOP",  BicubicInterpolation('Holding INOP Mach'!$N$4:$U$13,Y631,U631),         "XXX" )))))))   )))</f>
        <v>#NAME?</v>
      </c>
      <c r="AD631" s="313" t="e">
        <f t="shared" ca="1" si="563"/>
        <v>#NAME?</v>
      </c>
      <c r="AE631" s="314" t="e">
        <f t="shared" ca="1" si="550"/>
        <v>#NAME?</v>
      </c>
      <c r="AF631" s="313" t="e">
        <f t="shared" ca="1" si="564"/>
        <v>#NAME?</v>
      </c>
      <c r="AG631" s="314" t="e">
        <f t="shared" ca="1" si="551"/>
        <v>#NAME?</v>
      </c>
      <c r="AH631" s="313" t="e">
        <f t="shared" ca="1" si="565"/>
        <v>#NAME?</v>
      </c>
      <c r="AI631" s="314" t="e">
        <f t="shared" ca="1" si="552"/>
        <v>#NAME?</v>
      </c>
      <c r="AJ631" s="315" t="e">
        <f t="shared" ca="1" si="553"/>
        <v>#NAME?</v>
      </c>
      <c r="AK631" s="568" t="e">
        <f t="shared" ca="1" si="566"/>
        <v>#NAME?</v>
      </c>
      <c r="AL631" s="313" t="e">
        <f t="shared" ca="1" si="567"/>
        <v>#NAME?</v>
      </c>
      <c r="AM631" s="313" t="e">
        <f t="shared" ca="1" si="554"/>
        <v>#NAME?</v>
      </c>
      <c r="AN631" s="313" t="e">
        <f t="shared" ca="1" si="555"/>
        <v>#NAME?</v>
      </c>
      <c r="AO631" s="316" t="e">
        <f t="shared" ca="1" si="568"/>
        <v>#NAME?</v>
      </c>
      <c r="AP631" s="313" t="e">
        <f t="shared" ca="1" si="569"/>
        <v>#NAME?</v>
      </c>
      <c r="AQ631" s="314" t="e">
        <f t="shared" ca="1" si="556"/>
        <v>#NAME?</v>
      </c>
      <c r="AR631" s="315" t="e">
        <f t="shared" ca="1" si="570"/>
        <v>#NAME?</v>
      </c>
      <c r="AS631" s="316" t="e">
        <f t="shared" ca="1" si="571"/>
        <v>#NAME?</v>
      </c>
      <c r="AT631" s="315" t="e">
        <f t="shared" ca="1" si="572"/>
        <v>#NAME?</v>
      </c>
      <c r="AU631" s="317">
        <v>427.8</v>
      </c>
      <c r="AV631" s="315" t="e">
        <f t="shared" ca="1" si="573"/>
        <v>#NAME?</v>
      </c>
      <c r="AW631" s="318" t="e">
        <f ca="1">0.0001*BicubicInterpolation('Drag Coef Table'!$B$4:$L$28,AV631,AC631)</f>
        <v>#NAME?</v>
      </c>
      <c r="AX631" s="319" t="e">
        <f t="shared" ca="1" si="574"/>
        <v>#NAME?</v>
      </c>
      <c r="AY631" s="318" t="e">
        <f t="shared" ca="1" si="575"/>
        <v>#NAME?</v>
      </c>
      <c r="AZ631" s="320" t="e">
        <f t="shared" ca="1" si="576"/>
        <v>#NAME?</v>
      </c>
      <c r="BA631" s="321" t="e">
        <f t="shared" ca="1" si="577"/>
        <v>#NAME?</v>
      </c>
      <c r="BB631" s="322" t="e">
        <f t="shared" ca="1" si="578"/>
        <v>#NAME?</v>
      </c>
      <c r="BC631" s="323">
        <v>75.196700000000007</v>
      </c>
      <c r="BD631" s="324" t="e">
        <f t="shared" ca="1" si="579"/>
        <v>#NAME?</v>
      </c>
      <c r="BE631" s="325" t="e">
        <f t="shared" ca="1" si="580"/>
        <v>#NAME?</v>
      </c>
      <c r="BF631" s="324" t="e">
        <f ca="1">BicubicInterpolation('TSFC Eff Table'!$B$4:$E$69,2,BB631)</f>
        <v>#NAME?</v>
      </c>
      <c r="BG631" s="326" t="e">
        <f t="shared" ca="1" si="581"/>
        <v>#NAME?</v>
      </c>
      <c r="BH631" s="694" t="e">
        <f ca="1">IF( S631="LRCINOP",   (1+(0.03/10)*Z631*(1+0.2*AC631^2) )*BicubicInterpolation( 'LRC INOP FF'!$C$4:$AA$21, Y631, U631 )-200, IF(S631 ="HOLDINGINOP", (1+(0.03/10)*Z631*(1+0.2*AC631^2) )*BicubicInterpolation( 'Holding INOP FF'!$C$4:$J$13,  Y631,  U631)/1.05-200,   BA631*BG631))</f>
        <v>#NAME?</v>
      </c>
      <c r="BI631" s="344" t="e">
        <f t="shared" ca="1" si="540"/>
        <v>#NAME?</v>
      </c>
      <c r="BJ631" s="322" t="e">
        <f t="shared" ca="1" si="582"/>
        <v>#NAME?</v>
      </c>
      <c r="BK631" s="338" t="e">
        <f t="shared" ca="1" si="541"/>
        <v>#NAME?</v>
      </c>
      <c r="BL631" s="327" t="e">
        <f t="shared" ca="1" si="583"/>
        <v>#NAME?</v>
      </c>
      <c r="BM631" s="328">
        <f t="shared" si="584"/>
        <v>200</v>
      </c>
      <c r="BN631" s="329" t="e">
        <f t="shared" ca="1" si="585"/>
        <v>#NAME?</v>
      </c>
      <c r="BO631" s="344" t="e">
        <f t="shared" ca="1" si="542"/>
        <v>#NAME?</v>
      </c>
      <c r="BP631" s="320" t="e">
        <f t="shared" ca="1" si="586"/>
        <v>#NAME?</v>
      </c>
      <c r="BQ631" s="344" t="e">
        <f t="shared" ca="1" si="543"/>
        <v>#NAME?</v>
      </c>
      <c r="BR631" s="347" t="e">
        <f t="shared" ca="1" si="544"/>
        <v>#NAME?</v>
      </c>
      <c r="BS631" s="326" t="e">
        <f t="shared" ca="1" si="587"/>
        <v>#NAME?</v>
      </c>
      <c r="BT631" s="437" t="e">
        <f t="shared" ca="1" si="557"/>
        <v>#NAME?</v>
      </c>
      <c r="BU631" s="437" t="e">
        <f t="shared" ca="1" si="558"/>
        <v>#NAME?</v>
      </c>
      <c r="BV631" s="441" t="e">
        <f t="shared" ca="1" si="559"/>
        <v>#NAME?</v>
      </c>
      <c r="BW631" s="442" t="e">
        <f t="shared" ca="1" si="560"/>
        <v>#NAME?</v>
      </c>
      <c r="BX631" s="470" t="e">
        <f t="shared" ca="1" si="534"/>
        <v>#NAME?</v>
      </c>
      <c r="BY631" s="484" t="e">
        <f t="shared" ca="1" si="545"/>
        <v>#NAME?</v>
      </c>
    </row>
    <row r="632" spans="9:77" ht="17.75" customHeight="1" x14ac:dyDescent="0.2">
      <c r="I632" s="366">
        <v>548</v>
      </c>
      <c r="J632" s="414">
        <f t="shared" si="546"/>
        <v>41706.093055556797</v>
      </c>
      <c r="K632" s="435" t="e">
        <f t="shared" ca="1" si="547"/>
        <v>#NAME?</v>
      </c>
      <c r="L632" s="435" t="e">
        <f t="shared" ca="1" si="590"/>
        <v>#NAME?</v>
      </c>
      <c r="M632" s="664" t="e">
        <f t="shared" ca="1" si="588"/>
        <v>#NAME?</v>
      </c>
      <c r="N632" s="664" t="e">
        <f t="shared" ca="1" si="589"/>
        <v>#NAME?</v>
      </c>
      <c r="O632" s="140" t="e">
        <f t="shared" ca="1" si="535"/>
        <v>#NAME?</v>
      </c>
      <c r="P632" s="352" t="e">
        <f t="shared" ca="1" si="548"/>
        <v>#NAME?</v>
      </c>
      <c r="Q632" s="665" t="e">
        <f t="shared" ca="1" si="529"/>
        <v>#NAME?</v>
      </c>
      <c r="R632" s="352" t="e">
        <f t="shared" ca="1" si="561"/>
        <v>#NAME?</v>
      </c>
      <c r="S632" s="662" t="e">
        <f t="shared" ca="1" si="536"/>
        <v>#NAME?</v>
      </c>
      <c r="T632" s="443" t="e">
        <f t="shared" ca="1" si="530"/>
        <v>#NAME?</v>
      </c>
      <c r="U632" s="369" t="e">
        <f t="shared" ca="1" si="531"/>
        <v>#NAME?</v>
      </c>
      <c r="V632" s="454" t="e">
        <f t="shared" ca="1" si="537"/>
        <v>#NAME?</v>
      </c>
      <c r="W632" s="457">
        <f t="shared" si="538"/>
        <v>1000</v>
      </c>
      <c r="X632" s="463" t="e">
        <f t="shared" ca="1" si="539"/>
        <v>#NAME?</v>
      </c>
      <c r="Y632" s="455" t="e">
        <f t="shared" ca="1" si="549"/>
        <v>#NAME?</v>
      </c>
      <c r="Z632" s="699">
        <f t="shared" si="532"/>
        <v>8.5</v>
      </c>
      <c r="AA632" s="355" t="str">
        <f t="shared" si="533"/>
        <v>ON</v>
      </c>
      <c r="AB632" s="357">
        <f t="shared" si="562"/>
        <v>1.4999999999999999E-2</v>
      </c>
      <c r="AC632" s="356" t="e">
        <f ca="1">IF(  Y631=0,0,IF(OR(S632="KCAS",S632="INOP",S632="MEFE"),   ( (5*( (   (((1+0.2*(T632/661.4786)^2)^3.5 -1)  )/( (1-6.8755856*10^-6 *100*Y632)^5.2558797) +1)^(2/7) -1) )^0.5),IF(S632="MACH",T632, IF(S632="LRC",BicubicInterpolation( 'LRC Mach'!$C$4:$AL$21, Y632,U632),  IF(S632="MRC",BicubicInterpolation( 'MRC Mach'!$C$3:$T$18, Y632,U632),  IF(S632="M0.84",0.84,  IF(S632="CI52",BicubicInterpolation('CI=52 Mach'!$C$3:$T$18, Y632,U632),  IF(S632="HOLDING",BicubicInterpolation(  'Holding Mach'!$C$4:$M$13, Y632,U632),                         IF(S632="LRCINOP", BicubicInterpolation('LRC INOP Mach'!$C$4:$AA$21,Y632,U632), IF(S632="HOLDINGINOP",  BicubicInterpolation('Holding INOP Mach'!$N$4:$U$13,Y632,U632),         "XXX" )))))))   )))</f>
        <v>#NAME?</v>
      </c>
      <c r="AD632" s="313" t="e">
        <f t="shared" ca="1" si="563"/>
        <v>#NAME?</v>
      </c>
      <c r="AE632" s="314" t="e">
        <f t="shared" ca="1" si="550"/>
        <v>#NAME?</v>
      </c>
      <c r="AF632" s="313" t="e">
        <f t="shared" ca="1" si="564"/>
        <v>#NAME?</v>
      </c>
      <c r="AG632" s="314" t="e">
        <f t="shared" ca="1" si="551"/>
        <v>#NAME?</v>
      </c>
      <c r="AH632" s="313" t="e">
        <f t="shared" ca="1" si="565"/>
        <v>#NAME?</v>
      </c>
      <c r="AI632" s="314" t="e">
        <f t="shared" ca="1" si="552"/>
        <v>#NAME?</v>
      </c>
      <c r="AJ632" s="315" t="e">
        <f t="shared" ca="1" si="553"/>
        <v>#NAME?</v>
      </c>
      <c r="AK632" s="568" t="e">
        <f t="shared" ca="1" si="566"/>
        <v>#NAME?</v>
      </c>
      <c r="AL632" s="313" t="e">
        <f t="shared" ca="1" si="567"/>
        <v>#NAME?</v>
      </c>
      <c r="AM632" s="313" t="e">
        <f t="shared" ca="1" si="554"/>
        <v>#NAME?</v>
      </c>
      <c r="AN632" s="313" t="e">
        <f t="shared" ca="1" si="555"/>
        <v>#NAME?</v>
      </c>
      <c r="AO632" s="316" t="e">
        <f t="shared" ca="1" si="568"/>
        <v>#NAME?</v>
      </c>
      <c r="AP632" s="313" t="e">
        <f t="shared" ca="1" si="569"/>
        <v>#NAME?</v>
      </c>
      <c r="AQ632" s="314" t="e">
        <f t="shared" ca="1" si="556"/>
        <v>#NAME?</v>
      </c>
      <c r="AR632" s="315" t="e">
        <f t="shared" ca="1" si="570"/>
        <v>#NAME?</v>
      </c>
      <c r="AS632" s="316" t="e">
        <f t="shared" ca="1" si="571"/>
        <v>#NAME?</v>
      </c>
      <c r="AT632" s="315" t="e">
        <f t="shared" ca="1" si="572"/>
        <v>#NAME?</v>
      </c>
      <c r="AU632" s="317">
        <v>427.8</v>
      </c>
      <c r="AV632" s="315" t="e">
        <f t="shared" ca="1" si="573"/>
        <v>#NAME?</v>
      </c>
      <c r="AW632" s="318" t="e">
        <f ca="1">0.0001*BicubicInterpolation('Drag Coef Table'!$B$4:$L$28,AV632,AC632)</f>
        <v>#NAME?</v>
      </c>
      <c r="AX632" s="319" t="e">
        <f t="shared" ca="1" si="574"/>
        <v>#NAME?</v>
      </c>
      <c r="AY632" s="318" t="e">
        <f t="shared" ca="1" si="575"/>
        <v>#NAME?</v>
      </c>
      <c r="AZ632" s="320" t="e">
        <f t="shared" ca="1" si="576"/>
        <v>#NAME?</v>
      </c>
      <c r="BA632" s="321" t="e">
        <f t="shared" ca="1" si="577"/>
        <v>#NAME?</v>
      </c>
      <c r="BB632" s="322" t="e">
        <f t="shared" ca="1" si="578"/>
        <v>#NAME?</v>
      </c>
      <c r="BC632" s="323">
        <v>75.196700000000007</v>
      </c>
      <c r="BD632" s="324" t="e">
        <f t="shared" ca="1" si="579"/>
        <v>#NAME?</v>
      </c>
      <c r="BE632" s="325" t="e">
        <f t="shared" ca="1" si="580"/>
        <v>#NAME?</v>
      </c>
      <c r="BF632" s="324" t="e">
        <f ca="1">BicubicInterpolation('TSFC Eff Table'!$B$4:$E$69,2,BB632)</f>
        <v>#NAME?</v>
      </c>
      <c r="BG632" s="326" t="e">
        <f t="shared" ca="1" si="581"/>
        <v>#NAME?</v>
      </c>
      <c r="BH632" s="694" t="e">
        <f ca="1">IF( S632="LRCINOP",   (1+(0.03/10)*Z632*(1+0.2*AC632^2) )*BicubicInterpolation( 'LRC INOP FF'!$C$4:$AA$21, Y632, U632 )-200, IF(S632 ="HOLDINGINOP", (1+(0.03/10)*Z632*(1+0.2*AC632^2) )*BicubicInterpolation( 'Holding INOP FF'!$C$4:$J$13,  Y632,  U632)/1.05-200,   BA632*BG632))</f>
        <v>#NAME?</v>
      </c>
      <c r="BI632" s="344" t="e">
        <f t="shared" ca="1" si="540"/>
        <v>#NAME?</v>
      </c>
      <c r="BJ632" s="322" t="e">
        <f t="shared" ca="1" si="582"/>
        <v>#NAME?</v>
      </c>
      <c r="BK632" s="338" t="e">
        <f t="shared" ca="1" si="541"/>
        <v>#NAME?</v>
      </c>
      <c r="BL632" s="327" t="e">
        <f t="shared" ca="1" si="583"/>
        <v>#NAME?</v>
      </c>
      <c r="BM632" s="328">
        <f t="shared" si="584"/>
        <v>200</v>
      </c>
      <c r="BN632" s="329" t="e">
        <f t="shared" ca="1" si="585"/>
        <v>#NAME?</v>
      </c>
      <c r="BO632" s="344" t="e">
        <f t="shared" ca="1" si="542"/>
        <v>#NAME?</v>
      </c>
      <c r="BP632" s="320" t="e">
        <f t="shared" ca="1" si="586"/>
        <v>#NAME?</v>
      </c>
      <c r="BQ632" s="344" t="e">
        <f t="shared" ca="1" si="543"/>
        <v>#NAME?</v>
      </c>
      <c r="BR632" s="347" t="e">
        <f t="shared" ca="1" si="544"/>
        <v>#NAME?</v>
      </c>
      <c r="BS632" s="326" t="e">
        <f t="shared" ca="1" si="587"/>
        <v>#NAME?</v>
      </c>
      <c r="BT632" s="437" t="e">
        <f t="shared" ca="1" si="557"/>
        <v>#NAME?</v>
      </c>
      <c r="BU632" s="437" t="e">
        <f t="shared" ca="1" si="558"/>
        <v>#NAME?</v>
      </c>
      <c r="BV632" s="441" t="e">
        <f t="shared" ca="1" si="559"/>
        <v>#NAME?</v>
      </c>
      <c r="BW632" s="442" t="e">
        <f t="shared" ca="1" si="560"/>
        <v>#NAME?</v>
      </c>
      <c r="BX632" s="470" t="e">
        <f t="shared" ca="1" si="534"/>
        <v>#NAME?</v>
      </c>
      <c r="BY632" s="484" t="e">
        <f t="shared" ca="1" si="545"/>
        <v>#NAME?</v>
      </c>
    </row>
    <row r="633" spans="9:77" ht="17.75" customHeight="1" x14ac:dyDescent="0.2">
      <c r="I633" s="366">
        <v>549</v>
      </c>
      <c r="J633" s="414">
        <f t="shared" si="546"/>
        <v>41706.093750001244</v>
      </c>
      <c r="K633" s="435" t="e">
        <f t="shared" ca="1" si="547"/>
        <v>#NAME?</v>
      </c>
      <c r="L633" s="435" t="e">
        <f t="shared" ca="1" si="590"/>
        <v>#NAME?</v>
      </c>
      <c r="M633" s="664" t="e">
        <f t="shared" ca="1" si="588"/>
        <v>#NAME?</v>
      </c>
      <c r="N633" s="664" t="e">
        <f t="shared" ca="1" si="589"/>
        <v>#NAME?</v>
      </c>
      <c r="O633" s="140" t="e">
        <f t="shared" ca="1" si="535"/>
        <v>#NAME?</v>
      </c>
      <c r="P633" s="352" t="e">
        <f t="shared" ca="1" si="548"/>
        <v>#NAME?</v>
      </c>
      <c r="Q633" s="665" t="e">
        <f t="shared" ca="1" si="529"/>
        <v>#NAME?</v>
      </c>
      <c r="R633" s="352" t="e">
        <f t="shared" ca="1" si="561"/>
        <v>#NAME?</v>
      </c>
      <c r="S633" s="662" t="e">
        <f t="shared" ca="1" si="536"/>
        <v>#NAME?</v>
      </c>
      <c r="T633" s="443" t="e">
        <f t="shared" ca="1" si="530"/>
        <v>#NAME?</v>
      </c>
      <c r="U633" s="369" t="e">
        <f t="shared" ca="1" si="531"/>
        <v>#NAME?</v>
      </c>
      <c r="V633" s="454" t="e">
        <f t="shared" ca="1" si="537"/>
        <v>#NAME?</v>
      </c>
      <c r="W633" s="457">
        <f t="shared" si="538"/>
        <v>1000</v>
      </c>
      <c r="X633" s="463" t="e">
        <f t="shared" ca="1" si="539"/>
        <v>#NAME?</v>
      </c>
      <c r="Y633" s="455" t="e">
        <f t="shared" ca="1" si="549"/>
        <v>#NAME?</v>
      </c>
      <c r="Z633" s="699">
        <f t="shared" si="532"/>
        <v>8.5</v>
      </c>
      <c r="AA633" s="355" t="str">
        <f t="shared" si="533"/>
        <v>ON</v>
      </c>
      <c r="AB633" s="357">
        <f t="shared" si="562"/>
        <v>1.4999999999999999E-2</v>
      </c>
      <c r="AC633" s="356" t="e">
        <f ca="1">IF(  Y632=0,0,IF(OR(S633="KCAS",S633="INOP",S633="MEFE"),   ( (5*( (   (((1+0.2*(T633/661.4786)^2)^3.5 -1)  )/( (1-6.8755856*10^-6 *100*Y633)^5.2558797) +1)^(2/7) -1) )^0.5),IF(S633="MACH",T633, IF(S633="LRC",BicubicInterpolation( 'LRC Mach'!$C$4:$AL$21, Y633,U633),  IF(S633="MRC",BicubicInterpolation( 'MRC Mach'!$C$3:$T$18, Y633,U633),  IF(S633="M0.84",0.84,  IF(S633="CI52",BicubicInterpolation('CI=52 Mach'!$C$3:$T$18, Y633,U633),  IF(S633="HOLDING",BicubicInterpolation(  'Holding Mach'!$C$4:$M$13, Y633,U633),                         IF(S633="LRCINOP", BicubicInterpolation('LRC INOP Mach'!$C$4:$AA$21,Y633,U633), IF(S633="HOLDINGINOP",  BicubicInterpolation('Holding INOP Mach'!$N$4:$U$13,Y633,U633),         "XXX" )))))))   )))</f>
        <v>#NAME?</v>
      </c>
      <c r="AD633" s="313" t="e">
        <f t="shared" ca="1" si="563"/>
        <v>#NAME?</v>
      </c>
      <c r="AE633" s="314" t="e">
        <f t="shared" ca="1" si="550"/>
        <v>#NAME?</v>
      </c>
      <c r="AF633" s="313" t="e">
        <f t="shared" ca="1" si="564"/>
        <v>#NAME?</v>
      </c>
      <c r="AG633" s="314" t="e">
        <f t="shared" ca="1" si="551"/>
        <v>#NAME?</v>
      </c>
      <c r="AH633" s="313" t="e">
        <f t="shared" ca="1" si="565"/>
        <v>#NAME?</v>
      </c>
      <c r="AI633" s="314" t="e">
        <f t="shared" ca="1" si="552"/>
        <v>#NAME?</v>
      </c>
      <c r="AJ633" s="315" t="e">
        <f t="shared" ca="1" si="553"/>
        <v>#NAME?</v>
      </c>
      <c r="AK633" s="568" t="e">
        <f t="shared" ca="1" si="566"/>
        <v>#NAME?</v>
      </c>
      <c r="AL633" s="313" t="e">
        <f t="shared" ca="1" si="567"/>
        <v>#NAME?</v>
      </c>
      <c r="AM633" s="313" t="e">
        <f t="shared" ca="1" si="554"/>
        <v>#NAME?</v>
      </c>
      <c r="AN633" s="313" t="e">
        <f t="shared" ca="1" si="555"/>
        <v>#NAME?</v>
      </c>
      <c r="AO633" s="316" t="e">
        <f t="shared" ca="1" si="568"/>
        <v>#NAME?</v>
      </c>
      <c r="AP633" s="313" t="e">
        <f t="shared" ca="1" si="569"/>
        <v>#NAME?</v>
      </c>
      <c r="AQ633" s="314" t="e">
        <f t="shared" ca="1" si="556"/>
        <v>#NAME?</v>
      </c>
      <c r="AR633" s="315" t="e">
        <f t="shared" ca="1" si="570"/>
        <v>#NAME?</v>
      </c>
      <c r="AS633" s="316" t="e">
        <f t="shared" ca="1" si="571"/>
        <v>#NAME?</v>
      </c>
      <c r="AT633" s="315" t="e">
        <f t="shared" ca="1" si="572"/>
        <v>#NAME?</v>
      </c>
      <c r="AU633" s="317">
        <v>427.8</v>
      </c>
      <c r="AV633" s="315" t="e">
        <f t="shared" ca="1" si="573"/>
        <v>#NAME?</v>
      </c>
      <c r="AW633" s="318" t="e">
        <f ca="1">0.0001*BicubicInterpolation('Drag Coef Table'!$B$4:$L$28,AV633,AC633)</f>
        <v>#NAME?</v>
      </c>
      <c r="AX633" s="319" t="e">
        <f t="shared" ca="1" si="574"/>
        <v>#NAME?</v>
      </c>
      <c r="AY633" s="318" t="e">
        <f t="shared" ca="1" si="575"/>
        <v>#NAME?</v>
      </c>
      <c r="AZ633" s="320" t="e">
        <f t="shared" ca="1" si="576"/>
        <v>#NAME?</v>
      </c>
      <c r="BA633" s="321" t="e">
        <f t="shared" ca="1" si="577"/>
        <v>#NAME?</v>
      </c>
      <c r="BB633" s="322" t="e">
        <f t="shared" ca="1" si="578"/>
        <v>#NAME?</v>
      </c>
      <c r="BC633" s="323">
        <v>75.196700000000007</v>
      </c>
      <c r="BD633" s="324" t="e">
        <f t="shared" ca="1" si="579"/>
        <v>#NAME?</v>
      </c>
      <c r="BE633" s="325" t="e">
        <f t="shared" ca="1" si="580"/>
        <v>#NAME?</v>
      </c>
      <c r="BF633" s="324" t="e">
        <f ca="1">BicubicInterpolation('TSFC Eff Table'!$B$4:$E$69,2,BB633)</f>
        <v>#NAME?</v>
      </c>
      <c r="BG633" s="326" t="e">
        <f t="shared" ca="1" si="581"/>
        <v>#NAME?</v>
      </c>
      <c r="BH633" s="694" t="e">
        <f ca="1">IF( S633="LRCINOP",   (1+(0.03/10)*Z633*(1+0.2*AC633^2) )*BicubicInterpolation( 'LRC INOP FF'!$C$4:$AA$21, Y633, U633 )-200, IF(S633 ="HOLDINGINOP", (1+(0.03/10)*Z633*(1+0.2*AC633^2) )*BicubicInterpolation( 'Holding INOP FF'!$C$4:$J$13,  Y633,  U633)/1.05-200,   BA633*BG633))</f>
        <v>#NAME?</v>
      </c>
      <c r="BI633" s="344" t="e">
        <f t="shared" ca="1" si="540"/>
        <v>#NAME?</v>
      </c>
      <c r="BJ633" s="322" t="e">
        <f t="shared" ca="1" si="582"/>
        <v>#NAME?</v>
      </c>
      <c r="BK633" s="338" t="e">
        <f t="shared" ca="1" si="541"/>
        <v>#NAME?</v>
      </c>
      <c r="BL633" s="327" t="e">
        <f t="shared" ca="1" si="583"/>
        <v>#NAME?</v>
      </c>
      <c r="BM633" s="328">
        <f t="shared" si="584"/>
        <v>200</v>
      </c>
      <c r="BN633" s="329" t="e">
        <f t="shared" ca="1" si="585"/>
        <v>#NAME?</v>
      </c>
      <c r="BO633" s="344" t="e">
        <f t="shared" ca="1" si="542"/>
        <v>#NAME?</v>
      </c>
      <c r="BP633" s="320" t="e">
        <f t="shared" ca="1" si="586"/>
        <v>#NAME?</v>
      </c>
      <c r="BQ633" s="344" t="e">
        <f t="shared" ca="1" si="543"/>
        <v>#NAME?</v>
      </c>
      <c r="BR633" s="347" t="e">
        <f t="shared" ca="1" si="544"/>
        <v>#NAME?</v>
      </c>
      <c r="BS633" s="326" t="e">
        <f t="shared" ca="1" si="587"/>
        <v>#NAME?</v>
      </c>
      <c r="BT633" s="437" t="e">
        <f t="shared" ca="1" si="557"/>
        <v>#NAME?</v>
      </c>
      <c r="BU633" s="437" t="e">
        <f t="shared" ca="1" si="558"/>
        <v>#NAME?</v>
      </c>
      <c r="BV633" s="441" t="e">
        <f t="shared" ca="1" si="559"/>
        <v>#NAME?</v>
      </c>
      <c r="BW633" s="442" t="e">
        <f t="shared" ca="1" si="560"/>
        <v>#NAME?</v>
      </c>
      <c r="BX633" s="470" t="e">
        <f t="shared" ca="1" si="534"/>
        <v>#NAME?</v>
      </c>
      <c r="BY633" s="484" t="e">
        <f t="shared" ca="1" si="545"/>
        <v>#NAME?</v>
      </c>
    </row>
    <row r="634" spans="9:77" ht="17.75" customHeight="1" x14ac:dyDescent="0.2">
      <c r="I634" s="366">
        <v>550</v>
      </c>
      <c r="J634" s="414">
        <f t="shared" si="546"/>
        <v>41706.094444445691</v>
      </c>
      <c r="K634" s="435" t="e">
        <f t="shared" ca="1" si="547"/>
        <v>#NAME?</v>
      </c>
      <c r="L634" s="435" t="e">
        <f t="shared" ca="1" si="590"/>
        <v>#NAME?</v>
      </c>
      <c r="M634" s="664" t="e">
        <f t="shared" ca="1" si="588"/>
        <v>#NAME?</v>
      </c>
      <c r="N634" s="664" t="e">
        <f t="shared" ca="1" si="589"/>
        <v>#NAME?</v>
      </c>
      <c r="O634" s="140" t="e">
        <f t="shared" ca="1" si="535"/>
        <v>#NAME?</v>
      </c>
      <c r="P634" s="352" t="e">
        <f t="shared" ca="1" si="548"/>
        <v>#NAME?</v>
      </c>
      <c r="Q634" s="665" t="e">
        <f t="shared" ca="1" si="529"/>
        <v>#NAME?</v>
      </c>
      <c r="R634" s="352" t="e">
        <f t="shared" ca="1" si="561"/>
        <v>#NAME?</v>
      </c>
      <c r="S634" s="662" t="e">
        <f t="shared" ca="1" si="536"/>
        <v>#NAME?</v>
      </c>
      <c r="T634" s="443" t="e">
        <f t="shared" ca="1" si="530"/>
        <v>#NAME?</v>
      </c>
      <c r="U634" s="369" t="e">
        <f t="shared" ca="1" si="531"/>
        <v>#NAME?</v>
      </c>
      <c r="V634" s="454" t="e">
        <f t="shared" ca="1" si="537"/>
        <v>#NAME?</v>
      </c>
      <c r="W634" s="457">
        <f t="shared" si="538"/>
        <v>1000</v>
      </c>
      <c r="X634" s="463" t="e">
        <f t="shared" ca="1" si="539"/>
        <v>#NAME?</v>
      </c>
      <c r="Y634" s="455" t="e">
        <f t="shared" ca="1" si="549"/>
        <v>#NAME?</v>
      </c>
      <c r="Z634" s="699">
        <f t="shared" si="532"/>
        <v>8.5</v>
      </c>
      <c r="AA634" s="355" t="str">
        <f t="shared" si="533"/>
        <v>ON</v>
      </c>
      <c r="AB634" s="357">
        <f t="shared" si="562"/>
        <v>1.4999999999999999E-2</v>
      </c>
      <c r="AC634" s="356" t="e">
        <f ca="1">IF(  Y633=0,0,IF(OR(S634="KCAS",S634="INOP",S634="MEFE"),   ( (5*( (   (((1+0.2*(T634/661.4786)^2)^3.5 -1)  )/( (1-6.8755856*10^-6 *100*Y634)^5.2558797) +1)^(2/7) -1) )^0.5),IF(S634="MACH",T634, IF(S634="LRC",BicubicInterpolation( 'LRC Mach'!$C$4:$AL$21, Y634,U634),  IF(S634="MRC",BicubicInterpolation( 'MRC Mach'!$C$3:$T$18, Y634,U634),  IF(S634="M0.84",0.84,  IF(S634="CI52",BicubicInterpolation('CI=52 Mach'!$C$3:$T$18, Y634,U634),  IF(S634="HOLDING",BicubicInterpolation(  'Holding Mach'!$C$4:$M$13, Y634,U634),                         IF(S634="LRCINOP", BicubicInterpolation('LRC INOP Mach'!$C$4:$AA$21,Y634,U634), IF(S634="HOLDINGINOP",  BicubicInterpolation('Holding INOP Mach'!$N$4:$U$13,Y634,U634),         "XXX" )))))))   )))</f>
        <v>#NAME?</v>
      </c>
      <c r="AD634" s="313" t="e">
        <f t="shared" ca="1" si="563"/>
        <v>#NAME?</v>
      </c>
      <c r="AE634" s="314" t="e">
        <f t="shared" ca="1" si="550"/>
        <v>#NAME?</v>
      </c>
      <c r="AF634" s="313" t="e">
        <f t="shared" ca="1" si="564"/>
        <v>#NAME?</v>
      </c>
      <c r="AG634" s="314" t="e">
        <f t="shared" ca="1" si="551"/>
        <v>#NAME?</v>
      </c>
      <c r="AH634" s="313" t="e">
        <f t="shared" ca="1" si="565"/>
        <v>#NAME?</v>
      </c>
      <c r="AI634" s="314" t="e">
        <f t="shared" ca="1" si="552"/>
        <v>#NAME?</v>
      </c>
      <c r="AJ634" s="315" t="e">
        <f t="shared" ca="1" si="553"/>
        <v>#NAME?</v>
      </c>
      <c r="AK634" s="568" t="e">
        <f t="shared" ca="1" si="566"/>
        <v>#NAME?</v>
      </c>
      <c r="AL634" s="313" t="e">
        <f t="shared" ca="1" si="567"/>
        <v>#NAME?</v>
      </c>
      <c r="AM634" s="313" t="e">
        <f t="shared" ca="1" si="554"/>
        <v>#NAME?</v>
      </c>
      <c r="AN634" s="313" t="e">
        <f t="shared" ca="1" si="555"/>
        <v>#NAME?</v>
      </c>
      <c r="AO634" s="316" t="e">
        <f t="shared" ca="1" si="568"/>
        <v>#NAME?</v>
      </c>
      <c r="AP634" s="313" t="e">
        <f t="shared" ca="1" si="569"/>
        <v>#NAME?</v>
      </c>
      <c r="AQ634" s="314" t="e">
        <f t="shared" ca="1" si="556"/>
        <v>#NAME?</v>
      </c>
      <c r="AR634" s="315" t="e">
        <f t="shared" ca="1" si="570"/>
        <v>#NAME?</v>
      </c>
      <c r="AS634" s="316" t="e">
        <f t="shared" ca="1" si="571"/>
        <v>#NAME?</v>
      </c>
      <c r="AT634" s="315" t="e">
        <f t="shared" ca="1" si="572"/>
        <v>#NAME?</v>
      </c>
      <c r="AU634" s="317">
        <v>427.8</v>
      </c>
      <c r="AV634" s="315" t="e">
        <f t="shared" ca="1" si="573"/>
        <v>#NAME?</v>
      </c>
      <c r="AW634" s="318" t="e">
        <f ca="1">0.0001*BicubicInterpolation('Drag Coef Table'!$B$4:$L$28,AV634,AC634)</f>
        <v>#NAME?</v>
      </c>
      <c r="AX634" s="319" t="e">
        <f t="shared" ca="1" si="574"/>
        <v>#NAME?</v>
      </c>
      <c r="AY634" s="318" t="e">
        <f t="shared" ca="1" si="575"/>
        <v>#NAME?</v>
      </c>
      <c r="AZ634" s="320" t="e">
        <f t="shared" ca="1" si="576"/>
        <v>#NAME?</v>
      </c>
      <c r="BA634" s="321" t="e">
        <f t="shared" ca="1" si="577"/>
        <v>#NAME?</v>
      </c>
      <c r="BB634" s="322" t="e">
        <f t="shared" ca="1" si="578"/>
        <v>#NAME?</v>
      </c>
      <c r="BC634" s="323">
        <v>75.196700000000007</v>
      </c>
      <c r="BD634" s="324" t="e">
        <f t="shared" ca="1" si="579"/>
        <v>#NAME?</v>
      </c>
      <c r="BE634" s="325" t="e">
        <f t="shared" ca="1" si="580"/>
        <v>#NAME?</v>
      </c>
      <c r="BF634" s="324" t="e">
        <f ca="1">BicubicInterpolation('TSFC Eff Table'!$B$4:$E$69,2,BB634)</f>
        <v>#NAME?</v>
      </c>
      <c r="BG634" s="326" t="e">
        <f t="shared" ca="1" si="581"/>
        <v>#NAME?</v>
      </c>
      <c r="BH634" s="694" t="e">
        <f ca="1">IF( S634="LRCINOP",   (1+(0.03/10)*Z634*(1+0.2*AC634^2) )*BicubicInterpolation( 'LRC INOP FF'!$C$4:$AA$21, Y634, U634 )-200, IF(S634 ="HOLDINGINOP", (1+(0.03/10)*Z634*(1+0.2*AC634^2) )*BicubicInterpolation( 'Holding INOP FF'!$C$4:$J$13,  Y634,  U634)/1.05-200,   BA634*BG634))</f>
        <v>#NAME?</v>
      </c>
      <c r="BI634" s="344" t="e">
        <f t="shared" ca="1" si="540"/>
        <v>#NAME?</v>
      </c>
      <c r="BJ634" s="322" t="e">
        <f t="shared" ca="1" si="582"/>
        <v>#NAME?</v>
      </c>
      <c r="BK634" s="338" t="e">
        <f t="shared" ca="1" si="541"/>
        <v>#NAME?</v>
      </c>
      <c r="BL634" s="327" t="e">
        <f t="shared" ca="1" si="583"/>
        <v>#NAME?</v>
      </c>
      <c r="BM634" s="328">
        <f t="shared" si="584"/>
        <v>200</v>
      </c>
      <c r="BN634" s="329" t="e">
        <f t="shared" ca="1" si="585"/>
        <v>#NAME?</v>
      </c>
      <c r="BO634" s="344" t="e">
        <f t="shared" ca="1" si="542"/>
        <v>#NAME?</v>
      </c>
      <c r="BP634" s="320" t="e">
        <f t="shared" ca="1" si="586"/>
        <v>#NAME?</v>
      </c>
      <c r="BQ634" s="344" t="e">
        <f t="shared" ca="1" si="543"/>
        <v>#NAME?</v>
      </c>
      <c r="BR634" s="347" t="e">
        <f t="shared" ca="1" si="544"/>
        <v>#NAME?</v>
      </c>
      <c r="BS634" s="326" t="e">
        <f t="shared" ca="1" si="587"/>
        <v>#NAME?</v>
      </c>
      <c r="BT634" s="437" t="e">
        <f t="shared" ca="1" si="557"/>
        <v>#NAME?</v>
      </c>
      <c r="BU634" s="437" t="e">
        <f t="shared" ca="1" si="558"/>
        <v>#NAME?</v>
      </c>
      <c r="BV634" s="441" t="e">
        <f t="shared" ca="1" si="559"/>
        <v>#NAME?</v>
      </c>
      <c r="BW634" s="442" t="e">
        <f t="shared" ca="1" si="560"/>
        <v>#NAME?</v>
      </c>
      <c r="BX634" s="470" t="e">
        <f t="shared" ca="1" si="534"/>
        <v>#NAME?</v>
      </c>
      <c r="BY634" s="484" t="e">
        <f t="shared" ca="1" si="545"/>
        <v>#NAME?</v>
      </c>
    </row>
    <row r="635" spans="9:77" ht="17.75" customHeight="1" x14ac:dyDescent="0.2">
      <c r="I635" s="366">
        <v>551</v>
      </c>
      <c r="J635" s="414">
        <f t="shared" si="546"/>
        <v>41706.095138890138</v>
      </c>
      <c r="K635" s="435" t="e">
        <f t="shared" ca="1" si="547"/>
        <v>#NAME?</v>
      </c>
      <c r="L635" s="435" t="e">
        <f t="shared" ca="1" si="590"/>
        <v>#NAME?</v>
      </c>
      <c r="M635" s="664" t="e">
        <f t="shared" ca="1" si="588"/>
        <v>#NAME?</v>
      </c>
      <c r="N635" s="664" t="e">
        <f t="shared" ca="1" si="589"/>
        <v>#NAME?</v>
      </c>
      <c r="O635" s="140" t="e">
        <f t="shared" ca="1" si="535"/>
        <v>#NAME?</v>
      </c>
      <c r="P635" s="352" t="e">
        <f t="shared" ca="1" si="548"/>
        <v>#NAME?</v>
      </c>
      <c r="Q635" s="665" t="e">
        <f t="shared" ca="1" si="529"/>
        <v>#NAME?</v>
      </c>
      <c r="R635" s="352" t="e">
        <f t="shared" ca="1" si="561"/>
        <v>#NAME?</v>
      </c>
      <c r="S635" s="662" t="e">
        <f t="shared" ca="1" si="536"/>
        <v>#NAME?</v>
      </c>
      <c r="T635" s="443" t="e">
        <f t="shared" ca="1" si="530"/>
        <v>#NAME?</v>
      </c>
      <c r="U635" s="369" t="e">
        <f t="shared" ca="1" si="531"/>
        <v>#NAME?</v>
      </c>
      <c r="V635" s="454" t="e">
        <f t="shared" ca="1" si="537"/>
        <v>#NAME?</v>
      </c>
      <c r="W635" s="457">
        <f t="shared" si="538"/>
        <v>1000</v>
      </c>
      <c r="X635" s="463" t="e">
        <f t="shared" ca="1" si="539"/>
        <v>#NAME?</v>
      </c>
      <c r="Y635" s="455" t="e">
        <f t="shared" ca="1" si="549"/>
        <v>#NAME?</v>
      </c>
      <c r="Z635" s="699">
        <f t="shared" si="532"/>
        <v>8.5</v>
      </c>
      <c r="AA635" s="355" t="str">
        <f t="shared" si="533"/>
        <v>ON</v>
      </c>
      <c r="AB635" s="357">
        <f t="shared" si="562"/>
        <v>1.4999999999999999E-2</v>
      </c>
      <c r="AC635" s="356" t="e">
        <f ca="1">IF(  Y634=0,0,IF(OR(S635="KCAS",S635="INOP",S635="MEFE"),   ( (5*( (   (((1+0.2*(T635/661.4786)^2)^3.5 -1)  )/( (1-6.8755856*10^-6 *100*Y635)^5.2558797) +1)^(2/7) -1) )^0.5),IF(S635="MACH",T635, IF(S635="LRC",BicubicInterpolation( 'LRC Mach'!$C$4:$AL$21, Y635,U635),  IF(S635="MRC",BicubicInterpolation( 'MRC Mach'!$C$3:$T$18, Y635,U635),  IF(S635="M0.84",0.84,  IF(S635="CI52",BicubicInterpolation('CI=52 Mach'!$C$3:$T$18, Y635,U635),  IF(S635="HOLDING",BicubicInterpolation(  'Holding Mach'!$C$4:$M$13, Y635,U635),                         IF(S635="LRCINOP", BicubicInterpolation('LRC INOP Mach'!$C$4:$AA$21,Y635,U635), IF(S635="HOLDINGINOP",  BicubicInterpolation('Holding INOP Mach'!$N$4:$U$13,Y635,U635),         "XXX" )))))))   )))</f>
        <v>#NAME?</v>
      </c>
      <c r="AD635" s="313" t="e">
        <f t="shared" ca="1" si="563"/>
        <v>#NAME?</v>
      </c>
      <c r="AE635" s="314" t="e">
        <f t="shared" ca="1" si="550"/>
        <v>#NAME?</v>
      </c>
      <c r="AF635" s="313" t="e">
        <f t="shared" ca="1" si="564"/>
        <v>#NAME?</v>
      </c>
      <c r="AG635" s="314" t="e">
        <f t="shared" ca="1" si="551"/>
        <v>#NAME?</v>
      </c>
      <c r="AH635" s="313" t="e">
        <f t="shared" ca="1" si="565"/>
        <v>#NAME?</v>
      </c>
      <c r="AI635" s="314" t="e">
        <f t="shared" ca="1" si="552"/>
        <v>#NAME?</v>
      </c>
      <c r="AJ635" s="315" t="e">
        <f t="shared" ca="1" si="553"/>
        <v>#NAME?</v>
      </c>
      <c r="AK635" s="568" t="e">
        <f t="shared" ca="1" si="566"/>
        <v>#NAME?</v>
      </c>
      <c r="AL635" s="313" t="e">
        <f t="shared" ca="1" si="567"/>
        <v>#NAME?</v>
      </c>
      <c r="AM635" s="313" t="e">
        <f t="shared" ca="1" si="554"/>
        <v>#NAME?</v>
      </c>
      <c r="AN635" s="313" t="e">
        <f t="shared" ca="1" si="555"/>
        <v>#NAME?</v>
      </c>
      <c r="AO635" s="316" t="e">
        <f t="shared" ca="1" si="568"/>
        <v>#NAME?</v>
      </c>
      <c r="AP635" s="313" t="e">
        <f t="shared" ca="1" si="569"/>
        <v>#NAME?</v>
      </c>
      <c r="AQ635" s="314" t="e">
        <f t="shared" ca="1" si="556"/>
        <v>#NAME?</v>
      </c>
      <c r="AR635" s="315" t="e">
        <f t="shared" ca="1" si="570"/>
        <v>#NAME?</v>
      </c>
      <c r="AS635" s="316" t="e">
        <f t="shared" ca="1" si="571"/>
        <v>#NAME?</v>
      </c>
      <c r="AT635" s="315" t="e">
        <f t="shared" ca="1" si="572"/>
        <v>#NAME?</v>
      </c>
      <c r="AU635" s="317">
        <v>427.8</v>
      </c>
      <c r="AV635" s="315" t="e">
        <f t="shared" ca="1" si="573"/>
        <v>#NAME?</v>
      </c>
      <c r="AW635" s="318" t="e">
        <f ca="1">0.0001*BicubicInterpolation('Drag Coef Table'!$B$4:$L$28,AV635,AC635)</f>
        <v>#NAME?</v>
      </c>
      <c r="AX635" s="319" t="e">
        <f t="shared" ca="1" si="574"/>
        <v>#NAME?</v>
      </c>
      <c r="AY635" s="318" t="e">
        <f t="shared" ca="1" si="575"/>
        <v>#NAME?</v>
      </c>
      <c r="AZ635" s="320" t="e">
        <f t="shared" ca="1" si="576"/>
        <v>#NAME?</v>
      </c>
      <c r="BA635" s="321" t="e">
        <f t="shared" ca="1" si="577"/>
        <v>#NAME?</v>
      </c>
      <c r="BB635" s="322" t="e">
        <f t="shared" ca="1" si="578"/>
        <v>#NAME?</v>
      </c>
      <c r="BC635" s="323">
        <v>75.196700000000007</v>
      </c>
      <c r="BD635" s="324" t="e">
        <f t="shared" ca="1" si="579"/>
        <v>#NAME?</v>
      </c>
      <c r="BE635" s="325" t="e">
        <f t="shared" ca="1" si="580"/>
        <v>#NAME?</v>
      </c>
      <c r="BF635" s="324" t="e">
        <f ca="1">BicubicInterpolation('TSFC Eff Table'!$B$4:$E$69,2,BB635)</f>
        <v>#NAME?</v>
      </c>
      <c r="BG635" s="326" t="e">
        <f t="shared" ca="1" si="581"/>
        <v>#NAME?</v>
      </c>
      <c r="BH635" s="694" t="e">
        <f ca="1">IF( S635="LRCINOP",   (1+(0.03/10)*Z635*(1+0.2*AC635^2) )*BicubicInterpolation( 'LRC INOP FF'!$C$4:$AA$21, Y635, U635 )-200, IF(S635 ="HOLDINGINOP", (1+(0.03/10)*Z635*(1+0.2*AC635^2) )*BicubicInterpolation( 'Holding INOP FF'!$C$4:$J$13,  Y635,  U635)/1.05-200,   BA635*BG635))</f>
        <v>#NAME?</v>
      </c>
      <c r="BI635" s="344" t="e">
        <f t="shared" ca="1" si="540"/>
        <v>#NAME?</v>
      </c>
      <c r="BJ635" s="322" t="e">
        <f t="shared" ca="1" si="582"/>
        <v>#NAME?</v>
      </c>
      <c r="BK635" s="338" t="e">
        <f t="shared" ca="1" si="541"/>
        <v>#NAME?</v>
      </c>
      <c r="BL635" s="327" t="e">
        <f t="shared" ca="1" si="583"/>
        <v>#NAME?</v>
      </c>
      <c r="BM635" s="328">
        <f t="shared" si="584"/>
        <v>200</v>
      </c>
      <c r="BN635" s="329" t="e">
        <f t="shared" ca="1" si="585"/>
        <v>#NAME?</v>
      </c>
      <c r="BO635" s="344" t="e">
        <f t="shared" ca="1" si="542"/>
        <v>#NAME?</v>
      </c>
      <c r="BP635" s="320" t="e">
        <f t="shared" ca="1" si="586"/>
        <v>#NAME?</v>
      </c>
      <c r="BQ635" s="344" t="e">
        <f t="shared" ca="1" si="543"/>
        <v>#NAME?</v>
      </c>
      <c r="BR635" s="347" t="e">
        <f t="shared" ca="1" si="544"/>
        <v>#NAME?</v>
      </c>
      <c r="BS635" s="326" t="e">
        <f t="shared" ca="1" si="587"/>
        <v>#NAME?</v>
      </c>
      <c r="BT635" s="437" t="e">
        <f t="shared" ca="1" si="557"/>
        <v>#NAME?</v>
      </c>
      <c r="BU635" s="437" t="e">
        <f t="shared" ca="1" si="558"/>
        <v>#NAME?</v>
      </c>
      <c r="BV635" s="441" t="e">
        <f t="shared" ca="1" si="559"/>
        <v>#NAME?</v>
      </c>
      <c r="BW635" s="442" t="e">
        <f t="shared" ca="1" si="560"/>
        <v>#NAME?</v>
      </c>
      <c r="BX635" s="470" t="e">
        <f t="shared" ca="1" si="534"/>
        <v>#NAME?</v>
      </c>
      <c r="BY635" s="484" t="e">
        <f t="shared" ca="1" si="545"/>
        <v>#NAME?</v>
      </c>
    </row>
    <row r="636" spans="9:77" ht="17.75" customHeight="1" x14ac:dyDescent="0.2">
      <c r="I636" s="366">
        <v>552</v>
      </c>
      <c r="J636" s="414">
        <f t="shared" si="546"/>
        <v>41706.095833334584</v>
      </c>
      <c r="K636" s="435" t="e">
        <f t="shared" ca="1" si="547"/>
        <v>#NAME?</v>
      </c>
      <c r="L636" s="435" t="e">
        <f t="shared" ca="1" si="590"/>
        <v>#NAME?</v>
      </c>
      <c r="M636" s="664" t="e">
        <f t="shared" ca="1" si="588"/>
        <v>#NAME?</v>
      </c>
      <c r="N636" s="664" t="e">
        <f t="shared" ca="1" si="589"/>
        <v>#NAME?</v>
      </c>
      <c r="O636" s="140" t="e">
        <f t="shared" ca="1" si="535"/>
        <v>#NAME?</v>
      </c>
      <c r="P636" s="352" t="e">
        <f t="shared" ca="1" si="548"/>
        <v>#NAME?</v>
      </c>
      <c r="Q636" s="665" t="e">
        <f t="shared" ca="1" si="529"/>
        <v>#NAME?</v>
      </c>
      <c r="R636" s="352" t="e">
        <f t="shared" ca="1" si="561"/>
        <v>#NAME?</v>
      </c>
      <c r="S636" s="662" t="e">
        <f t="shared" ca="1" si="536"/>
        <v>#NAME?</v>
      </c>
      <c r="T636" s="443" t="e">
        <f t="shared" ca="1" si="530"/>
        <v>#NAME?</v>
      </c>
      <c r="U636" s="369" t="e">
        <f t="shared" ca="1" si="531"/>
        <v>#NAME?</v>
      </c>
      <c r="V636" s="454" t="e">
        <f t="shared" ca="1" si="537"/>
        <v>#NAME?</v>
      </c>
      <c r="W636" s="457">
        <f t="shared" si="538"/>
        <v>1000</v>
      </c>
      <c r="X636" s="463" t="e">
        <f t="shared" ca="1" si="539"/>
        <v>#NAME?</v>
      </c>
      <c r="Y636" s="455" t="e">
        <f t="shared" ca="1" si="549"/>
        <v>#NAME?</v>
      </c>
      <c r="Z636" s="699">
        <f t="shared" si="532"/>
        <v>8.5</v>
      </c>
      <c r="AA636" s="355" t="str">
        <f t="shared" si="533"/>
        <v>ON</v>
      </c>
      <c r="AB636" s="357">
        <f t="shared" si="562"/>
        <v>1.4999999999999999E-2</v>
      </c>
      <c r="AC636" s="356" t="e">
        <f ca="1">IF(  Y635=0,0,IF(OR(S636="KCAS",S636="INOP",S636="MEFE"),   ( (5*( (   (((1+0.2*(T636/661.4786)^2)^3.5 -1)  )/( (1-6.8755856*10^-6 *100*Y636)^5.2558797) +1)^(2/7) -1) )^0.5),IF(S636="MACH",T636, IF(S636="LRC",BicubicInterpolation( 'LRC Mach'!$C$4:$AL$21, Y636,U636),  IF(S636="MRC",BicubicInterpolation( 'MRC Mach'!$C$3:$T$18, Y636,U636),  IF(S636="M0.84",0.84,  IF(S636="CI52",BicubicInterpolation('CI=52 Mach'!$C$3:$T$18, Y636,U636),  IF(S636="HOLDING",BicubicInterpolation(  'Holding Mach'!$C$4:$M$13, Y636,U636),                         IF(S636="LRCINOP", BicubicInterpolation('LRC INOP Mach'!$C$4:$AA$21,Y636,U636), IF(S636="HOLDINGINOP",  BicubicInterpolation('Holding INOP Mach'!$N$4:$U$13,Y636,U636),         "XXX" )))))))   )))</f>
        <v>#NAME?</v>
      </c>
      <c r="AD636" s="313" t="e">
        <f t="shared" ca="1" si="563"/>
        <v>#NAME?</v>
      </c>
      <c r="AE636" s="314" t="e">
        <f t="shared" ca="1" si="550"/>
        <v>#NAME?</v>
      </c>
      <c r="AF636" s="313" t="e">
        <f t="shared" ca="1" si="564"/>
        <v>#NAME?</v>
      </c>
      <c r="AG636" s="314" t="e">
        <f t="shared" ca="1" si="551"/>
        <v>#NAME?</v>
      </c>
      <c r="AH636" s="313" t="e">
        <f t="shared" ca="1" si="565"/>
        <v>#NAME?</v>
      </c>
      <c r="AI636" s="314" t="e">
        <f t="shared" ca="1" si="552"/>
        <v>#NAME?</v>
      </c>
      <c r="AJ636" s="315" t="e">
        <f t="shared" ca="1" si="553"/>
        <v>#NAME?</v>
      </c>
      <c r="AK636" s="568" t="e">
        <f t="shared" ca="1" si="566"/>
        <v>#NAME?</v>
      </c>
      <c r="AL636" s="313" t="e">
        <f t="shared" ca="1" si="567"/>
        <v>#NAME?</v>
      </c>
      <c r="AM636" s="313" t="e">
        <f t="shared" ca="1" si="554"/>
        <v>#NAME?</v>
      </c>
      <c r="AN636" s="313" t="e">
        <f t="shared" ca="1" si="555"/>
        <v>#NAME?</v>
      </c>
      <c r="AO636" s="316" t="e">
        <f t="shared" ca="1" si="568"/>
        <v>#NAME?</v>
      </c>
      <c r="AP636" s="313" t="e">
        <f t="shared" ca="1" si="569"/>
        <v>#NAME?</v>
      </c>
      <c r="AQ636" s="314" t="e">
        <f t="shared" ca="1" si="556"/>
        <v>#NAME?</v>
      </c>
      <c r="AR636" s="315" t="e">
        <f t="shared" ca="1" si="570"/>
        <v>#NAME?</v>
      </c>
      <c r="AS636" s="316" t="e">
        <f t="shared" ca="1" si="571"/>
        <v>#NAME?</v>
      </c>
      <c r="AT636" s="315" t="e">
        <f t="shared" ca="1" si="572"/>
        <v>#NAME?</v>
      </c>
      <c r="AU636" s="317">
        <v>427.8</v>
      </c>
      <c r="AV636" s="315" t="e">
        <f t="shared" ca="1" si="573"/>
        <v>#NAME?</v>
      </c>
      <c r="AW636" s="318" t="e">
        <f ca="1">0.0001*BicubicInterpolation('Drag Coef Table'!$B$4:$L$28,AV636,AC636)</f>
        <v>#NAME?</v>
      </c>
      <c r="AX636" s="319" t="e">
        <f t="shared" ca="1" si="574"/>
        <v>#NAME?</v>
      </c>
      <c r="AY636" s="318" t="e">
        <f t="shared" ca="1" si="575"/>
        <v>#NAME?</v>
      </c>
      <c r="AZ636" s="320" t="e">
        <f t="shared" ca="1" si="576"/>
        <v>#NAME?</v>
      </c>
      <c r="BA636" s="321" t="e">
        <f t="shared" ca="1" si="577"/>
        <v>#NAME?</v>
      </c>
      <c r="BB636" s="322" t="e">
        <f t="shared" ca="1" si="578"/>
        <v>#NAME?</v>
      </c>
      <c r="BC636" s="323">
        <v>75.196700000000007</v>
      </c>
      <c r="BD636" s="324" t="e">
        <f t="shared" ca="1" si="579"/>
        <v>#NAME?</v>
      </c>
      <c r="BE636" s="325" t="e">
        <f t="shared" ca="1" si="580"/>
        <v>#NAME?</v>
      </c>
      <c r="BF636" s="324" t="e">
        <f ca="1">BicubicInterpolation('TSFC Eff Table'!$B$4:$E$69,2,BB636)</f>
        <v>#NAME?</v>
      </c>
      <c r="BG636" s="326" t="e">
        <f t="shared" ca="1" si="581"/>
        <v>#NAME?</v>
      </c>
      <c r="BH636" s="694" t="e">
        <f ca="1">IF( S636="LRCINOP",   (1+(0.03/10)*Z636*(1+0.2*AC636^2) )*BicubicInterpolation( 'LRC INOP FF'!$C$4:$AA$21, Y636, U636 )-200, IF(S636 ="HOLDINGINOP", (1+(0.03/10)*Z636*(1+0.2*AC636^2) )*BicubicInterpolation( 'Holding INOP FF'!$C$4:$J$13,  Y636,  U636)/1.05-200,   BA636*BG636))</f>
        <v>#NAME?</v>
      </c>
      <c r="BI636" s="344" t="e">
        <f t="shared" ca="1" si="540"/>
        <v>#NAME?</v>
      </c>
      <c r="BJ636" s="322" t="e">
        <f t="shared" ca="1" si="582"/>
        <v>#NAME?</v>
      </c>
      <c r="BK636" s="338" t="e">
        <f t="shared" ca="1" si="541"/>
        <v>#NAME?</v>
      </c>
      <c r="BL636" s="327" t="e">
        <f t="shared" ca="1" si="583"/>
        <v>#NAME?</v>
      </c>
      <c r="BM636" s="328">
        <f t="shared" si="584"/>
        <v>200</v>
      </c>
      <c r="BN636" s="329" t="e">
        <f t="shared" ca="1" si="585"/>
        <v>#NAME?</v>
      </c>
      <c r="BO636" s="344" t="e">
        <f t="shared" ca="1" si="542"/>
        <v>#NAME?</v>
      </c>
      <c r="BP636" s="320" t="e">
        <f t="shared" ca="1" si="586"/>
        <v>#NAME?</v>
      </c>
      <c r="BQ636" s="344" t="e">
        <f t="shared" ca="1" si="543"/>
        <v>#NAME?</v>
      </c>
      <c r="BR636" s="347" t="e">
        <f t="shared" ca="1" si="544"/>
        <v>#NAME?</v>
      </c>
      <c r="BS636" s="326" t="e">
        <f t="shared" ca="1" si="587"/>
        <v>#NAME?</v>
      </c>
      <c r="BT636" s="437" t="e">
        <f t="shared" ca="1" si="557"/>
        <v>#NAME?</v>
      </c>
      <c r="BU636" s="437" t="e">
        <f t="shared" ca="1" si="558"/>
        <v>#NAME?</v>
      </c>
      <c r="BV636" s="441" t="e">
        <f t="shared" ca="1" si="559"/>
        <v>#NAME?</v>
      </c>
      <c r="BW636" s="442" t="e">
        <f t="shared" ca="1" si="560"/>
        <v>#NAME?</v>
      </c>
      <c r="BX636" s="470" t="e">
        <f t="shared" ca="1" si="534"/>
        <v>#NAME?</v>
      </c>
      <c r="BY636" s="484" t="e">
        <f t="shared" ca="1" si="545"/>
        <v>#NAME?</v>
      </c>
    </row>
    <row r="637" spans="9:77" ht="17.75" customHeight="1" x14ac:dyDescent="0.2">
      <c r="I637" s="366">
        <v>553</v>
      </c>
      <c r="J637" s="414">
        <f t="shared" si="546"/>
        <v>41706.096527779031</v>
      </c>
      <c r="K637" s="435" t="e">
        <f t="shared" ca="1" si="547"/>
        <v>#NAME?</v>
      </c>
      <c r="L637" s="435" t="e">
        <f t="shared" ca="1" si="590"/>
        <v>#NAME?</v>
      </c>
      <c r="M637" s="664" t="e">
        <f t="shared" ca="1" si="588"/>
        <v>#NAME?</v>
      </c>
      <c r="N637" s="664" t="e">
        <f t="shared" ca="1" si="589"/>
        <v>#NAME?</v>
      </c>
      <c r="O637" s="140" t="e">
        <f t="shared" ca="1" si="535"/>
        <v>#NAME?</v>
      </c>
      <c r="P637" s="352" t="e">
        <f t="shared" ca="1" si="548"/>
        <v>#NAME?</v>
      </c>
      <c r="Q637" s="665" t="e">
        <f t="shared" ca="1" si="529"/>
        <v>#NAME?</v>
      </c>
      <c r="R637" s="352" t="e">
        <f t="shared" ca="1" si="561"/>
        <v>#NAME?</v>
      </c>
      <c r="S637" s="662" t="e">
        <f t="shared" ca="1" si="536"/>
        <v>#NAME?</v>
      </c>
      <c r="T637" s="443" t="e">
        <f t="shared" ca="1" si="530"/>
        <v>#NAME?</v>
      </c>
      <c r="U637" s="369" t="e">
        <f t="shared" ca="1" si="531"/>
        <v>#NAME?</v>
      </c>
      <c r="V637" s="454" t="e">
        <f t="shared" ca="1" si="537"/>
        <v>#NAME?</v>
      </c>
      <c r="W637" s="457">
        <f t="shared" si="538"/>
        <v>1000</v>
      </c>
      <c r="X637" s="463" t="e">
        <f t="shared" ca="1" si="539"/>
        <v>#NAME?</v>
      </c>
      <c r="Y637" s="455" t="e">
        <f t="shared" ca="1" si="549"/>
        <v>#NAME?</v>
      </c>
      <c r="Z637" s="699">
        <f t="shared" si="532"/>
        <v>8.5</v>
      </c>
      <c r="AA637" s="355" t="str">
        <f t="shared" si="533"/>
        <v>ON</v>
      </c>
      <c r="AB637" s="357">
        <f t="shared" si="562"/>
        <v>1.4999999999999999E-2</v>
      </c>
      <c r="AC637" s="356" t="e">
        <f ca="1">IF(  Y636=0,0,IF(OR(S637="KCAS",S637="INOP",S637="MEFE"),   ( (5*( (   (((1+0.2*(T637/661.4786)^2)^3.5 -1)  )/( (1-6.8755856*10^-6 *100*Y637)^5.2558797) +1)^(2/7) -1) )^0.5),IF(S637="MACH",T637, IF(S637="LRC",BicubicInterpolation( 'LRC Mach'!$C$4:$AL$21, Y637,U637),  IF(S637="MRC",BicubicInterpolation( 'MRC Mach'!$C$3:$T$18, Y637,U637),  IF(S637="M0.84",0.84,  IF(S637="CI52",BicubicInterpolation('CI=52 Mach'!$C$3:$T$18, Y637,U637),  IF(S637="HOLDING",BicubicInterpolation(  'Holding Mach'!$C$4:$M$13, Y637,U637),                         IF(S637="LRCINOP", BicubicInterpolation('LRC INOP Mach'!$C$4:$AA$21,Y637,U637), IF(S637="HOLDINGINOP",  BicubicInterpolation('Holding INOP Mach'!$N$4:$U$13,Y637,U637),         "XXX" )))))))   )))</f>
        <v>#NAME?</v>
      </c>
      <c r="AD637" s="313" t="e">
        <f t="shared" ca="1" si="563"/>
        <v>#NAME?</v>
      </c>
      <c r="AE637" s="314" t="e">
        <f t="shared" ca="1" si="550"/>
        <v>#NAME?</v>
      </c>
      <c r="AF637" s="313" t="e">
        <f t="shared" ca="1" si="564"/>
        <v>#NAME?</v>
      </c>
      <c r="AG637" s="314" t="e">
        <f t="shared" ca="1" si="551"/>
        <v>#NAME?</v>
      </c>
      <c r="AH637" s="313" t="e">
        <f t="shared" ca="1" si="565"/>
        <v>#NAME?</v>
      </c>
      <c r="AI637" s="314" t="e">
        <f t="shared" ca="1" si="552"/>
        <v>#NAME?</v>
      </c>
      <c r="AJ637" s="315" t="e">
        <f t="shared" ca="1" si="553"/>
        <v>#NAME?</v>
      </c>
      <c r="AK637" s="568" t="e">
        <f t="shared" ca="1" si="566"/>
        <v>#NAME?</v>
      </c>
      <c r="AL637" s="313" t="e">
        <f t="shared" ca="1" si="567"/>
        <v>#NAME?</v>
      </c>
      <c r="AM637" s="313" t="e">
        <f t="shared" ca="1" si="554"/>
        <v>#NAME?</v>
      </c>
      <c r="AN637" s="313" t="e">
        <f t="shared" ca="1" si="555"/>
        <v>#NAME?</v>
      </c>
      <c r="AO637" s="316" t="e">
        <f t="shared" ca="1" si="568"/>
        <v>#NAME?</v>
      </c>
      <c r="AP637" s="313" t="e">
        <f t="shared" ca="1" si="569"/>
        <v>#NAME?</v>
      </c>
      <c r="AQ637" s="314" t="e">
        <f t="shared" ca="1" si="556"/>
        <v>#NAME?</v>
      </c>
      <c r="AR637" s="315" t="e">
        <f t="shared" ca="1" si="570"/>
        <v>#NAME?</v>
      </c>
      <c r="AS637" s="316" t="e">
        <f t="shared" ca="1" si="571"/>
        <v>#NAME?</v>
      </c>
      <c r="AT637" s="315" t="e">
        <f t="shared" ca="1" si="572"/>
        <v>#NAME?</v>
      </c>
      <c r="AU637" s="317">
        <v>427.8</v>
      </c>
      <c r="AV637" s="315" t="e">
        <f t="shared" ca="1" si="573"/>
        <v>#NAME?</v>
      </c>
      <c r="AW637" s="318" t="e">
        <f ca="1">0.0001*BicubicInterpolation('Drag Coef Table'!$B$4:$L$28,AV637,AC637)</f>
        <v>#NAME?</v>
      </c>
      <c r="AX637" s="319" t="e">
        <f t="shared" ca="1" si="574"/>
        <v>#NAME?</v>
      </c>
      <c r="AY637" s="318" t="e">
        <f t="shared" ca="1" si="575"/>
        <v>#NAME?</v>
      </c>
      <c r="AZ637" s="320" t="e">
        <f t="shared" ca="1" si="576"/>
        <v>#NAME?</v>
      </c>
      <c r="BA637" s="321" t="e">
        <f t="shared" ca="1" si="577"/>
        <v>#NAME?</v>
      </c>
      <c r="BB637" s="322" t="e">
        <f t="shared" ca="1" si="578"/>
        <v>#NAME?</v>
      </c>
      <c r="BC637" s="323">
        <v>75.196700000000007</v>
      </c>
      <c r="BD637" s="324" t="e">
        <f t="shared" ca="1" si="579"/>
        <v>#NAME?</v>
      </c>
      <c r="BE637" s="325" t="e">
        <f t="shared" ca="1" si="580"/>
        <v>#NAME?</v>
      </c>
      <c r="BF637" s="324" t="e">
        <f ca="1">BicubicInterpolation('TSFC Eff Table'!$B$4:$E$69,2,BB637)</f>
        <v>#NAME?</v>
      </c>
      <c r="BG637" s="326" t="e">
        <f t="shared" ca="1" si="581"/>
        <v>#NAME?</v>
      </c>
      <c r="BH637" s="694" t="e">
        <f ca="1">IF( S637="LRCINOP",   (1+(0.03/10)*Z637*(1+0.2*AC637^2) )*BicubicInterpolation( 'LRC INOP FF'!$C$4:$AA$21, Y637, U637 )-200, IF(S637 ="HOLDINGINOP", (1+(0.03/10)*Z637*(1+0.2*AC637^2) )*BicubicInterpolation( 'Holding INOP FF'!$C$4:$J$13,  Y637,  U637)/1.05-200,   BA637*BG637))</f>
        <v>#NAME?</v>
      </c>
      <c r="BI637" s="344" t="e">
        <f t="shared" ca="1" si="540"/>
        <v>#NAME?</v>
      </c>
      <c r="BJ637" s="322" t="e">
        <f t="shared" ca="1" si="582"/>
        <v>#NAME?</v>
      </c>
      <c r="BK637" s="338" t="e">
        <f t="shared" ca="1" si="541"/>
        <v>#NAME?</v>
      </c>
      <c r="BL637" s="327" t="e">
        <f t="shared" ca="1" si="583"/>
        <v>#NAME?</v>
      </c>
      <c r="BM637" s="328">
        <f t="shared" si="584"/>
        <v>200</v>
      </c>
      <c r="BN637" s="329" t="e">
        <f t="shared" ca="1" si="585"/>
        <v>#NAME?</v>
      </c>
      <c r="BO637" s="344" t="e">
        <f t="shared" ca="1" si="542"/>
        <v>#NAME?</v>
      </c>
      <c r="BP637" s="320" t="e">
        <f t="shared" ca="1" si="586"/>
        <v>#NAME?</v>
      </c>
      <c r="BQ637" s="344" t="e">
        <f t="shared" ca="1" si="543"/>
        <v>#NAME?</v>
      </c>
      <c r="BR637" s="347" t="e">
        <f t="shared" ca="1" si="544"/>
        <v>#NAME?</v>
      </c>
      <c r="BS637" s="326" t="e">
        <f t="shared" ca="1" si="587"/>
        <v>#NAME?</v>
      </c>
      <c r="BT637" s="437" t="e">
        <f t="shared" ca="1" si="557"/>
        <v>#NAME?</v>
      </c>
      <c r="BU637" s="437" t="e">
        <f t="shared" ca="1" si="558"/>
        <v>#NAME?</v>
      </c>
      <c r="BV637" s="441" t="e">
        <f t="shared" ca="1" si="559"/>
        <v>#NAME?</v>
      </c>
      <c r="BW637" s="442" t="e">
        <f t="shared" ca="1" si="560"/>
        <v>#NAME?</v>
      </c>
      <c r="BX637" s="470" t="e">
        <f t="shared" ca="1" si="534"/>
        <v>#NAME?</v>
      </c>
      <c r="BY637" s="484" t="e">
        <f t="shared" ca="1" si="545"/>
        <v>#NAME?</v>
      </c>
    </row>
    <row r="638" spans="9:77" ht="17.75" customHeight="1" x14ac:dyDescent="0.2">
      <c r="I638" s="366">
        <v>554</v>
      </c>
      <c r="J638" s="414">
        <f t="shared" si="546"/>
        <v>41706.097222223478</v>
      </c>
      <c r="K638" s="435" t="e">
        <f t="shared" ca="1" si="547"/>
        <v>#NAME?</v>
      </c>
      <c r="L638" s="435" t="e">
        <f t="shared" ca="1" si="590"/>
        <v>#NAME?</v>
      </c>
      <c r="M638" s="664" t="e">
        <f t="shared" ca="1" si="588"/>
        <v>#NAME?</v>
      </c>
      <c r="N638" s="664" t="e">
        <f t="shared" ca="1" si="589"/>
        <v>#NAME?</v>
      </c>
      <c r="O638" s="140" t="e">
        <f t="shared" ca="1" si="535"/>
        <v>#NAME?</v>
      </c>
      <c r="P638" s="352" t="e">
        <f t="shared" ca="1" si="548"/>
        <v>#NAME?</v>
      </c>
      <c r="Q638" s="665" t="e">
        <f t="shared" ca="1" si="529"/>
        <v>#NAME?</v>
      </c>
      <c r="R638" s="352" t="e">
        <f t="shared" ca="1" si="561"/>
        <v>#NAME?</v>
      </c>
      <c r="S638" s="662" t="e">
        <f t="shared" ca="1" si="536"/>
        <v>#NAME?</v>
      </c>
      <c r="T638" s="443" t="e">
        <f t="shared" ca="1" si="530"/>
        <v>#NAME?</v>
      </c>
      <c r="U638" s="369" t="e">
        <f t="shared" ca="1" si="531"/>
        <v>#NAME?</v>
      </c>
      <c r="V638" s="454" t="e">
        <f t="shared" ca="1" si="537"/>
        <v>#NAME?</v>
      </c>
      <c r="W638" s="457">
        <f t="shared" si="538"/>
        <v>1000</v>
      </c>
      <c r="X638" s="463" t="e">
        <f t="shared" ca="1" si="539"/>
        <v>#NAME?</v>
      </c>
      <c r="Y638" s="455" t="e">
        <f t="shared" ca="1" si="549"/>
        <v>#NAME?</v>
      </c>
      <c r="Z638" s="699">
        <f t="shared" si="532"/>
        <v>8.5</v>
      </c>
      <c r="AA638" s="355" t="str">
        <f t="shared" si="533"/>
        <v>ON</v>
      </c>
      <c r="AB638" s="357">
        <f t="shared" si="562"/>
        <v>1.4999999999999999E-2</v>
      </c>
      <c r="AC638" s="356" t="e">
        <f ca="1">IF(  Y637=0,0,IF(OR(S638="KCAS",S638="INOP",S638="MEFE"),   ( (5*( (   (((1+0.2*(T638/661.4786)^2)^3.5 -1)  )/( (1-6.8755856*10^-6 *100*Y638)^5.2558797) +1)^(2/7) -1) )^0.5),IF(S638="MACH",T638, IF(S638="LRC",BicubicInterpolation( 'LRC Mach'!$C$4:$AL$21, Y638,U638),  IF(S638="MRC",BicubicInterpolation( 'MRC Mach'!$C$3:$T$18, Y638,U638),  IF(S638="M0.84",0.84,  IF(S638="CI52",BicubicInterpolation('CI=52 Mach'!$C$3:$T$18, Y638,U638),  IF(S638="HOLDING",BicubicInterpolation(  'Holding Mach'!$C$4:$M$13, Y638,U638),                         IF(S638="LRCINOP", BicubicInterpolation('LRC INOP Mach'!$C$4:$AA$21,Y638,U638), IF(S638="HOLDINGINOP",  BicubicInterpolation('Holding INOP Mach'!$N$4:$U$13,Y638,U638),         "XXX" )))))))   )))</f>
        <v>#NAME?</v>
      </c>
      <c r="AD638" s="313" t="e">
        <f t="shared" ca="1" si="563"/>
        <v>#NAME?</v>
      </c>
      <c r="AE638" s="314" t="e">
        <f t="shared" ca="1" si="550"/>
        <v>#NAME?</v>
      </c>
      <c r="AF638" s="313" t="e">
        <f t="shared" ca="1" si="564"/>
        <v>#NAME?</v>
      </c>
      <c r="AG638" s="314" t="e">
        <f t="shared" ca="1" si="551"/>
        <v>#NAME?</v>
      </c>
      <c r="AH638" s="313" t="e">
        <f t="shared" ca="1" si="565"/>
        <v>#NAME?</v>
      </c>
      <c r="AI638" s="314" t="e">
        <f t="shared" ca="1" si="552"/>
        <v>#NAME?</v>
      </c>
      <c r="AJ638" s="315" t="e">
        <f t="shared" ca="1" si="553"/>
        <v>#NAME?</v>
      </c>
      <c r="AK638" s="568" t="e">
        <f t="shared" ca="1" si="566"/>
        <v>#NAME?</v>
      </c>
      <c r="AL638" s="313" t="e">
        <f t="shared" ca="1" si="567"/>
        <v>#NAME?</v>
      </c>
      <c r="AM638" s="313" t="e">
        <f t="shared" ca="1" si="554"/>
        <v>#NAME?</v>
      </c>
      <c r="AN638" s="313" t="e">
        <f t="shared" ca="1" si="555"/>
        <v>#NAME?</v>
      </c>
      <c r="AO638" s="316" t="e">
        <f t="shared" ca="1" si="568"/>
        <v>#NAME?</v>
      </c>
      <c r="AP638" s="313" t="e">
        <f t="shared" ca="1" si="569"/>
        <v>#NAME?</v>
      </c>
      <c r="AQ638" s="314" t="e">
        <f t="shared" ca="1" si="556"/>
        <v>#NAME?</v>
      </c>
      <c r="AR638" s="315" t="e">
        <f t="shared" ca="1" si="570"/>
        <v>#NAME?</v>
      </c>
      <c r="AS638" s="316" t="e">
        <f t="shared" ca="1" si="571"/>
        <v>#NAME?</v>
      </c>
      <c r="AT638" s="315" t="e">
        <f t="shared" ca="1" si="572"/>
        <v>#NAME?</v>
      </c>
      <c r="AU638" s="317">
        <v>427.8</v>
      </c>
      <c r="AV638" s="315" t="e">
        <f t="shared" ca="1" si="573"/>
        <v>#NAME?</v>
      </c>
      <c r="AW638" s="318" t="e">
        <f ca="1">0.0001*BicubicInterpolation('Drag Coef Table'!$B$4:$L$28,AV638,AC638)</f>
        <v>#NAME?</v>
      </c>
      <c r="AX638" s="319" t="e">
        <f t="shared" ca="1" si="574"/>
        <v>#NAME?</v>
      </c>
      <c r="AY638" s="318" t="e">
        <f t="shared" ca="1" si="575"/>
        <v>#NAME?</v>
      </c>
      <c r="AZ638" s="320" t="e">
        <f t="shared" ca="1" si="576"/>
        <v>#NAME?</v>
      </c>
      <c r="BA638" s="321" t="e">
        <f t="shared" ca="1" si="577"/>
        <v>#NAME?</v>
      </c>
      <c r="BB638" s="322" t="e">
        <f t="shared" ca="1" si="578"/>
        <v>#NAME?</v>
      </c>
      <c r="BC638" s="323">
        <v>75.196700000000007</v>
      </c>
      <c r="BD638" s="324" t="e">
        <f t="shared" ca="1" si="579"/>
        <v>#NAME?</v>
      </c>
      <c r="BE638" s="325" t="e">
        <f t="shared" ca="1" si="580"/>
        <v>#NAME?</v>
      </c>
      <c r="BF638" s="324" t="e">
        <f ca="1">BicubicInterpolation('TSFC Eff Table'!$B$4:$E$69,2,BB638)</f>
        <v>#NAME?</v>
      </c>
      <c r="BG638" s="326" t="e">
        <f t="shared" ca="1" si="581"/>
        <v>#NAME?</v>
      </c>
      <c r="BH638" s="694" t="e">
        <f ca="1">IF( S638="LRCINOP",   (1+(0.03/10)*Z638*(1+0.2*AC638^2) )*BicubicInterpolation( 'LRC INOP FF'!$C$4:$AA$21, Y638, U638 )-200, IF(S638 ="HOLDINGINOP", (1+(0.03/10)*Z638*(1+0.2*AC638^2) )*BicubicInterpolation( 'Holding INOP FF'!$C$4:$J$13,  Y638,  U638)/1.05-200,   BA638*BG638))</f>
        <v>#NAME?</v>
      </c>
      <c r="BI638" s="344" t="e">
        <f t="shared" ca="1" si="540"/>
        <v>#NAME?</v>
      </c>
      <c r="BJ638" s="322" t="e">
        <f t="shared" ca="1" si="582"/>
        <v>#NAME?</v>
      </c>
      <c r="BK638" s="338" t="e">
        <f t="shared" ca="1" si="541"/>
        <v>#NAME?</v>
      </c>
      <c r="BL638" s="327" t="e">
        <f t="shared" ca="1" si="583"/>
        <v>#NAME?</v>
      </c>
      <c r="BM638" s="328">
        <f t="shared" si="584"/>
        <v>200</v>
      </c>
      <c r="BN638" s="329" t="e">
        <f t="shared" ca="1" si="585"/>
        <v>#NAME?</v>
      </c>
      <c r="BO638" s="344" t="e">
        <f t="shared" ca="1" si="542"/>
        <v>#NAME?</v>
      </c>
      <c r="BP638" s="320" t="e">
        <f t="shared" ca="1" si="586"/>
        <v>#NAME?</v>
      </c>
      <c r="BQ638" s="344" t="e">
        <f t="shared" ca="1" si="543"/>
        <v>#NAME?</v>
      </c>
      <c r="BR638" s="347" t="e">
        <f t="shared" ca="1" si="544"/>
        <v>#NAME?</v>
      </c>
      <c r="BS638" s="326" t="e">
        <f t="shared" ca="1" si="587"/>
        <v>#NAME?</v>
      </c>
      <c r="BT638" s="437" t="e">
        <f t="shared" ca="1" si="557"/>
        <v>#NAME?</v>
      </c>
      <c r="BU638" s="437" t="e">
        <f t="shared" ca="1" si="558"/>
        <v>#NAME?</v>
      </c>
      <c r="BV638" s="441" t="e">
        <f t="shared" ca="1" si="559"/>
        <v>#NAME?</v>
      </c>
      <c r="BW638" s="442" t="e">
        <f t="shared" ca="1" si="560"/>
        <v>#NAME?</v>
      </c>
      <c r="BX638" s="470" t="e">
        <f t="shared" ca="1" si="534"/>
        <v>#NAME?</v>
      </c>
      <c r="BY638" s="484" t="e">
        <f t="shared" ca="1" si="545"/>
        <v>#NAME?</v>
      </c>
    </row>
    <row r="639" spans="9:77" ht="17.75" customHeight="1" x14ac:dyDescent="0.2">
      <c r="I639" s="366">
        <v>555</v>
      </c>
      <c r="J639" s="414">
        <f t="shared" si="546"/>
        <v>41706.097916667924</v>
      </c>
      <c r="K639" s="435" t="e">
        <f t="shared" ca="1" si="547"/>
        <v>#NAME?</v>
      </c>
      <c r="L639" s="435" t="e">
        <f t="shared" ca="1" si="590"/>
        <v>#NAME?</v>
      </c>
      <c r="M639" s="664" t="e">
        <f t="shared" ca="1" si="588"/>
        <v>#NAME?</v>
      </c>
      <c r="N639" s="664" t="e">
        <f t="shared" ca="1" si="589"/>
        <v>#NAME?</v>
      </c>
      <c r="O639" s="140" t="e">
        <f t="shared" ca="1" si="535"/>
        <v>#NAME?</v>
      </c>
      <c r="P639" s="352" t="e">
        <f t="shared" ca="1" si="548"/>
        <v>#NAME?</v>
      </c>
      <c r="Q639" s="665" t="e">
        <f t="shared" ca="1" si="529"/>
        <v>#NAME?</v>
      </c>
      <c r="R639" s="352" t="e">
        <f t="shared" ca="1" si="561"/>
        <v>#NAME?</v>
      </c>
      <c r="S639" s="662" t="e">
        <f t="shared" ca="1" si="536"/>
        <v>#NAME?</v>
      </c>
      <c r="T639" s="443" t="e">
        <f t="shared" ca="1" si="530"/>
        <v>#NAME?</v>
      </c>
      <c r="U639" s="369" t="e">
        <f t="shared" ca="1" si="531"/>
        <v>#NAME?</v>
      </c>
      <c r="V639" s="454" t="e">
        <f t="shared" ca="1" si="537"/>
        <v>#NAME?</v>
      </c>
      <c r="W639" s="457">
        <f t="shared" si="538"/>
        <v>1000</v>
      </c>
      <c r="X639" s="463" t="e">
        <f t="shared" ca="1" si="539"/>
        <v>#NAME?</v>
      </c>
      <c r="Y639" s="455" t="e">
        <f t="shared" ca="1" si="549"/>
        <v>#NAME?</v>
      </c>
      <c r="Z639" s="699">
        <f t="shared" si="532"/>
        <v>8.5</v>
      </c>
      <c r="AA639" s="355" t="str">
        <f t="shared" si="533"/>
        <v>ON</v>
      </c>
      <c r="AB639" s="357">
        <f t="shared" si="562"/>
        <v>1.4999999999999999E-2</v>
      </c>
      <c r="AC639" s="356" t="e">
        <f ca="1">IF(  Y638=0,0,IF(OR(S639="KCAS",S639="INOP",S639="MEFE"),   ( (5*( (   (((1+0.2*(T639/661.4786)^2)^3.5 -1)  )/( (1-6.8755856*10^-6 *100*Y639)^5.2558797) +1)^(2/7) -1) )^0.5),IF(S639="MACH",T639, IF(S639="LRC",BicubicInterpolation( 'LRC Mach'!$C$4:$AL$21, Y639,U639),  IF(S639="MRC",BicubicInterpolation( 'MRC Mach'!$C$3:$T$18, Y639,U639),  IF(S639="M0.84",0.84,  IF(S639="CI52",BicubicInterpolation('CI=52 Mach'!$C$3:$T$18, Y639,U639),  IF(S639="HOLDING",BicubicInterpolation(  'Holding Mach'!$C$4:$M$13, Y639,U639),                         IF(S639="LRCINOP", BicubicInterpolation('LRC INOP Mach'!$C$4:$AA$21,Y639,U639), IF(S639="HOLDINGINOP",  BicubicInterpolation('Holding INOP Mach'!$N$4:$U$13,Y639,U639),         "XXX" )))))))   )))</f>
        <v>#NAME?</v>
      </c>
      <c r="AD639" s="313" t="e">
        <f t="shared" ca="1" si="563"/>
        <v>#NAME?</v>
      </c>
      <c r="AE639" s="314" t="e">
        <f t="shared" ca="1" si="550"/>
        <v>#NAME?</v>
      </c>
      <c r="AF639" s="313" t="e">
        <f t="shared" ca="1" si="564"/>
        <v>#NAME?</v>
      </c>
      <c r="AG639" s="314" t="e">
        <f t="shared" ca="1" si="551"/>
        <v>#NAME?</v>
      </c>
      <c r="AH639" s="313" t="e">
        <f t="shared" ca="1" si="565"/>
        <v>#NAME?</v>
      </c>
      <c r="AI639" s="314" t="e">
        <f t="shared" ca="1" si="552"/>
        <v>#NAME?</v>
      </c>
      <c r="AJ639" s="315" t="e">
        <f t="shared" ca="1" si="553"/>
        <v>#NAME?</v>
      </c>
      <c r="AK639" s="568" t="e">
        <f t="shared" ca="1" si="566"/>
        <v>#NAME?</v>
      </c>
      <c r="AL639" s="313" t="e">
        <f t="shared" ca="1" si="567"/>
        <v>#NAME?</v>
      </c>
      <c r="AM639" s="313" t="e">
        <f t="shared" ca="1" si="554"/>
        <v>#NAME?</v>
      </c>
      <c r="AN639" s="313" t="e">
        <f t="shared" ca="1" si="555"/>
        <v>#NAME?</v>
      </c>
      <c r="AO639" s="316" t="e">
        <f t="shared" ca="1" si="568"/>
        <v>#NAME?</v>
      </c>
      <c r="AP639" s="313" t="e">
        <f t="shared" ca="1" si="569"/>
        <v>#NAME?</v>
      </c>
      <c r="AQ639" s="314" t="e">
        <f t="shared" ca="1" si="556"/>
        <v>#NAME?</v>
      </c>
      <c r="AR639" s="315" t="e">
        <f t="shared" ca="1" si="570"/>
        <v>#NAME?</v>
      </c>
      <c r="AS639" s="316" t="e">
        <f t="shared" ca="1" si="571"/>
        <v>#NAME?</v>
      </c>
      <c r="AT639" s="315" t="e">
        <f t="shared" ca="1" si="572"/>
        <v>#NAME?</v>
      </c>
      <c r="AU639" s="317">
        <v>427.8</v>
      </c>
      <c r="AV639" s="315" t="e">
        <f t="shared" ca="1" si="573"/>
        <v>#NAME?</v>
      </c>
      <c r="AW639" s="318" t="e">
        <f ca="1">0.0001*BicubicInterpolation('Drag Coef Table'!$B$4:$L$28,AV639,AC639)</f>
        <v>#NAME?</v>
      </c>
      <c r="AX639" s="319" t="e">
        <f t="shared" ca="1" si="574"/>
        <v>#NAME?</v>
      </c>
      <c r="AY639" s="318" t="e">
        <f t="shared" ca="1" si="575"/>
        <v>#NAME?</v>
      </c>
      <c r="AZ639" s="320" t="e">
        <f t="shared" ca="1" si="576"/>
        <v>#NAME?</v>
      </c>
      <c r="BA639" s="321" t="e">
        <f t="shared" ca="1" si="577"/>
        <v>#NAME?</v>
      </c>
      <c r="BB639" s="322" t="e">
        <f t="shared" ca="1" si="578"/>
        <v>#NAME?</v>
      </c>
      <c r="BC639" s="323">
        <v>75.196700000000007</v>
      </c>
      <c r="BD639" s="324" t="e">
        <f t="shared" ca="1" si="579"/>
        <v>#NAME?</v>
      </c>
      <c r="BE639" s="325" t="e">
        <f t="shared" ca="1" si="580"/>
        <v>#NAME?</v>
      </c>
      <c r="BF639" s="324" t="e">
        <f ca="1">BicubicInterpolation('TSFC Eff Table'!$B$4:$E$69,2,BB639)</f>
        <v>#NAME?</v>
      </c>
      <c r="BG639" s="326" t="e">
        <f t="shared" ca="1" si="581"/>
        <v>#NAME?</v>
      </c>
      <c r="BH639" s="694" t="e">
        <f ca="1">IF( S639="LRCINOP",   (1+(0.03/10)*Z639*(1+0.2*AC639^2) )*BicubicInterpolation( 'LRC INOP FF'!$C$4:$AA$21, Y639, U639 )-200, IF(S639 ="HOLDINGINOP", (1+(0.03/10)*Z639*(1+0.2*AC639^2) )*BicubicInterpolation( 'Holding INOP FF'!$C$4:$J$13,  Y639,  U639)/1.05-200,   BA639*BG639))</f>
        <v>#NAME?</v>
      </c>
      <c r="BI639" s="344" t="e">
        <f t="shared" ca="1" si="540"/>
        <v>#NAME?</v>
      </c>
      <c r="BJ639" s="322" t="e">
        <f t="shared" ca="1" si="582"/>
        <v>#NAME?</v>
      </c>
      <c r="BK639" s="338" t="e">
        <f t="shared" ca="1" si="541"/>
        <v>#NAME?</v>
      </c>
      <c r="BL639" s="327" t="e">
        <f t="shared" ca="1" si="583"/>
        <v>#NAME?</v>
      </c>
      <c r="BM639" s="328">
        <f t="shared" si="584"/>
        <v>200</v>
      </c>
      <c r="BN639" s="329" t="e">
        <f t="shared" ca="1" si="585"/>
        <v>#NAME?</v>
      </c>
      <c r="BO639" s="344" t="e">
        <f t="shared" ca="1" si="542"/>
        <v>#NAME?</v>
      </c>
      <c r="BP639" s="320" t="e">
        <f t="shared" ca="1" si="586"/>
        <v>#NAME?</v>
      </c>
      <c r="BQ639" s="344" t="e">
        <f t="shared" ca="1" si="543"/>
        <v>#NAME?</v>
      </c>
      <c r="BR639" s="347" t="e">
        <f t="shared" ca="1" si="544"/>
        <v>#NAME?</v>
      </c>
      <c r="BS639" s="326" t="e">
        <f t="shared" ca="1" si="587"/>
        <v>#NAME?</v>
      </c>
      <c r="BT639" s="437" t="e">
        <f t="shared" ca="1" si="557"/>
        <v>#NAME?</v>
      </c>
      <c r="BU639" s="437" t="e">
        <f t="shared" ca="1" si="558"/>
        <v>#NAME?</v>
      </c>
      <c r="BV639" s="441" t="e">
        <f t="shared" ca="1" si="559"/>
        <v>#NAME?</v>
      </c>
      <c r="BW639" s="442" t="e">
        <f t="shared" ca="1" si="560"/>
        <v>#NAME?</v>
      </c>
      <c r="BX639" s="470" t="e">
        <f t="shared" ca="1" si="534"/>
        <v>#NAME?</v>
      </c>
      <c r="BY639" s="484" t="e">
        <f t="shared" ca="1" si="545"/>
        <v>#NAME?</v>
      </c>
    </row>
    <row r="640" spans="9:77" ht="17.75" customHeight="1" x14ac:dyDescent="0.2">
      <c r="I640" s="366">
        <v>556</v>
      </c>
      <c r="J640" s="414">
        <f t="shared" si="546"/>
        <v>41706.098611112371</v>
      </c>
      <c r="K640" s="435" t="e">
        <f t="shared" ca="1" si="547"/>
        <v>#NAME?</v>
      </c>
      <c r="L640" s="435" t="e">
        <f t="shared" ca="1" si="590"/>
        <v>#NAME?</v>
      </c>
      <c r="M640" s="664" t="e">
        <f t="shared" ca="1" si="588"/>
        <v>#NAME?</v>
      </c>
      <c r="N640" s="664" t="e">
        <f t="shared" ca="1" si="589"/>
        <v>#NAME?</v>
      </c>
      <c r="O640" s="140" t="e">
        <f t="shared" ca="1" si="535"/>
        <v>#NAME?</v>
      </c>
      <c r="P640" s="352" t="e">
        <f t="shared" ca="1" si="548"/>
        <v>#NAME?</v>
      </c>
      <c r="Q640" s="665" t="e">
        <f t="shared" ca="1" si="529"/>
        <v>#NAME?</v>
      </c>
      <c r="R640" s="352" t="e">
        <f t="shared" ca="1" si="561"/>
        <v>#NAME?</v>
      </c>
      <c r="S640" s="662" t="e">
        <f t="shared" ca="1" si="536"/>
        <v>#NAME?</v>
      </c>
      <c r="T640" s="443" t="e">
        <f t="shared" ca="1" si="530"/>
        <v>#NAME?</v>
      </c>
      <c r="U640" s="369" t="e">
        <f t="shared" ca="1" si="531"/>
        <v>#NAME?</v>
      </c>
      <c r="V640" s="454" t="e">
        <f t="shared" ca="1" si="537"/>
        <v>#NAME?</v>
      </c>
      <c r="W640" s="457">
        <f t="shared" si="538"/>
        <v>1000</v>
      </c>
      <c r="X640" s="463" t="e">
        <f t="shared" ca="1" si="539"/>
        <v>#NAME?</v>
      </c>
      <c r="Y640" s="455" t="e">
        <f t="shared" ca="1" si="549"/>
        <v>#NAME?</v>
      </c>
      <c r="Z640" s="699">
        <f t="shared" si="532"/>
        <v>8.5</v>
      </c>
      <c r="AA640" s="355" t="str">
        <f t="shared" si="533"/>
        <v>ON</v>
      </c>
      <c r="AB640" s="357">
        <f t="shared" si="562"/>
        <v>1.4999999999999999E-2</v>
      </c>
      <c r="AC640" s="356" t="e">
        <f ca="1">IF(  Y639=0,0,IF(OR(S640="KCAS",S640="INOP",S640="MEFE"),   ( (5*( (   (((1+0.2*(T640/661.4786)^2)^3.5 -1)  )/( (1-6.8755856*10^-6 *100*Y640)^5.2558797) +1)^(2/7) -1) )^0.5),IF(S640="MACH",T640, IF(S640="LRC",BicubicInterpolation( 'LRC Mach'!$C$4:$AL$21, Y640,U640),  IF(S640="MRC",BicubicInterpolation( 'MRC Mach'!$C$3:$T$18, Y640,U640),  IF(S640="M0.84",0.84,  IF(S640="CI52",BicubicInterpolation('CI=52 Mach'!$C$3:$T$18, Y640,U640),  IF(S640="HOLDING",BicubicInterpolation(  'Holding Mach'!$C$4:$M$13, Y640,U640),                         IF(S640="LRCINOP", BicubicInterpolation('LRC INOP Mach'!$C$4:$AA$21,Y640,U640), IF(S640="HOLDINGINOP",  BicubicInterpolation('Holding INOP Mach'!$N$4:$U$13,Y640,U640),         "XXX" )))))))   )))</f>
        <v>#NAME?</v>
      </c>
      <c r="AD640" s="313" t="e">
        <f t="shared" ca="1" si="563"/>
        <v>#NAME?</v>
      </c>
      <c r="AE640" s="314" t="e">
        <f t="shared" ca="1" si="550"/>
        <v>#NAME?</v>
      </c>
      <c r="AF640" s="313" t="e">
        <f t="shared" ca="1" si="564"/>
        <v>#NAME?</v>
      </c>
      <c r="AG640" s="314" t="e">
        <f t="shared" ca="1" si="551"/>
        <v>#NAME?</v>
      </c>
      <c r="AH640" s="313" t="e">
        <f t="shared" ca="1" si="565"/>
        <v>#NAME?</v>
      </c>
      <c r="AI640" s="314" t="e">
        <f t="shared" ca="1" si="552"/>
        <v>#NAME?</v>
      </c>
      <c r="AJ640" s="315" t="e">
        <f t="shared" ca="1" si="553"/>
        <v>#NAME?</v>
      </c>
      <c r="AK640" s="568" t="e">
        <f t="shared" ca="1" si="566"/>
        <v>#NAME?</v>
      </c>
      <c r="AL640" s="313" t="e">
        <f t="shared" ca="1" si="567"/>
        <v>#NAME?</v>
      </c>
      <c r="AM640" s="313" t="e">
        <f t="shared" ca="1" si="554"/>
        <v>#NAME?</v>
      </c>
      <c r="AN640" s="313" t="e">
        <f t="shared" ca="1" si="555"/>
        <v>#NAME?</v>
      </c>
      <c r="AO640" s="316" t="e">
        <f t="shared" ca="1" si="568"/>
        <v>#NAME?</v>
      </c>
      <c r="AP640" s="313" t="e">
        <f t="shared" ca="1" si="569"/>
        <v>#NAME?</v>
      </c>
      <c r="AQ640" s="314" t="e">
        <f t="shared" ca="1" si="556"/>
        <v>#NAME?</v>
      </c>
      <c r="AR640" s="315" t="e">
        <f t="shared" ca="1" si="570"/>
        <v>#NAME?</v>
      </c>
      <c r="AS640" s="316" t="e">
        <f t="shared" ca="1" si="571"/>
        <v>#NAME?</v>
      </c>
      <c r="AT640" s="315" t="e">
        <f t="shared" ca="1" si="572"/>
        <v>#NAME?</v>
      </c>
      <c r="AU640" s="317">
        <v>427.8</v>
      </c>
      <c r="AV640" s="315" t="e">
        <f t="shared" ca="1" si="573"/>
        <v>#NAME?</v>
      </c>
      <c r="AW640" s="318" t="e">
        <f ca="1">0.0001*BicubicInterpolation('Drag Coef Table'!$B$4:$L$28,AV640,AC640)</f>
        <v>#NAME?</v>
      </c>
      <c r="AX640" s="319" t="e">
        <f t="shared" ca="1" si="574"/>
        <v>#NAME?</v>
      </c>
      <c r="AY640" s="318" t="e">
        <f t="shared" ca="1" si="575"/>
        <v>#NAME?</v>
      </c>
      <c r="AZ640" s="320" t="e">
        <f t="shared" ca="1" si="576"/>
        <v>#NAME?</v>
      </c>
      <c r="BA640" s="321" t="e">
        <f t="shared" ca="1" si="577"/>
        <v>#NAME?</v>
      </c>
      <c r="BB640" s="322" t="e">
        <f t="shared" ca="1" si="578"/>
        <v>#NAME?</v>
      </c>
      <c r="BC640" s="323">
        <v>75.196700000000007</v>
      </c>
      <c r="BD640" s="324" t="e">
        <f t="shared" ca="1" si="579"/>
        <v>#NAME?</v>
      </c>
      <c r="BE640" s="325" t="e">
        <f t="shared" ca="1" si="580"/>
        <v>#NAME?</v>
      </c>
      <c r="BF640" s="324" t="e">
        <f ca="1">BicubicInterpolation('TSFC Eff Table'!$B$4:$E$69,2,BB640)</f>
        <v>#NAME?</v>
      </c>
      <c r="BG640" s="326" t="e">
        <f t="shared" ca="1" si="581"/>
        <v>#NAME?</v>
      </c>
      <c r="BH640" s="694" t="e">
        <f ca="1">IF( S640="LRCINOP",   (1+(0.03/10)*Z640*(1+0.2*AC640^2) )*BicubicInterpolation( 'LRC INOP FF'!$C$4:$AA$21, Y640, U640 )-200, IF(S640 ="HOLDINGINOP", (1+(0.03/10)*Z640*(1+0.2*AC640^2) )*BicubicInterpolation( 'Holding INOP FF'!$C$4:$J$13,  Y640,  U640)/1.05-200,   BA640*BG640))</f>
        <v>#NAME?</v>
      </c>
      <c r="BI640" s="344" t="e">
        <f t="shared" ca="1" si="540"/>
        <v>#NAME?</v>
      </c>
      <c r="BJ640" s="322" t="e">
        <f t="shared" ca="1" si="582"/>
        <v>#NAME?</v>
      </c>
      <c r="BK640" s="338" t="e">
        <f t="shared" ca="1" si="541"/>
        <v>#NAME?</v>
      </c>
      <c r="BL640" s="327" t="e">
        <f t="shared" ca="1" si="583"/>
        <v>#NAME?</v>
      </c>
      <c r="BM640" s="328">
        <f t="shared" si="584"/>
        <v>200</v>
      </c>
      <c r="BN640" s="329" t="e">
        <f t="shared" ca="1" si="585"/>
        <v>#NAME?</v>
      </c>
      <c r="BO640" s="344" t="e">
        <f t="shared" ca="1" si="542"/>
        <v>#NAME?</v>
      </c>
      <c r="BP640" s="320" t="e">
        <f t="shared" ca="1" si="586"/>
        <v>#NAME?</v>
      </c>
      <c r="BQ640" s="344" t="e">
        <f t="shared" ca="1" si="543"/>
        <v>#NAME?</v>
      </c>
      <c r="BR640" s="347" t="e">
        <f t="shared" ca="1" si="544"/>
        <v>#NAME?</v>
      </c>
      <c r="BS640" s="326" t="e">
        <f t="shared" ca="1" si="587"/>
        <v>#NAME?</v>
      </c>
      <c r="BT640" s="437" t="e">
        <f t="shared" ca="1" si="557"/>
        <v>#NAME?</v>
      </c>
      <c r="BU640" s="437" t="e">
        <f t="shared" ca="1" si="558"/>
        <v>#NAME?</v>
      </c>
      <c r="BV640" s="441" t="e">
        <f t="shared" ca="1" si="559"/>
        <v>#NAME?</v>
      </c>
      <c r="BW640" s="442" t="e">
        <f t="shared" ca="1" si="560"/>
        <v>#NAME?</v>
      </c>
      <c r="BX640" s="470" t="e">
        <f t="shared" ca="1" si="534"/>
        <v>#NAME?</v>
      </c>
      <c r="BY640" s="484" t="e">
        <f t="shared" ca="1" si="545"/>
        <v>#NAME?</v>
      </c>
    </row>
    <row r="641" spans="9:77" ht="17.75" customHeight="1" x14ac:dyDescent="0.2">
      <c r="I641" s="366">
        <v>557</v>
      </c>
      <c r="J641" s="414">
        <f t="shared" si="546"/>
        <v>41706.099305556818</v>
      </c>
      <c r="K641" s="435" t="e">
        <f t="shared" ca="1" si="547"/>
        <v>#NAME?</v>
      </c>
      <c r="L641" s="435" t="e">
        <f t="shared" ca="1" si="590"/>
        <v>#NAME?</v>
      </c>
      <c r="M641" s="664" t="e">
        <f t="shared" ca="1" si="588"/>
        <v>#NAME?</v>
      </c>
      <c r="N641" s="664" t="e">
        <f t="shared" ca="1" si="589"/>
        <v>#NAME?</v>
      </c>
      <c r="O641" s="140" t="e">
        <f t="shared" ca="1" si="535"/>
        <v>#NAME?</v>
      </c>
      <c r="P641" s="352" t="e">
        <f t="shared" ca="1" si="548"/>
        <v>#NAME?</v>
      </c>
      <c r="Q641" s="665" t="e">
        <f t="shared" ca="1" si="529"/>
        <v>#NAME?</v>
      </c>
      <c r="R641" s="352" t="e">
        <f t="shared" ca="1" si="561"/>
        <v>#NAME?</v>
      </c>
      <c r="S641" s="662" t="e">
        <f t="shared" ca="1" si="536"/>
        <v>#NAME?</v>
      </c>
      <c r="T641" s="443" t="e">
        <f t="shared" ca="1" si="530"/>
        <v>#NAME?</v>
      </c>
      <c r="U641" s="369" t="e">
        <f t="shared" ca="1" si="531"/>
        <v>#NAME?</v>
      </c>
      <c r="V641" s="454" t="e">
        <f t="shared" ca="1" si="537"/>
        <v>#NAME?</v>
      </c>
      <c r="W641" s="457">
        <f t="shared" si="538"/>
        <v>1000</v>
      </c>
      <c r="X641" s="463" t="e">
        <f t="shared" ca="1" si="539"/>
        <v>#NAME?</v>
      </c>
      <c r="Y641" s="455" t="e">
        <f t="shared" ca="1" si="549"/>
        <v>#NAME?</v>
      </c>
      <c r="Z641" s="699">
        <f t="shared" si="532"/>
        <v>8.5</v>
      </c>
      <c r="AA641" s="355" t="str">
        <f t="shared" si="533"/>
        <v>ON</v>
      </c>
      <c r="AB641" s="357">
        <f t="shared" si="562"/>
        <v>1.4999999999999999E-2</v>
      </c>
      <c r="AC641" s="356" t="e">
        <f ca="1">IF(  Y640=0,0,IF(OR(S641="KCAS",S641="INOP",S641="MEFE"),   ( (5*( (   (((1+0.2*(T641/661.4786)^2)^3.5 -1)  )/( (1-6.8755856*10^-6 *100*Y641)^5.2558797) +1)^(2/7) -1) )^0.5),IF(S641="MACH",T641, IF(S641="LRC",BicubicInterpolation( 'LRC Mach'!$C$4:$AL$21, Y641,U641),  IF(S641="MRC",BicubicInterpolation( 'MRC Mach'!$C$3:$T$18, Y641,U641),  IF(S641="M0.84",0.84,  IF(S641="CI52",BicubicInterpolation('CI=52 Mach'!$C$3:$T$18, Y641,U641),  IF(S641="HOLDING",BicubicInterpolation(  'Holding Mach'!$C$4:$M$13, Y641,U641),                         IF(S641="LRCINOP", BicubicInterpolation('LRC INOP Mach'!$C$4:$AA$21,Y641,U641), IF(S641="HOLDINGINOP",  BicubicInterpolation('Holding INOP Mach'!$N$4:$U$13,Y641,U641),         "XXX" )))))))   )))</f>
        <v>#NAME?</v>
      </c>
      <c r="AD641" s="313" t="e">
        <f t="shared" ca="1" si="563"/>
        <v>#NAME?</v>
      </c>
      <c r="AE641" s="314" t="e">
        <f t="shared" ca="1" si="550"/>
        <v>#NAME?</v>
      </c>
      <c r="AF641" s="313" t="e">
        <f t="shared" ca="1" si="564"/>
        <v>#NAME?</v>
      </c>
      <c r="AG641" s="314" t="e">
        <f t="shared" ca="1" si="551"/>
        <v>#NAME?</v>
      </c>
      <c r="AH641" s="313" t="e">
        <f t="shared" ca="1" si="565"/>
        <v>#NAME?</v>
      </c>
      <c r="AI641" s="314" t="e">
        <f t="shared" ca="1" si="552"/>
        <v>#NAME?</v>
      </c>
      <c r="AJ641" s="315" t="e">
        <f t="shared" ca="1" si="553"/>
        <v>#NAME?</v>
      </c>
      <c r="AK641" s="568" t="e">
        <f t="shared" ca="1" si="566"/>
        <v>#NAME?</v>
      </c>
      <c r="AL641" s="313" t="e">
        <f t="shared" ca="1" si="567"/>
        <v>#NAME?</v>
      </c>
      <c r="AM641" s="313" t="e">
        <f t="shared" ca="1" si="554"/>
        <v>#NAME?</v>
      </c>
      <c r="AN641" s="313" t="e">
        <f t="shared" ca="1" si="555"/>
        <v>#NAME?</v>
      </c>
      <c r="AO641" s="316" t="e">
        <f t="shared" ca="1" si="568"/>
        <v>#NAME?</v>
      </c>
      <c r="AP641" s="313" t="e">
        <f t="shared" ca="1" si="569"/>
        <v>#NAME?</v>
      </c>
      <c r="AQ641" s="314" t="e">
        <f t="shared" ca="1" si="556"/>
        <v>#NAME?</v>
      </c>
      <c r="AR641" s="315" t="e">
        <f t="shared" ca="1" si="570"/>
        <v>#NAME?</v>
      </c>
      <c r="AS641" s="316" t="e">
        <f t="shared" ca="1" si="571"/>
        <v>#NAME?</v>
      </c>
      <c r="AT641" s="315" t="e">
        <f t="shared" ca="1" si="572"/>
        <v>#NAME?</v>
      </c>
      <c r="AU641" s="317">
        <v>427.8</v>
      </c>
      <c r="AV641" s="315" t="e">
        <f t="shared" ca="1" si="573"/>
        <v>#NAME?</v>
      </c>
      <c r="AW641" s="318" t="e">
        <f ca="1">0.0001*BicubicInterpolation('Drag Coef Table'!$B$4:$L$28,AV641,AC641)</f>
        <v>#NAME?</v>
      </c>
      <c r="AX641" s="319" t="e">
        <f t="shared" ca="1" si="574"/>
        <v>#NAME?</v>
      </c>
      <c r="AY641" s="318" t="e">
        <f t="shared" ca="1" si="575"/>
        <v>#NAME?</v>
      </c>
      <c r="AZ641" s="320" t="e">
        <f t="shared" ca="1" si="576"/>
        <v>#NAME?</v>
      </c>
      <c r="BA641" s="321" t="e">
        <f t="shared" ca="1" si="577"/>
        <v>#NAME?</v>
      </c>
      <c r="BB641" s="322" t="e">
        <f t="shared" ca="1" si="578"/>
        <v>#NAME?</v>
      </c>
      <c r="BC641" s="323">
        <v>75.196700000000007</v>
      </c>
      <c r="BD641" s="324" t="e">
        <f t="shared" ca="1" si="579"/>
        <v>#NAME?</v>
      </c>
      <c r="BE641" s="325" t="e">
        <f t="shared" ca="1" si="580"/>
        <v>#NAME?</v>
      </c>
      <c r="BF641" s="324" t="e">
        <f ca="1">BicubicInterpolation('TSFC Eff Table'!$B$4:$E$69,2,BB641)</f>
        <v>#NAME?</v>
      </c>
      <c r="BG641" s="326" t="e">
        <f t="shared" ca="1" si="581"/>
        <v>#NAME?</v>
      </c>
      <c r="BH641" s="694" t="e">
        <f ca="1">IF( S641="LRCINOP",   (1+(0.03/10)*Z641*(1+0.2*AC641^2) )*BicubicInterpolation( 'LRC INOP FF'!$C$4:$AA$21, Y641, U641 )-200, IF(S641 ="HOLDINGINOP", (1+(0.03/10)*Z641*(1+0.2*AC641^2) )*BicubicInterpolation( 'Holding INOP FF'!$C$4:$J$13,  Y641,  U641)/1.05-200,   BA641*BG641))</f>
        <v>#NAME?</v>
      </c>
      <c r="BI641" s="344" t="e">
        <f t="shared" ca="1" si="540"/>
        <v>#NAME?</v>
      </c>
      <c r="BJ641" s="322" t="e">
        <f t="shared" ca="1" si="582"/>
        <v>#NAME?</v>
      </c>
      <c r="BK641" s="338" t="e">
        <f t="shared" ca="1" si="541"/>
        <v>#NAME?</v>
      </c>
      <c r="BL641" s="327" t="e">
        <f t="shared" ca="1" si="583"/>
        <v>#NAME?</v>
      </c>
      <c r="BM641" s="328">
        <f t="shared" si="584"/>
        <v>200</v>
      </c>
      <c r="BN641" s="329" t="e">
        <f t="shared" ca="1" si="585"/>
        <v>#NAME?</v>
      </c>
      <c r="BO641" s="344" t="e">
        <f t="shared" ca="1" si="542"/>
        <v>#NAME?</v>
      </c>
      <c r="BP641" s="320" t="e">
        <f t="shared" ca="1" si="586"/>
        <v>#NAME?</v>
      </c>
      <c r="BQ641" s="344" t="e">
        <f t="shared" ca="1" si="543"/>
        <v>#NAME?</v>
      </c>
      <c r="BR641" s="347" t="e">
        <f t="shared" ca="1" si="544"/>
        <v>#NAME?</v>
      </c>
      <c r="BS641" s="326" t="e">
        <f t="shared" ca="1" si="587"/>
        <v>#NAME?</v>
      </c>
      <c r="BT641" s="437" t="e">
        <f t="shared" ca="1" si="557"/>
        <v>#NAME?</v>
      </c>
      <c r="BU641" s="437" t="e">
        <f t="shared" ca="1" si="558"/>
        <v>#NAME?</v>
      </c>
      <c r="BV641" s="441" t="e">
        <f t="shared" ca="1" si="559"/>
        <v>#NAME?</v>
      </c>
      <c r="BW641" s="442" t="e">
        <f t="shared" ca="1" si="560"/>
        <v>#NAME?</v>
      </c>
      <c r="BX641" s="470" t="e">
        <f t="shared" ca="1" si="534"/>
        <v>#NAME?</v>
      </c>
      <c r="BY641" s="484" t="e">
        <f t="shared" ca="1" si="545"/>
        <v>#NAME?</v>
      </c>
    </row>
    <row r="642" spans="9:77" ht="17.75" customHeight="1" x14ac:dyDescent="0.2">
      <c r="I642" s="366">
        <v>558</v>
      </c>
      <c r="J642" s="414">
        <f t="shared" si="546"/>
        <v>41706.100000001265</v>
      </c>
      <c r="K642" s="435" t="e">
        <f t="shared" ca="1" si="547"/>
        <v>#NAME?</v>
      </c>
      <c r="L642" s="435" t="e">
        <f t="shared" ca="1" si="590"/>
        <v>#NAME?</v>
      </c>
      <c r="M642" s="664" t="e">
        <f t="shared" ca="1" si="588"/>
        <v>#NAME?</v>
      </c>
      <c r="N642" s="664" t="e">
        <f t="shared" ca="1" si="589"/>
        <v>#NAME?</v>
      </c>
      <c r="O642" s="140" t="e">
        <f t="shared" ca="1" si="535"/>
        <v>#NAME?</v>
      </c>
      <c r="P642" s="352" t="e">
        <f t="shared" ca="1" si="548"/>
        <v>#NAME?</v>
      </c>
      <c r="Q642" s="665" t="e">
        <f t="shared" ca="1" si="529"/>
        <v>#NAME?</v>
      </c>
      <c r="R642" s="352" t="e">
        <f t="shared" ca="1" si="561"/>
        <v>#NAME?</v>
      </c>
      <c r="S642" s="662" t="e">
        <f t="shared" ca="1" si="536"/>
        <v>#NAME?</v>
      </c>
      <c r="T642" s="443" t="e">
        <f t="shared" ca="1" si="530"/>
        <v>#NAME?</v>
      </c>
      <c r="U642" s="369" t="e">
        <f t="shared" ca="1" si="531"/>
        <v>#NAME?</v>
      </c>
      <c r="V642" s="454" t="e">
        <f t="shared" ca="1" si="537"/>
        <v>#NAME?</v>
      </c>
      <c r="W642" s="457">
        <f t="shared" si="538"/>
        <v>1000</v>
      </c>
      <c r="X642" s="463" t="e">
        <f t="shared" ca="1" si="539"/>
        <v>#NAME?</v>
      </c>
      <c r="Y642" s="455" t="e">
        <f t="shared" ca="1" si="549"/>
        <v>#NAME?</v>
      </c>
      <c r="Z642" s="699">
        <f t="shared" si="532"/>
        <v>8.5</v>
      </c>
      <c r="AA642" s="355" t="str">
        <f t="shared" si="533"/>
        <v>ON</v>
      </c>
      <c r="AB642" s="357">
        <f t="shared" si="562"/>
        <v>1.4999999999999999E-2</v>
      </c>
      <c r="AC642" s="356" t="e">
        <f ca="1">IF(  Y641=0,0,IF(OR(S642="KCAS",S642="INOP",S642="MEFE"),   ( (5*( (   (((1+0.2*(T642/661.4786)^2)^3.5 -1)  )/( (1-6.8755856*10^-6 *100*Y642)^5.2558797) +1)^(2/7) -1) )^0.5),IF(S642="MACH",T642, IF(S642="LRC",BicubicInterpolation( 'LRC Mach'!$C$4:$AL$21, Y642,U642),  IF(S642="MRC",BicubicInterpolation( 'MRC Mach'!$C$3:$T$18, Y642,U642),  IF(S642="M0.84",0.84,  IF(S642="CI52",BicubicInterpolation('CI=52 Mach'!$C$3:$T$18, Y642,U642),  IF(S642="HOLDING",BicubicInterpolation(  'Holding Mach'!$C$4:$M$13, Y642,U642),                         IF(S642="LRCINOP", BicubicInterpolation('LRC INOP Mach'!$C$4:$AA$21,Y642,U642), IF(S642="HOLDINGINOP",  BicubicInterpolation('Holding INOP Mach'!$N$4:$U$13,Y642,U642),         "XXX" )))))))   )))</f>
        <v>#NAME?</v>
      </c>
      <c r="AD642" s="313" t="e">
        <f t="shared" ca="1" si="563"/>
        <v>#NAME?</v>
      </c>
      <c r="AE642" s="314" t="e">
        <f t="shared" ca="1" si="550"/>
        <v>#NAME?</v>
      </c>
      <c r="AF642" s="313" t="e">
        <f t="shared" ca="1" si="564"/>
        <v>#NAME?</v>
      </c>
      <c r="AG642" s="314" t="e">
        <f t="shared" ca="1" si="551"/>
        <v>#NAME?</v>
      </c>
      <c r="AH642" s="313" t="e">
        <f t="shared" ca="1" si="565"/>
        <v>#NAME?</v>
      </c>
      <c r="AI642" s="314" t="e">
        <f t="shared" ca="1" si="552"/>
        <v>#NAME?</v>
      </c>
      <c r="AJ642" s="315" t="e">
        <f t="shared" ca="1" si="553"/>
        <v>#NAME?</v>
      </c>
      <c r="AK642" s="568" t="e">
        <f t="shared" ca="1" si="566"/>
        <v>#NAME?</v>
      </c>
      <c r="AL642" s="313" t="e">
        <f t="shared" ca="1" si="567"/>
        <v>#NAME?</v>
      </c>
      <c r="AM642" s="313" t="e">
        <f t="shared" ca="1" si="554"/>
        <v>#NAME?</v>
      </c>
      <c r="AN642" s="313" t="e">
        <f t="shared" ca="1" si="555"/>
        <v>#NAME?</v>
      </c>
      <c r="AO642" s="316" t="e">
        <f t="shared" ca="1" si="568"/>
        <v>#NAME?</v>
      </c>
      <c r="AP642" s="313" t="e">
        <f t="shared" ca="1" si="569"/>
        <v>#NAME?</v>
      </c>
      <c r="AQ642" s="314" t="e">
        <f t="shared" ca="1" si="556"/>
        <v>#NAME?</v>
      </c>
      <c r="AR642" s="315" t="e">
        <f t="shared" ca="1" si="570"/>
        <v>#NAME?</v>
      </c>
      <c r="AS642" s="316" t="e">
        <f t="shared" ca="1" si="571"/>
        <v>#NAME?</v>
      </c>
      <c r="AT642" s="315" t="e">
        <f t="shared" ca="1" si="572"/>
        <v>#NAME?</v>
      </c>
      <c r="AU642" s="317">
        <v>427.8</v>
      </c>
      <c r="AV642" s="315" t="e">
        <f t="shared" ca="1" si="573"/>
        <v>#NAME?</v>
      </c>
      <c r="AW642" s="318" t="e">
        <f ca="1">0.0001*BicubicInterpolation('Drag Coef Table'!$B$4:$L$28,AV642,AC642)</f>
        <v>#NAME?</v>
      </c>
      <c r="AX642" s="319" t="e">
        <f t="shared" ca="1" si="574"/>
        <v>#NAME?</v>
      </c>
      <c r="AY642" s="318" t="e">
        <f t="shared" ca="1" si="575"/>
        <v>#NAME?</v>
      </c>
      <c r="AZ642" s="320" t="e">
        <f t="shared" ca="1" si="576"/>
        <v>#NAME?</v>
      </c>
      <c r="BA642" s="321" t="e">
        <f t="shared" ca="1" si="577"/>
        <v>#NAME?</v>
      </c>
      <c r="BB642" s="322" t="e">
        <f t="shared" ca="1" si="578"/>
        <v>#NAME?</v>
      </c>
      <c r="BC642" s="323">
        <v>75.196700000000007</v>
      </c>
      <c r="BD642" s="324" t="e">
        <f t="shared" ca="1" si="579"/>
        <v>#NAME?</v>
      </c>
      <c r="BE642" s="325" t="e">
        <f t="shared" ca="1" si="580"/>
        <v>#NAME?</v>
      </c>
      <c r="BF642" s="324" t="e">
        <f ca="1">BicubicInterpolation('TSFC Eff Table'!$B$4:$E$69,2,BB642)</f>
        <v>#NAME?</v>
      </c>
      <c r="BG642" s="326" t="e">
        <f t="shared" ca="1" si="581"/>
        <v>#NAME?</v>
      </c>
      <c r="BH642" s="694" t="e">
        <f ca="1">IF( S642="LRCINOP",   (1+(0.03/10)*Z642*(1+0.2*AC642^2) )*BicubicInterpolation( 'LRC INOP FF'!$C$4:$AA$21, Y642, U642 )-200, IF(S642 ="HOLDINGINOP", (1+(0.03/10)*Z642*(1+0.2*AC642^2) )*BicubicInterpolation( 'Holding INOP FF'!$C$4:$J$13,  Y642,  U642)/1.05-200,   BA642*BG642))</f>
        <v>#NAME?</v>
      </c>
      <c r="BI642" s="344" t="e">
        <f t="shared" ca="1" si="540"/>
        <v>#NAME?</v>
      </c>
      <c r="BJ642" s="322" t="e">
        <f t="shared" ca="1" si="582"/>
        <v>#NAME?</v>
      </c>
      <c r="BK642" s="338" t="e">
        <f t="shared" ca="1" si="541"/>
        <v>#NAME?</v>
      </c>
      <c r="BL642" s="327" t="e">
        <f t="shared" ca="1" si="583"/>
        <v>#NAME?</v>
      </c>
      <c r="BM642" s="328">
        <f t="shared" si="584"/>
        <v>200</v>
      </c>
      <c r="BN642" s="329" t="e">
        <f t="shared" ca="1" si="585"/>
        <v>#NAME?</v>
      </c>
      <c r="BO642" s="344" t="e">
        <f t="shared" ca="1" si="542"/>
        <v>#NAME?</v>
      </c>
      <c r="BP642" s="320" t="e">
        <f t="shared" ca="1" si="586"/>
        <v>#NAME?</v>
      </c>
      <c r="BQ642" s="344" t="e">
        <f t="shared" ca="1" si="543"/>
        <v>#NAME?</v>
      </c>
      <c r="BR642" s="347" t="e">
        <f t="shared" ca="1" si="544"/>
        <v>#NAME?</v>
      </c>
      <c r="BS642" s="326" t="e">
        <f t="shared" ca="1" si="587"/>
        <v>#NAME?</v>
      </c>
      <c r="BT642" s="437" t="e">
        <f t="shared" ca="1" si="557"/>
        <v>#NAME?</v>
      </c>
      <c r="BU642" s="437" t="e">
        <f t="shared" ca="1" si="558"/>
        <v>#NAME?</v>
      </c>
      <c r="BV642" s="441" t="e">
        <f t="shared" ca="1" si="559"/>
        <v>#NAME?</v>
      </c>
      <c r="BW642" s="442" t="e">
        <f t="shared" ca="1" si="560"/>
        <v>#NAME?</v>
      </c>
      <c r="BX642" s="470" t="e">
        <f t="shared" ca="1" si="534"/>
        <v>#NAME?</v>
      </c>
      <c r="BY642" s="484" t="e">
        <f t="shared" ca="1" si="545"/>
        <v>#NAME?</v>
      </c>
    </row>
    <row r="643" spans="9:77" ht="17.75" customHeight="1" x14ac:dyDescent="0.2">
      <c r="I643" s="366">
        <v>559</v>
      </c>
      <c r="J643" s="414">
        <f t="shared" si="546"/>
        <v>41706.100694445711</v>
      </c>
      <c r="K643" s="435" t="e">
        <f t="shared" ca="1" si="547"/>
        <v>#NAME?</v>
      </c>
      <c r="L643" s="435" t="e">
        <f t="shared" ca="1" si="590"/>
        <v>#NAME?</v>
      </c>
      <c r="M643" s="664" t="e">
        <f t="shared" ca="1" si="588"/>
        <v>#NAME?</v>
      </c>
      <c r="N643" s="664" t="e">
        <f t="shared" ca="1" si="589"/>
        <v>#NAME?</v>
      </c>
      <c r="O643" s="140" t="e">
        <f t="shared" ca="1" si="535"/>
        <v>#NAME?</v>
      </c>
      <c r="P643" s="352" t="e">
        <f t="shared" ca="1" si="548"/>
        <v>#NAME?</v>
      </c>
      <c r="Q643" s="665" t="e">
        <f t="shared" ca="1" si="529"/>
        <v>#NAME?</v>
      </c>
      <c r="R643" s="352" t="e">
        <f t="shared" ca="1" si="561"/>
        <v>#NAME?</v>
      </c>
      <c r="S643" s="662" t="e">
        <f t="shared" ca="1" si="536"/>
        <v>#NAME?</v>
      </c>
      <c r="T643" s="443" t="e">
        <f t="shared" ca="1" si="530"/>
        <v>#NAME?</v>
      </c>
      <c r="U643" s="369" t="e">
        <f t="shared" ca="1" si="531"/>
        <v>#NAME?</v>
      </c>
      <c r="V643" s="454" t="e">
        <f t="shared" ca="1" si="537"/>
        <v>#NAME?</v>
      </c>
      <c r="W643" s="457">
        <f t="shared" si="538"/>
        <v>1000</v>
      </c>
      <c r="X643" s="463" t="e">
        <f t="shared" ca="1" si="539"/>
        <v>#NAME?</v>
      </c>
      <c r="Y643" s="455" t="e">
        <f t="shared" ca="1" si="549"/>
        <v>#NAME?</v>
      </c>
      <c r="Z643" s="699">
        <f t="shared" si="532"/>
        <v>8.5</v>
      </c>
      <c r="AA643" s="355" t="str">
        <f t="shared" si="533"/>
        <v>ON</v>
      </c>
      <c r="AB643" s="357">
        <f t="shared" si="562"/>
        <v>1.4999999999999999E-2</v>
      </c>
      <c r="AC643" s="356" t="e">
        <f ca="1">IF(  Y642=0,0,IF(OR(S643="KCAS",S643="INOP",S643="MEFE"),   ( (5*( (   (((1+0.2*(T643/661.4786)^2)^3.5 -1)  )/( (1-6.8755856*10^-6 *100*Y643)^5.2558797) +1)^(2/7) -1) )^0.5),IF(S643="MACH",T643, IF(S643="LRC",BicubicInterpolation( 'LRC Mach'!$C$4:$AL$21, Y643,U643),  IF(S643="MRC",BicubicInterpolation( 'MRC Mach'!$C$3:$T$18, Y643,U643),  IF(S643="M0.84",0.84,  IF(S643="CI52",BicubicInterpolation('CI=52 Mach'!$C$3:$T$18, Y643,U643),  IF(S643="HOLDING",BicubicInterpolation(  'Holding Mach'!$C$4:$M$13, Y643,U643),                         IF(S643="LRCINOP", BicubicInterpolation('LRC INOP Mach'!$C$4:$AA$21,Y643,U643), IF(S643="HOLDINGINOP",  BicubicInterpolation('Holding INOP Mach'!$N$4:$U$13,Y643,U643),         "XXX" )))))))   )))</f>
        <v>#NAME?</v>
      </c>
      <c r="AD643" s="313" t="e">
        <f t="shared" ca="1" si="563"/>
        <v>#NAME?</v>
      </c>
      <c r="AE643" s="314" t="e">
        <f t="shared" ca="1" si="550"/>
        <v>#NAME?</v>
      </c>
      <c r="AF643" s="313" t="e">
        <f t="shared" ca="1" si="564"/>
        <v>#NAME?</v>
      </c>
      <c r="AG643" s="314" t="e">
        <f t="shared" ca="1" si="551"/>
        <v>#NAME?</v>
      </c>
      <c r="AH643" s="313" t="e">
        <f t="shared" ca="1" si="565"/>
        <v>#NAME?</v>
      </c>
      <c r="AI643" s="314" t="e">
        <f t="shared" ca="1" si="552"/>
        <v>#NAME?</v>
      </c>
      <c r="AJ643" s="315" t="e">
        <f t="shared" ca="1" si="553"/>
        <v>#NAME?</v>
      </c>
      <c r="AK643" s="568" t="e">
        <f t="shared" ca="1" si="566"/>
        <v>#NAME?</v>
      </c>
      <c r="AL643" s="313" t="e">
        <f t="shared" ca="1" si="567"/>
        <v>#NAME?</v>
      </c>
      <c r="AM643" s="313" t="e">
        <f t="shared" ca="1" si="554"/>
        <v>#NAME?</v>
      </c>
      <c r="AN643" s="313" t="e">
        <f t="shared" ca="1" si="555"/>
        <v>#NAME?</v>
      </c>
      <c r="AO643" s="316" t="e">
        <f t="shared" ca="1" si="568"/>
        <v>#NAME?</v>
      </c>
      <c r="AP643" s="313" t="e">
        <f t="shared" ca="1" si="569"/>
        <v>#NAME?</v>
      </c>
      <c r="AQ643" s="314" t="e">
        <f t="shared" ca="1" si="556"/>
        <v>#NAME?</v>
      </c>
      <c r="AR643" s="315" t="e">
        <f t="shared" ca="1" si="570"/>
        <v>#NAME?</v>
      </c>
      <c r="AS643" s="316" t="e">
        <f t="shared" ca="1" si="571"/>
        <v>#NAME?</v>
      </c>
      <c r="AT643" s="315" t="e">
        <f t="shared" ca="1" si="572"/>
        <v>#NAME?</v>
      </c>
      <c r="AU643" s="317">
        <v>427.8</v>
      </c>
      <c r="AV643" s="315" t="e">
        <f t="shared" ca="1" si="573"/>
        <v>#NAME?</v>
      </c>
      <c r="AW643" s="318" t="e">
        <f ca="1">0.0001*BicubicInterpolation('Drag Coef Table'!$B$4:$L$28,AV643,AC643)</f>
        <v>#NAME?</v>
      </c>
      <c r="AX643" s="319" t="e">
        <f t="shared" ca="1" si="574"/>
        <v>#NAME?</v>
      </c>
      <c r="AY643" s="318" t="e">
        <f t="shared" ca="1" si="575"/>
        <v>#NAME?</v>
      </c>
      <c r="AZ643" s="320" t="e">
        <f t="shared" ca="1" si="576"/>
        <v>#NAME?</v>
      </c>
      <c r="BA643" s="321" t="e">
        <f t="shared" ca="1" si="577"/>
        <v>#NAME?</v>
      </c>
      <c r="BB643" s="322" t="e">
        <f t="shared" ca="1" si="578"/>
        <v>#NAME?</v>
      </c>
      <c r="BC643" s="323">
        <v>75.196700000000007</v>
      </c>
      <c r="BD643" s="324" t="e">
        <f t="shared" ca="1" si="579"/>
        <v>#NAME?</v>
      </c>
      <c r="BE643" s="325" t="e">
        <f t="shared" ca="1" si="580"/>
        <v>#NAME?</v>
      </c>
      <c r="BF643" s="324" t="e">
        <f ca="1">BicubicInterpolation('TSFC Eff Table'!$B$4:$E$69,2,BB643)</f>
        <v>#NAME?</v>
      </c>
      <c r="BG643" s="326" t="e">
        <f t="shared" ca="1" si="581"/>
        <v>#NAME?</v>
      </c>
      <c r="BH643" s="694" t="e">
        <f ca="1">IF( S643="LRCINOP",   (1+(0.03/10)*Z643*(1+0.2*AC643^2) )*BicubicInterpolation( 'LRC INOP FF'!$C$4:$AA$21, Y643, U643 )-200, IF(S643 ="HOLDINGINOP", (1+(0.03/10)*Z643*(1+0.2*AC643^2) )*BicubicInterpolation( 'Holding INOP FF'!$C$4:$J$13,  Y643,  U643)/1.05-200,   BA643*BG643))</f>
        <v>#NAME?</v>
      </c>
      <c r="BI643" s="344" t="e">
        <f t="shared" ca="1" si="540"/>
        <v>#NAME?</v>
      </c>
      <c r="BJ643" s="322" t="e">
        <f t="shared" ca="1" si="582"/>
        <v>#NAME?</v>
      </c>
      <c r="BK643" s="338" t="e">
        <f t="shared" ca="1" si="541"/>
        <v>#NAME?</v>
      </c>
      <c r="BL643" s="327" t="e">
        <f t="shared" ca="1" si="583"/>
        <v>#NAME?</v>
      </c>
      <c r="BM643" s="328">
        <f t="shared" si="584"/>
        <v>200</v>
      </c>
      <c r="BN643" s="329" t="e">
        <f t="shared" ca="1" si="585"/>
        <v>#NAME?</v>
      </c>
      <c r="BO643" s="344" t="e">
        <f t="shared" ca="1" si="542"/>
        <v>#NAME?</v>
      </c>
      <c r="BP643" s="320" t="e">
        <f t="shared" ca="1" si="586"/>
        <v>#NAME?</v>
      </c>
      <c r="BQ643" s="344" t="e">
        <f t="shared" ca="1" si="543"/>
        <v>#NAME?</v>
      </c>
      <c r="BR643" s="347" t="e">
        <f t="shared" ca="1" si="544"/>
        <v>#NAME?</v>
      </c>
      <c r="BS643" s="326" t="e">
        <f t="shared" ca="1" si="587"/>
        <v>#NAME?</v>
      </c>
      <c r="BT643" s="437" t="e">
        <f t="shared" ca="1" si="557"/>
        <v>#NAME?</v>
      </c>
      <c r="BU643" s="437" t="e">
        <f t="shared" ca="1" si="558"/>
        <v>#NAME?</v>
      </c>
      <c r="BV643" s="441" t="e">
        <f t="shared" ca="1" si="559"/>
        <v>#NAME?</v>
      </c>
      <c r="BW643" s="442" t="e">
        <f t="shared" ca="1" si="560"/>
        <v>#NAME?</v>
      </c>
      <c r="BX643" s="470" t="e">
        <f t="shared" ca="1" si="534"/>
        <v>#NAME?</v>
      </c>
      <c r="BY643" s="484" t="e">
        <f t="shared" ca="1" si="545"/>
        <v>#NAME?</v>
      </c>
    </row>
    <row r="644" spans="9:77" ht="17.75" customHeight="1" x14ac:dyDescent="0.2">
      <c r="I644" s="366">
        <v>560</v>
      </c>
      <c r="J644" s="414">
        <f t="shared" si="546"/>
        <v>41706.101388890158</v>
      </c>
      <c r="K644" s="435" t="e">
        <f t="shared" ca="1" si="547"/>
        <v>#NAME?</v>
      </c>
      <c r="L644" s="435" t="e">
        <f t="shared" ca="1" si="590"/>
        <v>#NAME?</v>
      </c>
      <c r="M644" s="664" t="e">
        <f t="shared" ca="1" si="588"/>
        <v>#NAME?</v>
      </c>
      <c r="N644" s="664" t="e">
        <f t="shared" ca="1" si="589"/>
        <v>#NAME?</v>
      </c>
      <c r="O644" s="140" t="e">
        <f t="shared" ca="1" si="535"/>
        <v>#NAME?</v>
      </c>
      <c r="P644" s="352" t="e">
        <f t="shared" ca="1" si="548"/>
        <v>#NAME?</v>
      </c>
      <c r="Q644" s="665" t="e">
        <f t="shared" ca="1" si="529"/>
        <v>#NAME?</v>
      </c>
      <c r="R644" s="352" t="e">
        <f t="shared" ca="1" si="561"/>
        <v>#NAME?</v>
      </c>
      <c r="S644" s="662" t="e">
        <f t="shared" ca="1" si="536"/>
        <v>#NAME?</v>
      </c>
      <c r="T644" s="443" t="e">
        <f t="shared" ca="1" si="530"/>
        <v>#NAME?</v>
      </c>
      <c r="U644" s="369" t="e">
        <f t="shared" ca="1" si="531"/>
        <v>#NAME?</v>
      </c>
      <c r="V644" s="454" t="e">
        <f t="shared" ca="1" si="537"/>
        <v>#NAME?</v>
      </c>
      <c r="W644" s="457">
        <f t="shared" si="538"/>
        <v>1000</v>
      </c>
      <c r="X644" s="463" t="e">
        <f t="shared" ca="1" si="539"/>
        <v>#NAME?</v>
      </c>
      <c r="Y644" s="455" t="e">
        <f t="shared" ca="1" si="549"/>
        <v>#NAME?</v>
      </c>
      <c r="Z644" s="699">
        <f t="shared" si="532"/>
        <v>8.5</v>
      </c>
      <c r="AA644" s="355" t="str">
        <f t="shared" si="533"/>
        <v>ON</v>
      </c>
      <c r="AB644" s="357">
        <f t="shared" si="562"/>
        <v>1.4999999999999999E-2</v>
      </c>
      <c r="AC644" s="356" t="e">
        <f ca="1">IF(  Y643=0,0,IF(OR(S644="KCAS",S644="INOP",S644="MEFE"),   ( (5*( (   (((1+0.2*(T644/661.4786)^2)^3.5 -1)  )/( (1-6.8755856*10^-6 *100*Y644)^5.2558797) +1)^(2/7) -1) )^0.5),IF(S644="MACH",T644, IF(S644="LRC",BicubicInterpolation( 'LRC Mach'!$C$4:$AL$21, Y644,U644),  IF(S644="MRC",BicubicInterpolation( 'MRC Mach'!$C$3:$T$18, Y644,U644),  IF(S644="M0.84",0.84,  IF(S644="CI52",BicubicInterpolation('CI=52 Mach'!$C$3:$T$18, Y644,U644),  IF(S644="HOLDING",BicubicInterpolation(  'Holding Mach'!$C$4:$M$13, Y644,U644),                         IF(S644="LRCINOP", BicubicInterpolation('LRC INOP Mach'!$C$4:$AA$21,Y644,U644), IF(S644="HOLDINGINOP",  BicubicInterpolation('Holding INOP Mach'!$N$4:$U$13,Y644,U644),         "XXX" )))))))   )))</f>
        <v>#NAME?</v>
      </c>
      <c r="AD644" s="313" t="e">
        <f t="shared" ca="1" si="563"/>
        <v>#NAME?</v>
      </c>
      <c r="AE644" s="314" t="e">
        <f t="shared" ca="1" si="550"/>
        <v>#NAME?</v>
      </c>
      <c r="AF644" s="313" t="e">
        <f t="shared" ca="1" si="564"/>
        <v>#NAME?</v>
      </c>
      <c r="AG644" s="314" t="e">
        <f t="shared" ca="1" si="551"/>
        <v>#NAME?</v>
      </c>
      <c r="AH644" s="313" t="e">
        <f t="shared" ca="1" si="565"/>
        <v>#NAME?</v>
      </c>
      <c r="AI644" s="314" t="e">
        <f t="shared" ca="1" si="552"/>
        <v>#NAME?</v>
      </c>
      <c r="AJ644" s="315" t="e">
        <f t="shared" ca="1" si="553"/>
        <v>#NAME?</v>
      </c>
      <c r="AK644" s="568" t="e">
        <f t="shared" ca="1" si="566"/>
        <v>#NAME?</v>
      </c>
      <c r="AL644" s="313" t="e">
        <f t="shared" ca="1" si="567"/>
        <v>#NAME?</v>
      </c>
      <c r="AM644" s="313" t="e">
        <f t="shared" ca="1" si="554"/>
        <v>#NAME?</v>
      </c>
      <c r="AN644" s="313" t="e">
        <f t="shared" ca="1" si="555"/>
        <v>#NAME?</v>
      </c>
      <c r="AO644" s="316" t="e">
        <f t="shared" ca="1" si="568"/>
        <v>#NAME?</v>
      </c>
      <c r="AP644" s="313" t="e">
        <f t="shared" ca="1" si="569"/>
        <v>#NAME?</v>
      </c>
      <c r="AQ644" s="314" t="e">
        <f t="shared" ca="1" si="556"/>
        <v>#NAME?</v>
      </c>
      <c r="AR644" s="315" t="e">
        <f t="shared" ca="1" si="570"/>
        <v>#NAME?</v>
      </c>
      <c r="AS644" s="316" t="e">
        <f t="shared" ca="1" si="571"/>
        <v>#NAME?</v>
      </c>
      <c r="AT644" s="315" t="e">
        <f t="shared" ca="1" si="572"/>
        <v>#NAME?</v>
      </c>
      <c r="AU644" s="317">
        <v>427.8</v>
      </c>
      <c r="AV644" s="315" t="e">
        <f t="shared" ca="1" si="573"/>
        <v>#NAME?</v>
      </c>
      <c r="AW644" s="318" t="e">
        <f ca="1">0.0001*BicubicInterpolation('Drag Coef Table'!$B$4:$L$28,AV644,AC644)</f>
        <v>#NAME?</v>
      </c>
      <c r="AX644" s="319" t="e">
        <f t="shared" ca="1" si="574"/>
        <v>#NAME?</v>
      </c>
      <c r="AY644" s="318" t="e">
        <f t="shared" ca="1" si="575"/>
        <v>#NAME?</v>
      </c>
      <c r="AZ644" s="320" t="e">
        <f t="shared" ca="1" si="576"/>
        <v>#NAME?</v>
      </c>
      <c r="BA644" s="321" t="e">
        <f t="shared" ca="1" si="577"/>
        <v>#NAME?</v>
      </c>
      <c r="BB644" s="322" t="e">
        <f t="shared" ca="1" si="578"/>
        <v>#NAME?</v>
      </c>
      <c r="BC644" s="323">
        <v>75.196700000000007</v>
      </c>
      <c r="BD644" s="324" t="e">
        <f t="shared" ca="1" si="579"/>
        <v>#NAME?</v>
      </c>
      <c r="BE644" s="325" t="e">
        <f t="shared" ca="1" si="580"/>
        <v>#NAME?</v>
      </c>
      <c r="BF644" s="324" t="e">
        <f ca="1">BicubicInterpolation('TSFC Eff Table'!$B$4:$E$69,2,BB644)</f>
        <v>#NAME?</v>
      </c>
      <c r="BG644" s="326" t="e">
        <f t="shared" ca="1" si="581"/>
        <v>#NAME?</v>
      </c>
      <c r="BH644" s="694" t="e">
        <f ca="1">IF( S644="LRCINOP",   (1+(0.03/10)*Z644*(1+0.2*AC644^2) )*BicubicInterpolation( 'LRC INOP FF'!$C$4:$AA$21, Y644, U644 )-200, IF(S644 ="HOLDINGINOP", (1+(0.03/10)*Z644*(1+0.2*AC644^2) )*BicubicInterpolation( 'Holding INOP FF'!$C$4:$J$13,  Y644,  U644)/1.05-200,   BA644*BG644))</f>
        <v>#NAME?</v>
      </c>
      <c r="BI644" s="344" t="e">
        <f t="shared" ca="1" si="540"/>
        <v>#NAME?</v>
      </c>
      <c r="BJ644" s="322" t="e">
        <f t="shared" ca="1" si="582"/>
        <v>#NAME?</v>
      </c>
      <c r="BK644" s="338" t="e">
        <f t="shared" ca="1" si="541"/>
        <v>#NAME?</v>
      </c>
      <c r="BL644" s="327" t="e">
        <f t="shared" ca="1" si="583"/>
        <v>#NAME?</v>
      </c>
      <c r="BM644" s="328">
        <f t="shared" si="584"/>
        <v>200</v>
      </c>
      <c r="BN644" s="329" t="e">
        <f t="shared" ca="1" si="585"/>
        <v>#NAME?</v>
      </c>
      <c r="BO644" s="344" t="e">
        <f t="shared" ca="1" si="542"/>
        <v>#NAME?</v>
      </c>
      <c r="BP644" s="320" t="e">
        <f t="shared" ca="1" si="586"/>
        <v>#NAME?</v>
      </c>
      <c r="BQ644" s="344" t="e">
        <f t="shared" ca="1" si="543"/>
        <v>#NAME?</v>
      </c>
      <c r="BR644" s="347" t="e">
        <f t="shared" ca="1" si="544"/>
        <v>#NAME?</v>
      </c>
      <c r="BS644" s="326" t="e">
        <f t="shared" ca="1" si="587"/>
        <v>#NAME?</v>
      </c>
      <c r="BT644" s="437" t="e">
        <f t="shared" ca="1" si="557"/>
        <v>#NAME?</v>
      </c>
      <c r="BU644" s="437" t="e">
        <f t="shared" ca="1" si="558"/>
        <v>#NAME?</v>
      </c>
      <c r="BV644" s="441" t="e">
        <f t="shared" ca="1" si="559"/>
        <v>#NAME?</v>
      </c>
      <c r="BW644" s="442" t="e">
        <f t="shared" ca="1" si="560"/>
        <v>#NAME?</v>
      </c>
      <c r="BX644" s="470" t="e">
        <f t="shared" ca="1" si="534"/>
        <v>#NAME?</v>
      </c>
      <c r="BY644" s="484" t="e">
        <f t="shared" ca="1" si="545"/>
        <v>#NAME?</v>
      </c>
    </row>
    <row r="645" spans="9:77" ht="17.75" customHeight="1" x14ac:dyDescent="0.2">
      <c r="I645" s="366">
        <v>561</v>
      </c>
      <c r="J645" s="414">
        <f t="shared" si="546"/>
        <v>41706.102083334605</v>
      </c>
      <c r="K645" s="435" t="e">
        <f t="shared" ca="1" si="547"/>
        <v>#NAME?</v>
      </c>
      <c r="L645" s="435" t="e">
        <f t="shared" ca="1" si="590"/>
        <v>#NAME?</v>
      </c>
      <c r="M645" s="664" t="e">
        <f t="shared" ca="1" si="588"/>
        <v>#NAME?</v>
      </c>
      <c r="N645" s="664" t="e">
        <f t="shared" ca="1" si="589"/>
        <v>#NAME?</v>
      </c>
      <c r="O645" s="140" t="e">
        <f t="shared" ca="1" si="535"/>
        <v>#NAME?</v>
      </c>
      <c r="P645" s="352" t="e">
        <f t="shared" ca="1" si="548"/>
        <v>#NAME?</v>
      </c>
      <c r="Q645" s="665" t="e">
        <f t="shared" ref="Q645:Q680" ca="1" si="591">IF(S645="MEFE",  0,    IF(S645="INOP",    $C$36*AQ645/0.2243,     IF(V645&lt;Y644,             IF(OR(S645="KCAS",S645="HOLDING",S645="HOLDINGINOP",S645="LRCINOP"),   $C$32,    (1+$C$30*ABS(X645)/1000)*BN645  ),      IF(V645&gt;Y644,   BN645*(1+$C$29*W645/1000),   IF(AND($C$34=1, OR(S645="HOLDING", S645="HOLDINGINOP")  ),1.05,1)*BN645    ))))</f>
        <v>#NAME?</v>
      </c>
      <c r="R645" s="352" t="e">
        <f t="shared" ca="1" si="561"/>
        <v>#NAME?</v>
      </c>
      <c r="S645" s="662" t="e">
        <f t="shared" ca="1" si="536"/>
        <v>#NAME?</v>
      </c>
      <c r="T645" s="443" t="e">
        <f t="shared" ca="1" si="530"/>
        <v>#NAME?</v>
      </c>
      <c r="U645" s="369" t="e">
        <f t="shared" ca="1" si="531"/>
        <v>#NAME?</v>
      </c>
      <c r="V645" s="454" t="e">
        <f t="shared" ca="1" si="537"/>
        <v>#NAME?</v>
      </c>
      <c r="W645" s="457">
        <f t="shared" si="538"/>
        <v>1000</v>
      </c>
      <c r="X645" s="463" t="e">
        <f t="shared" ca="1" si="539"/>
        <v>#NAME?</v>
      </c>
      <c r="Y645" s="455" t="e">
        <f t="shared" ca="1" si="549"/>
        <v>#NAME?</v>
      </c>
      <c r="Z645" s="699">
        <f t="shared" si="532"/>
        <v>8.5</v>
      </c>
      <c r="AA645" s="355" t="str">
        <f t="shared" si="533"/>
        <v>ON</v>
      </c>
      <c r="AB645" s="357">
        <f t="shared" si="562"/>
        <v>1.4999999999999999E-2</v>
      </c>
      <c r="AC645" s="356" t="e">
        <f ca="1">IF(  Y644=0,0,IF(OR(S645="KCAS",S645="INOP",S645="MEFE"),   ( (5*( (   (((1+0.2*(T645/661.4786)^2)^3.5 -1)  )/( (1-6.8755856*10^-6 *100*Y645)^5.2558797) +1)^(2/7) -1) )^0.5),IF(S645="MACH",T645, IF(S645="LRC",BicubicInterpolation( 'LRC Mach'!$C$4:$AL$21, Y645,U645),  IF(S645="MRC",BicubicInterpolation( 'MRC Mach'!$C$3:$T$18, Y645,U645),  IF(S645="M0.84",0.84,  IF(S645="CI52",BicubicInterpolation('CI=52 Mach'!$C$3:$T$18, Y645,U645),  IF(S645="HOLDING",BicubicInterpolation(  'Holding Mach'!$C$4:$M$13, Y645,U645),                         IF(S645="LRCINOP", BicubicInterpolation('LRC INOP Mach'!$C$4:$AA$21,Y645,U645), IF(S645="HOLDINGINOP",  BicubicInterpolation('Holding INOP Mach'!$N$4:$U$13,Y645,U645),         "XXX" )))))))   )))</f>
        <v>#NAME?</v>
      </c>
      <c r="AD645" s="313" t="e">
        <f t="shared" ca="1" si="563"/>
        <v>#NAME?</v>
      </c>
      <c r="AE645" s="314" t="e">
        <f t="shared" ca="1" si="550"/>
        <v>#NAME?</v>
      </c>
      <c r="AF645" s="313" t="e">
        <f t="shared" ca="1" si="564"/>
        <v>#NAME?</v>
      </c>
      <c r="AG645" s="314" t="e">
        <f t="shared" ca="1" si="551"/>
        <v>#NAME?</v>
      </c>
      <c r="AH645" s="313" t="e">
        <f t="shared" ca="1" si="565"/>
        <v>#NAME?</v>
      </c>
      <c r="AI645" s="314" t="e">
        <f t="shared" ca="1" si="552"/>
        <v>#NAME?</v>
      </c>
      <c r="AJ645" s="315" t="e">
        <f t="shared" ca="1" si="553"/>
        <v>#NAME?</v>
      </c>
      <c r="AK645" s="568" t="e">
        <f t="shared" ca="1" si="566"/>
        <v>#NAME?</v>
      </c>
      <c r="AL645" s="313" t="e">
        <f t="shared" ca="1" si="567"/>
        <v>#NAME?</v>
      </c>
      <c r="AM645" s="313" t="e">
        <f t="shared" ca="1" si="554"/>
        <v>#NAME?</v>
      </c>
      <c r="AN645" s="313" t="e">
        <f t="shared" ca="1" si="555"/>
        <v>#NAME?</v>
      </c>
      <c r="AO645" s="316" t="e">
        <f t="shared" ca="1" si="568"/>
        <v>#NAME?</v>
      </c>
      <c r="AP645" s="313" t="e">
        <f t="shared" ca="1" si="569"/>
        <v>#NAME?</v>
      </c>
      <c r="AQ645" s="314" t="e">
        <f t="shared" ca="1" si="556"/>
        <v>#NAME?</v>
      </c>
      <c r="AR645" s="315" t="e">
        <f t="shared" ca="1" si="570"/>
        <v>#NAME?</v>
      </c>
      <c r="AS645" s="316" t="e">
        <f t="shared" ca="1" si="571"/>
        <v>#NAME?</v>
      </c>
      <c r="AT645" s="315" t="e">
        <f t="shared" ca="1" si="572"/>
        <v>#NAME?</v>
      </c>
      <c r="AU645" s="317">
        <v>427.8</v>
      </c>
      <c r="AV645" s="315" t="e">
        <f t="shared" ca="1" si="573"/>
        <v>#NAME?</v>
      </c>
      <c r="AW645" s="318" t="e">
        <f ca="1">0.0001*BicubicInterpolation('Drag Coef Table'!$B$4:$L$28,AV645,AC645)</f>
        <v>#NAME?</v>
      </c>
      <c r="AX645" s="319" t="e">
        <f t="shared" ca="1" si="574"/>
        <v>#NAME?</v>
      </c>
      <c r="AY645" s="318" t="e">
        <f t="shared" ca="1" si="575"/>
        <v>#NAME?</v>
      </c>
      <c r="AZ645" s="320" t="e">
        <f t="shared" ca="1" si="576"/>
        <v>#NAME?</v>
      </c>
      <c r="BA645" s="321" t="e">
        <f t="shared" ca="1" si="577"/>
        <v>#NAME?</v>
      </c>
      <c r="BB645" s="322" t="e">
        <f t="shared" ca="1" si="578"/>
        <v>#NAME?</v>
      </c>
      <c r="BC645" s="323">
        <v>75.196700000000007</v>
      </c>
      <c r="BD645" s="324" t="e">
        <f t="shared" ca="1" si="579"/>
        <v>#NAME?</v>
      </c>
      <c r="BE645" s="325" t="e">
        <f t="shared" ca="1" si="580"/>
        <v>#NAME?</v>
      </c>
      <c r="BF645" s="324" t="e">
        <f ca="1">BicubicInterpolation('TSFC Eff Table'!$B$4:$E$69,2,BB645)</f>
        <v>#NAME?</v>
      </c>
      <c r="BG645" s="326" t="e">
        <f t="shared" ca="1" si="581"/>
        <v>#NAME?</v>
      </c>
      <c r="BH645" s="694" t="e">
        <f ca="1">IF( S645="LRCINOP",   (1+(0.03/10)*Z645*(1+0.2*AC645^2) )*BicubicInterpolation( 'LRC INOP FF'!$C$4:$AA$21, Y645, U645 )-200, IF(S645 ="HOLDINGINOP", (1+(0.03/10)*Z645*(1+0.2*AC645^2) )*BicubicInterpolation( 'Holding INOP FF'!$C$4:$J$13,  Y645,  U645)/1.05-200,   BA645*BG645))</f>
        <v>#NAME?</v>
      </c>
      <c r="BI645" s="344" t="e">
        <f t="shared" ca="1" si="540"/>
        <v>#NAME?</v>
      </c>
      <c r="BJ645" s="322" t="e">
        <f t="shared" ca="1" si="582"/>
        <v>#NAME?</v>
      </c>
      <c r="BK645" s="338" t="e">
        <f t="shared" ca="1" si="541"/>
        <v>#NAME?</v>
      </c>
      <c r="BL645" s="327" t="e">
        <f t="shared" ca="1" si="583"/>
        <v>#NAME?</v>
      </c>
      <c r="BM645" s="328">
        <f t="shared" si="584"/>
        <v>200</v>
      </c>
      <c r="BN645" s="329" t="e">
        <f t="shared" ca="1" si="585"/>
        <v>#NAME?</v>
      </c>
      <c r="BO645" s="344" t="e">
        <f t="shared" ca="1" si="542"/>
        <v>#NAME?</v>
      </c>
      <c r="BP645" s="320" t="e">
        <f t="shared" ca="1" si="586"/>
        <v>#NAME?</v>
      </c>
      <c r="BQ645" s="344" t="e">
        <f t="shared" ca="1" si="543"/>
        <v>#NAME?</v>
      </c>
      <c r="BR645" s="347" t="e">
        <f t="shared" ca="1" si="544"/>
        <v>#NAME?</v>
      </c>
      <c r="BS645" s="326" t="e">
        <f t="shared" ca="1" si="587"/>
        <v>#NAME?</v>
      </c>
      <c r="BT645" s="437" t="e">
        <f t="shared" ca="1" si="557"/>
        <v>#NAME?</v>
      </c>
      <c r="BU645" s="437" t="e">
        <f t="shared" ca="1" si="558"/>
        <v>#NAME?</v>
      </c>
      <c r="BV645" s="441" t="e">
        <f t="shared" ca="1" si="559"/>
        <v>#NAME?</v>
      </c>
      <c r="BW645" s="442" t="e">
        <f t="shared" ca="1" si="560"/>
        <v>#NAME?</v>
      </c>
      <c r="BX645" s="470" t="e">
        <f t="shared" ca="1" si="534"/>
        <v>#NAME?</v>
      </c>
      <c r="BY645" s="484" t="e">
        <f t="shared" ca="1" si="545"/>
        <v>#NAME?</v>
      </c>
    </row>
    <row r="646" spans="9:77" ht="17.75" customHeight="1" x14ac:dyDescent="0.2">
      <c r="I646" s="366">
        <v>562</v>
      </c>
      <c r="J646" s="414">
        <f t="shared" si="546"/>
        <v>41706.102777779051</v>
      </c>
      <c r="K646" s="435" t="e">
        <f t="shared" ca="1" si="547"/>
        <v>#NAME?</v>
      </c>
      <c r="L646" s="435" t="e">
        <f t="shared" ca="1" si="590"/>
        <v>#NAME?</v>
      </c>
      <c r="M646" s="664" t="e">
        <f t="shared" ca="1" si="588"/>
        <v>#NAME?</v>
      </c>
      <c r="N646" s="664" t="e">
        <f t="shared" ca="1" si="589"/>
        <v>#NAME?</v>
      </c>
      <c r="O646" s="140" t="e">
        <f t="shared" ca="1" si="535"/>
        <v>#NAME?</v>
      </c>
      <c r="P646" s="352" t="e">
        <f t="shared" ca="1" si="548"/>
        <v>#NAME?</v>
      </c>
      <c r="Q646" s="665" t="e">
        <f t="shared" ca="1" si="591"/>
        <v>#NAME?</v>
      </c>
      <c r="R646" s="352" t="e">
        <f t="shared" ca="1" si="561"/>
        <v>#NAME?</v>
      </c>
      <c r="S646" s="662" t="e">
        <f t="shared" ca="1" si="536"/>
        <v>#NAME?</v>
      </c>
      <c r="T646" s="443" t="e">
        <f t="shared" ca="1" si="530"/>
        <v>#NAME?</v>
      </c>
      <c r="U646" s="369" t="e">
        <f t="shared" ca="1" si="531"/>
        <v>#NAME?</v>
      </c>
      <c r="V646" s="454" t="e">
        <f t="shared" ca="1" si="537"/>
        <v>#NAME?</v>
      </c>
      <c r="W646" s="457">
        <f t="shared" si="538"/>
        <v>1000</v>
      </c>
      <c r="X646" s="463" t="e">
        <f t="shared" ca="1" si="539"/>
        <v>#NAME?</v>
      </c>
      <c r="Y646" s="455" t="e">
        <f t="shared" ca="1" si="549"/>
        <v>#NAME?</v>
      </c>
      <c r="Z646" s="699">
        <f t="shared" si="532"/>
        <v>8.5</v>
      </c>
      <c r="AA646" s="355" t="str">
        <f t="shared" si="533"/>
        <v>ON</v>
      </c>
      <c r="AB646" s="357">
        <f t="shared" si="562"/>
        <v>1.4999999999999999E-2</v>
      </c>
      <c r="AC646" s="356" t="e">
        <f ca="1">IF(  Y645=0,0,IF(OR(S646="KCAS",S646="INOP",S646="MEFE"),   ( (5*( (   (((1+0.2*(T646/661.4786)^2)^3.5 -1)  )/( (1-6.8755856*10^-6 *100*Y646)^5.2558797) +1)^(2/7) -1) )^0.5),IF(S646="MACH",T646, IF(S646="LRC",BicubicInterpolation( 'LRC Mach'!$C$4:$AL$21, Y646,U646),  IF(S646="MRC",BicubicInterpolation( 'MRC Mach'!$C$3:$T$18, Y646,U646),  IF(S646="M0.84",0.84,  IF(S646="CI52",BicubicInterpolation('CI=52 Mach'!$C$3:$T$18, Y646,U646),  IF(S646="HOLDING",BicubicInterpolation(  'Holding Mach'!$C$4:$M$13, Y646,U646),                         IF(S646="LRCINOP", BicubicInterpolation('LRC INOP Mach'!$C$4:$AA$21,Y646,U646), IF(S646="HOLDINGINOP",  BicubicInterpolation('Holding INOP Mach'!$N$4:$U$13,Y646,U646),         "XXX" )))))))   )))</f>
        <v>#NAME?</v>
      </c>
      <c r="AD646" s="313" t="e">
        <f t="shared" ca="1" si="563"/>
        <v>#NAME?</v>
      </c>
      <c r="AE646" s="314" t="e">
        <f t="shared" ca="1" si="550"/>
        <v>#NAME?</v>
      </c>
      <c r="AF646" s="313" t="e">
        <f t="shared" ca="1" si="564"/>
        <v>#NAME?</v>
      </c>
      <c r="AG646" s="314" t="e">
        <f t="shared" ca="1" si="551"/>
        <v>#NAME?</v>
      </c>
      <c r="AH646" s="313" t="e">
        <f t="shared" ca="1" si="565"/>
        <v>#NAME?</v>
      </c>
      <c r="AI646" s="314" t="e">
        <f t="shared" ca="1" si="552"/>
        <v>#NAME?</v>
      </c>
      <c r="AJ646" s="315" t="e">
        <f t="shared" ca="1" si="553"/>
        <v>#NAME?</v>
      </c>
      <c r="AK646" s="568" t="e">
        <f t="shared" ca="1" si="566"/>
        <v>#NAME?</v>
      </c>
      <c r="AL646" s="313" t="e">
        <f t="shared" ca="1" si="567"/>
        <v>#NAME?</v>
      </c>
      <c r="AM646" s="313" t="e">
        <f t="shared" ca="1" si="554"/>
        <v>#NAME?</v>
      </c>
      <c r="AN646" s="313" t="e">
        <f t="shared" ca="1" si="555"/>
        <v>#NAME?</v>
      </c>
      <c r="AO646" s="316" t="e">
        <f t="shared" ca="1" si="568"/>
        <v>#NAME?</v>
      </c>
      <c r="AP646" s="313" t="e">
        <f t="shared" ca="1" si="569"/>
        <v>#NAME?</v>
      </c>
      <c r="AQ646" s="314" t="e">
        <f t="shared" ca="1" si="556"/>
        <v>#NAME?</v>
      </c>
      <c r="AR646" s="315" t="e">
        <f t="shared" ca="1" si="570"/>
        <v>#NAME?</v>
      </c>
      <c r="AS646" s="316" t="e">
        <f t="shared" ca="1" si="571"/>
        <v>#NAME?</v>
      </c>
      <c r="AT646" s="315" t="e">
        <f t="shared" ca="1" si="572"/>
        <v>#NAME?</v>
      </c>
      <c r="AU646" s="317">
        <v>427.8</v>
      </c>
      <c r="AV646" s="315" t="e">
        <f t="shared" ca="1" si="573"/>
        <v>#NAME?</v>
      </c>
      <c r="AW646" s="318" t="e">
        <f ca="1">0.0001*BicubicInterpolation('Drag Coef Table'!$B$4:$L$28,AV646,AC646)</f>
        <v>#NAME?</v>
      </c>
      <c r="AX646" s="319" t="e">
        <f t="shared" ca="1" si="574"/>
        <v>#NAME?</v>
      </c>
      <c r="AY646" s="318" t="e">
        <f t="shared" ca="1" si="575"/>
        <v>#NAME?</v>
      </c>
      <c r="AZ646" s="320" t="e">
        <f t="shared" ca="1" si="576"/>
        <v>#NAME?</v>
      </c>
      <c r="BA646" s="321" t="e">
        <f t="shared" ca="1" si="577"/>
        <v>#NAME?</v>
      </c>
      <c r="BB646" s="322" t="e">
        <f t="shared" ca="1" si="578"/>
        <v>#NAME?</v>
      </c>
      <c r="BC646" s="323">
        <v>75.196700000000007</v>
      </c>
      <c r="BD646" s="324" t="e">
        <f t="shared" ca="1" si="579"/>
        <v>#NAME?</v>
      </c>
      <c r="BE646" s="325" t="e">
        <f t="shared" ca="1" si="580"/>
        <v>#NAME?</v>
      </c>
      <c r="BF646" s="324" t="e">
        <f ca="1">BicubicInterpolation('TSFC Eff Table'!$B$4:$E$69,2,BB646)</f>
        <v>#NAME?</v>
      </c>
      <c r="BG646" s="326" t="e">
        <f t="shared" ca="1" si="581"/>
        <v>#NAME?</v>
      </c>
      <c r="BH646" s="694" t="e">
        <f ca="1">IF( S646="LRCINOP",   (1+(0.03/10)*Z646*(1+0.2*AC646^2) )*BicubicInterpolation( 'LRC INOP FF'!$C$4:$AA$21, Y646, U646 )-200, IF(S646 ="HOLDINGINOP", (1+(0.03/10)*Z646*(1+0.2*AC646^2) )*BicubicInterpolation( 'Holding INOP FF'!$C$4:$J$13,  Y646,  U646)/1.05-200,   BA646*BG646))</f>
        <v>#NAME?</v>
      </c>
      <c r="BI646" s="344" t="e">
        <f t="shared" ca="1" si="540"/>
        <v>#NAME?</v>
      </c>
      <c r="BJ646" s="322" t="e">
        <f t="shared" ca="1" si="582"/>
        <v>#NAME?</v>
      </c>
      <c r="BK646" s="338" t="e">
        <f t="shared" ca="1" si="541"/>
        <v>#NAME?</v>
      </c>
      <c r="BL646" s="327" t="e">
        <f t="shared" ca="1" si="583"/>
        <v>#NAME?</v>
      </c>
      <c r="BM646" s="328">
        <f t="shared" si="584"/>
        <v>200</v>
      </c>
      <c r="BN646" s="329" t="e">
        <f t="shared" ca="1" si="585"/>
        <v>#NAME?</v>
      </c>
      <c r="BO646" s="344" t="e">
        <f t="shared" ca="1" si="542"/>
        <v>#NAME?</v>
      </c>
      <c r="BP646" s="320" t="e">
        <f t="shared" ca="1" si="586"/>
        <v>#NAME?</v>
      </c>
      <c r="BQ646" s="344" t="e">
        <f t="shared" ca="1" si="543"/>
        <v>#NAME?</v>
      </c>
      <c r="BR646" s="347" t="e">
        <f t="shared" ca="1" si="544"/>
        <v>#NAME?</v>
      </c>
      <c r="BS646" s="326" t="e">
        <f t="shared" ca="1" si="587"/>
        <v>#NAME?</v>
      </c>
      <c r="BT646" s="437" t="e">
        <f t="shared" ca="1" si="557"/>
        <v>#NAME?</v>
      </c>
      <c r="BU646" s="437" t="e">
        <f t="shared" ca="1" si="558"/>
        <v>#NAME?</v>
      </c>
      <c r="BV646" s="441" t="e">
        <f t="shared" ca="1" si="559"/>
        <v>#NAME?</v>
      </c>
      <c r="BW646" s="442" t="e">
        <f t="shared" ca="1" si="560"/>
        <v>#NAME?</v>
      </c>
      <c r="BX646" s="470" t="e">
        <f t="shared" ca="1" si="534"/>
        <v>#NAME?</v>
      </c>
      <c r="BY646" s="484" t="e">
        <f t="shared" ca="1" si="545"/>
        <v>#NAME?</v>
      </c>
    </row>
    <row r="647" spans="9:77" ht="17.75" customHeight="1" x14ac:dyDescent="0.2">
      <c r="I647" s="366">
        <v>563</v>
      </c>
      <c r="J647" s="414">
        <f t="shared" si="546"/>
        <v>41706.103472223498</v>
      </c>
      <c r="K647" s="435" t="e">
        <f t="shared" ca="1" si="547"/>
        <v>#NAME?</v>
      </c>
      <c r="L647" s="435" t="e">
        <f t="shared" ca="1" si="590"/>
        <v>#NAME?</v>
      </c>
      <c r="M647" s="664" t="e">
        <f t="shared" ca="1" si="588"/>
        <v>#NAME?</v>
      </c>
      <c r="N647" s="664" t="e">
        <f t="shared" ca="1" si="589"/>
        <v>#NAME?</v>
      </c>
      <c r="O647" s="140" t="e">
        <f t="shared" ca="1" si="535"/>
        <v>#NAME?</v>
      </c>
      <c r="P647" s="352" t="e">
        <f t="shared" ca="1" si="548"/>
        <v>#NAME?</v>
      </c>
      <c r="Q647" s="665" t="e">
        <f t="shared" ca="1" si="591"/>
        <v>#NAME?</v>
      </c>
      <c r="R647" s="352" t="e">
        <f t="shared" ca="1" si="561"/>
        <v>#NAME?</v>
      </c>
      <c r="S647" s="662" t="e">
        <f t="shared" ca="1" si="536"/>
        <v>#NAME?</v>
      </c>
      <c r="T647" s="443" t="e">
        <f t="shared" ca="1" si="530"/>
        <v>#NAME?</v>
      </c>
      <c r="U647" s="369" t="e">
        <f t="shared" ca="1" si="531"/>
        <v>#NAME?</v>
      </c>
      <c r="V647" s="454" t="e">
        <f t="shared" ca="1" si="537"/>
        <v>#NAME?</v>
      </c>
      <c r="W647" s="457">
        <f t="shared" si="538"/>
        <v>1000</v>
      </c>
      <c r="X647" s="463" t="e">
        <f t="shared" ca="1" si="539"/>
        <v>#NAME?</v>
      </c>
      <c r="Y647" s="455" t="e">
        <f t="shared" ca="1" si="549"/>
        <v>#NAME?</v>
      </c>
      <c r="Z647" s="699">
        <f t="shared" si="532"/>
        <v>8.5</v>
      </c>
      <c r="AA647" s="355" t="str">
        <f t="shared" si="533"/>
        <v>ON</v>
      </c>
      <c r="AB647" s="357">
        <f t="shared" si="562"/>
        <v>1.4999999999999999E-2</v>
      </c>
      <c r="AC647" s="356" t="e">
        <f ca="1">IF(  Y646=0,0,IF(OR(S647="KCAS",S647="INOP",S647="MEFE"),   ( (5*( (   (((1+0.2*(T647/661.4786)^2)^3.5 -1)  )/( (1-6.8755856*10^-6 *100*Y647)^5.2558797) +1)^(2/7) -1) )^0.5),IF(S647="MACH",T647, IF(S647="LRC",BicubicInterpolation( 'LRC Mach'!$C$4:$AL$21, Y647,U647),  IF(S647="MRC",BicubicInterpolation( 'MRC Mach'!$C$3:$T$18, Y647,U647),  IF(S647="M0.84",0.84,  IF(S647="CI52",BicubicInterpolation('CI=52 Mach'!$C$3:$T$18, Y647,U647),  IF(S647="HOLDING",BicubicInterpolation(  'Holding Mach'!$C$4:$M$13, Y647,U647),                         IF(S647="LRCINOP", BicubicInterpolation('LRC INOP Mach'!$C$4:$AA$21,Y647,U647), IF(S647="HOLDINGINOP",  BicubicInterpolation('Holding INOP Mach'!$N$4:$U$13,Y647,U647),         "XXX" )))))))   )))</f>
        <v>#NAME?</v>
      </c>
      <c r="AD647" s="313" t="e">
        <f t="shared" ca="1" si="563"/>
        <v>#NAME?</v>
      </c>
      <c r="AE647" s="314" t="e">
        <f t="shared" ca="1" si="550"/>
        <v>#NAME?</v>
      </c>
      <c r="AF647" s="313" t="e">
        <f t="shared" ca="1" si="564"/>
        <v>#NAME?</v>
      </c>
      <c r="AG647" s="314" t="e">
        <f t="shared" ca="1" si="551"/>
        <v>#NAME?</v>
      </c>
      <c r="AH647" s="313" t="e">
        <f t="shared" ca="1" si="565"/>
        <v>#NAME?</v>
      </c>
      <c r="AI647" s="314" t="e">
        <f t="shared" ca="1" si="552"/>
        <v>#NAME?</v>
      </c>
      <c r="AJ647" s="315" t="e">
        <f t="shared" ca="1" si="553"/>
        <v>#NAME?</v>
      </c>
      <c r="AK647" s="568" t="e">
        <f t="shared" ca="1" si="566"/>
        <v>#NAME?</v>
      </c>
      <c r="AL647" s="313" t="e">
        <f t="shared" ca="1" si="567"/>
        <v>#NAME?</v>
      </c>
      <c r="AM647" s="313" t="e">
        <f t="shared" ca="1" si="554"/>
        <v>#NAME?</v>
      </c>
      <c r="AN647" s="313" t="e">
        <f t="shared" ca="1" si="555"/>
        <v>#NAME?</v>
      </c>
      <c r="AO647" s="316" t="e">
        <f t="shared" ca="1" si="568"/>
        <v>#NAME?</v>
      </c>
      <c r="AP647" s="313" t="e">
        <f t="shared" ca="1" si="569"/>
        <v>#NAME?</v>
      </c>
      <c r="AQ647" s="314" t="e">
        <f t="shared" ca="1" si="556"/>
        <v>#NAME?</v>
      </c>
      <c r="AR647" s="315" t="e">
        <f t="shared" ca="1" si="570"/>
        <v>#NAME?</v>
      </c>
      <c r="AS647" s="316" t="e">
        <f t="shared" ca="1" si="571"/>
        <v>#NAME?</v>
      </c>
      <c r="AT647" s="315" t="e">
        <f t="shared" ca="1" si="572"/>
        <v>#NAME?</v>
      </c>
      <c r="AU647" s="317">
        <v>427.8</v>
      </c>
      <c r="AV647" s="315" t="e">
        <f t="shared" ca="1" si="573"/>
        <v>#NAME?</v>
      </c>
      <c r="AW647" s="318" t="e">
        <f ca="1">0.0001*BicubicInterpolation('Drag Coef Table'!$B$4:$L$28,AV647,AC647)</f>
        <v>#NAME?</v>
      </c>
      <c r="AX647" s="319" t="e">
        <f t="shared" ca="1" si="574"/>
        <v>#NAME?</v>
      </c>
      <c r="AY647" s="318" t="e">
        <f t="shared" ca="1" si="575"/>
        <v>#NAME?</v>
      </c>
      <c r="AZ647" s="320" t="e">
        <f t="shared" ca="1" si="576"/>
        <v>#NAME?</v>
      </c>
      <c r="BA647" s="321" t="e">
        <f t="shared" ca="1" si="577"/>
        <v>#NAME?</v>
      </c>
      <c r="BB647" s="322" t="e">
        <f t="shared" ca="1" si="578"/>
        <v>#NAME?</v>
      </c>
      <c r="BC647" s="323">
        <v>75.196700000000007</v>
      </c>
      <c r="BD647" s="324" t="e">
        <f t="shared" ca="1" si="579"/>
        <v>#NAME?</v>
      </c>
      <c r="BE647" s="325" t="e">
        <f t="shared" ca="1" si="580"/>
        <v>#NAME?</v>
      </c>
      <c r="BF647" s="324" t="e">
        <f ca="1">BicubicInterpolation('TSFC Eff Table'!$B$4:$E$69,2,BB647)</f>
        <v>#NAME?</v>
      </c>
      <c r="BG647" s="326" t="e">
        <f t="shared" ca="1" si="581"/>
        <v>#NAME?</v>
      </c>
      <c r="BH647" s="694" t="e">
        <f ca="1">IF( S647="LRCINOP",   (1+(0.03/10)*Z647*(1+0.2*AC647^2) )*BicubicInterpolation( 'LRC INOP FF'!$C$4:$AA$21, Y647, U647 )-200, IF(S647 ="HOLDINGINOP", (1+(0.03/10)*Z647*(1+0.2*AC647^2) )*BicubicInterpolation( 'Holding INOP FF'!$C$4:$J$13,  Y647,  U647)/1.05-200,   BA647*BG647))</f>
        <v>#NAME?</v>
      </c>
      <c r="BI647" s="344" t="e">
        <f t="shared" ca="1" si="540"/>
        <v>#NAME?</v>
      </c>
      <c r="BJ647" s="322" t="e">
        <f t="shared" ca="1" si="582"/>
        <v>#NAME?</v>
      </c>
      <c r="BK647" s="338" t="e">
        <f t="shared" ca="1" si="541"/>
        <v>#NAME?</v>
      </c>
      <c r="BL647" s="327" t="e">
        <f t="shared" ca="1" si="583"/>
        <v>#NAME?</v>
      </c>
      <c r="BM647" s="328">
        <f t="shared" si="584"/>
        <v>200</v>
      </c>
      <c r="BN647" s="329" t="e">
        <f t="shared" ca="1" si="585"/>
        <v>#NAME?</v>
      </c>
      <c r="BO647" s="344" t="e">
        <f t="shared" ca="1" si="542"/>
        <v>#NAME?</v>
      </c>
      <c r="BP647" s="320" t="e">
        <f t="shared" ca="1" si="586"/>
        <v>#NAME?</v>
      </c>
      <c r="BQ647" s="344" t="e">
        <f t="shared" ca="1" si="543"/>
        <v>#NAME?</v>
      </c>
      <c r="BR647" s="347" t="e">
        <f t="shared" ca="1" si="544"/>
        <v>#NAME?</v>
      </c>
      <c r="BS647" s="326" t="e">
        <f t="shared" ca="1" si="587"/>
        <v>#NAME?</v>
      </c>
      <c r="BT647" s="437" t="e">
        <f t="shared" ca="1" si="557"/>
        <v>#NAME?</v>
      </c>
      <c r="BU647" s="437" t="e">
        <f t="shared" ca="1" si="558"/>
        <v>#NAME?</v>
      </c>
      <c r="BV647" s="441" t="e">
        <f t="shared" ca="1" si="559"/>
        <v>#NAME?</v>
      </c>
      <c r="BW647" s="442" t="e">
        <f t="shared" ca="1" si="560"/>
        <v>#NAME?</v>
      </c>
      <c r="BX647" s="470" t="e">
        <f t="shared" ca="1" si="534"/>
        <v>#NAME?</v>
      </c>
      <c r="BY647" s="484" t="e">
        <f t="shared" ca="1" si="545"/>
        <v>#NAME?</v>
      </c>
    </row>
    <row r="648" spans="9:77" ht="17.75" customHeight="1" x14ac:dyDescent="0.2">
      <c r="I648" s="366">
        <v>564</v>
      </c>
      <c r="J648" s="414">
        <f t="shared" si="546"/>
        <v>41706.104166667945</v>
      </c>
      <c r="K648" s="435" t="e">
        <f t="shared" ca="1" si="547"/>
        <v>#NAME?</v>
      </c>
      <c r="L648" s="435" t="e">
        <f t="shared" ca="1" si="590"/>
        <v>#NAME?</v>
      </c>
      <c r="M648" s="664" t="e">
        <f t="shared" ca="1" si="588"/>
        <v>#NAME?</v>
      </c>
      <c r="N648" s="664" t="e">
        <f t="shared" ca="1" si="589"/>
        <v>#NAME?</v>
      </c>
      <c r="O648" s="140" t="e">
        <f t="shared" ca="1" si="535"/>
        <v>#NAME?</v>
      </c>
      <c r="P648" s="352" t="e">
        <f t="shared" ca="1" si="548"/>
        <v>#NAME?</v>
      </c>
      <c r="Q648" s="665" t="e">
        <f t="shared" ca="1" si="591"/>
        <v>#NAME?</v>
      </c>
      <c r="R648" s="352" t="e">
        <f t="shared" ca="1" si="561"/>
        <v>#NAME?</v>
      </c>
      <c r="S648" s="662" t="e">
        <f t="shared" ca="1" si="536"/>
        <v>#NAME?</v>
      </c>
      <c r="T648" s="443" t="e">
        <f t="shared" ca="1" si="530"/>
        <v>#NAME?</v>
      </c>
      <c r="U648" s="369" t="e">
        <f t="shared" ca="1" si="531"/>
        <v>#NAME?</v>
      </c>
      <c r="V648" s="454" t="e">
        <f t="shared" ca="1" si="537"/>
        <v>#NAME?</v>
      </c>
      <c r="W648" s="457">
        <f t="shared" si="538"/>
        <v>1000</v>
      </c>
      <c r="X648" s="463" t="e">
        <f t="shared" ca="1" si="539"/>
        <v>#NAME?</v>
      </c>
      <c r="Y648" s="455" t="e">
        <f t="shared" ca="1" si="549"/>
        <v>#NAME?</v>
      </c>
      <c r="Z648" s="699">
        <f t="shared" si="532"/>
        <v>8.5</v>
      </c>
      <c r="AA648" s="355" t="str">
        <f t="shared" si="533"/>
        <v>ON</v>
      </c>
      <c r="AB648" s="357">
        <f t="shared" si="562"/>
        <v>1.4999999999999999E-2</v>
      </c>
      <c r="AC648" s="356" t="e">
        <f ca="1">IF(  Y647=0,0,IF(OR(S648="KCAS",S648="INOP",S648="MEFE"),   ( (5*( (   (((1+0.2*(T648/661.4786)^2)^3.5 -1)  )/( (1-6.8755856*10^-6 *100*Y648)^5.2558797) +1)^(2/7) -1) )^0.5),IF(S648="MACH",T648, IF(S648="LRC",BicubicInterpolation( 'LRC Mach'!$C$4:$AL$21, Y648,U648),  IF(S648="MRC",BicubicInterpolation( 'MRC Mach'!$C$3:$T$18, Y648,U648),  IF(S648="M0.84",0.84,  IF(S648="CI52",BicubicInterpolation('CI=52 Mach'!$C$3:$T$18, Y648,U648),  IF(S648="HOLDING",BicubicInterpolation(  'Holding Mach'!$C$4:$M$13, Y648,U648),                         IF(S648="LRCINOP", BicubicInterpolation('LRC INOP Mach'!$C$4:$AA$21,Y648,U648), IF(S648="HOLDINGINOP",  BicubicInterpolation('Holding INOP Mach'!$N$4:$U$13,Y648,U648),         "XXX" )))))))   )))</f>
        <v>#NAME?</v>
      </c>
      <c r="AD648" s="313" t="e">
        <f t="shared" ca="1" si="563"/>
        <v>#NAME?</v>
      </c>
      <c r="AE648" s="314" t="e">
        <f t="shared" ca="1" si="550"/>
        <v>#NAME?</v>
      </c>
      <c r="AF648" s="313" t="e">
        <f t="shared" ca="1" si="564"/>
        <v>#NAME?</v>
      </c>
      <c r="AG648" s="314" t="e">
        <f t="shared" ca="1" si="551"/>
        <v>#NAME?</v>
      </c>
      <c r="AH648" s="313" t="e">
        <f t="shared" ca="1" si="565"/>
        <v>#NAME?</v>
      </c>
      <c r="AI648" s="314" t="e">
        <f t="shared" ca="1" si="552"/>
        <v>#NAME?</v>
      </c>
      <c r="AJ648" s="315" t="e">
        <f t="shared" ca="1" si="553"/>
        <v>#NAME?</v>
      </c>
      <c r="AK648" s="568" t="e">
        <f t="shared" ca="1" si="566"/>
        <v>#NAME?</v>
      </c>
      <c r="AL648" s="313" t="e">
        <f t="shared" ca="1" si="567"/>
        <v>#NAME?</v>
      </c>
      <c r="AM648" s="313" t="e">
        <f t="shared" ca="1" si="554"/>
        <v>#NAME?</v>
      </c>
      <c r="AN648" s="313" t="e">
        <f t="shared" ca="1" si="555"/>
        <v>#NAME?</v>
      </c>
      <c r="AO648" s="316" t="e">
        <f t="shared" ca="1" si="568"/>
        <v>#NAME?</v>
      </c>
      <c r="AP648" s="313" t="e">
        <f t="shared" ca="1" si="569"/>
        <v>#NAME?</v>
      </c>
      <c r="AQ648" s="314" t="e">
        <f t="shared" ca="1" si="556"/>
        <v>#NAME?</v>
      </c>
      <c r="AR648" s="315" t="e">
        <f t="shared" ca="1" si="570"/>
        <v>#NAME?</v>
      </c>
      <c r="AS648" s="316" t="e">
        <f t="shared" ca="1" si="571"/>
        <v>#NAME?</v>
      </c>
      <c r="AT648" s="315" t="e">
        <f t="shared" ca="1" si="572"/>
        <v>#NAME?</v>
      </c>
      <c r="AU648" s="317">
        <v>427.8</v>
      </c>
      <c r="AV648" s="315" t="e">
        <f t="shared" ca="1" si="573"/>
        <v>#NAME?</v>
      </c>
      <c r="AW648" s="318" t="e">
        <f ca="1">0.0001*BicubicInterpolation('Drag Coef Table'!$B$4:$L$28,AV648,AC648)</f>
        <v>#NAME?</v>
      </c>
      <c r="AX648" s="319" t="e">
        <f t="shared" ca="1" si="574"/>
        <v>#NAME?</v>
      </c>
      <c r="AY648" s="318" t="e">
        <f t="shared" ca="1" si="575"/>
        <v>#NAME?</v>
      </c>
      <c r="AZ648" s="320" t="e">
        <f t="shared" ca="1" si="576"/>
        <v>#NAME?</v>
      </c>
      <c r="BA648" s="321" t="e">
        <f t="shared" ca="1" si="577"/>
        <v>#NAME?</v>
      </c>
      <c r="BB648" s="322" t="e">
        <f t="shared" ca="1" si="578"/>
        <v>#NAME?</v>
      </c>
      <c r="BC648" s="323">
        <v>75.196700000000007</v>
      </c>
      <c r="BD648" s="324" t="e">
        <f t="shared" ca="1" si="579"/>
        <v>#NAME?</v>
      </c>
      <c r="BE648" s="325" t="e">
        <f t="shared" ca="1" si="580"/>
        <v>#NAME?</v>
      </c>
      <c r="BF648" s="324" t="e">
        <f ca="1">BicubicInterpolation('TSFC Eff Table'!$B$4:$E$69,2,BB648)</f>
        <v>#NAME?</v>
      </c>
      <c r="BG648" s="326" t="e">
        <f t="shared" ca="1" si="581"/>
        <v>#NAME?</v>
      </c>
      <c r="BH648" s="694" t="e">
        <f ca="1">IF( S648="LRCINOP",   (1+(0.03/10)*Z648*(1+0.2*AC648^2) )*BicubicInterpolation( 'LRC INOP FF'!$C$4:$AA$21, Y648, U648 )-200, IF(S648 ="HOLDINGINOP", (1+(0.03/10)*Z648*(1+0.2*AC648^2) )*BicubicInterpolation( 'Holding INOP FF'!$C$4:$J$13,  Y648,  U648)/1.05-200,   BA648*BG648))</f>
        <v>#NAME?</v>
      </c>
      <c r="BI648" s="344" t="e">
        <f t="shared" ca="1" si="540"/>
        <v>#NAME?</v>
      </c>
      <c r="BJ648" s="322" t="e">
        <f t="shared" ca="1" si="582"/>
        <v>#NAME?</v>
      </c>
      <c r="BK648" s="338" t="e">
        <f t="shared" ca="1" si="541"/>
        <v>#NAME?</v>
      </c>
      <c r="BL648" s="327" t="e">
        <f t="shared" ca="1" si="583"/>
        <v>#NAME?</v>
      </c>
      <c r="BM648" s="328">
        <f t="shared" si="584"/>
        <v>200</v>
      </c>
      <c r="BN648" s="329" t="e">
        <f t="shared" ca="1" si="585"/>
        <v>#NAME?</v>
      </c>
      <c r="BO648" s="344" t="e">
        <f t="shared" ca="1" si="542"/>
        <v>#NAME?</v>
      </c>
      <c r="BP648" s="320" t="e">
        <f t="shared" ca="1" si="586"/>
        <v>#NAME?</v>
      </c>
      <c r="BQ648" s="344" t="e">
        <f t="shared" ca="1" si="543"/>
        <v>#NAME?</v>
      </c>
      <c r="BR648" s="347" t="e">
        <f t="shared" ca="1" si="544"/>
        <v>#NAME?</v>
      </c>
      <c r="BS648" s="326" t="e">
        <f t="shared" ca="1" si="587"/>
        <v>#NAME?</v>
      </c>
      <c r="BT648" s="437" t="e">
        <f t="shared" ca="1" si="557"/>
        <v>#NAME?</v>
      </c>
      <c r="BU648" s="437" t="e">
        <f t="shared" ca="1" si="558"/>
        <v>#NAME?</v>
      </c>
      <c r="BV648" s="441" t="e">
        <f t="shared" ca="1" si="559"/>
        <v>#NAME?</v>
      </c>
      <c r="BW648" s="442" t="e">
        <f t="shared" ca="1" si="560"/>
        <v>#NAME?</v>
      </c>
      <c r="BX648" s="470" t="e">
        <f t="shared" ca="1" si="534"/>
        <v>#NAME?</v>
      </c>
      <c r="BY648" s="484" t="e">
        <f t="shared" ca="1" si="545"/>
        <v>#NAME?</v>
      </c>
    </row>
    <row r="649" spans="9:77" ht="17.75" customHeight="1" x14ac:dyDescent="0.2">
      <c r="I649" s="366">
        <v>565</v>
      </c>
      <c r="J649" s="414">
        <f t="shared" si="546"/>
        <v>41706.104861112392</v>
      </c>
      <c r="K649" s="435" t="e">
        <f t="shared" ca="1" si="547"/>
        <v>#NAME?</v>
      </c>
      <c r="L649" s="435" t="e">
        <f t="shared" ca="1" si="590"/>
        <v>#NAME?</v>
      </c>
      <c r="M649" s="664" t="e">
        <f t="shared" ca="1" si="588"/>
        <v>#NAME?</v>
      </c>
      <c r="N649" s="664" t="e">
        <f t="shared" ca="1" si="589"/>
        <v>#NAME?</v>
      </c>
      <c r="O649" s="140" t="e">
        <f t="shared" ca="1" si="535"/>
        <v>#NAME?</v>
      </c>
      <c r="P649" s="352" t="e">
        <f t="shared" ca="1" si="548"/>
        <v>#NAME?</v>
      </c>
      <c r="Q649" s="665" t="e">
        <f t="shared" ca="1" si="591"/>
        <v>#NAME?</v>
      </c>
      <c r="R649" s="352" t="e">
        <f t="shared" ca="1" si="561"/>
        <v>#NAME?</v>
      </c>
      <c r="S649" s="662" t="e">
        <f t="shared" ca="1" si="536"/>
        <v>#NAME?</v>
      </c>
      <c r="T649" s="443" t="e">
        <f t="shared" ca="1" si="530"/>
        <v>#NAME?</v>
      </c>
      <c r="U649" s="369" t="e">
        <f t="shared" ca="1" si="531"/>
        <v>#NAME?</v>
      </c>
      <c r="V649" s="454" t="e">
        <f t="shared" ca="1" si="537"/>
        <v>#NAME?</v>
      </c>
      <c r="W649" s="457">
        <f t="shared" si="538"/>
        <v>1000</v>
      </c>
      <c r="X649" s="463" t="e">
        <f t="shared" ca="1" si="539"/>
        <v>#NAME?</v>
      </c>
      <c r="Y649" s="455" t="e">
        <f t="shared" ca="1" si="549"/>
        <v>#NAME?</v>
      </c>
      <c r="Z649" s="699">
        <f t="shared" si="532"/>
        <v>8.5</v>
      </c>
      <c r="AA649" s="355" t="str">
        <f t="shared" si="533"/>
        <v>ON</v>
      </c>
      <c r="AB649" s="357">
        <f t="shared" si="562"/>
        <v>1.4999999999999999E-2</v>
      </c>
      <c r="AC649" s="356" t="e">
        <f ca="1">IF(  Y648=0,0,IF(OR(S649="KCAS",S649="INOP",S649="MEFE"),   ( (5*( (   (((1+0.2*(T649/661.4786)^2)^3.5 -1)  )/( (1-6.8755856*10^-6 *100*Y649)^5.2558797) +1)^(2/7) -1) )^0.5),IF(S649="MACH",T649, IF(S649="LRC",BicubicInterpolation( 'LRC Mach'!$C$4:$AL$21, Y649,U649),  IF(S649="MRC",BicubicInterpolation( 'MRC Mach'!$C$3:$T$18, Y649,U649),  IF(S649="M0.84",0.84,  IF(S649="CI52",BicubicInterpolation('CI=52 Mach'!$C$3:$T$18, Y649,U649),  IF(S649="HOLDING",BicubicInterpolation(  'Holding Mach'!$C$4:$M$13, Y649,U649),                         IF(S649="LRCINOP", BicubicInterpolation('LRC INOP Mach'!$C$4:$AA$21,Y649,U649), IF(S649="HOLDINGINOP",  BicubicInterpolation('Holding INOP Mach'!$N$4:$U$13,Y649,U649),         "XXX" )))))))   )))</f>
        <v>#NAME?</v>
      </c>
      <c r="AD649" s="313" t="e">
        <f t="shared" ca="1" si="563"/>
        <v>#NAME?</v>
      </c>
      <c r="AE649" s="314" t="e">
        <f t="shared" ca="1" si="550"/>
        <v>#NAME?</v>
      </c>
      <c r="AF649" s="313" t="e">
        <f t="shared" ca="1" si="564"/>
        <v>#NAME?</v>
      </c>
      <c r="AG649" s="314" t="e">
        <f t="shared" ca="1" si="551"/>
        <v>#NAME?</v>
      </c>
      <c r="AH649" s="313" t="e">
        <f t="shared" ca="1" si="565"/>
        <v>#NAME?</v>
      </c>
      <c r="AI649" s="314" t="e">
        <f t="shared" ca="1" si="552"/>
        <v>#NAME?</v>
      </c>
      <c r="AJ649" s="315" t="e">
        <f t="shared" ca="1" si="553"/>
        <v>#NAME?</v>
      </c>
      <c r="AK649" s="568" t="e">
        <f t="shared" ca="1" si="566"/>
        <v>#NAME?</v>
      </c>
      <c r="AL649" s="313" t="e">
        <f t="shared" ca="1" si="567"/>
        <v>#NAME?</v>
      </c>
      <c r="AM649" s="313" t="e">
        <f t="shared" ca="1" si="554"/>
        <v>#NAME?</v>
      </c>
      <c r="AN649" s="313" t="e">
        <f t="shared" ca="1" si="555"/>
        <v>#NAME?</v>
      </c>
      <c r="AO649" s="316" t="e">
        <f t="shared" ca="1" si="568"/>
        <v>#NAME?</v>
      </c>
      <c r="AP649" s="313" t="e">
        <f t="shared" ca="1" si="569"/>
        <v>#NAME?</v>
      </c>
      <c r="AQ649" s="314" t="e">
        <f t="shared" ca="1" si="556"/>
        <v>#NAME?</v>
      </c>
      <c r="AR649" s="315" t="e">
        <f t="shared" ca="1" si="570"/>
        <v>#NAME?</v>
      </c>
      <c r="AS649" s="316" t="e">
        <f t="shared" ca="1" si="571"/>
        <v>#NAME?</v>
      </c>
      <c r="AT649" s="315" t="e">
        <f t="shared" ca="1" si="572"/>
        <v>#NAME?</v>
      </c>
      <c r="AU649" s="317">
        <v>427.8</v>
      </c>
      <c r="AV649" s="315" t="e">
        <f t="shared" ca="1" si="573"/>
        <v>#NAME?</v>
      </c>
      <c r="AW649" s="318" t="e">
        <f ca="1">0.0001*BicubicInterpolation('Drag Coef Table'!$B$4:$L$28,AV649,AC649)</f>
        <v>#NAME?</v>
      </c>
      <c r="AX649" s="319" t="e">
        <f t="shared" ca="1" si="574"/>
        <v>#NAME?</v>
      </c>
      <c r="AY649" s="318" t="e">
        <f t="shared" ca="1" si="575"/>
        <v>#NAME?</v>
      </c>
      <c r="AZ649" s="320" t="e">
        <f t="shared" ca="1" si="576"/>
        <v>#NAME?</v>
      </c>
      <c r="BA649" s="321" t="e">
        <f t="shared" ca="1" si="577"/>
        <v>#NAME?</v>
      </c>
      <c r="BB649" s="322" t="e">
        <f t="shared" ca="1" si="578"/>
        <v>#NAME?</v>
      </c>
      <c r="BC649" s="323">
        <v>75.196700000000007</v>
      </c>
      <c r="BD649" s="324" t="e">
        <f t="shared" ca="1" si="579"/>
        <v>#NAME?</v>
      </c>
      <c r="BE649" s="325" t="e">
        <f t="shared" ca="1" si="580"/>
        <v>#NAME?</v>
      </c>
      <c r="BF649" s="324" t="e">
        <f ca="1">BicubicInterpolation('TSFC Eff Table'!$B$4:$E$69,2,BB649)</f>
        <v>#NAME?</v>
      </c>
      <c r="BG649" s="326" t="e">
        <f t="shared" ca="1" si="581"/>
        <v>#NAME?</v>
      </c>
      <c r="BH649" s="694" t="e">
        <f ca="1">IF( S649="LRCINOP",   (1+(0.03/10)*Z649*(1+0.2*AC649^2) )*BicubicInterpolation( 'LRC INOP FF'!$C$4:$AA$21, Y649, U649 )-200, IF(S649 ="HOLDINGINOP", (1+(0.03/10)*Z649*(1+0.2*AC649^2) )*BicubicInterpolation( 'Holding INOP FF'!$C$4:$J$13,  Y649,  U649)/1.05-200,   BA649*BG649))</f>
        <v>#NAME?</v>
      </c>
      <c r="BI649" s="344" t="e">
        <f t="shared" ca="1" si="540"/>
        <v>#NAME?</v>
      </c>
      <c r="BJ649" s="322" t="e">
        <f t="shared" ca="1" si="582"/>
        <v>#NAME?</v>
      </c>
      <c r="BK649" s="338" t="e">
        <f t="shared" ca="1" si="541"/>
        <v>#NAME?</v>
      </c>
      <c r="BL649" s="327" t="e">
        <f t="shared" ca="1" si="583"/>
        <v>#NAME?</v>
      </c>
      <c r="BM649" s="328">
        <f t="shared" si="584"/>
        <v>200</v>
      </c>
      <c r="BN649" s="329" t="e">
        <f t="shared" ca="1" si="585"/>
        <v>#NAME?</v>
      </c>
      <c r="BO649" s="344" t="e">
        <f t="shared" ca="1" si="542"/>
        <v>#NAME?</v>
      </c>
      <c r="BP649" s="320" t="e">
        <f t="shared" ca="1" si="586"/>
        <v>#NAME?</v>
      </c>
      <c r="BQ649" s="344" t="e">
        <f t="shared" ca="1" si="543"/>
        <v>#NAME?</v>
      </c>
      <c r="BR649" s="347" t="e">
        <f t="shared" ca="1" si="544"/>
        <v>#NAME?</v>
      </c>
      <c r="BS649" s="326" t="e">
        <f t="shared" ca="1" si="587"/>
        <v>#NAME?</v>
      </c>
      <c r="BT649" s="437" t="e">
        <f t="shared" ca="1" si="557"/>
        <v>#NAME?</v>
      </c>
      <c r="BU649" s="437" t="e">
        <f t="shared" ca="1" si="558"/>
        <v>#NAME?</v>
      </c>
      <c r="BV649" s="441" t="e">
        <f t="shared" ca="1" si="559"/>
        <v>#NAME?</v>
      </c>
      <c r="BW649" s="442" t="e">
        <f t="shared" ca="1" si="560"/>
        <v>#NAME?</v>
      </c>
      <c r="BX649" s="470" t="e">
        <f t="shared" ca="1" si="534"/>
        <v>#NAME?</v>
      </c>
      <c r="BY649" s="484" t="e">
        <f t="shared" ca="1" si="545"/>
        <v>#NAME?</v>
      </c>
    </row>
    <row r="650" spans="9:77" ht="17.75" customHeight="1" x14ac:dyDescent="0.2">
      <c r="I650" s="366">
        <v>566</v>
      </c>
      <c r="J650" s="414">
        <f t="shared" si="546"/>
        <v>41706.105555556838</v>
      </c>
      <c r="K650" s="435" t="e">
        <f t="shared" ca="1" si="547"/>
        <v>#NAME?</v>
      </c>
      <c r="L650" s="435" t="e">
        <f t="shared" ca="1" si="590"/>
        <v>#NAME?</v>
      </c>
      <c r="M650" s="664" t="e">
        <f t="shared" ca="1" si="588"/>
        <v>#NAME?</v>
      </c>
      <c r="N650" s="664" t="e">
        <f t="shared" ca="1" si="589"/>
        <v>#NAME?</v>
      </c>
      <c r="O650" s="140" t="e">
        <f t="shared" ca="1" si="535"/>
        <v>#NAME?</v>
      </c>
      <c r="P650" s="352" t="e">
        <f t="shared" ca="1" si="548"/>
        <v>#NAME?</v>
      </c>
      <c r="Q650" s="665" t="e">
        <f t="shared" ca="1" si="591"/>
        <v>#NAME?</v>
      </c>
      <c r="R650" s="352" t="e">
        <f t="shared" ca="1" si="561"/>
        <v>#NAME?</v>
      </c>
      <c r="S650" s="662" t="e">
        <f t="shared" ca="1" si="536"/>
        <v>#NAME?</v>
      </c>
      <c r="T650" s="443" t="e">
        <f t="shared" ca="1" si="530"/>
        <v>#NAME?</v>
      </c>
      <c r="U650" s="369" t="e">
        <f t="shared" ca="1" si="531"/>
        <v>#NAME?</v>
      </c>
      <c r="V650" s="454" t="e">
        <f t="shared" ca="1" si="537"/>
        <v>#NAME?</v>
      </c>
      <c r="W650" s="457">
        <f t="shared" si="538"/>
        <v>1000</v>
      </c>
      <c r="X650" s="463" t="e">
        <f t="shared" ca="1" si="539"/>
        <v>#NAME?</v>
      </c>
      <c r="Y650" s="455" t="e">
        <f t="shared" ca="1" si="549"/>
        <v>#NAME?</v>
      </c>
      <c r="Z650" s="699">
        <f t="shared" si="532"/>
        <v>8.5</v>
      </c>
      <c r="AA650" s="355" t="str">
        <f t="shared" si="533"/>
        <v>ON</v>
      </c>
      <c r="AB650" s="357">
        <f t="shared" si="562"/>
        <v>1.4999999999999999E-2</v>
      </c>
      <c r="AC650" s="356" t="e">
        <f ca="1">IF(  Y649=0,0,IF(OR(S650="KCAS",S650="INOP",S650="MEFE"),   ( (5*( (   (((1+0.2*(T650/661.4786)^2)^3.5 -1)  )/( (1-6.8755856*10^-6 *100*Y650)^5.2558797) +1)^(2/7) -1) )^0.5),IF(S650="MACH",T650, IF(S650="LRC",BicubicInterpolation( 'LRC Mach'!$C$4:$AL$21, Y650,U650),  IF(S650="MRC",BicubicInterpolation( 'MRC Mach'!$C$3:$T$18, Y650,U650),  IF(S650="M0.84",0.84,  IF(S650="CI52",BicubicInterpolation('CI=52 Mach'!$C$3:$T$18, Y650,U650),  IF(S650="HOLDING",BicubicInterpolation(  'Holding Mach'!$C$4:$M$13, Y650,U650),                         IF(S650="LRCINOP", BicubicInterpolation('LRC INOP Mach'!$C$4:$AA$21,Y650,U650), IF(S650="HOLDINGINOP",  BicubicInterpolation('Holding INOP Mach'!$N$4:$U$13,Y650,U650),         "XXX" )))))))   )))</f>
        <v>#NAME?</v>
      </c>
      <c r="AD650" s="313" t="e">
        <f t="shared" ca="1" si="563"/>
        <v>#NAME?</v>
      </c>
      <c r="AE650" s="314" t="e">
        <f t="shared" ca="1" si="550"/>
        <v>#NAME?</v>
      </c>
      <c r="AF650" s="313" t="e">
        <f t="shared" ca="1" si="564"/>
        <v>#NAME?</v>
      </c>
      <c r="AG650" s="314" t="e">
        <f t="shared" ca="1" si="551"/>
        <v>#NAME?</v>
      </c>
      <c r="AH650" s="313" t="e">
        <f t="shared" ca="1" si="565"/>
        <v>#NAME?</v>
      </c>
      <c r="AI650" s="314" t="e">
        <f t="shared" ca="1" si="552"/>
        <v>#NAME?</v>
      </c>
      <c r="AJ650" s="315" t="e">
        <f t="shared" ca="1" si="553"/>
        <v>#NAME?</v>
      </c>
      <c r="AK650" s="568" t="e">
        <f t="shared" ca="1" si="566"/>
        <v>#NAME?</v>
      </c>
      <c r="AL650" s="313" t="e">
        <f t="shared" ca="1" si="567"/>
        <v>#NAME?</v>
      </c>
      <c r="AM650" s="313" t="e">
        <f t="shared" ca="1" si="554"/>
        <v>#NAME?</v>
      </c>
      <c r="AN650" s="313" t="e">
        <f t="shared" ca="1" si="555"/>
        <v>#NAME?</v>
      </c>
      <c r="AO650" s="316" t="e">
        <f t="shared" ca="1" si="568"/>
        <v>#NAME?</v>
      </c>
      <c r="AP650" s="313" t="e">
        <f t="shared" ca="1" si="569"/>
        <v>#NAME?</v>
      </c>
      <c r="AQ650" s="314" t="e">
        <f t="shared" ca="1" si="556"/>
        <v>#NAME?</v>
      </c>
      <c r="AR650" s="315" t="e">
        <f t="shared" ca="1" si="570"/>
        <v>#NAME?</v>
      </c>
      <c r="AS650" s="316" t="e">
        <f t="shared" ca="1" si="571"/>
        <v>#NAME?</v>
      </c>
      <c r="AT650" s="315" t="e">
        <f t="shared" ca="1" si="572"/>
        <v>#NAME?</v>
      </c>
      <c r="AU650" s="317">
        <v>427.8</v>
      </c>
      <c r="AV650" s="315" t="e">
        <f t="shared" ca="1" si="573"/>
        <v>#NAME?</v>
      </c>
      <c r="AW650" s="318" t="e">
        <f ca="1">0.0001*BicubicInterpolation('Drag Coef Table'!$B$4:$L$28,AV650,AC650)</f>
        <v>#NAME?</v>
      </c>
      <c r="AX650" s="319" t="e">
        <f t="shared" ca="1" si="574"/>
        <v>#NAME?</v>
      </c>
      <c r="AY650" s="318" t="e">
        <f t="shared" ca="1" si="575"/>
        <v>#NAME?</v>
      </c>
      <c r="AZ650" s="320" t="e">
        <f t="shared" ca="1" si="576"/>
        <v>#NAME?</v>
      </c>
      <c r="BA650" s="321" t="e">
        <f t="shared" ca="1" si="577"/>
        <v>#NAME?</v>
      </c>
      <c r="BB650" s="322" t="e">
        <f t="shared" ca="1" si="578"/>
        <v>#NAME?</v>
      </c>
      <c r="BC650" s="323">
        <v>75.196700000000007</v>
      </c>
      <c r="BD650" s="324" t="e">
        <f t="shared" ca="1" si="579"/>
        <v>#NAME?</v>
      </c>
      <c r="BE650" s="325" t="e">
        <f t="shared" ca="1" si="580"/>
        <v>#NAME?</v>
      </c>
      <c r="BF650" s="324" t="e">
        <f ca="1">BicubicInterpolation('TSFC Eff Table'!$B$4:$E$69,2,BB650)</f>
        <v>#NAME?</v>
      </c>
      <c r="BG650" s="326" t="e">
        <f t="shared" ca="1" si="581"/>
        <v>#NAME?</v>
      </c>
      <c r="BH650" s="694" t="e">
        <f ca="1">IF( S650="LRCINOP",   (1+(0.03/10)*Z650*(1+0.2*AC650^2) )*BicubicInterpolation( 'LRC INOP FF'!$C$4:$AA$21, Y650, U650 )-200, IF(S650 ="HOLDINGINOP", (1+(0.03/10)*Z650*(1+0.2*AC650^2) )*BicubicInterpolation( 'Holding INOP FF'!$C$4:$J$13,  Y650,  U650)/1.05-200,   BA650*BG650))</f>
        <v>#NAME?</v>
      </c>
      <c r="BI650" s="344" t="e">
        <f t="shared" ca="1" si="540"/>
        <v>#NAME?</v>
      </c>
      <c r="BJ650" s="322" t="e">
        <f t="shared" ca="1" si="582"/>
        <v>#NAME?</v>
      </c>
      <c r="BK650" s="338" t="e">
        <f t="shared" ca="1" si="541"/>
        <v>#NAME?</v>
      </c>
      <c r="BL650" s="327" t="e">
        <f t="shared" ca="1" si="583"/>
        <v>#NAME?</v>
      </c>
      <c r="BM650" s="328">
        <f t="shared" si="584"/>
        <v>200</v>
      </c>
      <c r="BN650" s="329" t="e">
        <f t="shared" ca="1" si="585"/>
        <v>#NAME?</v>
      </c>
      <c r="BO650" s="344" t="e">
        <f t="shared" ca="1" si="542"/>
        <v>#NAME?</v>
      </c>
      <c r="BP650" s="320" t="e">
        <f t="shared" ca="1" si="586"/>
        <v>#NAME?</v>
      </c>
      <c r="BQ650" s="344" t="e">
        <f t="shared" ca="1" si="543"/>
        <v>#NAME?</v>
      </c>
      <c r="BR650" s="347" t="e">
        <f t="shared" ca="1" si="544"/>
        <v>#NAME?</v>
      </c>
      <c r="BS650" s="326" t="e">
        <f t="shared" ca="1" si="587"/>
        <v>#NAME?</v>
      </c>
      <c r="BT650" s="437" t="e">
        <f t="shared" ca="1" si="557"/>
        <v>#NAME?</v>
      </c>
      <c r="BU650" s="437" t="e">
        <f t="shared" ca="1" si="558"/>
        <v>#NAME?</v>
      </c>
      <c r="BV650" s="441" t="e">
        <f t="shared" ca="1" si="559"/>
        <v>#NAME?</v>
      </c>
      <c r="BW650" s="442" t="e">
        <f t="shared" ca="1" si="560"/>
        <v>#NAME?</v>
      </c>
      <c r="BX650" s="470" t="e">
        <f t="shared" ca="1" si="534"/>
        <v>#NAME?</v>
      </c>
      <c r="BY650" s="484" t="e">
        <f t="shared" ca="1" si="545"/>
        <v>#NAME?</v>
      </c>
    </row>
    <row r="651" spans="9:77" ht="17.75" customHeight="1" x14ac:dyDescent="0.2">
      <c r="I651" s="366">
        <v>567</v>
      </c>
      <c r="J651" s="414">
        <f t="shared" si="546"/>
        <v>41706.106250001285</v>
      </c>
      <c r="K651" s="435" t="e">
        <f t="shared" ca="1" si="547"/>
        <v>#NAME?</v>
      </c>
      <c r="L651" s="435" t="e">
        <f t="shared" ca="1" si="590"/>
        <v>#NAME?</v>
      </c>
      <c r="M651" s="664" t="e">
        <f t="shared" ca="1" si="588"/>
        <v>#NAME?</v>
      </c>
      <c r="N651" s="664" t="e">
        <f t="shared" ca="1" si="589"/>
        <v>#NAME?</v>
      </c>
      <c r="O651" s="140" t="e">
        <f t="shared" ca="1" si="535"/>
        <v>#NAME?</v>
      </c>
      <c r="P651" s="352" t="e">
        <f t="shared" ca="1" si="548"/>
        <v>#NAME?</v>
      </c>
      <c r="Q651" s="665" t="e">
        <f t="shared" ca="1" si="591"/>
        <v>#NAME?</v>
      </c>
      <c r="R651" s="352" t="e">
        <f t="shared" ca="1" si="561"/>
        <v>#NAME?</v>
      </c>
      <c r="S651" s="662" t="e">
        <f t="shared" ca="1" si="536"/>
        <v>#NAME?</v>
      </c>
      <c r="T651" s="443" t="e">
        <f t="shared" ca="1" si="530"/>
        <v>#NAME?</v>
      </c>
      <c r="U651" s="369" t="e">
        <f t="shared" ca="1" si="531"/>
        <v>#NAME?</v>
      </c>
      <c r="V651" s="454" t="e">
        <f t="shared" ca="1" si="537"/>
        <v>#NAME?</v>
      </c>
      <c r="W651" s="457">
        <f t="shared" si="538"/>
        <v>1000</v>
      </c>
      <c r="X651" s="463" t="e">
        <f t="shared" ca="1" si="539"/>
        <v>#NAME?</v>
      </c>
      <c r="Y651" s="455" t="e">
        <f t="shared" ca="1" si="549"/>
        <v>#NAME?</v>
      </c>
      <c r="Z651" s="699">
        <f t="shared" si="532"/>
        <v>8.5</v>
      </c>
      <c r="AA651" s="355" t="str">
        <f t="shared" si="533"/>
        <v>ON</v>
      </c>
      <c r="AB651" s="357">
        <f t="shared" si="562"/>
        <v>1.4999999999999999E-2</v>
      </c>
      <c r="AC651" s="356" t="e">
        <f ca="1">IF(  Y650=0,0,IF(OR(S651="KCAS",S651="INOP",S651="MEFE"),   ( (5*( (   (((1+0.2*(T651/661.4786)^2)^3.5 -1)  )/( (1-6.8755856*10^-6 *100*Y651)^5.2558797) +1)^(2/7) -1) )^0.5),IF(S651="MACH",T651, IF(S651="LRC",BicubicInterpolation( 'LRC Mach'!$C$4:$AL$21, Y651,U651),  IF(S651="MRC",BicubicInterpolation( 'MRC Mach'!$C$3:$T$18, Y651,U651),  IF(S651="M0.84",0.84,  IF(S651="CI52",BicubicInterpolation('CI=52 Mach'!$C$3:$T$18, Y651,U651),  IF(S651="HOLDING",BicubicInterpolation(  'Holding Mach'!$C$4:$M$13, Y651,U651),                         IF(S651="LRCINOP", BicubicInterpolation('LRC INOP Mach'!$C$4:$AA$21,Y651,U651), IF(S651="HOLDINGINOP",  BicubicInterpolation('Holding INOP Mach'!$N$4:$U$13,Y651,U651),         "XXX" )))))))   )))</f>
        <v>#NAME?</v>
      </c>
      <c r="AD651" s="313" t="e">
        <f t="shared" ca="1" si="563"/>
        <v>#NAME?</v>
      </c>
      <c r="AE651" s="314" t="e">
        <f t="shared" ca="1" si="550"/>
        <v>#NAME?</v>
      </c>
      <c r="AF651" s="313" t="e">
        <f t="shared" ca="1" si="564"/>
        <v>#NAME?</v>
      </c>
      <c r="AG651" s="314" t="e">
        <f t="shared" ca="1" si="551"/>
        <v>#NAME?</v>
      </c>
      <c r="AH651" s="313" t="e">
        <f t="shared" ca="1" si="565"/>
        <v>#NAME?</v>
      </c>
      <c r="AI651" s="314" t="e">
        <f t="shared" ca="1" si="552"/>
        <v>#NAME?</v>
      </c>
      <c r="AJ651" s="315" t="e">
        <f t="shared" ca="1" si="553"/>
        <v>#NAME?</v>
      </c>
      <c r="AK651" s="568" t="e">
        <f t="shared" ca="1" si="566"/>
        <v>#NAME?</v>
      </c>
      <c r="AL651" s="313" t="e">
        <f t="shared" ca="1" si="567"/>
        <v>#NAME?</v>
      </c>
      <c r="AM651" s="313" t="e">
        <f t="shared" ca="1" si="554"/>
        <v>#NAME?</v>
      </c>
      <c r="AN651" s="313" t="e">
        <f t="shared" ca="1" si="555"/>
        <v>#NAME?</v>
      </c>
      <c r="AO651" s="316" t="e">
        <f t="shared" ca="1" si="568"/>
        <v>#NAME?</v>
      </c>
      <c r="AP651" s="313" t="e">
        <f t="shared" ca="1" si="569"/>
        <v>#NAME?</v>
      </c>
      <c r="AQ651" s="314" t="e">
        <f t="shared" ca="1" si="556"/>
        <v>#NAME?</v>
      </c>
      <c r="AR651" s="315" t="e">
        <f t="shared" ca="1" si="570"/>
        <v>#NAME?</v>
      </c>
      <c r="AS651" s="316" t="e">
        <f t="shared" ca="1" si="571"/>
        <v>#NAME?</v>
      </c>
      <c r="AT651" s="315" t="e">
        <f t="shared" ca="1" si="572"/>
        <v>#NAME?</v>
      </c>
      <c r="AU651" s="317">
        <v>427.8</v>
      </c>
      <c r="AV651" s="315" t="e">
        <f t="shared" ca="1" si="573"/>
        <v>#NAME?</v>
      </c>
      <c r="AW651" s="318" t="e">
        <f ca="1">0.0001*BicubicInterpolation('Drag Coef Table'!$B$4:$L$28,AV651,AC651)</f>
        <v>#NAME?</v>
      </c>
      <c r="AX651" s="319" t="e">
        <f t="shared" ca="1" si="574"/>
        <v>#NAME?</v>
      </c>
      <c r="AY651" s="318" t="e">
        <f t="shared" ca="1" si="575"/>
        <v>#NAME?</v>
      </c>
      <c r="AZ651" s="320" t="e">
        <f t="shared" ca="1" si="576"/>
        <v>#NAME?</v>
      </c>
      <c r="BA651" s="321" t="e">
        <f t="shared" ca="1" si="577"/>
        <v>#NAME?</v>
      </c>
      <c r="BB651" s="322" t="e">
        <f t="shared" ca="1" si="578"/>
        <v>#NAME?</v>
      </c>
      <c r="BC651" s="323">
        <v>75.196700000000007</v>
      </c>
      <c r="BD651" s="324" t="e">
        <f t="shared" ca="1" si="579"/>
        <v>#NAME?</v>
      </c>
      <c r="BE651" s="325" t="e">
        <f t="shared" ca="1" si="580"/>
        <v>#NAME?</v>
      </c>
      <c r="BF651" s="324" t="e">
        <f ca="1">BicubicInterpolation('TSFC Eff Table'!$B$4:$E$69,2,BB651)</f>
        <v>#NAME?</v>
      </c>
      <c r="BG651" s="326" t="e">
        <f t="shared" ca="1" si="581"/>
        <v>#NAME?</v>
      </c>
      <c r="BH651" s="694" t="e">
        <f ca="1">IF( S651="LRCINOP",   (1+(0.03/10)*Z651*(1+0.2*AC651^2) )*BicubicInterpolation( 'LRC INOP FF'!$C$4:$AA$21, Y651, U651 )-200, IF(S651 ="HOLDINGINOP", (1+(0.03/10)*Z651*(1+0.2*AC651^2) )*BicubicInterpolation( 'Holding INOP FF'!$C$4:$J$13,  Y651,  U651)/1.05-200,   BA651*BG651))</f>
        <v>#NAME?</v>
      </c>
      <c r="BI651" s="344" t="e">
        <f t="shared" ca="1" si="540"/>
        <v>#NAME?</v>
      </c>
      <c r="BJ651" s="322" t="e">
        <f t="shared" ca="1" si="582"/>
        <v>#NAME?</v>
      </c>
      <c r="BK651" s="338" t="e">
        <f t="shared" ca="1" si="541"/>
        <v>#NAME?</v>
      </c>
      <c r="BL651" s="327" t="e">
        <f t="shared" ca="1" si="583"/>
        <v>#NAME?</v>
      </c>
      <c r="BM651" s="328">
        <f t="shared" si="584"/>
        <v>200</v>
      </c>
      <c r="BN651" s="329" t="e">
        <f t="shared" ca="1" si="585"/>
        <v>#NAME?</v>
      </c>
      <c r="BO651" s="344" t="e">
        <f t="shared" ca="1" si="542"/>
        <v>#NAME?</v>
      </c>
      <c r="BP651" s="320" t="e">
        <f t="shared" ca="1" si="586"/>
        <v>#NAME?</v>
      </c>
      <c r="BQ651" s="344" t="e">
        <f t="shared" ca="1" si="543"/>
        <v>#NAME?</v>
      </c>
      <c r="BR651" s="347" t="e">
        <f t="shared" ca="1" si="544"/>
        <v>#NAME?</v>
      </c>
      <c r="BS651" s="326" t="e">
        <f t="shared" ca="1" si="587"/>
        <v>#NAME?</v>
      </c>
      <c r="BT651" s="437" t="e">
        <f t="shared" ca="1" si="557"/>
        <v>#NAME?</v>
      </c>
      <c r="BU651" s="437" t="e">
        <f t="shared" ca="1" si="558"/>
        <v>#NAME?</v>
      </c>
      <c r="BV651" s="441" t="e">
        <f t="shared" ca="1" si="559"/>
        <v>#NAME?</v>
      </c>
      <c r="BW651" s="442" t="e">
        <f t="shared" ca="1" si="560"/>
        <v>#NAME?</v>
      </c>
      <c r="BX651" s="470" t="e">
        <f t="shared" ca="1" si="534"/>
        <v>#NAME?</v>
      </c>
      <c r="BY651" s="484" t="e">
        <f t="shared" ca="1" si="545"/>
        <v>#NAME?</v>
      </c>
    </row>
    <row r="652" spans="9:77" ht="17.75" customHeight="1" x14ac:dyDescent="0.2">
      <c r="I652" s="366">
        <v>568</v>
      </c>
      <c r="J652" s="414">
        <f t="shared" si="546"/>
        <v>41706.106944445732</v>
      </c>
      <c r="K652" s="435" t="e">
        <f t="shared" ca="1" si="547"/>
        <v>#NAME?</v>
      </c>
      <c r="L652" s="435" t="e">
        <f t="shared" ca="1" si="590"/>
        <v>#NAME?</v>
      </c>
      <c r="M652" s="664" t="e">
        <f t="shared" ca="1" si="588"/>
        <v>#NAME?</v>
      </c>
      <c r="N652" s="664" t="e">
        <f t="shared" ca="1" si="589"/>
        <v>#NAME?</v>
      </c>
      <c r="O652" s="140" t="e">
        <f t="shared" ca="1" si="535"/>
        <v>#NAME?</v>
      </c>
      <c r="P652" s="352" t="e">
        <f t="shared" ca="1" si="548"/>
        <v>#NAME?</v>
      </c>
      <c r="Q652" s="665" t="e">
        <f t="shared" ca="1" si="591"/>
        <v>#NAME?</v>
      </c>
      <c r="R652" s="352" t="e">
        <f t="shared" ca="1" si="561"/>
        <v>#NAME?</v>
      </c>
      <c r="S652" s="662" t="e">
        <f t="shared" ca="1" si="536"/>
        <v>#NAME?</v>
      </c>
      <c r="T652" s="443" t="e">
        <f t="shared" ca="1" si="530"/>
        <v>#NAME?</v>
      </c>
      <c r="U652" s="369" t="e">
        <f t="shared" ca="1" si="531"/>
        <v>#NAME?</v>
      </c>
      <c r="V652" s="454" t="e">
        <f t="shared" ca="1" si="537"/>
        <v>#NAME?</v>
      </c>
      <c r="W652" s="457">
        <f t="shared" si="538"/>
        <v>1000</v>
      </c>
      <c r="X652" s="463" t="e">
        <f t="shared" ca="1" si="539"/>
        <v>#NAME?</v>
      </c>
      <c r="Y652" s="455" t="e">
        <f t="shared" ca="1" si="549"/>
        <v>#NAME?</v>
      </c>
      <c r="Z652" s="699">
        <f t="shared" si="532"/>
        <v>8.5</v>
      </c>
      <c r="AA652" s="355" t="str">
        <f t="shared" si="533"/>
        <v>ON</v>
      </c>
      <c r="AB652" s="357">
        <f t="shared" si="562"/>
        <v>1.4999999999999999E-2</v>
      </c>
      <c r="AC652" s="356" t="e">
        <f ca="1">IF(  Y651=0,0,IF(OR(S652="KCAS",S652="INOP",S652="MEFE"),   ( (5*( (   (((1+0.2*(T652/661.4786)^2)^3.5 -1)  )/( (1-6.8755856*10^-6 *100*Y652)^5.2558797) +1)^(2/7) -1) )^0.5),IF(S652="MACH",T652, IF(S652="LRC",BicubicInterpolation( 'LRC Mach'!$C$4:$AL$21, Y652,U652),  IF(S652="MRC",BicubicInterpolation( 'MRC Mach'!$C$3:$T$18, Y652,U652),  IF(S652="M0.84",0.84,  IF(S652="CI52",BicubicInterpolation('CI=52 Mach'!$C$3:$T$18, Y652,U652),  IF(S652="HOLDING",BicubicInterpolation(  'Holding Mach'!$C$4:$M$13, Y652,U652),                         IF(S652="LRCINOP", BicubicInterpolation('LRC INOP Mach'!$C$4:$AA$21,Y652,U652), IF(S652="HOLDINGINOP",  BicubicInterpolation('Holding INOP Mach'!$N$4:$U$13,Y652,U652),         "XXX" )))))))   )))</f>
        <v>#NAME?</v>
      </c>
      <c r="AD652" s="313" t="e">
        <f t="shared" ca="1" si="563"/>
        <v>#NAME?</v>
      </c>
      <c r="AE652" s="314" t="e">
        <f t="shared" ca="1" si="550"/>
        <v>#NAME?</v>
      </c>
      <c r="AF652" s="313" t="e">
        <f t="shared" ca="1" si="564"/>
        <v>#NAME?</v>
      </c>
      <c r="AG652" s="314" t="e">
        <f t="shared" ca="1" si="551"/>
        <v>#NAME?</v>
      </c>
      <c r="AH652" s="313" t="e">
        <f t="shared" ca="1" si="565"/>
        <v>#NAME?</v>
      </c>
      <c r="AI652" s="314" t="e">
        <f t="shared" ca="1" si="552"/>
        <v>#NAME?</v>
      </c>
      <c r="AJ652" s="315" t="e">
        <f t="shared" ca="1" si="553"/>
        <v>#NAME?</v>
      </c>
      <c r="AK652" s="568" t="e">
        <f t="shared" ca="1" si="566"/>
        <v>#NAME?</v>
      </c>
      <c r="AL652" s="313" t="e">
        <f t="shared" ca="1" si="567"/>
        <v>#NAME?</v>
      </c>
      <c r="AM652" s="313" t="e">
        <f t="shared" ca="1" si="554"/>
        <v>#NAME?</v>
      </c>
      <c r="AN652" s="313" t="e">
        <f t="shared" ca="1" si="555"/>
        <v>#NAME?</v>
      </c>
      <c r="AO652" s="316" t="e">
        <f t="shared" ca="1" si="568"/>
        <v>#NAME?</v>
      </c>
      <c r="AP652" s="313" t="e">
        <f t="shared" ca="1" si="569"/>
        <v>#NAME?</v>
      </c>
      <c r="AQ652" s="314" t="e">
        <f t="shared" ca="1" si="556"/>
        <v>#NAME?</v>
      </c>
      <c r="AR652" s="315" t="e">
        <f t="shared" ca="1" si="570"/>
        <v>#NAME?</v>
      </c>
      <c r="AS652" s="316" t="e">
        <f t="shared" ca="1" si="571"/>
        <v>#NAME?</v>
      </c>
      <c r="AT652" s="315" t="e">
        <f t="shared" ca="1" si="572"/>
        <v>#NAME?</v>
      </c>
      <c r="AU652" s="317">
        <v>427.8</v>
      </c>
      <c r="AV652" s="315" t="e">
        <f t="shared" ca="1" si="573"/>
        <v>#NAME?</v>
      </c>
      <c r="AW652" s="318" t="e">
        <f ca="1">0.0001*BicubicInterpolation('Drag Coef Table'!$B$4:$L$28,AV652,AC652)</f>
        <v>#NAME?</v>
      </c>
      <c r="AX652" s="319" t="e">
        <f t="shared" ca="1" si="574"/>
        <v>#NAME?</v>
      </c>
      <c r="AY652" s="318" t="e">
        <f t="shared" ca="1" si="575"/>
        <v>#NAME?</v>
      </c>
      <c r="AZ652" s="320" t="e">
        <f t="shared" ca="1" si="576"/>
        <v>#NAME?</v>
      </c>
      <c r="BA652" s="321" t="e">
        <f t="shared" ca="1" si="577"/>
        <v>#NAME?</v>
      </c>
      <c r="BB652" s="322" t="e">
        <f t="shared" ca="1" si="578"/>
        <v>#NAME?</v>
      </c>
      <c r="BC652" s="323">
        <v>75.196700000000007</v>
      </c>
      <c r="BD652" s="324" t="e">
        <f t="shared" ca="1" si="579"/>
        <v>#NAME?</v>
      </c>
      <c r="BE652" s="325" t="e">
        <f t="shared" ca="1" si="580"/>
        <v>#NAME?</v>
      </c>
      <c r="BF652" s="324" t="e">
        <f ca="1">BicubicInterpolation('TSFC Eff Table'!$B$4:$E$69,2,BB652)</f>
        <v>#NAME?</v>
      </c>
      <c r="BG652" s="326" t="e">
        <f t="shared" ca="1" si="581"/>
        <v>#NAME?</v>
      </c>
      <c r="BH652" s="694" t="e">
        <f ca="1">IF( S652="LRCINOP",   (1+(0.03/10)*Z652*(1+0.2*AC652^2) )*BicubicInterpolation( 'LRC INOP FF'!$C$4:$AA$21, Y652, U652 )-200, IF(S652 ="HOLDINGINOP", (1+(0.03/10)*Z652*(1+0.2*AC652^2) )*BicubicInterpolation( 'Holding INOP FF'!$C$4:$J$13,  Y652,  U652)/1.05-200,   BA652*BG652))</f>
        <v>#NAME?</v>
      </c>
      <c r="BI652" s="344" t="e">
        <f t="shared" ca="1" si="540"/>
        <v>#NAME?</v>
      </c>
      <c r="BJ652" s="322" t="e">
        <f t="shared" ca="1" si="582"/>
        <v>#NAME?</v>
      </c>
      <c r="BK652" s="338" t="e">
        <f t="shared" ca="1" si="541"/>
        <v>#NAME?</v>
      </c>
      <c r="BL652" s="327" t="e">
        <f t="shared" ca="1" si="583"/>
        <v>#NAME?</v>
      </c>
      <c r="BM652" s="328">
        <f t="shared" si="584"/>
        <v>200</v>
      </c>
      <c r="BN652" s="329" t="e">
        <f t="shared" ca="1" si="585"/>
        <v>#NAME?</v>
      </c>
      <c r="BO652" s="344" t="e">
        <f t="shared" ca="1" si="542"/>
        <v>#NAME?</v>
      </c>
      <c r="BP652" s="320" t="e">
        <f t="shared" ca="1" si="586"/>
        <v>#NAME?</v>
      </c>
      <c r="BQ652" s="344" t="e">
        <f t="shared" ca="1" si="543"/>
        <v>#NAME?</v>
      </c>
      <c r="BR652" s="347" t="e">
        <f t="shared" ca="1" si="544"/>
        <v>#NAME?</v>
      </c>
      <c r="BS652" s="326" t="e">
        <f t="shared" ca="1" si="587"/>
        <v>#NAME?</v>
      </c>
      <c r="BT652" s="437" t="e">
        <f t="shared" ca="1" si="557"/>
        <v>#NAME?</v>
      </c>
      <c r="BU652" s="437" t="e">
        <f t="shared" ca="1" si="558"/>
        <v>#NAME?</v>
      </c>
      <c r="BV652" s="441" t="e">
        <f t="shared" ca="1" si="559"/>
        <v>#NAME?</v>
      </c>
      <c r="BW652" s="442" t="e">
        <f t="shared" ca="1" si="560"/>
        <v>#NAME?</v>
      </c>
      <c r="BX652" s="470" t="e">
        <f t="shared" ca="1" si="534"/>
        <v>#NAME?</v>
      </c>
      <c r="BY652" s="484" t="e">
        <f t="shared" ca="1" si="545"/>
        <v>#NAME?</v>
      </c>
    </row>
    <row r="653" spans="9:77" ht="17.75" customHeight="1" x14ac:dyDescent="0.2">
      <c r="I653" s="366">
        <v>569</v>
      </c>
      <c r="J653" s="414">
        <f t="shared" si="546"/>
        <v>41706.107638890178</v>
      </c>
      <c r="K653" s="435" t="e">
        <f t="shared" ca="1" si="547"/>
        <v>#NAME?</v>
      </c>
      <c r="L653" s="435" t="e">
        <f t="shared" ca="1" si="590"/>
        <v>#NAME?</v>
      </c>
      <c r="M653" s="664" t="e">
        <f t="shared" ca="1" si="588"/>
        <v>#NAME?</v>
      </c>
      <c r="N653" s="664" t="e">
        <f t="shared" ca="1" si="589"/>
        <v>#NAME?</v>
      </c>
      <c r="O653" s="140" t="e">
        <f t="shared" ca="1" si="535"/>
        <v>#NAME?</v>
      </c>
      <c r="P653" s="352" t="e">
        <f t="shared" ca="1" si="548"/>
        <v>#NAME?</v>
      </c>
      <c r="Q653" s="665" t="e">
        <f t="shared" ca="1" si="591"/>
        <v>#NAME?</v>
      </c>
      <c r="R653" s="352" t="e">
        <f t="shared" ca="1" si="561"/>
        <v>#NAME?</v>
      </c>
      <c r="S653" s="662" t="e">
        <f t="shared" ca="1" si="536"/>
        <v>#NAME?</v>
      </c>
      <c r="T653" s="443" t="e">
        <f t="shared" ca="1" si="530"/>
        <v>#NAME?</v>
      </c>
      <c r="U653" s="369" t="e">
        <f t="shared" ca="1" si="531"/>
        <v>#NAME?</v>
      </c>
      <c r="V653" s="454" t="e">
        <f t="shared" ca="1" si="537"/>
        <v>#NAME?</v>
      </c>
      <c r="W653" s="457">
        <f t="shared" si="538"/>
        <v>1000</v>
      </c>
      <c r="X653" s="463" t="e">
        <f t="shared" ca="1" si="539"/>
        <v>#NAME?</v>
      </c>
      <c r="Y653" s="455" t="e">
        <f t="shared" ca="1" si="549"/>
        <v>#NAME?</v>
      </c>
      <c r="Z653" s="699">
        <f t="shared" si="532"/>
        <v>8.5</v>
      </c>
      <c r="AA653" s="355" t="str">
        <f t="shared" si="533"/>
        <v>ON</v>
      </c>
      <c r="AB653" s="357">
        <f t="shared" si="562"/>
        <v>1.4999999999999999E-2</v>
      </c>
      <c r="AC653" s="356" t="e">
        <f ca="1">IF(  Y652=0,0,IF(OR(S653="KCAS",S653="INOP",S653="MEFE"),   ( (5*( (   (((1+0.2*(T653/661.4786)^2)^3.5 -1)  )/( (1-6.8755856*10^-6 *100*Y653)^5.2558797) +1)^(2/7) -1) )^0.5),IF(S653="MACH",T653, IF(S653="LRC",BicubicInterpolation( 'LRC Mach'!$C$4:$AL$21, Y653,U653),  IF(S653="MRC",BicubicInterpolation( 'MRC Mach'!$C$3:$T$18, Y653,U653),  IF(S653="M0.84",0.84,  IF(S653="CI52",BicubicInterpolation('CI=52 Mach'!$C$3:$T$18, Y653,U653),  IF(S653="HOLDING",BicubicInterpolation(  'Holding Mach'!$C$4:$M$13, Y653,U653),                         IF(S653="LRCINOP", BicubicInterpolation('LRC INOP Mach'!$C$4:$AA$21,Y653,U653), IF(S653="HOLDINGINOP",  BicubicInterpolation('Holding INOP Mach'!$N$4:$U$13,Y653,U653),         "XXX" )))))))   )))</f>
        <v>#NAME?</v>
      </c>
      <c r="AD653" s="313" t="e">
        <f t="shared" ca="1" si="563"/>
        <v>#NAME?</v>
      </c>
      <c r="AE653" s="314" t="e">
        <f t="shared" ca="1" si="550"/>
        <v>#NAME?</v>
      </c>
      <c r="AF653" s="313" t="e">
        <f t="shared" ca="1" si="564"/>
        <v>#NAME?</v>
      </c>
      <c r="AG653" s="314" t="e">
        <f t="shared" ca="1" si="551"/>
        <v>#NAME?</v>
      </c>
      <c r="AH653" s="313" t="e">
        <f t="shared" ca="1" si="565"/>
        <v>#NAME?</v>
      </c>
      <c r="AI653" s="314" t="e">
        <f t="shared" ca="1" si="552"/>
        <v>#NAME?</v>
      </c>
      <c r="AJ653" s="315" t="e">
        <f t="shared" ca="1" si="553"/>
        <v>#NAME?</v>
      </c>
      <c r="AK653" s="568" t="e">
        <f t="shared" ca="1" si="566"/>
        <v>#NAME?</v>
      </c>
      <c r="AL653" s="313" t="e">
        <f t="shared" ca="1" si="567"/>
        <v>#NAME?</v>
      </c>
      <c r="AM653" s="313" t="e">
        <f t="shared" ca="1" si="554"/>
        <v>#NAME?</v>
      </c>
      <c r="AN653" s="313" t="e">
        <f t="shared" ca="1" si="555"/>
        <v>#NAME?</v>
      </c>
      <c r="AO653" s="316" t="e">
        <f t="shared" ca="1" si="568"/>
        <v>#NAME?</v>
      </c>
      <c r="AP653" s="313" t="e">
        <f t="shared" ca="1" si="569"/>
        <v>#NAME?</v>
      </c>
      <c r="AQ653" s="314" t="e">
        <f t="shared" ca="1" si="556"/>
        <v>#NAME?</v>
      </c>
      <c r="AR653" s="315" t="e">
        <f t="shared" ca="1" si="570"/>
        <v>#NAME?</v>
      </c>
      <c r="AS653" s="316" t="e">
        <f t="shared" ca="1" si="571"/>
        <v>#NAME?</v>
      </c>
      <c r="AT653" s="315" t="e">
        <f t="shared" ca="1" si="572"/>
        <v>#NAME?</v>
      </c>
      <c r="AU653" s="317">
        <v>427.8</v>
      </c>
      <c r="AV653" s="315" t="e">
        <f t="shared" ca="1" si="573"/>
        <v>#NAME?</v>
      </c>
      <c r="AW653" s="318" t="e">
        <f ca="1">0.0001*BicubicInterpolation('Drag Coef Table'!$B$4:$L$28,AV653,AC653)</f>
        <v>#NAME?</v>
      </c>
      <c r="AX653" s="319" t="e">
        <f t="shared" ca="1" si="574"/>
        <v>#NAME?</v>
      </c>
      <c r="AY653" s="318" t="e">
        <f t="shared" ca="1" si="575"/>
        <v>#NAME?</v>
      </c>
      <c r="AZ653" s="320" t="e">
        <f t="shared" ca="1" si="576"/>
        <v>#NAME?</v>
      </c>
      <c r="BA653" s="321" t="e">
        <f t="shared" ca="1" si="577"/>
        <v>#NAME?</v>
      </c>
      <c r="BB653" s="322" t="e">
        <f t="shared" ca="1" si="578"/>
        <v>#NAME?</v>
      </c>
      <c r="BC653" s="323">
        <v>75.196700000000007</v>
      </c>
      <c r="BD653" s="324" t="e">
        <f t="shared" ca="1" si="579"/>
        <v>#NAME?</v>
      </c>
      <c r="BE653" s="325" t="e">
        <f t="shared" ca="1" si="580"/>
        <v>#NAME?</v>
      </c>
      <c r="BF653" s="324" t="e">
        <f ca="1">BicubicInterpolation('TSFC Eff Table'!$B$4:$E$69,2,BB653)</f>
        <v>#NAME?</v>
      </c>
      <c r="BG653" s="326" t="e">
        <f t="shared" ca="1" si="581"/>
        <v>#NAME?</v>
      </c>
      <c r="BH653" s="694" t="e">
        <f ca="1">IF( S653="LRCINOP",   (1+(0.03/10)*Z653*(1+0.2*AC653^2) )*BicubicInterpolation( 'LRC INOP FF'!$C$4:$AA$21, Y653, U653 )-200, IF(S653 ="HOLDINGINOP", (1+(0.03/10)*Z653*(1+0.2*AC653^2) )*BicubicInterpolation( 'Holding INOP FF'!$C$4:$J$13,  Y653,  U653)/1.05-200,   BA653*BG653))</f>
        <v>#NAME?</v>
      </c>
      <c r="BI653" s="344" t="e">
        <f t="shared" ca="1" si="540"/>
        <v>#NAME?</v>
      </c>
      <c r="BJ653" s="322" t="e">
        <f t="shared" ca="1" si="582"/>
        <v>#NAME?</v>
      </c>
      <c r="BK653" s="338" t="e">
        <f t="shared" ca="1" si="541"/>
        <v>#NAME?</v>
      </c>
      <c r="BL653" s="327" t="e">
        <f t="shared" ca="1" si="583"/>
        <v>#NAME?</v>
      </c>
      <c r="BM653" s="328">
        <f t="shared" si="584"/>
        <v>200</v>
      </c>
      <c r="BN653" s="329" t="e">
        <f t="shared" ca="1" si="585"/>
        <v>#NAME?</v>
      </c>
      <c r="BO653" s="344" t="e">
        <f t="shared" ca="1" si="542"/>
        <v>#NAME?</v>
      </c>
      <c r="BP653" s="320" t="e">
        <f t="shared" ca="1" si="586"/>
        <v>#NAME?</v>
      </c>
      <c r="BQ653" s="344" t="e">
        <f t="shared" ca="1" si="543"/>
        <v>#NAME?</v>
      </c>
      <c r="BR653" s="347" t="e">
        <f t="shared" ca="1" si="544"/>
        <v>#NAME?</v>
      </c>
      <c r="BS653" s="326" t="e">
        <f t="shared" ca="1" si="587"/>
        <v>#NAME?</v>
      </c>
      <c r="BT653" s="437" t="e">
        <f t="shared" ca="1" si="557"/>
        <v>#NAME?</v>
      </c>
      <c r="BU653" s="437" t="e">
        <f t="shared" ca="1" si="558"/>
        <v>#NAME?</v>
      </c>
      <c r="BV653" s="441" t="e">
        <f t="shared" ca="1" si="559"/>
        <v>#NAME?</v>
      </c>
      <c r="BW653" s="442" t="e">
        <f t="shared" ca="1" si="560"/>
        <v>#NAME?</v>
      </c>
      <c r="BX653" s="470" t="e">
        <f t="shared" ca="1" si="534"/>
        <v>#NAME?</v>
      </c>
      <c r="BY653" s="484" t="e">
        <f t="shared" ca="1" si="545"/>
        <v>#NAME?</v>
      </c>
    </row>
    <row r="654" spans="9:77" ht="17.75" customHeight="1" x14ac:dyDescent="0.2">
      <c r="I654" s="366">
        <v>570</v>
      </c>
      <c r="J654" s="414">
        <f t="shared" si="546"/>
        <v>41706.108333334625</v>
      </c>
      <c r="K654" s="435" t="e">
        <f t="shared" ca="1" si="547"/>
        <v>#NAME?</v>
      </c>
      <c r="L654" s="435" t="e">
        <f t="shared" ca="1" si="590"/>
        <v>#NAME?</v>
      </c>
      <c r="M654" s="664" t="e">
        <f t="shared" ca="1" si="588"/>
        <v>#NAME?</v>
      </c>
      <c r="N654" s="664" t="e">
        <f t="shared" ca="1" si="589"/>
        <v>#NAME?</v>
      </c>
      <c r="O654" s="140" t="e">
        <f t="shared" ca="1" si="535"/>
        <v>#NAME?</v>
      </c>
      <c r="P654" s="352" t="e">
        <f t="shared" ca="1" si="548"/>
        <v>#NAME?</v>
      </c>
      <c r="Q654" s="665" t="e">
        <f t="shared" ca="1" si="591"/>
        <v>#NAME?</v>
      </c>
      <c r="R654" s="352" t="e">
        <f t="shared" ca="1" si="561"/>
        <v>#NAME?</v>
      </c>
      <c r="S654" s="662" t="e">
        <f t="shared" ca="1" si="536"/>
        <v>#NAME?</v>
      </c>
      <c r="T654" s="443" t="e">
        <f t="shared" ca="1" si="530"/>
        <v>#NAME?</v>
      </c>
      <c r="U654" s="369" t="e">
        <f t="shared" ca="1" si="531"/>
        <v>#NAME?</v>
      </c>
      <c r="V654" s="454" t="e">
        <f t="shared" ca="1" si="537"/>
        <v>#NAME?</v>
      </c>
      <c r="W654" s="457">
        <f t="shared" si="538"/>
        <v>1000</v>
      </c>
      <c r="X654" s="463" t="e">
        <f t="shared" ca="1" si="539"/>
        <v>#NAME?</v>
      </c>
      <c r="Y654" s="455" t="e">
        <f t="shared" ca="1" si="549"/>
        <v>#NAME?</v>
      </c>
      <c r="Z654" s="699">
        <f t="shared" si="532"/>
        <v>8.5</v>
      </c>
      <c r="AA654" s="355" t="str">
        <f t="shared" si="533"/>
        <v>ON</v>
      </c>
      <c r="AB654" s="357">
        <f t="shared" si="562"/>
        <v>1.4999999999999999E-2</v>
      </c>
      <c r="AC654" s="356" t="e">
        <f ca="1">IF(  Y653=0,0,IF(OR(S654="KCAS",S654="INOP",S654="MEFE"),   ( (5*( (   (((1+0.2*(T654/661.4786)^2)^3.5 -1)  )/( (1-6.8755856*10^-6 *100*Y654)^5.2558797) +1)^(2/7) -1) )^0.5),IF(S654="MACH",T654, IF(S654="LRC",BicubicInterpolation( 'LRC Mach'!$C$4:$AL$21, Y654,U654),  IF(S654="MRC",BicubicInterpolation( 'MRC Mach'!$C$3:$T$18, Y654,U654),  IF(S654="M0.84",0.84,  IF(S654="CI52",BicubicInterpolation('CI=52 Mach'!$C$3:$T$18, Y654,U654),  IF(S654="HOLDING",BicubicInterpolation(  'Holding Mach'!$C$4:$M$13, Y654,U654),                         IF(S654="LRCINOP", BicubicInterpolation('LRC INOP Mach'!$C$4:$AA$21,Y654,U654), IF(S654="HOLDINGINOP",  BicubicInterpolation('Holding INOP Mach'!$N$4:$U$13,Y654,U654),         "XXX" )))))))   )))</f>
        <v>#NAME?</v>
      </c>
      <c r="AD654" s="313" t="e">
        <f t="shared" ca="1" si="563"/>
        <v>#NAME?</v>
      </c>
      <c r="AE654" s="314" t="e">
        <f t="shared" ca="1" si="550"/>
        <v>#NAME?</v>
      </c>
      <c r="AF654" s="313" t="e">
        <f t="shared" ca="1" si="564"/>
        <v>#NAME?</v>
      </c>
      <c r="AG654" s="314" t="e">
        <f t="shared" ca="1" si="551"/>
        <v>#NAME?</v>
      </c>
      <c r="AH654" s="313" t="e">
        <f t="shared" ca="1" si="565"/>
        <v>#NAME?</v>
      </c>
      <c r="AI654" s="314" t="e">
        <f t="shared" ca="1" si="552"/>
        <v>#NAME?</v>
      </c>
      <c r="AJ654" s="315" t="e">
        <f t="shared" ca="1" si="553"/>
        <v>#NAME?</v>
      </c>
      <c r="AK654" s="568" t="e">
        <f t="shared" ca="1" si="566"/>
        <v>#NAME?</v>
      </c>
      <c r="AL654" s="313" t="e">
        <f t="shared" ca="1" si="567"/>
        <v>#NAME?</v>
      </c>
      <c r="AM654" s="313" t="e">
        <f t="shared" ca="1" si="554"/>
        <v>#NAME?</v>
      </c>
      <c r="AN654" s="313" t="e">
        <f t="shared" ca="1" si="555"/>
        <v>#NAME?</v>
      </c>
      <c r="AO654" s="316" t="e">
        <f t="shared" ca="1" si="568"/>
        <v>#NAME?</v>
      </c>
      <c r="AP654" s="313" t="e">
        <f t="shared" ca="1" si="569"/>
        <v>#NAME?</v>
      </c>
      <c r="AQ654" s="314" t="e">
        <f t="shared" ca="1" si="556"/>
        <v>#NAME?</v>
      </c>
      <c r="AR654" s="315" t="e">
        <f t="shared" ca="1" si="570"/>
        <v>#NAME?</v>
      </c>
      <c r="AS654" s="316" t="e">
        <f t="shared" ca="1" si="571"/>
        <v>#NAME?</v>
      </c>
      <c r="AT654" s="315" t="e">
        <f t="shared" ca="1" si="572"/>
        <v>#NAME?</v>
      </c>
      <c r="AU654" s="317">
        <v>427.8</v>
      </c>
      <c r="AV654" s="315" t="e">
        <f t="shared" ca="1" si="573"/>
        <v>#NAME?</v>
      </c>
      <c r="AW654" s="318" t="e">
        <f ca="1">0.0001*BicubicInterpolation('Drag Coef Table'!$B$4:$L$28,AV654,AC654)</f>
        <v>#NAME?</v>
      </c>
      <c r="AX654" s="319" t="e">
        <f t="shared" ca="1" si="574"/>
        <v>#NAME?</v>
      </c>
      <c r="AY654" s="318" t="e">
        <f t="shared" ca="1" si="575"/>
        <v>#NAME?</v>
      </c>
      <c r="AZ654" s="320" t="e">
        <f t="shared" ca="1" si="576"/>
        <v>#NAME?</v>
      </c>
      <c r="BA654" s="321" t="e">
        <f t="shared" ca="1" si="577"/>
        <v>#NAME?</v>
      </c>
      <c r="BB654" s="322" t="e">
        <f t="shared" ca="1" si="578"/>
        <v>#NAME?</v>
      </c>
      <c r="BC654" s="323">
        <v>75.196700000000007</v>
      </c>
      <c r="BD654" s="324" t="e">
        <f t="shared" ca="1" si="579"/>
        <v>#NAME?</v>
      </c>
      <c r="BE654" s="325" t="e">
        <f t="shared" ca="1" si="580"/>
        <v>#NAME?</v>
      </c>
      <c r="BF654" s="324" t="e">
        <f ca="1">BicubicInterpolation('TSFC Eff Table'!$B$4:$E$69,2,BB654)</f>
        <v>#NAME?</v>
      </c>
      <c r="BG654" s="326" t="e">
        <f t="shared" ca="1" si="581"/>
        <v>#NAME?</v>
      </c>
      <c r="BH654" s="694" t="e">
        <f ca="1">IF( S654="LRCINOP",   (1+(0.03/10)*Z654*(1+0.2*AC654^2) )*BicubicInterpolation( 'LRC INOP FF'!$C$4:$AA$21, Y654, U654 )-200, IF(S654 ="HOLDINGINOP", (1+(0.03/10)*Z654*(1+0.2*AC654^2) )*BicubicInterpolation( 'Holding INOP FF'!$C$4:$J$13,  Y654,  U654)/1.05-200,   BA654*BG654))</f>
        <v>#NAME?</v>
      </c>
      <c r="BI654" s="344" t="e">
        <f t="shared" ca="1" si="540"/>
        <v>#NAME?</v>
      </c>
      <c r="BJ654" s="322" t="e">
        <f t="shared" ca="1" si="582"/>
        <v>#NAME?</v>
      </c>
      <c r="BK654" s="338" t="e">
        <f t="shared" ca="1" si="541"/>
        <v>#NAME?</v>
      </c>
      <c r="BL654" s="327" t="e">
        <f t="shared" ca="1" si="583"/>
        <v>#NAME?</v>
      </c>
      <c r="BM654" s="328">
        <f t="shared" si="584"/>
        <v>200</v>
      </c>
      <c r="BN654" s="329" t="e">
        <f t="shared" ca="1" si="585"/>
        <v>#NAME?</v>
      </c>
      <c r="BO654" s="344" t="e">
        <f t="shared" ca="1" si="542"/>
        <v>#NAME?</v>
      </c>
      <c r="BP654" s="320" t="e">
        <f t="shared" ca="1" si="586"/>
        <v>#NAME?</v>
      </c>
      <c r="BQ654" s="344" t="e">
        <f t="shared" ca="1" si="543"/>
        <v>#NAME?</v>
      </c>
      <c r="BR654" s="347" t="e">
        <f t="shared" ca="1" si="544"/>
        <v>#NAME?</v>
      </c>
      <c r="BS654" s="326" t="e">
        <f t="shared" ca="1" si="587"/>
        <v>#NAME?</v>
      </c>
      <c r="BT654" s="437" t="e">
        <f t="shared" ca="1" si="557"/>
        <v>#NAME?</v>
      </c>
      <c r="BU654" s="437" t="e">
        <f t="shared" ca="1" si="558"/>
        <v>#NAME?</v>
      </c>
      <c r="BV654" s="441" t="e">
        <f t="shared" ca="1" si="559"/>
        <v>#NAME?</v>
      </c>
      <c r="BW654" s="442" t="e">
        <f t="shared" ca="1" si="560"/>
        <v>#NAME?</v>
      </c>
      <c r="BX654" s="470" t="e">
        <f t="shared" ca="1" si="534"/>
        <v>#NAME?</v>
      </c>
      <c r="BY654" s="484" t="e">
        <f t="shared" ca="1" si="545"/>
        <v>#NAME?</v>
      </c>
    </row>
    <row r="655" spans="9:77" ht="17.75" customHeight="1" x14ac:dyDescent="0.2">
      <c r="I655" s="366">
        <v>571</v>
      </c>
      <c r="J655" s="414">
        <f t="shared" si="546"/>
        <v>41706.109027779072</v>
      </c>
      <c r="K655" s="435" t="e">
        <f t="shared" ca="1" si="547"/>
        <v>#NAME?</v>
      </c>
      <c r="L655" s="435" t="e">
        <f t="shared" ca="1" si="590"/>
        <v>#NAME?</v>
      </c>
      <c r="M655" s="664" t="e">
        <f t="shared" ca="1" si="588"/>
        <v>#NAME?</v>
      </c>
      <c r="N655" s="664" t="e">
        <f t="shared" ca="1" si="589"/>
        <v>#NAME?</v>
      </c>
      <c r="O655" s="140" t="e">
        <f t="shared" ca="1" si="535"/>
        <v>#NAME?</v>
      </c>
      <c r="P655" s="352" t="e">
        <f t="shared" ca="1" si="548"/>
        <v>#NAME?</v>
      </c>
      <c r="Q655" s="665" t="e">
        <f t="shared" ca="1" si="591"/>
        <v>#NAME?</v>
      </c>
      <c r="R655" s="352" t="e">
        <f t="shared" ca="1" si="561"/>
        <v>#NAME?</v>
      </c>
      <c r="S655" s="662" t="e">
        <f t="shared" ca="1" si="536"/>
        <v>#NAME?</v>
      </c>
      <c r="T655" s="443" t="e">
        <f t="shared" ca="1" si="530"/>
        <v>#NAME?</v>
      </c>
      <c r="U655" s="369" t="e">
        <f t="shared" ca="1" si="531"/>
        <v>#NAME?</v>
      </c>
      <c r="V655" s="454" t="e">
        <f t="shared" ca="1" si="537"/>
        <v>#NAME?</v>
      </c>
      <c r="W655" s="457">
        <f t="shared" si="538"/>
        <v>1000</v>
      </c>
      <c r="X655" s="463" t="e">
        <f t="shared" ca="1" si="539"/>
        <v>#NAME?</v>
      </c>
      <c r="Y655" s="455" t="e">
        <f t="shared" ca="1" si="549"/>
        <v>#NAME?</v>
      </c>
      <c r="Z655" s="699">
        <f t="shared" si="532"/>
        <v>8.5</v>
      </c>
      <c r="AA655" s="355" t="str">
        <f t="shared" si="533"/>
        <v>ON</v>
      </c>
      <c r="AB655" s="357">
        <f t="shared" si="562"/>
        <v>1.4999999999999999E-2</v>
      </c>
      <c r="AC655" s="356" t="e">
        <f ca="1">IF(  Y654=0,0,IF(OR(S655="KCAS",S655="INOP",S655="MEFE"),   ( (5*( (   (((1+0.2*(T655/661.4786)^2)^3.5 -1)  )/( (1-6.8755856*10^-6 *100*Y655)^5.2558797) +1)^(2/7) -1) )^0.5),IF(S655="MACH",T655, IF(S655="LRC",BicubicInterpolation( 'LRC Mach'!$C$4:$AL$21, Y655,U655),  IF(S655="MRC",BicubicInterpolation( 'MRC Mach'!$C$3:$T$18, Y655,U655),  IF(S655="M0.84",0.84,  IF(S655="CI52",BicubicInterpolation('CI=52 Mach'!$C$3:$T$18, Y655,U655),  IF(S655="HOLDING",BicubicInterpolation(  'Holding Mach'!$C$4:$M$13, Y655,U655),                         IF(S655="LRCINOP", BicubicInterpolation('LRC INOP Mach'!$C$4:$AA$21,Y655,U655), IF(S655="HOLDINGINOP",  BicubicInterpolation('Holding INOP Mach'!$N$4:$U$13,Y655,U655),         "XXX" )))))))   )))</f>
        <v>#NAME?</v>
      </c>
      <c r="AD655" s="313" t="e">
        <f t="shared" ca="1" si="563"/>
        <v>#NAME?</v>
      </c>
      <c r="AE655" s="314" t="e">
        <f t="shared" ca="1" si="550"/>
        <v>#NAME?</v>
      </c>
      <c r="AF655" s="313" t="e">
        <f t="shared" ca="1" si="564"/>
        <v>#NAME?</v>
      </c>
      <c r="AG655" s="314" t="e">
        <f t="shared" ca="1" si="551"/>
        <v>#NAME?</v>
      </c>
      <c r="AH655" s="313" t="e">
        <f t="shared" ca="1" si="565"/>
        <v>#NAME?</v>
      </c>
      <c r="AI655" s="314" t="e">
        <f t="shared" ca="1" si="552"/>
        <v>#NAME?</v>
      </c>
      <c r="AJ655" s="315" t="e">
        <f t="shared" ca="1" si="553"/>
        <v>#NAME?</v>
      </c>
      <c r="AK655" s="568" t="e">
        <f t="shared" ca="1" si="566"/>
        <v>#NAME?</v>
      </c>
      <c r="AL655" s="313" t="e">
        <f t="shared" ca="1" si="567"/>
        <v>#NAME?</v>
      </c>
      <c r="AM655" s="313" t="e">
        <f t="shared" ca="1" si="554"/>
        <v>#NAME?</v>
      </c>
      <c r="AN655" s="313" t="e">
        <f t="shared" ca="1" si="555"/>
        <v>#NAME?</v>
      </c>
      <c r="AO655" s="316" t="e">
        <f t="shared" ca="1" si="568"/>
        <v>#NAME?</v>
      </c>
      <c r="AP655" s="313" t="e">
        <f t="shared" ca="1" si="569"/>
        <v>#NAME?</v>
      </c>
      <c r="AQ655" s="314" t="e">
        <f t="shared" ca="1" si="556"/>
        <v>#NAME?</v>
      </c>
      <c r="AR655" s="315" t="e">
        <f t="shared" ca="1" si="570"/>
        <v>#NAME?</v>
      </c>
      <c r="AS655" s="316" t="e">
        <f t="shared" ca="1" si="571"/>
        <v>#NAME?</v>
      </c>
      <c r="AT655" s="315" t="e">
        <f t="shared" ca="1" si="572"/>
        <v>#NAME?</v>
      </c>
      <c r="AU655" s="317">
        <v>427.8</v>
      </c>
      <c r="AV655" s="315" t="e">
        <f t="shared" ca="1" si="573"/>
        <v>#NAME?</v>
      </c>
      <c r="AW655" s="318" t="e">
        <f ca="1">0.0001*BicubicInterpolation('Drag Coef Table'!$B$4:$L$28,AV655,AC655)</f>
        <v>#NAME?</v>
      </c>
      <c r="AX655" s="319" t="e">
        <f t="shared" ca="1" si="574"/>
        <v>#NAME?</v>
      </c>
      <c r="AY655" s="318" t="e">
        <f t="shared" ca="1" si="575"/>
        <v>#NAME?</v>
      </c>
      <c r="AZ655" s="320" t="e">
        <f t="shared" ca="1" si="576"/>
        <v>#NAME?</v>
      </c>
      <c r="BA655" s="321" t="e">
        <f t="shared" ca="1" si="577"/>
        <v>#NAME?</v>
      </c>
      <c r="BB655" s="322" t="e">
        <f t="shared" ca="1" si="578"/>
        <v>#NAME?</v>
      </c>
      <c r="BC655" s="323">
        <v>75.196700000000007</v>
      </c>
      <c r="BD655" s="324" t="e">
        <f t="shared" ca="1" si="579"/>
        <v>#NAME?</v>
      </c>
      <c r="BE655" s="325" t="e">
        <f t="shared" ca="1" si="580"/>
        <v>#NAME?</v>
      </c>
      <c r="BF655" s="324" t="e">
        <f ca="1">BicubicInterpolation('TSFC Eff Table'!$B$4:$E$69,2,BB655)</f>
        <v>#NAME?</v>
      </c>
      <c r="BG655" s="326" t="e">
        <f t="shared" ca="1" si="581"/>
        <v>#NAME?</v>
      </c>
      <c r="BH655" s="694" t="e">
        <f ca="1">IF( S655="LRCINOP",   (1+(0.03/10)*Z655*(1+0.2*AC655^2) )*BicubicInterpolation( 'LRC INOP FF'!$C$4:$AA$21, Y655, U655 )-200, IF(S655 ="HOLDINGINOP", (1+(0.03/10)*Z655*(1+0.2*AC655^2) )*BicubicInterpolation( 'Holding INOP FF'!$C$4:$J$13,  Y655,  U655)/1.05-200,   BA655*BG655))</f>
        <v>#NAME?</v>
      </c>
      <c r="BI655" s="344" t="e">
        <f t="shared" ca="1" si="540"/>
        <v>#NAME?</v>
      </c>
      <c r="BJ655" s="322" t="e">
        <f t="shared" ca="1" si="582"/>
        <v>#NAME?</v>
      </c>
      <c r="BK655" s="338" t="e">
        <f t="shared" ca="1" si="541"/>
        <v>#NAME?</v>
      </c>
      <c r="BL655" s="327" t="e">
        <f t="shared" ca="1" si="583"/>
        <v>#NAME?</v>
      </c>
      <c r="BM655" s="328">
        <f t="shared" si="584"/>
        <v>200</v>
      </c>
      <c r="BN655" s="329" t="e">
        <f t="shared" ca="1" si="585"/>
        <v>#NAME?</v>
      </c>
      <c r="BO655" s="344" t="e">
        <f t="shared" ca="1" si="542"/>
        <v>#NAME?</v>
      </c>
      <c r="BP655" s="320" t="e">
        <f t="shared" ca="1" si="586"/>
        <v>#NAME?</v>
      </c>
      <c r="BQ655" s="344" t="e">
        <f t="shared" ca="1" si="543"/>
        <v>#NAME?</v>
      </c>
      <c r="BR655" s="347" t="e">
        <f t="shared" ca="1" si="544"/>
        <v>#NAME?</v>
      </c>
      <c r="BS655" s="326" t="e">
        <f t="shared" ca="1" si="587"/>
        <v>#NAME?</v>
      </c>
      <c r="BT655" s="437" t="e">
        <f t="shared" ca="1" si="557"/>
        <v>#NAME?</v>
      </c>
      <c r="BU655" s="437" t="e">
        <f t="shared" ca="1" si="558"/>
        <v>#NAME?</v>
      </c>
      <c r="BV655" s="441" t="e">
        <f t="shared" ca="1" si="559"/>
        <v>#NAME?</v>
      </c>
      <c r="BW655" s="442" t="e">
        <f t="shared" ca="1" si="560"/>
        <v>#NAME?</v>
      </c>
      <c r="BX655" s="470" t="e">
        <f t="shared" ca="1" si="534"/>
        <v>#NAME?</v>
      </c>
      <c r="BY655" s="484" t="e">
        <f t="shared" ca="1" si="545"/>
        <v>#NAME?</v>
      </c>
    </row>
    <row r="656" spans="9:77" ht="17.75" customHeight="1" x14ac:dyDescent="0.2">
      <c r="I656" s="366">
        <v>572</v>
      </c>
      <c r="J656" s="414">
        <f t="shared" si="546"/>
        <v>41706.109722223518</v>
      </c>
      <c r="K656" s="435" t="e">
        <f t="shared" ca="1" si="547"/>
        <v>#NAME?</v>
      </c>
      <c r="L656" s="435" t="e">
        <f t="shared" ca="1" si="590"/>
        <v>#NAME?</v>
      </c>
      <c r="M656" s="664" t="e">
        <f t="shared" ca="1" si="588"/>
        <v>#NAME?</v>
      </c>
      <c r="N656" s="664" t="e">
        <f t="shared" ca="1" si="589"/>
        <v>#NAME?</v>
      </c>
      <c r="O656" s="140" t="e">
        <f t="shared" ca="1" si="535"/>
        <v>#NAME?</v>
      </c>
      <c r="P656" s="352" t="e">
        <f t="shared" ca="1" si="548"/>
        <v>#NAME?</v>
      </c>
      <c r="Q656" s="665" t="e">
        <f t="shared" ca="1" si="591"/>
        <v>#NAME?</v>
      </c>
      <c r="R656" s="352" t="e">
        <f t="shared" ca="1" si="561"/>
        <v>#NAME?</v>
      </c>
      <c r="S656" s="662" t="e">
        <f t="shared" ca="1" si="536"/>
        <v>#NAME?</v>
      </c>
      <c r="T656" s="443" t="e">
        <f t="shared" ca="1" si="530"/>
        <v>#NAME?</v>
      </c>
      <c r="U656" s="369" t="e">
        <f t="shared" ca="1" si="531"/>
        <v>#NAME?</v>
      </c>
      <c r="V656" s="454" t="e">
        <f t="shared" ca="1" si="537"/>
        <v>#NAME?</v>
      </c>
      <c r="W656" s="457">
        <f t="shared" si="538"/>
        <v>1000</v>
      </c>
      <c r="X656" s="463" t="e">
        <f t="shared" ca="1" si="539"/>
        <v>#NAME?</v>
      </c>
      <c r="Y656" s="455" t="e">
        <f t="shared" ca="1" si="549"/>
        <v>#NAME?</v>
      </c>
      <c r="Z656" s="699">
        <f t="shared" si="532"/>
        <v>8.5</v>
      </c>
      <c r="AA656" s="355" t="str">
        <f t="shared" si="533"/>
        <v>ON</v>
      </c>
      <c r="AB656" s="357">
        <f t="shared" si="562"/>
        <v>1.4999999999999999E-2</v>
      </c>
      <c r="AC656" s="356" t="e">
        <f ca="1">IF(  Y655=0,0,IF(OR(S656="KCAS",S656="INOP",S656="MEFE"),   ( (5*( (   (((1+0.2*(T656/661.4786)^2)^3.5 -1)  )/( (1-6.8755856*10^-6 *100*Y656)^5.2558797) +1)^(2/7) -1) )^0.5),IF(S656="MACH",T656, IF(S656="LRC",BicubicInterpolation( 'LRC Mach'!$C$4:$AL$21, Y656,U656),  IF(S656="MRC",BicubicInterpolation( 'MRC Mach'!$C$3:$T$18, Y656,U656),  IF(S656="M0.84",0.84,  IF(S656="CI52",BicubicInterpolation('CI=52 Mach'!$C$3:$T$18, Y656,U656),  IF(S656="HOLDING",BicubicInterpolation(  'Holding Mach'!$C$4:$M$13, Y656,U656),                         IF(S656="LRCINOP", BicubicInterpolation('LRC INOP Mach'!$C$4:$AA$21,Y656,U656), IF(S656="HOLDINGINOP",  BicubicInterpolation('Holding INOP Mach'!$N$4:$U$13,Y656,U656),         "XXX" )))))))   )))</f>
        <v>#NAME?</v>
      </c>
      <c r="AD656" s="313" t="e">
        <f t="shared" ca="1" si="563"/>
        <v>#NAME?</v>
      </c>
      <c r="AE656" s="314" t="e">
        <f t="shared" ca="1" si="550"/>
        <v>#NAME?</v>
      </c>
      <c r="AF656" s="313" t="e">
        <f t="shared" ca="1" si="564"/>
        <v>#NAME?</v>
      </c>
      <c r="AG656" s="314" t="e">
        <f t="shared" ca="1" si="551"/>
        <v>#NAME?</v>
      </c>
      <c r="AH656" s="313" t="e">
        <f t="shared" ca="1" si="565"/>
        <v>#NAME?</v>
      </c>
      <c r="AI656" s="314" t="e">
        <f t="shared" ca="1" si="552"/>
        <v>#NAME?</v>
      </c>
      <c r="AJ656" s="315" t="e">
        <f t="shared" ca="1" si="553"/>
        <v>#NAME?</v>
      </c>
      <c r="AK656" s="568" t="e">
        <f t="shared" ca="1" si="566"/>
        <v>#NAME?</v>
      </c>
      <c r="AL656" s="313" t="e">
        <f t="shared" ca="1" si="567"/>
        <v>#NAME?</v>
      </c>
      <c r="AM656" s="313" t="e">
        <f t="shared" ca="1" si="554"/>
        <v>#NAME?</v>
      </c>
      <c r="AN656" s="313" t="e">
        <f t="shared" ca="1" si="555"/>
        <v>#NAME?</v>
      </c>
      <c r="AO656" s="316" t="e">
        <f t="shared" ca="1" si="568"/>
        <v>#NAME?</v>
      </c>
      <c r="AP656" s="313" t="e">
        <f t="shared" ca="1" si="569"/>
        <v>#NAME?</v>
      </c>
      <c r="AQ656" s="314" t="e">
        <f t="shared" ca="1" si="556"/>
        <v>#NAME?</v>
      </c>
      <c r="AR656" s="315" t="e">
        <f t="shared" ca="1" si="570"/>
        <v>#NAME?</v>
      </c>
      <c r="AS656" s="316" t="e">
        <f t="shared" ca="1" si="571"/>
        <v>#NAME?</v>
      </c>
      <c r="AT656" s="315" t="e">
        <f t="shared" ca="1" si="572"/>
        <v>#NAME?</v>
      </c>
      <c r="AU656" s="317">
        <v>427.8</v>
      </c>
      <c r="AV656" s="315" t="e">
        <f t="shared" ca="1" si="573"/>
        <v>#NAME?</v>
      </c>
      <c r="AW656" s="318" t="e">
        <f ca="1">0.0001*BicubicInterpolation('Drag Coef Table'!$B$4:$L$28,AV656,AC656)</f>
        <v>#NAME?</v>
      </c>
      <c r="AX656" s="319" t="e">
        <f t="shared" ca="1" si="574"/>
        <v>#NAME?</v>
      </c>
      <c r="AY656" s="318" t="e">
        <f t="shared" ca="1" si="575"/>
        <v>#NAME?</v>
      </c>
      <c r="AZ656" s="320" t="e">
        <f t="shared" ca="1" si="576"/>
        <v>#NAME?</v>
      </c>
      <c r="BA656" s="321" t="e">
        <f t="shared" ca="1" si="577"/>
        <v>#NAME?</v>
      </c>
      <c r="BB656" s="322" t="e">
        <f t="shared" ca="1" si="578"/>
        <v>#NAME?</v>
      </c>
      <c r="BC656" s="323">
        <v>75.196700000000007</v>
      </c>
      <c r="BD656" s="324" t="e">
        <f t="shared" ca="1" si="579"/>
        <v>#NAME?</v>
      </c>
      <c r="BE656" s="325" t="e">
        <f t="shared" ca="1" si="580"/>
        <v>#NAME?</v>
      </c>
      <c r="BF656" s="324" t="e">
        <f ca="1">BicubicInterpolation('TSFC Eff Table'!$B$4:$E$69,2,BB656)</f>
        <v>#NAME?</v>
      </c>
      <c r="BG656" s="326" t="e">
        <f t="shared" ca="1" si="581"/>
        <v>#NAME?</v>
      </c>
      <c r="BH656" s="694" t="e">
        <f ca="1">IF( S656="LRCINOP",   (1+(0.03/10)*Z656*(1+0.2*AC656^2) )*BicubicInterpolation( 'LRC INOP FF'!$C$4:$AA$21, Y656, U656 )-200, IF(S656 ="HOLDINGINOP", (1+(0.03/10)*Z656*(1+0.2*AC656^2) )*BicubicInterpolation( 'Holding INOP FF'!$C$4:$J$13,  Y656,  U656)/1.05-200,   BA656*BG656))</f>
        <v>#NAME?</v>
      </c>
      <c r="BI656" s="344" t="e">
        <f t="shared" ca="1" si="540"/>
        <v>#NAME?</v>
      </c>
      <c r="BJ656" s="322" t="e">
        <f t="shared" ca="1" si="582"/>
        <v>#NAME?</v>
      </c>
      <c r="BK656" s="338" t="e">
        <f t="shared" ca="1" si="541"/>
        <v>#NAME?</v>
      </c>
      <c r="BL656" s="327" t="e">
        <f t="shared" ca="1" si="583"/>
        <v>#NAME?</v>
      </c>
      <c r="BM656" s="328">
        <f t="shared" si="584"/>
        <v>200</v>
      </c>
      <c r="BN656" s="329" t="e">
        <f t="shared" ca="1" si="585"/>
        <v>#NAME?</v>
      </c>
      <c r="BO656" s="344" t="e">
        <f t="shared" ca="1" si="542"/>
        <v>#NAME?</v>
      </c>
      <c r="BP656" s="320" t="e">
        <f t="shared" ca="1" si="586"/>
        <v>#NAME?</v>
      </c>
      <c r="BQ656" s="344" t="e">
        <f t="shared" ca="1" si="543"/>
        <v>#NAME?</v>
      </c>
      <c r="BR656" s="347" t="e">
        <f t="shared" ca="1" si="544"/>
        <v>#NAME?</v>
      </c>
      <c r="BS656" s="326" t="e">
        <f t="shared" ca="1" si="587"/>
        <v>#NAME?</v>
      </c>
      <c r="BT656" s="437" t="e">
        <f t="shared" ca="1" si="557"/>
        <v>#NAME?</v>
      </c>
      <c r="BU656" s="437" t="e">
        <f t="shared" ca="1" si="558"/>
        <v>#NAME?</v>
      </c>
      <c r="BV656" s="441" t="e">
        <f t="shared" ca="1" si="559"/>
        <v>#NAME?</v>
      </c>
      <c r="BW656" s="442" t="e">
        <f t="shared" ca="1" si="560"/>
        <v>#NAME?</v>
      </c>
      <c r="BX656" s="470" t="e">
        <f t="shared" ca="1" si="534"/>
        <v>#NAME?</v>
      </c>
      <c r="BY656" s="484" t="e">
        <f t="shared" ca="1" si="545"/>
        <v>#NAME?</v>
      </c>
    </row>
    <row r="657" spans="9:77" ht="17.75" customHeight="1" x14ac:dyDescent="0.2">
      <c r="I657" s="366">
        <v>573</v>
      </c>
      <c r="J657" s="414">
        <f t="shared" si="546"/>
        <v>41706.110416667965</v>
      </c>
      <c r="K657" s="435" t="e">
        <f t="shared" ca="1" si="547"/>
        <v>#NAME?</v>
      </c>
      <c r="L657" s="435" t="e">
        <f t="shared" ca="1" si="590"/>
        <v>#NAME?</v>
      </c>
      <c r="M657" s="664" t="e">
        <f t="shared" ca="1" si="588"/>
        <v>#NAME?</v>
      </c>
      <c r="N657" s="664" t="e">
        <f t="shared" ca="1" si="589"/>
        <v>#NAME?</v>
      </c>
      <c r="O657" s="140" t="e">
        <f t="shared" ca="1" si="535"/>
        <v>#NAME?</v>
      </c>
      <c r="P657" s="352" t="e">
        <f t="shared" ca="1" si="548"/>
        <v>#NAME?</v>
      </c>
      <c r="Q657" s="665" t="e">
        <f t="shared" ca="1" si="591"/>
        <v>#NAME?</v>
      </c>
      <c r="R657" s="352" t="e">
        <f t="shared" ca="1" si="561"/>
        <v>#NAME?</v>
      </c>
      <c r="S657" s="662" t="e">
        <f t="shared" ca="1" si="536"/>
        <v>#NAME?</v>
      </c>
      <c r="T657" s="443" t="e">
        <f t="shared" ca="1" si="530"/>
        <v>#NAME?</v>
      </c>
      <c r="U657" s="369" t="e">
        <f t="shared" ca="1" si="531"/>
        <v>#NAME?</v>
      </c>
      <c r="V657" s="454" t="e">
        <f t="shared" ca="1" si="537"/>
        <v>#NAME?</v>
      </c>
      <c r="W657" s="457">
        <f t="shared" si="538"/>
        <v>1000</v>
      </c>
      <c r="X657" s="463" t="e">
        <f t="shared" ca="1" si="539"/>
        <v>#NAME?</v>
      </c>
      <c r="Y657" s="455" t="e">
        <f t="shared" ca="1" si="549"/>
        <v>#NAME?</v>
      </c>
      <c r="Z657" s="699">
        <f t="shared" si="532"/>
        <v>8.5</v>
      </c>
      <c r="AA657" s="355" t="str">
        <f t="shared" si="533"/>
        <v>ON</v>
      </c>
      <c r="AB657" s="357">
        <f t="shared" si="562"/>
        <v>1.4999999999999999E-2</v>
      </c>
      <c r="AC657" s="356" t="e">
        <f ca="1">IF(  Y656=0,0,IF(OR(S657="KCAS",S657="INOP",S657="MEFE"),   ( (5*( (   (((1+0.2*(T657/661.4786)^2)^3.5 -1)  )/( (1-6.8755856*10^-6 *100*Y657)^5.2558797) +1)^(2/7) -1) )^0.5),IF(S657="MACH",T657, IF(S657="LRC",BicubicInterpolation( 'LRC Mach'!$C$4:$AL$21, Y657,U657),  IF(S657="MRC",BicubicInterpolation( 'MRC Mach'!$C$3:$T$18, Y657,U657),  IF(S657="M0.84",0.84,  IF(S657="CI52",BicubicInterpolation('CI=52 Mach'!$C$3:$T$18, Y657,U657),  IF(S657="HOLDING",BicubicInterpolation(  'Holding Mach'!$C$4:$M$13, Y657,U657),                         IF(S657="LRCINOP", BicubicInterpolation('LRC INOP Mach'!$C$4:$AA$21,Y657,U657), IF(S657="HOLDINGINOP",  BicubicInterpolation('Holding INOP Mach'!$N$4:$U$13,Y657,U657),         "XXX" )))))))   )))</f>
        <v>#NAME?</v>
      </c>
      <c r="AD657" s="313" t="e">
        <f t="shared" ca="1" si="563"/>
        <v>#NAME?</v>
      </c>
      <c r="AE657" s="314" t="e">
        <f t="shared" ca="1" si="550"/>
        <v>#NAME?</v>
      </c>
      <c r="AF657" s="313" t="e">
        <f t="shared" ca="1" si="564"/>
        <v>#NAME?</v>
      </c>
      <c r="AG657" s="314" t="e">
        <f t="shared" ca="1" si="551"/>
        <v>#NAME?</v>
      </c>
      <c r="AH657" s="313" t="e">
        <f t="shared" ca="1" si="565"/>
        <v>#NAME?</v>
      </c>
      <c r="AI657" s="314" t="e">
        <f t="shared" ca="1" si="552"/>
        <v>#NAME?</v>
      </c>
      <c r="AJ657" s="315" t="e">
        <f t="shared" ca="1" si="553"/>
        <v>#NAME?</v>
      </c>
      <c r="AK657" s="568" t="e">
        <f t="shared" ca="1" si="566"/>
        <v>#NAME?</v>
      </c>
      <c r="AL657" s="313" t="e">
        <f t="shared" ca="1" si="567"/>
        <v>#NAME?</v>
      </c>
      <c r="AM657" s="313" t="e">
        <f t="shared" ca="1" si="554"/>
        <v>#NAME?</v>
      </c>
      <c r="AN657" s="313" t="e">
        <f t="shared" ca="1" si="555"/>
        <v>#NAME?</v>
      </c>
      <c r="AO657" s="316" t="e">
        <f t="shared" ca="1" si="568"/>
        <v>#NAME?</v>
      </c>
      <c r="AP657" s="313" t="e">
        <f t="shared" ca="1" si="569"/>
        <v>#NAME?</v>
      </c>
      <c r="AQ657" s="314" t="e">
        <f t="shared" ca="1" si="556"/>
        <v>#NAME?</v>
      </c>
      <c r="AR657" s="315" t="e">
        <f t="shared" ca="1" si="570"/>
        <v>#NAME?</v>
      </c>
      <c r="AS657" s="316" t="e">
        <f t="shared" ca="1" si="571"/>
        <v>#NAME?</v>
      </c>
      <c r="AT657" s="315" t="e">
        <f t="shared" ca="1" si="572"/>
        <v>#NAME?</v>
      </c>
      <c r="AU657" s="317">
        <v>427.8</v>
      </c>
      <c r="AV657" s="315" t="e">
        <f t="shared" ca="1" si="573"/>
        <v>#NAME?</v>
      </c>
      <c r="AW657" s="318" t="e">
        <f ca="1">0.0001*BicubicInterpolation('Drag Coef Table'!$B$4:$L$28,AV657,AC657)</f>
        <v>#NAME?</v>
      </c>
      <c r="AX657" s="319" t="e">
        <f t="shared" ca="1" si="574"/>
        <v>#NAME?</v>
      </c>
      <c r="AY657" s="318" t="e">
        <f t="shared" ca="1" si="575"/>
        <v>#NAME?</v>
      </c>
      <c r="AZ657" s="320" t="e">
        <f t="shared" ca="1" si="576"/>
        <v>#NAME?</v>
      </c>
      <c r="BA657" s="321" t="e">
        <f t="shared" ca="1" si="577"/>
        <v>#NAME?</v>
      </c>
      <c r="BB657" s="322" t="e">
        <f t="shared" ca="1" si="578"/>
        <v>#NAME?</v>
      </c>
      <c r="BC657" s="323">
        <v>75.196700000000007</v>
      </c>
      <c r="BD657" s="324" t="e">
        <f t="shared" ca="1" si="579"/>
        <v>#NAME?</v>
      </c>
      <c r="BE657" s="325" t="e">
        <f t="shared" ca="1" si="580"/>
        <v>#NAME?</v>
      </c>
      <c r="BF657" s="324" t="e">
        <f ca="1">BicubicInterpolation('TSFC Eff Table'!$B$4:$E$69,2,BB657)</f>
        <v>#NAME?</v>
      </c>
      <c r="BG657" s="326" t="e">
        <f t="shared" ca="1" si="581"/>
        <v>#NAME?</v>
      </c>
      <c r="BH657" s="694" t="e">
        <f ca="1">IF( S657="LRCINOP",   (1+(0.03/10)*Z657*(1+0.2*AC657^2) )*BicubicInterpolation( 'LRC INOP FF'!$C$4:$AA$21, Y657, U657 )-200, IF(S657 ="HOLDINGINOP", (1+(0.03/10)*Z657*(1+0.2*AC657^2) )*BicubicInterpolation( 'Holding INOP FF'!$C$4:$J$13,  Y657,  U657)/1.05-200,   BA657*BG657))</f>
        <v>#NAME?</v>
      </c>
      <c r="BI657" s="344" t="e">
        <f t="shared" ca="1" si="540"/>
        <v>#NAME?</v>
      </c>
      <c r="BJ657" s="322" t="e">
        <f t="shared" ca="1" si="582"/>
        <v>#NAME?</v>
      </c>
      <c r="BK657" s="338" t="e">
        <f t="shared" ca="1" si="541"/>
        <v>#NAME?</v>
      </c>
      <c r="BL657" s="327" t="e">
        <f t="shared" ca="1" si="583"/>
        <v>#NAME?</v>
      </c>
      <c r="BM657" s="328">
        <f t="shared" si="584"/>
        <v>200</v>
      </c>
      <c r="BN657" s="329" t="e">
        <f t="shared" ca="1" si="585"/>
        <v>#NAME?</v>
      </c>
      <c r="BO657" s="344" t="e">
        <f t="shared" ca="1" si="542"/>
        <v>#NAME?</v>
      </c>
      <c r="BP657" s="320" t="e">
        <f t="shared" ca="1" si="586"/>
        <v>#NAME?</v>
      </c>
      <c r="BQ657" s="344" t="e">
        <f t="shared" ca="1" si="543"/>
        <v>#NAME?</v>
      </c>
      <c r="BR657" s="347" t="e">
        <f t="shared" ca="1" si="544"/>
        <v>#NAME?</v>
      </c>
      <c r="BS657" s="326" t="e">
        <f t="shared" ca="1" si="587"/>
        <v>#NAME?</v>
      </c>
      <c r="BT657" s="437" t="e">
        <f t="shared" ca="1" si="557"/>
        <v>#NAME?</v>
      </c>
      <c r="BU657" s="437" t="e">
        <f t="shared" ca="1" si="558"/>
        <v>#NAME?</v>
      </c>
      <c r="BV657" s="441" t="e">
        <f t="shared" ca="1" si="559"/>
        <v>#NAME?</v>
      </c>
      <c r="BW657" s="442" t="e">
        <f t="shared" ca="1" si="560"/>
        <v>#NAME?</v>
      </c>
      <c r="BX657" s="470" t="e">
        <f t="shared" ca="1" si="534"/>
        <v>#NAME?</v>
      </c>
      <c r="BY657" s="484" t="e">
        <f t="shared" ca="1" si="545"/>
        <v>#NAME?</v>
      </c>
    </row>
    <row r="658" spans="9:77" ht="17.75" customHeight="1" x14ac:dyDescent="0.2">
      <c r="I658" s="366">
        <v>574</v>
      </c>
      <c r="J658" s="414">
        <f t="shared" si="546"/>
        <v>41706.111111112412</v>
      </c>
      <c r="K658" s="435" t="e">
        <f t="shared" ca="1" si="547"/>
        <v>#NAME?</v>
      </c>
      <c r="L658" s="435" t="e">
        <f t="shared" ca="1" si="590"/>
        <v>#NAME?</v>
      </c>
      <c r="M658" s="664" t="e">
        <f t="shared" ca="1" si="588"/>
        <v>#NAME?</v>
      </c>
      <c r="N658" s="664" t="e">
        <f t="shared" ca="1" si="589"/>
        <v>#NAME?</v>
      </c>
      <c r="O658" s="140" t="e">
        <f t="shared" ca="1" si="535"/>
        <v>#NAME?</v>
      </c>
      <c r="P658" s="352" t="e">
        <f t="shared" ca="1" si="548"/>
        <v>#NAME?</v>
      </c>
      <c r="Q658" s="665" t="e">
        <f t="shared" ca="1" si="591"/>
        <v>#NAME?</v>
      </c>
      <c r="R658" s="352" t="e">
        <f t="shared" ca="1" si="561"/>
        <v>#NAME?</v>
      </c>
      <c r="S658" s="662" t="e">
        <f t="shared" ca="1" si="536"/>
        <v>#NAME?</v>
      </c>
      <c r="T658" s="443" t="e">
        <f t="shared" ca="1" si="530"/>
        <v>#NAME?</v>
      </c>
      <c r="U658" s="369" t="e">
        <f t="shared" ca="1" si="531"/>
        <v>#NAME?</v>
      </c>
      <c r="V658" s="454" t="e">
        <f t="shared" ca="1" si="537"/>
        <v>#NAME?</v>
      </c>
      <c r="W658" s="457">
        <f t="shared" si="538"/>
        <v>1000</v>
      </c>
      <c r="X658" s="463" t="e">
        <f t="shared" ca="1" si="539"/>
        <v>#NAME?</v>
      </c>
      <c r="Y658" s="455" t="e">
        <f t="shared" ca="1" si="549"/>
        <v>#NAME?</v>
      </c>
      <c r="Z658" s="699">
        <f t="shared" si="532"/>
        <v>8.5</v>
      </c>
      <c r="AA658" s="355" t="str">
        <f t="shared" si="533"/>
        <v>ON</v>
      </c>
      <c r="AB658" s="357">
        <f t="shared" si="562"/>
        <v>1.4999999999999999E-2</v>
      </c>
      <c r="AC658" s="356" t="e">
        <f ca="1">IF(  Y657=0,0,IF(OR(S658="KCAS",S658="INOP",S658="MEFE"),   ( (5*( (   (((1+0.2*(T658/661.4786)^2)^3.5 -1)  )/( (1-6.8755856*10^-6 *100*Y658)^5.2558797) +1)^(2/7) -1) )^0.5),IF(S658="MACH",T658, IF(S658="LRC",BicubicInterpolation( 'LRC Mach'!$C$4:$AL$21, Y658,U658),  IF(S658="MRC",BicubicInterpolation( 'MRC Mach'!$C$3:$T$18, Y658,U658),  IF(S658="M0.84",0.84,  IF(S658="CI52",BicubicInterpolation('CI=52 Mach'!$C$3:$T$18, Y658,U658),  IF(S658="HOLDING",BicubicInterpolation(  'Holding Mach'!$C$4:$M$13, Y658,U658),                         IF(S658="LRCINOP", BicubicInterpolation('LRC INOP Mach'!$C$4:$AA$21,Y658,U658), IF(S658="HOLDINGINOP",  BicubicInterpolation('Holding INOP Mach'!$N$4:$U$13,Y658,U658),         "XXX" )))))))   )))</f>
        <v>#NAME?</v>
      </c>
      <c r="AD658" s="313" t="e">
        <f t="shared" ca="1" si="563"/>
        <v>#NAME?</v>
      </c>
      <c r="AE658" s="314" t="e">
        <f t="shared" ca="1" si="550"/>
        <v>#NAME?</v>
      </c>
      <c r="AF658" s="313" t="e">
        <f t="shared" ca="1" si="564"/>
        <v>#NAME?</v>
      </c>
      <c r="AG658" s="314" t="e">
        <f t="shared" ca="1" si="551"/>
        <v>#NAME?</v>
      </c>
      <c r="AH658" s="313" t="e">
        <f t="shared" ca="1" si="565"/>
        <v>#NAME?</v>
      </c>
      <c r="AI658" s="314" t="e">
        <f t="shared" ca="1" si="552"/>
        <v>#NAME?</v>
      </c>
      <c r="AJ658" s="315" t="e">
        <f t="shared" ca="1" si="553"/>
        <v>#NAME?</v>
      </c>
      <c r="AK658" s="568" t="e">
        <f t="shared" ca="1" si="566"/>
        <v>#NAME?</v>
      </c>
      <c r="AL658" s="313" t="e">
        <f t="shared" ca="1" si="567"/>
        <v>#NAME?</v>
      </c>
      <c r="AM658" s="313" t="e">
        <f t="shared" ca="1" si="554"/>
        <v>#NAME?</v>
      </c>
      <c r="AN658" s="313" t="e">
        <f t="shared" ca="1" si="555"/>
        <v>#NAME?</v>
      </c>
      <c r="AO658" s="316" t="e">
        <f t="shared" ca="1" si="568"/>
        <v>#NAME?</v>
      </c>
      <c r="AP658" s="313" t="e">
        <f t="shared" ca="1" si="569"/>
        <v>#NAME?</v>
      </c>
      <c r="AQ658" s="314" t="e">
        <f t="shared" ca="1" si="556"/>
        <v>#NAME?</v>
      </c>
      <c r="AR658" s="315" t="e">
        <f t="shared" ca="1" si="570"/>
        <v>#NAME?</v>
      </c>
      <c r="AS658" s="316" t="e">
        <f t="shared" ca="1" si="571"/>
        <v>#NAME?</v>
      </c>
      <c r="AT658" s="315" t="e">
        <f t="shared" ca="1" si="572"/>
        <v>#NAME?</v>
      </c>
      <c r="AU658" s="317">
        <v>427.8</v>
      </c>
      <c r="AV658" s="315" t="e">
        <f t="shared" ca="1" si="573"/>
        <v>#NAME?</v>
      </c>
      <c r="AW658" s="318" t="e">
        <f ca="1">0.0001*BicubicInterpolation('Drag Coef Table'!$B$4:$L$28,AV658,AC658)</f>
        <v>#NAME?</v>
      </c>
      <c r="AX658" s="319" t="e">
        <f t="shared" ca="1" si="574"/>
        <v>#NAME?</v>
      </c>
      <c r="AY658" s="318" t="e">
        <f t="shared" ca="1" si="575"/>
        <v>#NAME?</v>
      </c>
      <c r="AZ658" s="320" t="e">
        <f t="shared" ca="1" si="576"/>
        <v>#NAME?</v>
      </c>
      <c r="BA658" s="321" t="e">
        <f t="shared" ca="1" si="577"/>
        <v>#NAME?</v>
      </c>
      <c r="BB658" s="322" t="e">
        <f t="shared" ca="1" si="578"/>
        <v>#NAME?</v>
      </c>
      <c r="BC658" s="323">
        <v>75.196700000000007</v>
      </c>
      <c r="BD658" s="324" t="e">
        <f t="shared" ca="1" si="579"/>
        <v>#NAME?</v>
      </c>
      <c r="BE658" s="325" t="e">
        <f t="shared" ca="1" si="580"/>
        <v>#NAME?</v>
      </c>
      <c r="BF658" s="324" t="e">
        <f ca="1">BicubicInterpolation('TSFC Eff Table'!$B$4:$E$69,2,BB658)</f>
        <v>#NAME?</v>
      </c>
      <c r="BG658" s="326" t="e">
        <f t="shared" ca="1" si="581"/>
        <v>#NAME?</v>
      </c>
      <c r="BH658" s="694" t="e">
        <f ca="1">IF( S658="LRCINOP",   (1+(0.03/10)*Z658*(1+0.2*AC658^2) )*BicubicInterpolation( 'LRC INOP FF'!$C$4:$AA$21, Y658, U658 )-200, IF(S658 ="HOLDINGINOP", (1+(0.03/10)*Z658*(1+0.2*AC658^2) )*BicubicInterpolation( 'Holding INOP FF'!$C$4:$J$13,  Y658,  U658)/1.05-200,   BA658*BG658))</f>
        <v>#NAME?</v>
      </c>
      <c r="BI658" s="344" t="e">
        <f t="shared" ca="1" si="540"/>
        <v>#NAME?</v>
      </c>
      <c r="BJ658" s="322" t="e">
        <f t="shared" ca="1" si="582"/>
        <v>#NAME?</v>
      </c>
      <c r="BK658" s="338" t="e">
        <f t="shared" ca="1" si="541"/>
        <v>#NAME?</v>
      </c>
      <c r="BL658" s="327" t="e">
        <f t="shared" ca="1" si="583"/>
        <v>#NAME?</v>
      </c>
      <c r="BM658" s="328">
        <f t="shared" si="584"/>
        <v>200</v>
      </c>
      <c r="BN658" s="329" t="e">
        <f t="shared" ca="1" si="585"/>
        <v>#NAME?</v>
      </c>
      <c r="BO658" s="344" t="e">
        <f t="shared" ca="1" si="542"/>
        <v>#NAME?</v>
      </c>
      <c r="BP658" s="320" t="e">
        <f t="shared" ca="1" si="586"/>
        <v>#NAME?</v>
      </c>
      <c r="BQ658" s="344" t="e">
        <f t="shared" ca="1" si="543"/>
        <v>#NAME?</v>
      </c>
      <c r="BR658" s="347" t="e">
        <f t="shared" ca="1" si="544"/>
        <v>#NAME?</v>
      </c>
      <c r="BS658" s="326" t="e">
        <f t="shared" ca="1" si="587"/>
        <v>#NAME?</v>
      </c>
      <c r="BT658" s="437" t="e">
        <f t="shared" ca="1" si="557"/>
        <v>#NAME?</v>
      </c>
      <c r="BU658" s="437" t="e">
        <f t="shared" ca="1" si="558"/>
        <v>#NAME?</v>
      </c>
      <c r="BV658" s="441" t="e">
        <f t="shared" ca="1" si="559"/>
        <v>#NAME?</v>
      </c>
      <c r="BW658" s="442" t="e">
        <f t="shared" ca="1" si="560"/>
        <v>#NAME?</v>
      </c>
      <c r="BX658" s="470" t="e">
        <f t="shared" ca="1" si="534"/>
        <v>#NAME?</v>
      </c>
      <c r="BY658" s="484" t="e">
        <f t="shared" ca="1" si="545"/>
        <v>#NAME?</v>
      </c>
    </row>
    <row r="659" spans="9:77" ht="17.75" customHeight="1" x14ac:dyDescent="0.2">
      <c r="I659" s="366">
        <v>575</v>
      </c>
      <c r="J659" s="414">
        <f t="shared" si="546"/>
        <v>41706.111805556859</v>
      </c>
      <c r="K659" s="435" t="e">
        <f t="shared" ca="1" si="547"/>
        <v>#NAME?</v>
      </c>
      <c r="L659" s="435" t="e">
        <f t="shared" ca="1" si="590"/>
        <v>#NAME?</v>
      </c>
      <c r="M659" s="664" t="e">
        <f t="shared" ca="1" si="588"/>
        <v>#NAME?</v>
      </c>
      <c r="N659" s="664" t="e">
        <f t="shared" ca="1" si="589"/>
        <v>#NAME?</v>
      </c>
      <c r="O659" s="140" t="e">
        <f t="shared" ca="1" si="535"/>
        <v>#NAME?</v>
      </c>
      <c r="P659" s="352" t="e">
        <f t="shared" ca="1" si="548"/>
        <v>#NAME?</v>
      </c>
      <c r="Q659" s="665" t="e">
        <f t="shared" ca="1" si="591"/>
        <v>#NAME?</v>
      </c>
      <c r="R659" s="352" t="e">
        <f t="shared" ca="1" si="561"/>
        <v>#NAME?</v>
      </c>
      <c r="S659" s="662" t="e">
        <f t="shared" ca="1" si="536"/>
        <v>#NAME?</v>
      </c>
      <c r="T659" s="443" t="e">
        <f t="shared" ca="1" si="530"/>
        <v>#NAME?</v>
      </c>
      <c r="U659" s="369" t="e">
        <f t="shared" ca="1" si="531"/>
        <v>#NAME?</v>
      </c>
      <c r="V659" s="454" t="e">
        <f t="shared" ca="1" si="537"/>
        <v>#NAME?</v>
      </c>
      <c r="W659" s="457">
        <f t="shared" si="538"/>
        <v>1000</v>
      </c>
      <c r="X659" s="463" t="e">
        <f t="shared" ca="1" si="539"/>
        <v>#NAME?</v>
      </c>
      <c r="Y659" s="455" t="e">
        <f t="shared" ca="1" si="549"/>
        <v>#NAME?</v>
      </c>
      <c r="Z659" s="699">
        <f t="shared" si="532"/>
        <v>8.5</v>
      </c>
      <c r="AA659" s="355" t="str">
        <f t="shared" si="533"/>
        <v>ON</v>
      </c>
      <c r="AB659" s="357">
        <f t="shared" si="562"/>
        <v>1.4999999999999999E-2</v>
      </c>
      <c r="AC659" s="356" t="e">
        <f ca="1">IF(  Y658=0,0,IF(OR(S659="KCAS",S659="INOP",S659="MEFE"),   ( (5*( (   (((1+0.2*(T659/661.4786)^2)^3.5 -1)  )/( (1-6.8755856*10^-6 *100*Y659)^5.2558797) +1)^(2/7) -1) )^0.5),IF(S659="MACH",T659, IF(S659="LRC",BicubicInterpolation( 'LRC Mach'!$C$4:$AL$21, Y659,U659),  IF(S659="MRC",BicubicInterpolation( 'MRC Mach'!$C$3:$T$18, Y659,U659),  IF(S659="M0.84",0.84,  IF(S659="CI52",BicubicInterpolation('CI=52 Mach'!$C$3:$T$18, Y659,U659),  IF(S659="HOLDING",BicubicInterpolation(  'Holding Mach'!$C$4:$M$13, Y659,U659),                         IF(S659="LRCINOP", BicubicInterpolation('LRC INOP Mach'!$C$4:$AA$21,Y659,U659), IF(S659="HOLDINGINOP",  BicubicInterpolation('Holding INOP Mach'!$N$4:$U$13,Y659,U659),         "XXX" )))))))   )))</f>
        <v>#NAME?</v>
      </c>
      <c r="AD659" s="313" t="e">
        <f t="shared" ca="1" si="563"/>
        <v>#NAME?</v>
      </c>
      <c r="AE659" s="314" t="e">
        <f t="shared" ca="1" si="550"/>
        <v>#NAME?</v>
      </c>
      <c r="AF659" s="313" t="e">
        <f t="shared" ca="1" si="564"/>
        <v>#NAME?</v>
      </c>
      <c r="AG659" s="314" t="e">
        <f t="shared" ca="1" si="551"/>
        <v>#NAME?</v>
      </c>
      <c r="AH659" s="313" t="e">
        <f t="shared" ca="1" si="565"/>
        <v>#NAME?</v>
      </c>
      <c r="AI659" s="314" t="e">
        <f t="shared" ca="1" si="552"/>
        <v>#NAME?</v>
      </c>
      <c r="AJ659" s="315" t="e">
        <f t="shared" ca="1" si="553"/>
        <v>#NAME?</v>
      </c>
      <c r="AK659" s="568" t="e">
        <f t="shared" ca="1" si="566"/>
        <v>#NAME?</v>
      </c>
      <c r="AL659" s="313" t="e">
        <f t="shared" ca="1" si="567"/>
        <v>#NAME?</v>
      </c>
      <c r="AM659" s="313" t="e">
        <f t="shared" ca="1" si="554"/>
        <v>#NAME?</v>
      </c>
      <c r="AN659" s="313" t="e">
        <f t="shared" ca="1" si="555"/>
        <v>#NAME?</v>
      </c>
      <c r="AO659" s="316" t="e">
        <f t="shared" ca="1" si="568"/>
        <v>#NAME?</v>
      </c>
      <c r="AP659" s="313" t="e">
        <f t="shared" ca="1" si="569"/>
        <v>#NAME?</v>
      </c>
      <c r="AQ659" s="314" t="e">
        <f t="shared" ca="1" si="556"/>
        <v>#NAME?</v>
      </c>
      <c r="AR659" s="315" t="e">
        <f t="shared" ca="1" si="570"/>
        <v>#NAME?</v>
      </c>
      <c r="AS659" s="316" t="e">
        <f t="shared" ca="1" si="571"/>
        <v>#NAME?</v>
      </c>
      <c r="AT659" s="315" t="e">
        <f t="shared" ca="1" si="572"/>
        <v>#NAME?</v>
      </c>
      <c r="AU659" s="317">
        <v>427.8</v>
      </c>
      <c r="AV659" s="315" t="e">
        <f t="shared" ca="1" si="573"/>
        <v>#NAME?</v>
      </c>
      <c r="AW659" s="318" t="e">
        <f ca="1">0.0001*BicubicInterpolation('Drag Coef Table'!$B$4:$L$28,AV659,AC659)</f>
        <v>#NAME?</v>
      </c>
      <c r="AX659" s="319" t="e">
        <f t="shared" ca="1" si="574"/>
        <v>#NAME?</v>
      </c>
      <c r="AY659" s="318" t="e">
        <f t="shared" ca="1" si="575"/>
        <v>#NAME?</v>
      </c>
      <c r="AZ659" s="320" t="e">
        <f t="shared" ca="1" si="576"/>
        <v>#NAME?</v>
      </c>
      <c r="BA659" s="321" t="e">
        <f t="shared" ca="1" si="577"/>
        <v>#NAME?</v>
      </c>
      <c r="BB659" s="322" t="e">
        <f t="shared" ca="1" si="578"/>
        <v>#NAME?</v>
      </c>
      <c r="BC659" s="323">
        <v>75.196700000000007</v>
      </c>
      <c r="BD659" s="324" t="e">
        <f t="shared" ca="1" si="579"/>
        <v>#NAME?</v>
      </c>
      <c r="BE659" s="325" t="e">
        <f t="shared" ca="1" si="580"/>
        <v>#NAME?</v>
      </c>
      <c r="BF659" s="324" t="e">
        <f ca="1">BicubicInterpolation('TSFC Eff Table'!$B$4:$E$69,2,BB659)</f>
        <v>#NAME?</v>
      </c>
      <c r="BG659" s="326" t="e">
        <f t="shared" ca="1" si="581"/>
        <v>#NAME?</v>
      </c>
      <c r="BH659" s="694" t="e">
        <f ca="1">IF( S659="LRCINOP",   (1+(0.03/10)*Z659*(1+0.2*AC659^2) )*BicubicInterpolation( 'LRC INOP FF'!$C$4:$AA$21, Y659, U659 )-200, IF(S659 ="HOLDINGINOP", (1+(0.03/10)*Z659*(1+0.2*AC659^2) )*BicubicInterpolation( 'Holding INOP FF'!$C$4:$J$13,  Y659,  U659)/1.05-200,   BA659*BG659))</f>
        <v>#NAME?</v>
      </c>
      <c r="BI659" s="344" t="e">
        <f t="shared" ca="1" si="540"/>
        <v>#NAME?</v>
      </c>
      <c r="BJ659" s="322" t="e">
        <f t="shared" ca="1" si="582"/>
        <v>#NAME?</v>
      </c>
      <c r="BK659" s="338" t="e">
        <f t="shared" ca="1" si="541"/>
        <v>#NAME?</v>
      </c>
      <c r="BL659" s="327" t="e">
        <f t="shared" ca="1" si="583"/>
        <v>#NAME?</v>
      </c>
      <c r="BM659" s="328">
        <f t="shared" si="584"/>
        <v>200</v>
      </c>
      <c r="BN659" s="329" t="e">
        <f t="shared" ca="1" si="585"/>
        <v>#NAME?</v>
      </c>
      <c r="BO659" s="344" t="e">
        <f t="shared" ca="1" si="542"/>
        <v>#NAME?</v>
      </c>
      <c r="BP659" s="320" t="e">
        <f t="shared" ca="1" si="586"/>
        <v>#NAME?</v>
      </c>
      <c r="BQ659" s="344" t="e">
        <f t="shared" ca="1" si="543"/>
        <v>#NAME?</v>
      </c>
      <c r="BR659" s="347" t="e">
        <f t="shared" ca="1" si="544"/>
        <v>#NAME?</v>
      </c>
      <c r="BS659" s="326" t="e">
        <f t="shared" ca="1" si="587"/>
        <v>#NAME?</v>
      </c>
      <c r="BT659" s="437" t="e">
        <f t="shared" ca="1" si="557"/>
        <v>#NAME?</v>
      </c>
      <c r="BU659" s="437" t="e">
        <f t="shared" ca="1" si="558"/>
        <v>#NAME?</v>
      </c>
      <c r="BV659" s="441" t="e">
        <f t="shared" ca="1" si="559"/>
        <v>#NAME?</v>
      </c>
      <c r="BW659" s="442" t="e">
        <f t="shared" ca="1" si="560"/>
        <v>#NAME?</v>
      </c>
      <c r="BX659" s="470" t="e">
        <f t="shared" ca="1" si="534"/>
        <v>#NAME?</v>
      </c>
      <c r="BY659" s="484" t="e">
        <f t="shared" ca="1" si="545"/>
        <v>#NAME?</v>
      </c>
    </row>
    <row r="660" spans="9:77" ht="17.75" customHeight="1" x14ac:dyDescent="0.2">
      <c r="I660" s="366">
        <v>576</v>
      </c>
      <c r="J660" s="414">
        <f t="shared" si="546"/>
        <v>41706.112500001305</v>
      </c>
      <c r="K660" s="435" t="e">
        <f t="shared" ca="1" si="547"/>
        <v>#NAME?</v>
      </c>
      <c r="L660" s="435" t="e">
        <f t="shared" ca="1" si="590"/>
        <v>#NAME?</v>
      </c>
      <c r="M660" s="664" t="e">
        <f t="shared" ca="1" si="588"/>
        <v>#NAME?</v>
      </c>
      <c r="N660" s="664" t="e">
        <f t="shared" ca="1" si="589"/>
        <v>#NAME?</v>
      </c>
      <c r="O660" s="140" t="e">
        <f t="shared" ca="1" si="535"/>
        <v>#NAME?</v>
      </c>
      <c r="P660" s="352" t="e">
        <f t="shared" ca="1" si="548"/>
        <v>#NAME?</v>
      </c>
      <c r="Q660" s="665" t="e">
        <f t="shared" ca="1" si="591"/>
        <v>#NAME?</v>
      </c>
      <c r="R660" s="352" t="e">
        <f t="shared" ca="1" si="561"/>
        <v>#NAME?</v>
      </c>
      <c r="S660" s="662" t="e">
        <f t="shared" ca="1" si="536"/>
        <v>#NAME?</v>
      </c>
      <c r="T660" s="443" t="e">
        <f t="shared" ca="1" si="530"/>
        <v>#NAME?</v>
      </c>
      <c r="U660" s="369" t="e">
        <f t="shared" ca="1" si="531"/>
        <v>#NAME?</v>
      </c>
      <c r="V660" s="454" t="e">
        <f t="shared" ca="1" si="537"/>
        <v>#NAME?</v>
      </c>
      <c r="W660" s="457">
        <f t="shared" si="538"/>
        <v>1000</v>
      </c>
      <c r="X660" s="463" t="e">
        <f t="shared" ca="1" si="539"/>
        <v>#NAME?</v>
      </c>
      <c r="Y660" s="455" t="e">
        <f t="shared" ca="1" si="549"/>
        <v>#NAME?</v>
      </c>
      <c r="Z660" s="699">
        <f t="shared" si="532"/>
        <v>8.5</v>
      </c>
      <c r="AA660" s="355" t="str">
        <f t="shared" si="533"/>
        <v>ON</v>
      </c>
      <c r="AB660" s="357">
        <f t="shared" si="562"/>
        <v>1.4999999999999999E-2</v>
      </c>
      <c r="AC660" s="356" t="e">
        <f ca="1">IF(  Y659=0,0,IF(OR(S660="KCAS",S660="INOP",S660="MEFE"),   ( (5*( (   (((1+0.2*(T660/661.4786)^2)^3.5 -1)  )/( (1-6.8755856*10^-6 *100*Y660)^5.2558797) +1)^(2/7) -1) )^0.5),IF(S660="MACH",T660, IF(S660="LRC",BicubicInterpolation( 'LRC Mach'!$C$4:$AL$21, Y660,U660),  IF(S660="MRC",BicubicInterpolation( 'MRC Mach'!$C$3:$T$18, Y660,U660),  IF(S660="M0.84",0.84,  IF(S660="CI52",BicubicInterpolation('CI=52 Mach'!$C$3:$T$18, Y660,U660),  IF(S660="HOLDING",BicubicInterpolation(  'Holding Mach'!$C$4:$M$13, Y660,U660),                         IF(S660="LRCINOP", BicubicInterpolation('LRC INOP Mach'!$C$4:$AA$21,Y660,U660), IF(S660="HOLDINGINOP",  BicubicInterpolation('Holding INOP Mach'!$N$4:$U$13,Y660,U660),         "XXX" )))))))   )))</f>
        <v>#NAME?</v>
      </c>
      <c r="AD660" s="313" t="e">
        <f t="shared" ca="1" si="563"/>
        <v>#NAME?</v>
      </c>
      <c r="AE660" s="314" t="e">
        <f t="shared" ca="1" si="550"/>
        <v>#NAME?</v>
      </c>
      <c r="AF660" s="313" t="e">
        <f t="shared" ca="1" si="564"/>
        <v>#NAME?</v>
      </c>
      <c r="AG660" s="314" t="e">
        <f t="shared" ca="1" si="551"/>
        <v>#NAME?</v>
      </c>
      <c r="AH660" s="313" t="e">
        <f t="shared" ca="1" si="565"/>
        <v>#NAME?</v>
      </c>
      <c r="AI660" s="314" t="e">
        <f t="shared" ca="1" si="552"/>
        <v>#NAME?</v>
      </c>
      <c r="AJ660" s="315" t="e">
        <f t="shared" ca="1" si="553"/>
        <v>#NAME?</v>
      </c>
      <c r="AK660" s="568" t="e">
        <f t="shared" ca="1" si="566"/>
        <v>#NAME?</v>
      </c>
      <c r="AL660" s="313" t="e">
        <f t="shared" ca="1" si="567"/>
        <v>#NAME?</v>
      </c>
      <c r="AM660" s="313" t="e">
        <f t="shared" ca="1" si="554"/>
        <v>#NAME?</v>
      </c>
      <c r="AN660" s="313" t="e">
        <f t="shared" ca="1" si="555"/>
        <v>#NAME?</v>
      </c>
      <c r="AO660" s="316" t="e">
        <f t="shared" ca="1" si="568"/>
        <v>#NAME?</v>
      </c>
      <c r="AP660" s="313" t="e">
        <f t="shared" ca="1" si="569"/>
        <v>#NAME?</v>
      </c>
      <c r="AQ660" s="314" t="e">
        <f t="shared" ca="1" si="556"/>
        <v>#NAME?</v>
      </c>
      <c r="AR660" s="315" t="e">
        <f t="shared" ca="1" si="570"/>
        <v>#NAME?</v>
      </c>
      <c r="AS660" s="316" t="e">
        <f t="shared" ca="1" si="571"/>
        <v>#NAME?</v>
      </c>
      <c r="AT660" s="315" t="e">
        <f t="shared" ca="1" si="572"/>
        <v>#NAME?</v>
      </c>
      <c r="AU660" s="317">
        <v>427.8</v>
      </c>
      <c r="AV660" s="315" t="e">
        <f t="shared" ca="1" si="573"/>
        <v>#NAME?</v>
      </c>
      <c r="AW660" s="318" t="e">
        <f ca="1">0.0001*BicubicInterpolation('Drag Coef Table'!$B$4:$L$28,AV660,AC660)</f>
        <v>#NAME?</v>
      </c>
      <c r="AX660" s="319" t="e">
        <f t="shared" ca="1" si="574"/>
        <v>#NAME?</v>
      </c>
      <c r="AY660" s="318" t="e">
        <f t="shared" ca="1" si="575"/>
        <v>#NAME?</v>
      </c>
      <c r="AZ660" s="320" t="e">
        <f t="shared" ca="1" si="576"/>
        <v>#NAME?</v>
      </c>
      <c r="BA660" s="321" t="e">
        <f t="shared" ca="1" si="577"/>
        <v>#NAME?</v>
      </c>
      <c r="BB660" s="322" t="e">
        <f t="shared" ca="1" si="578"/>
        <v>#NAME?</v>
      </c>
      <c r="BC660" s="323">
        <v>75.196700000000007</v>
      </c>
      <c r="BD660" s="324" t="e">
        <f t="shared" ca="1" si="579"/>
        <v>#NAME?</v>
      </c>
      <c r="BE660" s="325" t="e">
        <f t="shared" ca="1" si="580"/>
        <v>#NAME?</v>
      </c>
      <c r="BF660" s="324" t="e">
        <f ca="1">BicubicInterpolation('TSFC Eff Table'!$B$4:$E$69,2,BB660)</f>
        <v>#NAME?</v>
      </c>
      <c r="BG660" s="326" t="e">
        <f t="shared" ca="1" si="581"/>
        <v>#NAME?</v>
      </c>
      <c r="BH660" s="694" t="e">
        <f ca="1">IF( S660="LRCINOP",   (1+(0.03/10)*Z660*(1+0.2*AC660^2) )*BicubicInterpolation( 'LRC INOP FF'!$C$4:$AA$21, Y660, U660 )-200, IF(S660 ="HOLDINGINOP", (1+(0.03/10)*Z660*(1+0.2*AC660^2) )*BicubicInterpolation( 'Holding INOP FF'!$C$4:$J$13,  Y660,  U660)/1.05-200,   BA660*BG660))</f>
        <v>#NAME?</v>
      </c>
      <c r="BI660" s="344" t="e">
        <f t="shared" ca="1" si="540"/>
        <v>#NAME?</v>
      </c>
      <c r="BJ660" s="322" t="e">
        <f t="shared" ca="1" si="582"/>
        <v>#NAME?</v>
      </c>
      <c r="BK660" s="338" t="e">
        <f t="shared" ca="1" si="541"/>
        <v>#NAME?</v>
      </c>
      <c r="BL660" s="327" t="e">
        <f t="shared" ca="1" si="583"/>
        <v>#NAME?</v>
      </c>
      <c r="BM660" s="328">
        <f t="shared" si="584"/>
        <v>200</v>
      </c>
      <c r="BN660" s="329" t="e">
        <f t="shared" ca="1" si="585"/>
        <v>#NAME?</v>
      </c>
      <c r="BO660" s="344" t="e">
        <f t="shared" ca="1" si="542"/>
        <v>#NAME?</v>
      </c>
      <c r="BP660" s="320" t="e">
        <f t="shared" ca="1" si="586"/>
        <v>#NAME?</v>
      </c>
      <c r="BQ660" s="344" t="e">
        <f t="shared" ca="1" si="543"/>
        <v>#NAME?</v>
      </c>
      <c r="BR660" s="347" t="e">
        <f t="shared" ca="1" si="544"/>
        <v>#NAME?</v>
      </c>
      <c r="BS660" s="326" t="e">
        <f t="shared" ca="1" si="587"/>
        <v>#NAME?</v>
      </c>
      <c r="BT660" s="437" t="e">
        <f t="shared" ca="1" si="557"/>
        <v>#NAME?</v>
      </c>
      <c r="BU660" s="437" t="e">
        <f t="shared" ca="1" si="558"/>
        <v>#NAME?</v>
      </c>
      <c r="BV660" s="441" t="e">
        <f t="shared" ca="1" si="559"/>
        <v>#NAME?</v>
      </c>
      <c r="BW660" s="442" t="e">
        <f t="shared" ca="1" si="560"/>
        <v>#NAME?</v>
      </c>
      <c r="BX660" s="470" t="e">
        <f t="shared" ca="1" si="534"/>
        <v>#NAME?</v>
      </c>
      <c r="BY660" s="484" t="e">
        <f t="shared" ca="1" si="545"/>
        <v>#NAME?</v>
      </c>
    </row>
    <row r="661" spans="9:77" ht="17.75" customHeight="1" x14ac:dyDescent="0.2">
      <c r="I661" s="366">
        <v>577</v>
      </c>
      <c r="J661" s="414">
        <f t="shared" si="546"/>
        <v>41706.113194445752</v>
      </c>
      <c r="K661" s="435" t="e">
        <f t="shared" ca="1" si="547"/>
        <v>#NAME?</v>
      </c>
      <c r="L661" s="435" t="e">
        <f t="shared" ca="1" si="590"/>
        <v>#NAME?</v>
      </c>
      <c r="M661" s="664" t="e">
        <f t="shared" ca="1" si="588"/>
        <v>#NAME?</v>
      </c>
      <c r="N661" s="664" t="e">
        <f t="shared" ca="1" si="589"/>
        <v>#NAME?</v>
      </c>
      <c r="O661" s="140" t="e">
        <f t="shared" ca="1" si="535"/>
        <v>#NAME?</v>
      </c>
      <c r="P661" s="352" t="e">
        <f t="shared" ca="1" si="548"/>
        <v>#NAME?</v>
      </c>
      <c r="Q661" s="665" t="e">
        <f t="shared" ca="1" si="591"/>
        <v>#NAME?</v>
      </c>
      <c r="R661" s="352" t="e">
        <f t="shared" ca="1" si="561"/>
        <v>#NAME?</v>
      </c>
      <c r="S661" s="662" t="e">
        <f t="shared" ca="1" si="536"/>
        <v>#NAME?</v>
      </c>
      <c r="T661" s="443" t="e">
        <f t="shared" ref="T661:T680" ca="1" si="592">IF(AND(S661="MEFE",  S660="MEFE"), MAX(T660+$C$43,$C$39), IF(AND(S660="INOP",S661="MEFE"),  MAX(T660+$C$38,$C$39), IF(AND(S661="INOP",S660="INOP"), MAX(T660+$C$38,$C$39),IF(S661="INOP", AO660,IF($J661&lt;$C$12,$C$6,IF($J661&lt;$C$18,$C$14,$C$20))))))</f>
        <v>#NAME?</v>
      </c>
      <c r="U661" s="369" t="e">
        <f t="shared" ref="U661:U680" ca="1" si="593">P661</f>
        <v>#NAME?</v>
      </c>
      <c r="V661" s="454" t="e">
        <f t="shared" ca="1" si="537"/>
        <v>#NAME?</v>
      </c>
      <c r="W661" s="457">
        <f t="shared" si="538"/>
        <v>1000</v>
      </c>
      <c r="X661" s="463" t="e">
        <f t="shared" ca="1" si="539"/>
        <v>#NAME?</v>
      </c>
      <c r="Y661" s="455" t="e">
        <f t="shared" ca="1" si="549"/>
        <v>#NAME?</v>
      </c>
      <c r="Z661" s="699">
        <f t="shared" ref="Z661:Z680" si="594">IF(I661&gt;$M$83-1,$C$22,IF(I661&gt;$K$83-1,$C$16,$C$8))</f>
        <v>8.5</v>
      </c>
      <c r="AA661" s="355" t="str">
        <f t="shared" ref="AA661:AA680" si="595">IF(I661&lt;$K$83,$C$9, IF( I661&lt;$L$83, $C$17,$C$23))</f>
        <v>ON</v>
      </c>
      <c r="AB661" s="357">
        <f t="shared" si="562"/>
        <v>1.4999999999999999E-2</v>
      </c>
      <c r="AC661" s="356" t="e">
        <f ca="1">IF(  Y660=0,0,IF(OR(S661="KCAS",S661="INOP",S661="MEFE"),   ( (5*( (   (((1+0.2*(T661/661.4786)^2)^3.5 -1)  )/( (1-6.8755856*10^-6 *100*Y661)^5.2558797) +1)^(2/7) -1) )^0.5),IF(S661="MACH",T661, IF(S661="LRC",BicubicInterpolation( 'LRC Mach'!$C$4:$AL$21, Y661,U661),  IF(S661="MRC",BicubicInterpolation( 'MRC Mach'!$C$3:$T$18, Y661,U661),  IF(S661="M0.84",0.84,  IF(S661="CI52",BicubicInterpolation('CI=52 Mach'!$C$3:$T$18, Y661,U661),  IF(S661="HOLDING",BicubicInterpolation(  'Holding Mach'!$C$4:$M$13, Y661,U661),                         IF(S661="LRCINOP", BicubicInterpolation('LRC INOP Mach'!$C$4:$AA$21,Y661,U661), IF(S661="HOLDINGINOP",  BicubicInterpolation('Holding INOP Mach'!$N$4:$U$13,Y661,U661),         "XXX" )))))))   )))</f>
        <v>#NAME?</v>
      </c>
      <c r="AD661" s="313" t="e">
        <f t="shared" ca="1" si="563"/>
        <v>#NAME?</v>
      </c>
      <c r="AE661" s="314" t="e">
        <f t="shared" ca="1" si="550"/>
        <v>#NAME?</v>
      </c>
      <c r="AF661" s="313" t="e">
        <f t="shared" ca="1" si="564"/>
        <v>#NAME?</v>
      </c>
      <c r="AG661" s="314" t="e">
        <f t="shared" ca="1" si="551"/>
        <v>#NAME?</v>
      </c>
      <c r="AH661" s="313" t="e">
        <f t="shared" ca="1" si="565"/>
        <v>#NAME?</v>
      </c>
      <c r="AI661" s="314" t="e">
        <f t="shared" ca="1" si="552"/>
        <v>#NAME?</v>
      </c>
      <c r="AJ661" s="315" t="e">
        <f t="shared" ca="1" si="553"/>
        <v>#NAME?</v>
      </c>
      <c r="AK661" s="568" t="e">
        <f t="shared" ca="1" si="566"/>
        <v>#NAME?</v>
      </c>
      <c r="AL661" s="313" t="e">
        <f t="shared" ca="1" si="567"/>
        <v>#NAME?</v>
      </c>
      <c r="AM661" s="313" t="e">
        <f t="shared" ca="1" si="554"/>
        <v>#NAME?</v>
      </c>
      <c r="AN661" s="313" t="e">
        <f t="shared" ca="1" si="555"/>
        <v>#NAME?</v>
      </c>
      <c r="AO661" s="316" t="e">
        <f t="shared" ca="1" si="568"/>
        <v>#NAME?</v>
      </c>
      <c r="AP661" s="313" t="e">
        <f t="shared" ca="1" si="569"/>
        <v>#NAME?</v>
      </c>
      <c r="AQ661" s="314" t="e">
        <f t="shared" ca="1" si="556"/>
        <v>#NAME?</v>
      </c>
      <c r="AR661" s="315" t="e">
        <f t="shared" ca="1" si="570"/>
        <v>#NAME?</v>
      </c>
      <c r="AS661" s="316" t="e">
        <f t="shared" ca="1" si="571"/>
        <v>#NAME?</v>
      </c>
      <c r="AT661" s="315" t="e">
        <f t="shared" ca="1" si="572"/>
        <v>#NAME?</v>
      </c>
      <c r="AU661" s="317">
        <v>427.8</v>
      </c>
      <c r="AV661" s="315" t="e">
        <f t="shared" ca="1" si="573"/>
        <v>#NAME?</v>
      </c>
      <c r="AW661" s="318" t="e">
        <f ca="1">0.0001*BicubicInterpolation('Drag Coef Table'!$B$4:$L$28,AV661,AC661)</f>
        <v>#NAME?</v>
      </c>
      <c r="AX661" s="319" t="e">
        <f t="shared" ca="1" si="574"/>
        <v>#NAME?</v>
      </c>
      <c r="AY661" s="318" t="e">
        <f t="shared" ca="1" si="575"/>
        <v>#NAME?</v>
      </c>
      <c r="AZ661" s="320" t="e">
        <f t="shared" ca="1" si="576"/>
        <v>#NAME?</v>
      </c>
      <c r="BA661" s="321" t="e">
        <f t="shared" ca="1" si="577"/>
        <v>#NAME?</v>
      </c>
      <c r="BB661" s="322" t="e">
        <f t="shared" ca="1" si="578"/>
        <v>#NAME?</v>
      </c>
      <c r="BC661" s="323">
        <v>75.196700000000007</v>
      </c>
      <c r="BD661" s="324" t="e">
        <f t="shared" ca="1" si="579"/>
        <v>#NAME?</v>
      </c>
      <c r="BE661" s="325" t="e">
        <f t="shared" ca="1" si="580"/>
        <v>#NAME?</v>
      </c>
      <c r="BF661" s="324" t="e">
        <f ca="1">BicubicInterpolation('TSFC Eff Table'!$B$4:$E$69,2,BB661)</f>
        <v>#NAME?</v>
      </c>
      <c r="BG661" s="326" t="e">
        <f t="shared" ca="1" si="581"/>
        <v>#NAME?</v>
      </c>
      <c r="BH661" s="694" t="e">
        <f ca="1">IF( S661="LRCINOP",   (1+(0.03/10)*Z661*(1+0.2*AC661^2) )*BicubicInterpolation( 'LRC INOP FF'!$C$4:$AA$21, Y661, U661 )-200, IF(S661 ="HOLDINGINOP", (1+(0.03/10)*Z661*(1+0.2*AC661^2) )*BicubicInterpolation( 'Holding INOP FF'!$C$4:$J$13,  Y661,  U661)/1.05-200,   BA661*BG661))</f>
        <v>#NAME?</v>
      </c>
      <c r="BI661" s="344" t="e">
        <f t="shared" ca="1" si="540"/>
        <v>#NAME?</v>
      </c>
      <c r="BJ661" s="322" t="e">
        <f t="shared" ca="1" si="582"/>
        <v>#NAME?</v>
      </c>
      <c r="BK661" s="338" t="e">
        <f t="shared" ca="1" si="541"/>
        <v>#NAME?</v>
      </c>
      <c r="BL661" s="327" t="e">
        <f t="shared" ca="1" si="583"/>
        <v>#NAME?</v>
      </c>
      <c r="BM661" s="328">
        <f t="shared" si="584"/>
        <v>200</v>
      </c>
      <c r="BN661" s="329" t="e">
        <f t="shared" ca="1" si="585"/>
        <v>#NAME?</v>
      </c>
      <c r="BO661" s="344" t="e">
        <f t="shared" ca="1" si="542"/>
        <v>#NAME?</v>
      </c>
      <c r="BP661" s="320" t="e">
        <f t="shared" ca="1" si="586"/>
        <v>#NAME?</v>
      </c>
      <c r="BQ661" s="344" t="e">
        <f t="shared" ca="1" si="543"/>
        <v>#NAME?</v>
      </c>
      <c r="BR661" s="347" t="e">
        <f t="shared" ca="1" si="544"/>
        <v>#NAME?</v>
      </c>
      <c r="BS661" s="326" t="e">
        <f t="shared" ca="1" si="587"/>
        <v>#NAME?</v>
      </c>
      <c r="BT661" s="437" t="e">
        <f t="shared" ca="1" si="557"/>
        <v>#NAME?</v>
      </c>
      <c r="BU661" s="437" t="e">
        <f t="shared" ca="1" si="558"/>
        <v>#NAME?</v>
      </c>
      <c r="BV661" s="441" t="e">
        <f t="shared" ca="1" si="559"/>
        <v>#NAME?</v>
      </c>
      <c r="BW661" s="442" t="e">
        <f t="shared" ca="1" si="560"/>
        <v>#NAME?</v>
      </c>
      <c r="BX661" s="470" t="e">
        <f t="shared" ref="BX661:BX679" ca="1" si="596">IF(Y661=0,I661,"")</f>
        <v>#NAME?</v>
      </c>
      <c r="BY661" s="484" t="e">
        <f t="shared" ca="1" si="545"/>
        <v>#NAME?</v>
      </c>
    </row>
    <row r="662" spans="9:77" ht="17.75" customHeight="1" x14ac:dyDescent="0.2">
      <c r="I662" s="366">
        <v>578</v>
      </c>
      <c r="J662" s="414">
        <f t="shared" si="546"/>
        <v>41706.113888890199</v>
      </c>
      <c r="K662" s="435" t="e">
        <f t="shared" ca="1" si="547"/>
        <v>#NAME?</v>
      </c>
      <c r="L662" s="435" t="e">
        <f t="shared" ca="1" si="590"/>
        <v>#NAME?</v>
      </c>
      <c r="M662" s="664" t="e">
        <f t="shared" ca="1" si="588"/>
        <v>#NAME?</v>
      </c>
      <c r="N662" s="664" t="e">
        <f t="shared" ca="1" si="589"/>
        <v>#NAME?</v>
      </c>
      <c r="O662" s="140" t="e">
        <f t="shared" ref="O662:O680" ca="1" si="597">M662+N662</f>
        <v>#NAME?</v>
      </c>
      <c r="P662" s="352" t="e">
        <f t="shared" ca="1" si="548"/>
        <v>#NAME?</v>
      </c>
      <c r="Q662" s="665" t="e">
        <f t="shared" ca="1" si="591"/>
        <v>#NAME?</v>
      </c>
      <c r="R662" s="352" t="e">
        <f t="shared" ca="1" si="561"/>
        <v>#NAME?</v>
      </c>
      <c r="S662" s="662" t="e">
        <f t="shared" ref="S662:S680" ca="1" si="598">IF(O662=0, "MEFE",IF(AND(  NOT(S661="LRCINOP"),NOT(S661="HOLDINGINOP"),  N662=0), "INOP",IF(I662&gt;$M$83-1,$C$19,IF(I662&gt;$K$83-1,$C$13,$C$5))))</f>
        <v>#NAME?</v>
      </c>
      <c r="T662" s="443" t="e">
        <f t="shared" ca="1" si="592"/>
        <v>#NAME?</v>
      </c>
      <c r="U662" s="369" t="e">
        <f t="shared" ca="1" si="593"/>
        <v>#NAME?</v>
      </c>
      <c r="V662" s="454" t="e">
        <f t="shared" ref="V662:V680" ca="1" si="599">IF(S661="MEFE",0,IF(AND(S661="INOP", T662=$C$39 ), MIN($C$40,V661 ),IF(J661&lt;$C$12,$C$7,IF(J661&lt;$C$18,$C$15,$C$21))))</f>
        <v>#NAME?</v>
      </c>
      <c r="W662" s="457">
        <f t="shared" ref="W662:W680" si="600">$C$27</f>
        <v>1000</v>
      </c>
      <c r="X662" s="463" t="e">
        <f t="shared" ref="X662:X680" ca="1" si="601">IF(   Y661=0,  0,   IF(S662="INOP", $C$41, IF(S662="MEFE", $C$42,IF(OR(S662="KCAS",S662="HOLDING"), $C$31,$C$28 ) ))             )</f>
        <v>#NAME?</v>
      </c>
      <c r="Y662" s="455" t="e">
        <f t="shared" ca="1" si="549"/>
        <v>#NAME?</v>
      </c>
      <c r="Z662" s="699">
        <f t="shared" si="594"/>
        <v>8.5</v>
      </c>
      <c r="AA662" s="355" t="str">
        <f t="shared" si="595"/>
        <v>ON</v>
      </c>
      <c r="AB662" s="357">
        <f t="shared" si="562"/>
        <v>1.4999999999999999E-2</v>
      </c>
      <c r="AC662" s="356" t="e">
        <f ca="1">IF(  Y661=0,0,IF(OR(S662="KCAS",S662="INOP",S662="MEFE"),   ( (5*( (   (((1+0.2*(T662/661.4786)^2)^3.5 -1)  )/( (1-6.8755856*10^-6 *100*Y662)^5.2558797) +1)^(2/7) -1) )^0.5),IF(S662="MACH",T662, IF(S662="LRC",BicubicInterpolation( 'LRC Mach'!$C$4:$AL$21, Y662,U662),  IF(S662="MRC",BicubicInterpolation( 'MRC Mach'!$C$3:$T$18, Y662,U662),  IF(S662="M0.84",0.84,  IF(S662="CI52",BicubicInterpolation('CI=52 Mach'!$C$3:$T$18, Y662,U662),  IF(S662="HOLDING",BicubicInterpolation(  'Holding Mach'!$C$4:$M$13, Y662,U662),                         IF(S662="LRCINOP", BicubicInterpolation('LRC INOP Mach'!$C$4:$AA$21,Y662,U662), IF(S662="HOLDINGINOP",  BicubicInterpolation('Holding INOP Mach'!$N$4:$U$13,Y662,U662),         "XXX" )))))))   )))</f>
        <v>#NAME?</v>
      </c>
      <c r="AD662" s="313" t="e">
        <f t="shared" ca="1" si="563"/>
        <v>#NAME?</v>
      </c>
      <c r="AE662" s="314" t="e">
        <f t="shared" ca="1" si="550"/>
        <v>#NAME?</v>
      </c>
      <c r="AF662" s="313" t="e">
        <f t="shared" ca="1" si="564"/>
        <v>#NAME?</v>
      </c>
      <c r="AG662" s="314" t="e">
        <f t="shared" ca="1" si="551"/>
        <v>#NAME?</v>
      </c>
      <c r="AH662" s="313" t="e">
        <f t="shared" ca="1" si="565"/>
        <v>#NAME?</v>
      </c>
      <c r="AI662" s="314" t="e">
        <f t="shared" ca="1" si="552"/>
        <v>#NAME?</v>
      </c>
      <c r="AJ662" s="315" t="e">
        <f t="shared" ca="1" si="553"/>
        <v>#NAME?</v>
      </c>
      <c r="AK662" s="568" t="e">
        <f t="shared" ca="1" si="566"/>
        <v>#NAME?</v>
      </c>
      <c r="AL662" s="313" t="e">
        <f t="shared" ca="1" si="567"/>
        <v>#NAME?</v>
      </c>
      <c r="AM662" s="313" t="e">
        <f t="shared" ca="1" si="554"/>
        <v>#NAME?</v>
      </c>
      <c r="AN662" s="313" t="e">
        <f t="shared" ca="1" si="555"/>
        <v>#NAME?</v>
      </c>
      <c r="AO662" s="316" t="e">
        <f t="shared" ca="1" si="568"/>
        <v>#NAME?</v>
      </c>
      <c r="AP662" s="313" t="e">
        <f t="shared" ca="1" si="569"/>
        <v>#NAME?</v>
      </c>
      <c r="AQ662" s="314" t="e">
        <f t="shared" ca="1" si="556"/>
        <v>#NAME?</v>
      </c>
      <c r="AR662" s="315" t="e">
        <f t="shared" ca="1" si="570"/>
        <v>#NAME?</v>
      </c>
      <c r="AS662" s="316" t="e">
        <f t="shared" ca="1" si="571"/>
        <v>#NAME?</v>
      </c>
      <c r="AT662" s="315" t="e">
        <f t="shared" ca="1" si="572"/>
        <v>#NAME?</v>
      </c>
      <c r="AU662" s="317">
        <v>427.8</v>
      </c>
      <c r="AV662" s="315" t="e">
        <f t="shared" ca="1" si="573"/>
        <v>#NAME?</v>
      </c>
      <c r="AW662" s="318" t="e">
        <f ca="1">0.0001*BicubicInterpolation('Drag Coef Table'!$B$4:$L$28,AV662,AC662)</f>
        <v>#NAME?</v>
      </c>
      <c r="AX662" s="319" t="e">
        <f t="shared" ca="1" si="574"/>
        <v>#NAME?</v>
      </c>
      <c r="AY662" s="318" t="e">
        <f t="shared" ca="1" si="575"/>
        <v>#NAME?</v>
      </c>
      <c r="AZ662" s="320" t="e">
        <f t="shared" ca="1" si="576"/>
        <v>#NAME?</v>
      </c>
      <c r="BA662" s="321" t="e">
        <f t="shared" ca="1" si="577"/>
        <v>#NAME?</v>
      </c>
      <c r="BB662" s="322" t="e">
        <f t="shared" ca="1" si="578"/>
        <v>#NAME?</v>
      </c>
      <c r="BC662" s="323">
        <v>75.196700000000007</v>
      </c>
      <c r="BD662" s="324" t="e">
        <f t="shared" ca="1" si="579"/>
        <v>#NAME?</v>
      </c>
      <c r="BE662" s="325" t="e">
        <f t="shared" ca="1" si="580"/>
        <v>#NAME?</v>
      </c>
      <c r="BF662" s="324" t="e">
        <f ca="1">BicubicInterpolation('TSFC Eff Table'!$B$4:$E$69,2,BB662)</f>
        <v>#NAME?</v>
      </c>
      <c r="BG662" s="326" t="e">
        <f t="shared" ca="1" si="581"/>
        <v>#NAME?</v>
      </c>
      <c r="BH662" s="694" t="e">
        <f ca="1">IF( S662="LRCINOP",   (1+(0.03/10)*Z662*(1+0.2*AC662^2) )*BicubicInterpolation( 'LRC INOP FF'!$C$4:$AA$21, Y662, U662 )-200, IF(S662 ="HOLDINGINOP", (1+(0.03/10)*Z662*(1+0.2*AC662^2) )*BicubicInterpolation( 'Holding INOP FF'!$C$4:$J$13,  Y662,  U662)/1.05-200,   BA662*BG662))</f>
        <v>#NAME?</v>
      </c>
      <c r="BI662" s="344" t="e">
        <f t="shared" ref="BI662:BI680" ca="1" si="602">IF( OR( S662="LRCINOP", S662 ="HOLDINGINOP"),BH662, BH662/2)</f>
        <v>#NAME?</v>
      </c>
      <c r="BJ662" s="322" t="e">
        <f t="shared" ca="1" si="582"/>
        <v>#NAME?</v>
      </c>
      <c r="BK662" s="338" t="e">
        <f t="shared" ref="BK662:BK680" ca="1" si="603">IF( OR( S662="LRCINOP", S662 ="HOLDINGINOP"),BJ662, 2*BJ662)</f>
        <v>#NAME?</v>
      </c>
      <c r="BL662" s="327" t="e">
        <f t="shared" ca="1" si="583"/>
        <v>#NAME?</v>
      </c>
      <c r="BM662" s="328">
        <f t="shared" si="584"/>
        <v>200</v>
      </c>
      <c r="BN662" s="329" t="e">
        <f t="shared" ca="1" si="585"/>
        <v>#NAME?</v>
      </c>
      <c r="BO662" s="344" t="e">
        <f t="shared" ref="BO662:BO680" ca="1" si="604">IF( OR( S662="LRCINOP", S662 ="HOLDINGINOP"), BN662, 2*BN662)</f>
        <v>#NAME?</v>
      </c>
      <c r="BP662" s="320" t="e">
        <f t="shared" ca="1" si="586"/>
        <v>#NAME?</v>
      </c>
      <c r="BQ662" s="344" t="e">
        <f t="shared" ref="BQ662:BQ680" ca="1" si="605">BN662*(1+$C$25)</f>
        <v>#NAME?</v>
      </c>
      <c r="BR662" s="347" t="e">
        <f t="shared" ref="BR662:BR680" ca="1" si="606">BO662*(1+$C$25)</f>
        <v>#NAME?</v>
      </c>
      <c r="BS662" s="326" t="e">
        <f t="shared" ca="1" si="587"/>
        <v>#NAME?</v>
      </c>
      <c r="BT662" s="437" t="e">
        <f t="shared" ca="1" si="557"/>
        <v>#NAME?</v>
      </c>
      <c r="BU662" s="437" t="e">
        <f t="shared" ca="1" si="558"/>
        <v>#NAME?</v>
      </c>
      <c r="BV662" s="441" t="e">
        <f t="shared" ca="1" si="559"/>
        <v>#NAME?</v>
      </c>
      <c r="BW662" s="442" t="e">
        <f t="shared" ca="1" si="560"/>
        <v>#NAME?</v>
      </c>
      <c r="BX662" s="470" t="e">
        <f t="shared" ca="1" si="596"/>
        <v>#NAME?</v>
      </c>
      <c r="BY662" s="484" t="e">
        <f t="shared" ref="BY662:BY680" ca="1" si="607">100*O662</f>
        <v>#NAME?</v>
      </c>
    </row>
    <row r="663" spans="9:77" ht="17.75" customHeight="1" x14ac:dyDescent="0.2">
      <c r="I663" s="366">
        <v>579</v>
      </c>
      <c r="J663" s="414">
        <f t="shared" ref="J663:J680" si="608">J662+1/1440</f>
        <v>41706.114583334645</v>
      </c>
      <c r="K663" s="435" t="e">
        <f t="shared" ref="K663:K680" ca="1" si="609">IF(M663=0,0,Q663*(1+$C$78)/60)</f>
        <v>#NAME?</v>
      </c>
      <c r="L663" s="435" t="e">
        <f t="shared" ca="1" si="590"/>
        <v>#NAME?</v>
      </c>
      <c r="M663" s="664" t="e">
        <f t="shared" ca="1" si="588"/>
        <v>#NAME?</v>
      </c>
      <c r="N663" s="664" t="e">
        <f t="shared" ca="1" si="589"/>
        <v>#NAME?</v>
      </c>
      <c r="O663" s="140" t="e">
        <f t="shared" ca="1" si="597"/>
        <v>#NAME?</v>
      </c>
      <c r="P663" s="352" t="e">
        <f t="shared" ref="P663:P680" ca="1" si="610">MAX(O663+$C$24,$C$24)</f>
        <v>#NAME?</v>
      </c>
      <c r="Q663" s="665" t="e">
        <f t="shared" ca="1" si="591"/>
        <v>#NAME?</v>
      </c>
      <c r="R663" s="352" t="e">
        <f t="shared" ca="1" si="561"/>
        <v>#NAME?</v>
      </c>
      <c r="S663" s="662" t="e">
        <f t="shared" ca="1" si="598"/>
        <v>#NAME?</v>
      </c>
      <c r="T663" s="443" t="e">
        <f t="shared" ca="1" si="592"/>
        <v>#NAME?</v>
      </c>
      <c r="U663" s="369" t="e">
        <f t="shared" ca="1" si="593"/>
        <v>#NAME?</v>
      </c>
      <c r="V663" s="454" t="e">
        <f t="shared" ca="1" si="599"/>
        <v>#NAME?</v>
      </c>
      <c r="W663" s="457">
        <f t="shared" si="600"/>
        <v>1000</v>
      </c>
      <c r="X663" s="463" t="e">
        <f t="shared" ca="1" si="601"/>
        <v>#NAME?</v>
      </c>
      <c r="Y663" s="455" t="e">
        <f t="shared" ref="Y663:Y680" ca="1" si="611">Y662   +   IF(   V663=Y662,   0,   IF(V663-Y662&lt;0, MAX(V663-Y662,X663/100), IF(    V663-Y662&gt;0,    MIN(V663-Y662, W663/100 ))))</f>
        <v>#NAME?</v>
      </c>
      <c r="Z663" s="699">
        <f t="shared" si="594"/>
        <v>8.5</v>
      </c>
      <c r="AA663" s="355" t="str">
        <f t="shared" si="595"/>
        <v>ON</v>
      </c>
      <c r="AB663" s="357">
        <f t="shared" si="562"/>
        <v>1.4999999999999999E-2</v>
      </c>
      <c r="AC663" s="356" t="e">
        <f ca="1">IF(  Y662=0,0,IF(OR(S663="KCAS",S663="INOP",S663="MEFE"),   ( (5*( (   (((1+0.2*(T663/661.4786)^2)^3.5 -1)  )/( (1-6.8755856*10^-6 *100*Y663)^5.2558797) +1)^(2/7) -1) )^0.5),IF(S663="MACH",T663, IF(S663="LRC",BicubicInterpolation( 'LRC Mach'!$C$4:$AL$21, Y663,U663),  IF(S663="MRC",BicubicInterpolation( 'MRC Mach'!$C$3:$T$18, Y663,U663),  IF(S663="M0.84",0.84,  IF(S663="CI52",BicubicInterpolation('CI=52 Mach'!$C$3:$T$18, Y663,U663),  IF(S663="HOLDING",BicubicInterpolation(  'Holding Mach'!$C$4:$M$13, Y663,U663),                         IF(S663="LRCINOP", BicubicInterpolation('LRC INOP Mach'!$C$4:$AA$21,Y663,U663), IF(S663="HOLDINGINOP",  BicubicInterpolation('Holding INOP Mach'!$N$4:$U$13,Y663,U663),         "XXX" )))))))   )))</f>
        <v>#NAME?</v>
      </c>
      <c r="AD663" s="313" t="e">
        <f t="shared" ca="1" si="563"/>
        <v>#NAME?</v>
      </c>
      <c r="AE663" s="314" t="e">
        <f t="shared" ref="AE663:AE680" ca="1" si="612">AD663/288.15</f>
        <v>#NAME?</v>
      </c>
      <c r="AF663" s="313" t="e">
        <f t="shared" ca="1" si="564"/>
        <v>#NAME?</v>
      </c>
      <c r="AG663" s="314" t="e">
        <f t="shared" ref="AG663:AG680" ca="1" si="613">AF663/288.15</f>
        <v>#NAME?</v>
      </c>
      <c r="AH663" s="313" t="e">
        <f t="shared" ca="1" si="565"/>
        <v>#NAME?</v>
      </c>
      <c r="AI663" s="314" t="e">
        <f t="shared" ref="AI663:AI680" ca="1" si="614">AH663/288.15</f>
        <v>#NAME?</v>
      </c>
      <c r="AJ663" s="315" t="e">
        <f t="shared" ref="AJ663:AJ680" ca="1" si="615">AI663^0.68</f>
        <v>#NAME?</v>
      </c>
      <c r="AK663" s="568" t="e">
        <f t="shared" ca="1" si="566"/>
        <v>#NAME?</v>
      </c>
      <c r="AL663" s="313" t="e">
        <f t="shared" ca="1" si="567"/>
        <v>#NAME?</v>
      </c>
      <c r="AM663" s="313" t="e">
        <f t="shared" ref="AM663:AM680" ca="1" si="616">AL663*0.5144444</f>
        <v>#NAME?</v>
      </c>
      <c r="AN663" s="313" t="e">
        <f t="shared" ref="AN663:AN680" ca="1" si="617">AN662+AVERAGE(AL662:AL663)/60</f>
        <v>#NAME?</v>
      </c>
      <c r="AO663" s="316" t="e">
        <f t="shared" ca="1" si="568"/>
        <v>#NAME?</v>
      </c>
      <c r="AP663" s="313" t="e">
        <f t="shared" ca="1" si="569"/>
        <v>#NAME?</v>
      </c>
      <c r="AQ663" s="314" t="e">
        <f t="shared" ref="AQ663:AQ680" ca="1" si="618">AP663/1013.25</f>
        <v>#NAME?</v>
      </c>
      <c r="AR663" s="315" t="e">
        <f t="shared" ca="1" si="570"/>
        <v>#NAME?</v>
      </c>
      <c r="AS663" s="316" t="e">
        <f t="shared" ca="1" si="571"/>
        <v>#NAME?</v>
      </c>
      <c r="AT663" s="315" t="e">
        <f t="shared" ca="1" si="572"/>
        <v>#NAME?</v>
      </c>
      <c r="AU663" s="317">
        <v>427.8</v>
      </c>
      <c r="AV663" s="315" t="e">
        <f t="shared" ca="1" si="573"/>
        <v>#NAME?</v>
      </c>
      <c r="AW663" s="318" t="e">
        <f ca="1">0.0001*BicubicInterpolation('Drag Coef Table'!$B$4:$L$28,AV663,AC663)</f>
        <v>#NAME?</v>
      </c>
      <c r="AX663" s="319" t="e">
        <f t="shared" ca="1" si="574"/>
        <v>#NAME?</v>
      </c>
      <c r="AY663" s="318" t="e">
        <f t="shared" ca="1" si="575"/>
        <v>#NAME?</v>
      </c>
      <c r="AZ663" s="320" t="e">
        <f t="shared" ca="1" si="576"/>
        <v>#NAME?</v>
      </c>
      <c r="BA663" s="321" t="e">
        <f t="shared" ca="1" si="577"/>
        <v>#NAME?</v>
      </c>
      <c r="BB663" s="322" t="e">
        <f t="shared" ca="1" si="578"/>
        <v>#NAME?</v>
      </c>
      <c r="BC663" s="323">
        <v>75.196700000000007</v>
      </c>
      <c r="BD663" s="324" t="e">
        <f t="shared" ca="1" si="579"/>
        <v>#NAME?</v>
      </c>
      <c r="BE663" s="325" t="e">
        <f t="shared" ca="1" si="580"/>
        <v>#NAME?</v>
      </c>
      <c r="BF663" s="324" t="e">
        <f ca="1">BicubicInterpolation('TSFC Eff Table'!$B$4:$E$69,2,BB663)</f>
        <v>#NAME?</v>
      </c>
      <c r="BG663" s="326" t="e">
        <f t="shared" ca="1" si="581"/>
        <v>#NAME?</v>
      </c>
      <c r="BH663" s="694" t="e">
        <f ca="1">IF( S663="LRCINOP",   (1+(0.03/10)*Z663*(1+0.2*AC663^2) )*BicubicInterpolation( 'LRC INOP FF'!$C$4:$AA$21, Y663, U663 )-200, IF(S663 ="HOLDINGINOP", (1+(0.03/10)*Z663*(1+0.2*AC663^2) )*BicubicInterpolation( 'Holding INOP FF'!$C$4:$J$13,  Y663,  U663)/1.05-200,   BA663*BG663))</f>
        <v>#NAME?</v>
      </c>
      <c r="BI663" s="344" t="e">
        <f t="shared" ca="1" si="602"/>
        <v>#NAME?</v>
      </c>
      <c r="BJ663" s="322" t="e">
        <f t="shared" ca="1" si="582"/>
        <v>#NAME?</v>
      </c>
      <c r="BK663" s="338" t="e">
        <f t="shared" ca="1" si="603"/>
        <v>#NAME?</v>
      </c>
      <c r="BL663" s="327" t="e">
        <f t="shared" ca="1" si="583"/>
        <v>#NAME?</v>
      </c>
      <c r="BM663" s="328">
        <f t="shared" si="584"/>
        <v>200</v>
      </c>
      <c r="BN663" s="329" t="e">
        <f t="shared" ca="1" si="585"/>
        <v>#NAME?</v>
      </c>
      <c r="BO663" s="344" t="e">
        <f t="shared" ca="1" si="604"/>
        <v>#NAME?</v>
      </c>
      <c r="BP663" s="320" t="e">
        <f t="shared" ca="1" si="586"/>
        <v>#NAME?</v>
      </c>
      <c r="BQ663" s="344" t="e">
        <f t="shared" ca="1" si="605"/>
        <v>#NAME?</v>
      </c>
      <c r="BR663" s="347" t="e">
        <f t="shared" ca="1" si="606"/>
        <v>#NAME?</v>
      </c>
      <c r="BS663" s="326" t="e">
        <f t="shared" ca="1" si="587"/>
        <v>#NAME?</v>
      </c>
      <c r="BT663" s="437" t="e">
        <f t="shared" ref="BT663:BT680" ca="1" si="619">IF(AND(M663=0,M662&gt;0),I663,"")</f>
        <v>#NAME?</v>
      </c>
      <c r="BU663" s="437" t="e">
        <f t="shared" ref="BU663:BU680" ca="1" si="620">IF(AND(N663=0,N662&gt;0),$I663,"")</f>
        <v>#NAME?</v>
      </c>
      <c r="BV663" s="441" t="e">
        <f t="shared" ref="BV663:BV680" ca="1" si="621">BV662+AC662</f>
        <v>#NAME?</v>
      </c>
      <c r="BW663" s="442" t="e">
        <f t="shared" ref="BW663:BW680" ca="1" si="622">BW662+AL662</f>
        <v>#NAME?</v>
      </c>
      <c r="BX663" s="470" t="e">
        <f t="shared" ca="1" si="596"/>
        <v>#NAME?</v>
      </c>
      <c r="BY663" s="484" t="e">
        <f t="shared" ca="1" si="607"/>
        <v>#NAME?</v>
      </c>
    </row>
    <row r="664" spans="9:77" ht="17.75" customHeight="1" x14ac:dyDescent="0.2">
      <c r="I664" s="366">
        <v>580</v>
      </c>
      <c r="J664" s="414">
        <f t="shared" si="608"/>
        <v>41706.115277779092</v>
      </c>
      <c r="K664" s="435" t="e">
        <f t="shared" ca="1" si="609"/>
        <v>#NAME?</v>
      </c>
      <c r="L664" s="435" t="e">
        <f t="shared" ca="1" si="590"/>
        <v>#NAME?</v>
      </c>
      <c r="M664" s="664" t="e">
        <f t="shared" ca="1" si="588"/>
        <v>#NAME?</v>
      </c>
      <c r="N664" s="664" t="e">
        <f t="shared" ca="1" si="589"/>
        <v>#NAME?</v>
      </c>
      <c r="O664" s="140" t="e">
        <f t="shared" ca="1" si="597"/>
        <v>#NAME?</v>
      </c>
      <c r="P664" s="352" t="e">
        <f t="shared" ca="1" si="610"/>
        <v>#NAME?</v>
      </c>
      <c r="Q664" s="665" t="e">
        <f t="shared" ca="1" si="591"/>
        <v>#NAME?</v>
      </c>
      <c r="R664" s="352" t="e">
        <f t="shared" ca="1" si="561"/>
        <v>#NAME?</v>
      </c>
      <c r="S664" s="662" t="e">
        <f t="shared" ca="1" si="598"/>
        <v>#NAME?</v>
      </c>
      <c r="T664" s="443" t="e">
        <f t="shared" ca="1" si="592"/>
        <v>#NAME?</v>
      </c>
      <c r="U664" s="369" t="e">
        <f t="shared" ca="1" si="593"/>
        <v>#NAME?</v>
      </c>
      <c r="V664" s="454" t="e">
        <f t="shared" ca="1" si="599"/>
        <v>#NAME?</v>
      </c>
      <c r="W664" s="457">
        <f t="shared" si="600"/>
        <v>1000</v>
      </c>
      <c r="X664" s="463" t="e">
        <f t="shared" ca="1" si="601"/>
        <v>#NAME?</v>
      </c>
      <c r="Y664" s="455" t="e">
        <f t="shared" ca="1" si="611"/>
        <v>#NAME?</v>
      </c>
      <c r="Z664" s="699">
        <f t="shared" si="594"/>
        <v>8.5</v>
      </c>
      <c r="AA664" s="355" t="str">
        <f t="shared" si="595"/>
        <v>ON</v>
      </c>
      <c r="AB664" s="357">
        <f t="shared" si="562"/>
        <v>1.4999999999999999E-2</v>
      </c>
      <c r="AC664" s="356" t="e">
        <f ca="1">IF(  Y663=0,0,IF(OR(S664="KCAS",S664="INOP",S664="MEFE"),   ( (5*( (   (((1+0.2*(T664/661.4786)^2)^3.5 -1)  )/( (1-6.8755856*10^-6 *100*Y664)^5.2558797) +1)^(2/7) -1) )^0.5),IF(S664="MACH",T664, IF(S664="LRC",BicubicInterpolation( 'LRC Mach'!$C$4:$AL$21, Y664,U664),  IF(S664="MRC",BicubicInterpolation( 'MRC Mach'!$C$3:$T$18, Y664,U664),  IF(S664="M0.84",0.84,  IF(S664="CI52",BicubicInterpolation('CI=52 Mach'!$C$3:$T$18, Y664,U664),  IF(S664="HOLDING",BicubicInterpolation(  'Holding Mach'!$C$4:$M$13, Y664,U664),                         IF(S664="LRCINOP", BicubicInterpolation('LRC INOP Mach'!$C$4:$AA$21,Y664,U664), IF(S664="HOLDINGINOP",  BicubicInterpolation('Holding INOP Mach'!$N$4:$U$13,Y664,U664),         "XXX" )))))))   )))</f>
        <v>#NAME?</v>
      </c>
      <c r="AD664" s="313" t="e">
        <f t="shared" ca="1" si="563"/>
        <v>#NAME?</v>
      </c>
      <c r="AE664" s="314" t="e">
        <f t="shared" ca="1" si="612"/>
        <v>#NAME?</v>
      </c>
      <c r="AF664" s="313" t="e">
        <f t="shared" ca="1" si="564"/>
        <v>#NAME?</v>
      </c>
      <c r="AG664" s="314" t="e">
        <f t="shared" ca="1" si="613"/>
        <v>#NAME?</v>
      </c>
      <c r="AH664" s="313" t="e">
        <f t="shared" ca="1" si="565"/>
        <v>#NAME?</v>
      </c>
      <c r="AI664" s="314" t="e">
        <f t="shared" ca="1" si="614"/>
        <v>#NAME?</v>
      </c>
      <c r="AJ664" s="315" t="e">
        <f t="shared" ca="1" si="615"/>
        <v>#NAME?</v>
      </c>
      <c r="AK664" s="568" t="e">
        <f t="shared" ca="1" si="566"/>
        <v>#NAME?</v>
      </c>
      <c r="AL664" s="313" t="e">
        <f t="shared" ca="1" si="567"/>
        <v>#NAME?</v>
      </c>
      <c r="AM664" s="313" t="e">
        <f t="shared" ca="1" si="616"/>
        <v>#NAME?</v>
      </c>
      <c r="AN664" s="313" t="e">
        <f t="shared" ca="1" si="617"/>
        <v>#NAME?</v>
      </c>
      <c r="AO664" s="316" t="e">
        <f t="shared" ca="1" si="568"/>
        <v>#NAME?</v>
      </c>
      <c r="AP664" s="313" t="e">
        <f t="shared" ca="1" si="569"/>
        <v>#NAME?</v>
      </c>
      <c r="AQ664" s="314" t="e">
        <f t="shared" ca="1" si="618"/>
        <v>#NAME?</v>
      </c>
      <c r="AR664" s="315" t="e">
        <f t="shared" ca="1" si="570"/>
        <v>#NAME?</v>
      </c>
      <c r="AS664" s="316" t="e">
        <f t="shared" ca="1" si="571"/>
        <v>#NAME?</v>
      </c>
      <c r="AT664" s="315" t="e">
        <f t="shared" ca="1" si="572"/>
        <v>#NAME?</v>
      </c>
      <c r="AU664" s="317">
        <v>427.8</v>
      </c>
      <c r="AV664" s="315" t="e">
        <f t="shared" ca="1" si="573"/>
        <v>#NAME?</v>
      </c>
      <c r="AW664" s="318" t="e">
        <f ca="1">0.0001*BicubicInterpolation('Drag Coef Table'!$B$4:$L$28,AV664,AC664)</f>
        <v>#NAME?</v>
      </c>
      <c r="AX664" s="319" t="e">
        <f t="shared" ca="1" si="574"/>
        <v>#NAME?</v>
      </c>
      <c r="AY664" s="318" t="e">
        <f t="shared" ca="1" si="575"/>
        <v>#NAME?</v>
      </c>
      <c r="AZ664" s="320" t="e">
        <f t="shared" ca="1" si="576"/>
        <v>#NAME?</v>
      </c>
      <c r="BA664" s="321" t="e">
        <f t="shared" ca="1" si="577"/>
        <v>#NAME?</v>
      </c>
      <c r="BB664" s="322" t="e">
        <f t="shared" ca="1" si="578"/>
        <v>#NAME?</v>
      </c>
      <c r="BC664" s="323">
        <v>75.196700000000007</v>
      </c>
      <c r="BD664" s="324" t="e">
        <f t="shared" ca="1" si="579"/>
        <v>#NAME?</v>
      </c>
      <c r="BE664" s="325" t="e">
        <f t="shared" ca="1" si="580"/>
        <v>#NAME?</v>
      </c>
      <c r="BF664" s="324" t="e">
        <f ca="1">BicubicInterpolation('TSFC Eff Table'!$B$4:$E$69,2,BB664)</f>
        <v>#NAME?</v>
      </c>
      <c r="BG664" s="326" t="e">
        <f t="shared" ca="1" si="581"/>
        <v>#NAME?</v>
      </c>
      <c r="BH664" s="694" t="e">
        <f ca="1">IF( S664="LRCINOP",   (1+(0.03/10)*Z664*(1+0.2*AC664^2) )*BicubicInterpolation( 'LRC INOP FF'!$C$4:$AA$21, Y664, U664 )-200, IF(S664 ="HOLDINGINOP", (1+(0.03/10)*Z664*(1+0.2*AC664^2) )*BicubicInterpolation( 'Holding INOP FF'!$C$4:$J$13,  Y664,  U664)/1.05-200,   BA664*BG664))</f>
        <v>#NAME?</v>
      </c>
      <c r="BI664" s="344" t="e">
        <f t="shared" ca="1" si="602"/>
        <v>#NAME?</v>
      </c>
      <c r="BJ664" s="322" t="e">
        <f t="shared" ca="1" si="582"/>
        <v>#NAME?</v>
      </c>
      <c r="BK664" s="338" t="e">
        <f t="shared" ca="1" si="603"/>
        <v>#NAME?</v>
      </c>
      <c r="BL664" s="327" t="e">
        <f t="shared" ca="1" si="583"/>
        <v>#NAME?</v>
      </c>
      <c r="BM664" s="328">
        <f t="shared" si="584"/>
        <v>200</v>
      </c>
      <c r="BN664" s="329" t="e">
        <f t="shared" ca="1" si="585"/>
        <v>#NAME?</v>
      </c>
      <c r="BO664" s="344" t="e">
        <f t="shared" ca="1" si="604"/>
        <v>#NAME?</v>
      </c>
      <c r="BP664" s="320" t="e">
        <f t="shared" ca="1" si="586"/>
        <v>#NAME?</v>
      </c>
      <c r="BQ664" s="344" t="e">
        <f t="shared" ca="1" si="605"/>
        <v>#NAME?</v>
      </c>
      <c r="BR664" s="347" t="e">
        <f t="shared" ca="1" si="606"/>
        <v>#NAME?</v>
      </c>
      <c r="BS664" s="326" t="e">
        <f t="shared" ca="1" si="587"/>
        <v>#NAME?</v>
      </c>
      <c r="BT664" s="437" t="e">
        <f t="shared" ca="1" si="619"/>
        <v>#NAME?</v>
      </c>
      <c r="BU664" s="437" t="e">
        <f t="shared" ca="1" si="620"/>
        <v>#NAME?</v>
      </c>
      <c r="BV664" s="441" t="e">
        <f t="shared" ca="1" si="621"/>
        <v>#NAME?</v>
      </c>
      <c r="BW664" s="442" t="e">
        <f t="shared" ca="1" si="622"/>
        <v>#NAME?</v>
      </c>
      <c r="BX664" s="470" t="e">
        <f t="shared" ca="1" si="596"/>
        <v>#NAME?</v>
      </c>
      <c r="BY664" s="484" t="e">
        <f t="shared" ca="1" si="607"/>
        <v>#NAME?</v>
      </c>
    </row>
    <row r="665" spans="9:77" ht="17.75" customHeight="1" x14ac:dyDescent="0.2">
      <c r="I665" s="366">
        <v>581</v>
      </c>
      <c r="J665" s="414">
        <f t="shared" si="608"/>
        <v>41706.115972223539</v>
      </c>
      <c r="K665" s="435" t="e">
        <f t="shared" ca="1" si="609"/>
        <v>#NAME?</v>
      </c>
      <c r="L665" s="435" t="e">
        <f t="shared" ca="1" si="590"/>
        <v>#NAME?</v>
      </c>
      <c r="M665" s="664" t="e">
        <f t="shared" ca="1" si="588"/>
        <v>#NAME?</v>
      </c>
      <c r="N665" s="664" t="e">
        <f t="shared" ca="1" si="589"/>
        <v>#NAME?</v>
      </c>
      <c r="O665" s="140" t="e">
        <f t="shared" ca="1" si="597"/>
        <v>#NAME?</v>
      </c>
      <c r="P665" s="352" t="e">
        <f t="shared" ca="1" si="610"/>
        <v>#NAME?</v>
      </c>
      <c r="Q665" s="665" t="e">
        <f t="shared" ca="1" si="591"/>
        <v>#NAME?</v>
      </c>
      <c r="R665" s="352" t="e">
        <f t="shared" ca="1" si="561"/>
        <v>#NAME?</v>
      </c>
      <c r="S665" s="662" t="e">
        <f t="shared" ca="1" si="598"/>
        <v>#NAME?</v>
      </c>
      <c r="T665" s="443" t="e">
        <f t="shared" ca="1" si="592"/>
        <v>#NAME?</v>
      </c>
      <c r="U665" s="369" t="e">
        <f t="shared" ca="1" si="593"/>
        <v>#NAME?</v>
      </c>
      <c r="V665" s="454" t="e">
        <f t="shared" ca="1" si="599"/>
        <v>#NAME?</v>
      </c>
      <c r="W665" s="457">
        <f t="shared" si="600"/>
        <v>1000</v>
      </c>
      <c r="X665" s="463" t="e">
        <f t="shared" ca="1" si="601"/>
        <v>#NAME?</v>
      </c>
      <c r="Y665" s="455" t="e">
        <f t="shared" ca="1" si="611"/>
        <v>#NAME?</v>
      </c>
      <c r="Z665" s="699">
        <f t="shared" si="594"/>
        <v>8.5</v>
      </c>
      <c r="AA665" s="355" t="str">
        <f t="shared" si="595"/>
        <v>ON</v>
      </c>
      <c r="AB665" s="357">
        <f t="shared" si="562"/>
        <v>1.4999999999999999E-2</v>
      </c>
      <c r="AC665" s="356" t="e">
        <f ca="1">IF(  Y664=0,0,IF(OR(S665="KCAS",S665="INOP",S665="MEFE"),   ( (5*( (   (((1+0.2*(T665/661.4786)^2)^3.5 -1)  )/( (1-6.8755856*10^-6 *100*Y665)^5.2558797) +1)^(2/7) -1) )^0.5),IF(S665="MACH",T665, IF(S665="LRC",BicubicInterpolation( 'LRC Mach'!$C$4:$AL$21, Y665,U665),  IF(S665="MRC",BicubicInterpolation( 'MRC Mach'!$C$3:$T$18, Y665,U665),  IF(S665="M0.84",0.84,  IF(S665="CI52",BicubicInterpolation('CI=52 Mach'!$C$3:$T$18, Y665,U665),  IF(S665="HOLDING",BicubicInterpolation(  'Holding Mach'!$C$4:$M$13, Y665,U665),                         IF(S665="LRCINOP", BicubicInterpolation('LRC INOP Mach'!$C$4:$AA$21,Y665,U665), IF(S665="HOLDINGINOP",  BicubicInterpolation('Holding INOP Mach'!$N$4:$U$13,Y665,U665),         "XXX" )))))))   )))</f>
        <v>#NAME?</v>
      </c>
      <c r="AD665" s="313" t="e">
        <f t="shared" ca="1" si="563"/>
        <v>#NAME?</v>
      </c>
      <c r="AE665" s="314" t="e">
        <f t="shared" ca="1" si="612"/>
        <v>#NAME?</v>
      </c>
      <c r="AF665" s="313" t="e">
        <f t="shared" ca="1" si="564"/>
        <v>#NAME?</v>
      </c>
      <c r="AG665" s="314" t="e">
        <f t="shared" ca="1" si="613"/>
        <v>#NAME?</v>
      </c>
      <c r="AH665" s="313" t="e">
        <f t="shared" ca="1" si="565"/>
        <v>#NAME?</v>
      </c>
      <c r="AI665" s="314" t="e">
        <f t="shared" ca="1" si="614"/>
        <v>#NAME?</v>
      </c>
      <c r="AJ665" s="315" t="e">
        <f t="shared" ca="1" si="615"/>
        <v>#NAME?</v>
      </c>
      <c r="AK665" s="568" t="e">
        <f t="shared" ca="1" si="566"/>
        <v>#NAME?</v>
      </c>
      <c r="AL665" s="313" t="e">
        <f t="shared" ca="1" si="567"/>
        <v>#NAME?</v>
      </c>
      <c r="AM665" s="313" t="e">
        <f t="shared" ca="1" si="616"/>
        <v>#NAME?</v>
      </c>
      <c r="AN665" s="313" t="e">
        <f t="shared" ca="1" si="617"/>
        <v>#NAME?</v>
      </c>
      <c r="AO665" s="316" t="e">
        <f t="shared" ca="1" si="568"/>
        <v>#NAME?</v>
      </c>
      <c r="AP665" s="313" t="e">
        <f t="shared" ca="1" si="569"/>
        <v>#NAME?</v>
      </c>
      <c r="AQ665" s="314" t="e">
        <f t="shared" ca="1" si="618"/>
        <v>#NAME?</v>
      </c>
      <c r="AR665" s="315" t="e">
        <f t="shared" ca="1" si="570"/>
        <v>#NAME?</v>
      </c>
      <c r="AS665" s="316" t="e">
        <f t="shared" ca="1" si="571"/>
        <v>#NAME?</v>
      </c>
      <c r="AT665" s="315" t="e">
        <f t="shared" ca="1" si="572"/>
        <v>#NAME?</v>
      </c>
      <c r="AU665" s="317">
        <v>427.8</v>
      </c>
      <c r="AV665" s="315" t="e">
        <f t="shared" ca="1" si="573"/>
        <v>#NAME?</v>
      </c>
      <c r="AW665" s="318" t="e">
        <f ca="1">0.0001*BicubicInterpolation('Drag Coef Table'!$B$4:$L$28,AV665,AC665)</f>
        <v>#NAME?</v>
      </c>
      <c r="AX665" s="319" t="e">
        <f t="shared" ca="1" si="574"/>
        <v>#NAME?</v>
      </c>
      <c r="AY665" s="318" t="e">
        <f t="shared" ca="1" si="575"/>
        <v>#NAME?</v>
      </c>
      <c r="AZ665" s="320" t="e">
        <f t="shared" ca="1" si="576"/>
        <v>#NAME?</v>
      </c>
      <c r="BA665" s="321" t="e">
        <f t="shared" ca="1" si="577"/>
        <v>#NAME?</v>
      </c>
      <c r="BB665" s="322" t="e">
        <f t="shared" ca="1" si="578"/>
        <v>#NAME?</v>
      </c>
      <c r="BC665" s="323">
        <v>75.196700000000007</v>
      </c>
      <c r="BD665" s="324" t="e">
        <f t="shared" ca="1" si="579"/>
        <v>#NAME?</v>
      </c>
      <c r="BE665" s="325" t="e">
        <f t="shared" ca="1" si="580"/>
        <v>#NAME?</v>
      </c>
      <c r="BF665" s="324" t="e">
        <f ca="1">BicubicInterpolation('TSFC Eff Table'!$B$4:$E$69,2,BB665)</f>
        <v>#NAME?</v>
      </c>
      <c r="BG665" s="326" t="e">
        <f t="shared" ca="1" si="581"/>
        <v>#NAME?</v>
      </c>
      <c r="BH665" s="694" t="e">
        <f ca="1">IF( S665="LRCINOP",   (1+(0.03/10)*Z665*(1+0.2*AC665^2) )*BicubicInterpolation( 'LRC INOP FF'!$C$4:$AA$21, Y665, U665 )-200, IF(S665 ="HOLDINGINOP", (1+(0.03/10)*Z665*(1+0.2*AC665^2) )*BicubicInterpolation( 'Holding INOP FF'!$C$4:$J$13,  Y665,  U665)/1.05-200,   BA665*BG665))</f>
        <v>#NAME?</v>
      </c>
      <c r="BI665" s="344" t="e">
        <f t="shared" ca="1" si="602"/>
        <v>#NAME?</v>
      </c>
      <c r="BJ665" s="322" t="e">
        <f t="shared" ca="1" si="582"/>
        <v>#NAME?</v>
      </c>
      <c r="BK665" s="338" t="e">
        <f t="shared" ca="1" si="603"/>
        <v>#NAME?</v>
      </c>
      <c r="BL665" s="327" t="e">
        <f t="shared" ca="1" si="583"/>
        <v>#NAME?</v>
      </c>
      <c r="BM665" s="328">
        <f t="shared" si="584"/>
        <v>200</v>
      </c>
      <c r="BN665" s="329" t="e">
        <f t="shared" ca="1" si="585"/>
        <v>#NAME?</v>
      </c>
      <c r="BO665" s="344" t="e">
        <f t="shared" ca="1" si="604"/>
        <v>#NAME?</v>
      </c>
      <c r="BP665" s="320" t="e">
        <f t="shared" ca="1" si="586"/>
        <v>#NAME?</v>
      </c>
      <c r="BQ665" s="344" t="e">
        <f t="shared" ca="1" si="605"/>
        <v>#NAME?</v>
      </c>
      <c r="BR665" s="347" t="e">
        <f t="shared" ca="1" si="606"/>
        <v>#NAME?</v>
      </c>
      <c r="BS665" s="326" t="e">
        <f t="shared" ca="1" si="587"/>
        <v>#NAME?</v>
      </c>
      <c r="BT665" s="437" t="e">
        <f t="shared" ca="1" si="619"/>
        <v>#NAME?</v>
      </c>
      <c r="BU665" s="437" t="e">
        <f t="shared" ca="1" si="620"/>
        <v>#NAME?</v>
      </c>
      <c r="BV665" s="441" t="e">
        <f t="shared" ca="1" si="621"/>
        <v>#NAME?</v>
      </c>
      <c r="BW665" s="442" t="e">
        <f t="shared" ca="1" si="622"/>
        <v>#NAME?</v>
      </c>
      <c r="BX665" s="470" t="e">
        <f t="shared" ca="1" si="596"/>
        <v>#NAME?</v>
      </c>
      <c r="BY665" s="484" t="e">
        <f t="shared" ca="1" si="607"/>
        <v>#NAME?</v>
      </c>
    </row>
    <row r="666" spans="9:77" ht="17.75" customHeight="1" x14ac:dyDescent="0.2">
      <c r="I666" s="366">
        <v>582</v>
      </c>
      <c r="J666" s="414">
        <f t="shared" si="608"/>
        <v>41706.116666667986</v>
      </c>
      <c r="K666" s="435" t="e">
        <f t="shared" ca="1" si="609"/>
        <v>#NAME?</v>
      </c>
      <c r="L666" s="435" t="e">
        <f t="shared" ca="1" si="590"/>
        <v>#NAME?</v>
      </c>
      <c r="M666" s="664" t="e">
        <f t="shared" ca="1" si="588"/>
        <v>#NAME?</v>
      </c>
      <c r="N666" s="664" t="e">
        <f t="shared" ca="1" si="589"/>
        <v>#NAME?</v>
      </c>
      <c r="O666" s="140" t="e">
        <f t="shared" ca="1" si="597"/>
        <v>#NAME?</v>
      </c>
      <c r="P666" s="352" t="e">
        <f t="shared" ca="1" si="610"/>
        <v>#NAME?</v>
      </c>
      <c r="Q666" s="665" t="e">
        <f t="shared" ca="1" si="591"/>
        <v>#NAME?</v>
      </c>
      <c r="R666" s="352" t="e">
        <f t="shared" ca="1" si="561"/>
        <v>#NAME?</v>
      </c>
      <c r="S666" s="662" t="e">
        <f t="shared" ca="1" si="598"/>
        <v>#NAME?</v>
      </c>
      <c r="T666" s="443" t="e">
        <f t="shared" ca="1" si="592"/>
        <v>#NAME?</v>
      </c>
      <c r="U666" s="369" t="e">
        <f t="shared" ca="1" si="593"/>
        <v>#NAME?</v>
      </c>
      <c r="V666" s="454" t="e">
        <f t="shared" ca="1" si="599"/>
        <v>#NAME?</v>
      </c>
      <c r="W666" s="457">
        <f t="shared" si="600"/>
        <v>1000</v>
      </c>
      <c r="X666" s="463" t="e">
        <f t="shared" ca="1" si="601"/>
        <v>#NAME?</v>
      </c>
      <c r="Y666" s="455" t="e">
        <f t="shared" ca="1" si="611"/>
        <v>#NAME?</v>
      </c>
      <c r="Z666" s="699">
        <f t="shared" si="594"/>
        <v>8.5</v>
      </c>
      <c r="AA666" s="355" t="str">
        <f t="shared" si="595"/>
        <v>ON</v>
      </c>
      <c r="AB666" s="357">
        <f t="shared" si="562"/>
        <v>1.4999999999999999E-2</v>
      </c>
      <c r="AC666" s="356" t="e">
        <f ca="1">IF(  Y665=0,0,IF(OR(S666="KCAS",S666="INOP",S666="MEFE"),   ( (5*( (   (((1+0.2*(T666/661.4786)^2)^3.5 -1)  )/( (1-6.8755856*10^-6 *100*Y666)^5.2558797) +1)^(2/7) -1) )^0.5),IF(S666="MACH",T666, IF(S666="LRC",BicubicInterpolation( 'LRC Mach'!$C$4:$AL$21, Y666,U666),  IF(S666="MRC",BicubicInterpolation( 'MRC Mach'!$C$3:$T$18, Y666,U666),  IF(S666="M0.84",0.84,  IF(S666="CI52",BicubicInterpolation('CI=52 Mach'!$C$3:$T$18, Y666,U666),  IF(S666="HOLDING",BicubicInterpolation(  'Holding Mach'!$C$4:$M$13, Y666,U666),                         IF(S666="LRCINOP", BicubicInterpolation('LRC INOP Mach'!$C$4:$AA$21,Y666,U666), IF(S666="HOLDINGINOP",  BicubicInterpolation('Holding INOP Mach'!$N$4:$U$13,Y666,U666),         "XXX" )))))))   )))</f>
        <v>#NAME?</v>
      </c>
      <c r="AD666" s="313" t="e">
        <f t="shared" ca="1" si="563"/>
        <v>#NAME?</v>
      </c>
      <c r="AE666" s="314" t="e">
        <f t="shared" ca="1" si="612"/>
        <v>#NAME?</v>
      </c>
      <c r="AF666" s="313" t="e">
        <f t="shared" ca="1" si="564"/>
        <v>#NAME?</v>
      </c>
      <c r="AG666" s="314" t="e">
        <f t="shared" ca="1" si="613"/>
        <v>#NAME?</v>
      </c>
      <c r="AH666" s="313" t="e">
        <f t="shared" ca="1" si="565"/>
        <v>#NAME?</v>
      </c>
      <c r="AI666" s="314" t="e">
        <f t="shared" ca="1" si="614"/>
        <v>#NAME?</v>
      </c>
      <c r="AJ666" s="315" t="e">
        <f t="shared" ca="1" si="615"/>
        <v>#NAME?</v>
      </c>
      <c r="AK666" s="568" t="e">
        <f t="shared" ca="1" si="566"/>
        <v>#NAME?</v>
      </c>
      <c r="AL666" s="313" t="e">
        <f t="shared" ca="1" si="567"/>
        <v>#NAME?</v>
      </c>
      <c r="AM666" s="313" t="e">
        <f t="shared" ca="1" si="616"/>
        <v>#NAME?</v>
      </c>
      <c r="AN666" s="313" t="e">
        <f t="shared" ca="1" si="617"/>
        <v>#NAME?</v>
      </c>
      <c r="AO666" s="316" t="e">
        <f t="shared" ca="1" si="568"/>
        <v>#NAME?</v>
      </c>
      <c r="AP666" s="313" t="e">
        <f t="shared" ca="1" si="569"/>
        <v>#NAME?</v>
      </c>
      <c r="AQ666" s="314" t="e">
        <f t="shared" ca="1" si="618"/>
        <v>#NAME?</v>
      </c>
      <c r="AR666" s="315" t="e">
        <f t="shared" ca="1" si="570"/>
        <v>#NAME?</v>
      </c>
      <c r="AS666" s="316" t="e">
        <f t="shared" ca="1" si="571"/>
        <v>#NAME?</v>
      </c>
      <c r="AT666" s="315" t="e">
        <f t="shared" ca="1" si="572"/>
        <v>#NAME?</v>
      </c>
      <c r="AU666" s="317">
        <v>427.8</v>
      </c>
      <c r="AV666" s="315" t="e">
        <f t="shared" ca="1" si="573"/>
        <v>#NAME?</v>
      </c>
      <c r="AW666" s="318" t="e">
        <f ca="1">0.0001*BicubicInterpolation('Drag Coef Table'!$B$4:$L$28,AV666,AC666)</f>
        <v>#NAME?</v>
      </c>
      <c r="AX666" s="319" t="e">
        <f t="shared" ca="1" si="574"/>
        <v>#NAME?</v>
      </c>
      <c r="AY666" s="318" t="e">
        <f t="shared" ca="1" si="575"/>
        <v>#NAME?</v>
      </c>
      <c r="AZ666" s="320" t="e">
        <f t="shared" ca="1" si="576"/>
        <v>#NAME?</v>
      </c>
      <c r="BA666" s="321" t="e">
        <f t="shared" ca="1" si="577"/>
        <v>#NAME?</v>
      </c>
      <c r="BB666" s="322" t="e">
        <f t="shared" ca="1" si="578"/>
        <v>#NAME?</v>
      </c>
      <c r="BC666" s="323">
        <v>75.196700000000007</v>
      </c>
      <c r="BD666" s="324" t="e">
        <f t="shared" ca="1" si="579"/>
        <v>#NAME?</v>
      </c>
      <c r="BE666" s="325" t="e">
        <f t="shared" ca="1" si="580"/>
        <v>#NAME?</v>
      </c>
      <c r="BF666" s="324" t="e">
        <f ca="1">BicubicInterpolation('TSFC Eff Table'!$B$4:$E$69,2,BB666)</f>
        <v>#NAME?</v>
      </c>
      <c r="BG666" s="326" t="e">
        <f t="shared" ca="1" si="581"/>
        <v>#NAME?</v>
      </c>
      <c r="BH666" s="694" t="e">
        <f ca="1">IF( S666="LRCINOP",   (1+(0.03/10)*Z666*(1+0.2*AC666^2) )*BicubicInterpolation( 'LRC INOP FF'!$C$4:$AA$21, Y666, U666 )-200, IF(S666 ="HOLDINGINOP", (1+(0.03/10)*Z666*(1+0.2*AC666^2) )*BicubicInterpolation( 'Holding INOP FF'!$C$4:$J$13,  Y666,  U666)/1.05-200,   BA666*BG666))</f>
        <v>#NAME?</v>
      </c>
      <c r="BI666" s="344" t="e">
        <f t="shared" ca="1" si="602"/>
        <v>#NAME?</v>
      </c>
      <c r="BJ666" s="322" t="e">
        <f t="shared" ca="1" si="582"/>
        <v>#NAME?</v>
      </c>
      <c r="BK666" s="338" t="e">
        <f t="shared" ca="1" si="603"/>
        <v>#NAME?</v>
      </c>
      <c r="BL666" s="327" t="e">
        <f t="shared" ca="1" si="583"/>
        <v>#NAME?</v>
      </c>
      <c r="BM666" s="328">
        <f t="shared" si="584"/>
        <v>200</v>
      </c>
      <c r="BN666" s="329" t="e">
        <f t="shared" ca="1" si="585"/>
        <v>#NAME?</v>
      </c>
      <c r="BO666" s="344" t="e">
        <f t="shared" ca="1" si="604"/>
        <v>#NAME?</v>
      </c>
      <c r="BP666" s="320" t="e">
        <f t="shared" ca="1" si="586"/>
        <v>#NAME?</v>
      </c>
      <c r="BQ666" s="344" t="e">
        <f t="shared" ca="1" si="605"/>
        <v>#NAME?</v>
      </c>
      <c r="BR666" s="347" t="e">
        <f t="shared" ca="1" si="606"/>
        <v>#NAME?</v>
      </c>
      <c r="BS666" s="326" t="e">
        <f t="shared" ca="1" si="587"/>
        <v>#NAME?</v>
      </c>
      <c r="BT666" s="437" t="e">
        <f t="shared" ca="1" si="619"/>
        <v>#NAME?</v>
      </c>
      <c r="BU666" s="437" t="e">
        <f t="shared" ca="1" si="620"/>
        <v>#NAME?</v>
      </c>
      <c r="BV666" s="441" t="e">
        <f t="shared" ca="1" si="621"/>
        <v>#NAME?</v>
      </c>
      <c r="BW666" s="442" t="e">
        <f t="shared" ca="1" si="622"/>
        <v>#NAME?</v>
      </c>
      <c r="BX666" s="470" t="e">
        <f t="shared" ca="1" si="596"/>
        <v>#NAME?</v>
      </c>
      <c r="BY666" s="484" t="e">
        <f t="shared" ca="1" si="607"/>
        <v>#NAME?</v>
      </c>
    </row>
    <row r="667" spans="9:77" ht="17.75" customHeight="1" x14ac:dyDescent="0.2">
      <c r="I667" s="366">
        <v>583</v>
      </c>
      <c r="J667" s="414">
        <f t="shared" si="608"/>
        <v>41706.117361112432</v>
      </c>
      <c r="K667" s="435" t="e">
        <f t="shared" ca="1" si="609"/>
        <v>#NAME?</v>
      </c>
      <c r="L667" s="435" t="e">
        <f t="shared" ca="1" si="590"/>
        <v>#NAME?</v>
      </c>
      <c r="M667" s="664" t="e">
        <f t="shared" ca="1" si="588"/>
        <v>#NAME?</v>
      </c>
      <c r="N667" s="664" t="e">
        <f t="shared" ca="1" si="589"/>
        <v>#NAME?</v>
      </c>
      <c r="O667" s="140" t="e">
        <f t="shared" ca="1" si="597"/>
        <v>#NAME?</v>
      </c>
      <c r="P667" s="352" t="e">
        <f t="shared" ca="1" si="610"/>
        <v>#NAME?</v>
      </c>
      <c r="Q667" s="665" t="e">
        <f t="shared" ca="1" si="591"/>
        <v>#NAME?</v>
      </c>
      <c r="R667" s="352" t="e">
        <f t="shared" ca="1" si="561"/>
        <v>#NAME?</v>
      </c>
      <c r="S667" s="662" t="e">
        <f t="shared" ca="1" si="598"/>
        <v>#NAME?</v>
      </c>
      <c r="T667" s="443" t="e">
        <f t="shared" ca="1" si="592"/>
        <v>#NAME?</v>
      </c>
      <c r="U667" s="369" t="e">
        <f t="shared" ca="1" si="593"/>
        <v>#NAME?</v>
      </c>
      <c r="V667" s="454" t="e">
        <f t="shared" ca="1" si="599"/>
        <v>#NAME?</v>
      </c>
      <c r="W667" s="457">
        <f t="shared" si="600"/>
        <v>1000</v>
      </c>
      <c r="X667" s="463" t="e">
        <f t="shared" ca="1" si="601"/>
        <v>#NAME?</v>
      </c>
      <c r="Y667" s="455" t="e">
        <f t="shared" ca="1" si="611"/>
        <v>#NAME?</v>
      </c>
      <c r="Z667" s="699">
        <f t="shared" si="594"/>
        <v>8.5</v>
      </c>
      <c r="AA667" s="355" t="str">
        <f t="shared" si="595"/>
        <v>ON</v>
      </c>
      <c r="AB667" s="357">
        <f t="shared" si="562"/>
        <v>1.4999999999999999E-2</v>
      </c>
      <c r="AC667" s="356" t="e">
        <f ca="1">IF(  Y666=0,0,IF(OR(S667="KCAS",S667="INOP",S667="MEFE"),   ( (5*( (   (((1+0.2*(T667/661.4786)^2)^3.5 -1)  )/( (1-6.8755856*10^-6 *100*Y667)^5.2558797) +1)^(2/7) -1) )^0.5),IF(S667="MACH",T667, IF(S667="LRC",BicubicInterpolation( 'LRC Mach'!$C$4:$AL$21, Y667,U667),  IF(S667="MRC",BicubicInterpolation( 'MRC Mach'!$C$3:$T$18, Y667,U667),  IF(S667="M0.84",0.84,  IF(S667="CI52",BicubicInterpolation('CI=52 Mach'!$C$3:$T$18, Y667,U667),  IF(S667="HOLDING",BicubicInterpolation(  'Holding Mach'!$C$4:$M$13, Y667,U667),                         IF(S667="LRCINOP", BicubicInterpolation('LRC INOP Mach'!$C$4:$AA$21,Y667,U667), IF(S667="HOLDINGINOP",  BicubicInterpolation('Holding INOP Mach'!$N$4:$U$13,Y667,U667),         "XXX" )))))))   )))</f>
        <v>#NAME?</v>
      </c>
      <c r="AD667" s="313" t="e">
        <f t="shared" ca="1" si="563"/>
        <v>#NAME?</v>
      </c>
      <c r="AE667" s="314" t="e">
        <f t="shared" ca="1" si="612"/>
        <v>#NAME?</v>
      </c>
      <c r="AF667" s="313" t="e">
        <f t="shared" ca="1" si="564"/>
        <v>#NAME?</v>
      </c>
      <c r="AG667" s="314" t="e">
        <f t="shared" ca="1" si="613"/>
        <v>#NAME?</v>
      </c>
      <c r="AH667" s="313" t="e">
        <f t="shared" ca="1" si="565"/>
        <v>#NAME?</v>
      </c>
      <c r="AI667" s="314" t="e">
        <f t="shared" ca="1" si="614"/>
        <v>#NAME?</v>
      </c>
      <c r="AJ667" s="315" t="e">
        <f t="shared" ca="1" si="615"/>
        <v>#NAME?</v>
      </c>
      <c r="AK667" s="568" t="e">
        <f t="shared" ca="1" si="566"/>
        <v>#NAME?</v>
      </c>
      <c r="AL667" s="313" t="e">
        <f t="shared" ca="1" si="567"/>
        <v>#NAME?</v>
      </c>
      <c r="AM667" s="313" t="e">
        <f t="shared" ca="1" si="616"/>
        <v>#NAME?</v>
      </c>
      <c r="AN667" s="313" t="e">
        <f t="shared" ca="1" si="617"/>
        <v>#NAME?</v>
      </c>
      <c r="AO667" s="316" t="e">
        <f t="shared" ca="1" si="568"/>
        <v>#NAME?</v>
      </c>
      <c r="AP667" s="313" t="e">
        <f t="shared" ca="1" si="569"/>
        <v>#NAME?</v>
      </c>
      <c r="AQ667" s="314" t="e">
        <f t="shared" ca="1" si="618"/>
        <v>#NAME?</v>
      </c>
      <c r="AR667" s="315" t="e">
        <f t="shared" ca="1" si="570"/>
        <v>#NAME?</v>
      </c>
      <c r="AS667" s="316" t="e">
        <f t="shared" ca="1" si="571"/>
        <v>#NAME?</v>
      </c>
      <c r="AT667" s="315" t="e">
        <f t="shared" ca="1" si="572"/>
        <v>#NAME?</v>
      </c>
      <c r="AU667" s="317">
        <v>427.8</v>
      </c>
      <c r="AV667" s="315" t="e">
        <f t="shared" ca="1" si="573"/>
        <v>#NAME?</v>
      </c>
      <c r="AW667" s="318" t="e">
        <f ca="1">0.0001*BicubicInterpolation('Drag Coef Table'!$B$4:$L$28,AV667,AC667)</f>
        <v>#NAME?</v>
      </c>
      <c r="AX667" s="319" t="e">
        <f t="shared" ca="1" si="574"/>
        <v>#NAME?</v>
      </c>
      <c r="AY667" s="318" t="e">
        <f t="shared" ca="1" si="575"/>
        <v>#NAME?</v>
      </c>
      <c r="AZ667" s="320" t="e">
        <f t="shared" ca="1" si="576"/>
        <v>#NAME?</v>
      </c>
      <c r="BA667" s="321" t="e">
        <f t="shared" ca="1" si="577"/>
        <v>#NAME?</v>
      </c>
      <c r="BB667" s="322" t="e">
        <f t="shared" ca="1" si="578"/>
        <v>#NAME?</v>
      </c>
      <c r="BC667" s="323">
        <v>75.196700000000007</v>
      </c>
      <c r="BD667" s="324" t="e">
        <f t="shared" ca="1" si="579"/>
        <v>#NAME?</v>
      </c>
      <c r="BE667" s="325" t="e">
        <f t="shared" ca="1" si="580"/>
        <v>#NAME?</v>
      </c>
      <c r="BF667" s="324" t="e">
        <f ca="1">BicubicInterpolation('TSFC Eff Table'!$B$4:$E$69,2,BB667)</f>
        <v>#NAME?</v>
      </c>
      <c r="BG667" s="326" t="e">
        <f t="shared" ca="1" si="581"/>
        <v>#NAME?</v>
      </c>
      <c r="BH667" s="694" t="e">
        <f ca="1">IF( S667="LRCINOP",   (1+(0.03/10)*Z667*(1+0.2*AC667^2) )*BicubicInterpolation( 'LRC INOP FF'!$C$4:$AA$21, Y667, U667 )-200, IF(S667 ="HOLDINGINOP", (1+(0.03/10)*Z667*(1+0.2*AC667^2) )*BicubicInterpolation( 'Holding INOP FF'!$C$4:$J$13,  Y667,  U667)/1.05-200,   BA667*BG667))</f>
        <v>#NAME?</v>
      </c>
      <c r="BI667" s="344" t="e">
        <f t="shared" ca="1" si="602"/>
        <v>#NAME?</v>
      </c>
      <c r="BJ667" s="322" t="e">
        <f t="shared" ca="1" si="582"/>
        <v>#NAME?</v>
      </c>
      <c r="BK667" s="338" t="e">
        <f t="shared" ca="1" si="603"/>
        <v>#NAME?</v>
      </c>
      <c r="BL667" s="327" t="e">
        <f t="shared" ca="1" si="583"/>
        <v>#NAME?</v>
      </c>
      <c r="BM667" s="328">
        <f t="shared" si="584"/>
        <v>200</v>
      </c>
      <c r="BN667" s="329" t="e">
        <f t="shared" ca="1" si="585"/>
        <v>#NAME?</v>
      </c>
      <c r="BO667" s="344" t="e">
        <f t="shared" ca="1" si="604"/>
        <v>#NAME?</v>
      </c>
      <c r="BP667" s="320" t="e">
        <f t="shared" ca="1" si="586"/>
        <v>#NAME?</v>
      </c>
      <c r="BQ667" s="344" t="e">
        <f t="shared" ca="1" si="605"/>
        <v>#NAME?</v>
      </c>
      <c r="BR667" s="347" t="e">
        <f t="shared" ca="1" si="606"/>
        <v>#NAME?</v>
      </c>
      <c r="BS667" s="326" t="e">
        <f t="shared" ca="1" si="587"/>
        <v>#NAME?</v>
      </c>
      <c r="BT667" s="437" t="e">
        <f t="shared" ca="1" si="619"/>
        <v>#NAME?</v>
      </c>
      <c r="BU667" s="437" t="e">
        <f t="shared" ca="1" si="620"/>
        <v>#NAME?</v>
      </c>
      <c r="BV667" s="441" t="e">
        <f t="shared" ca="1" si="621"/>
        <v>#NAME?</v>
      </c>
      <c r="BW667" s="442" t="e">
        <f t="shared" ca="1" si="622"/>
        <v>#NAME?</v>
      </c>
      <c r="BX667" s="470" t="e">
        <f t="shared" ca="1" si="596"/>
        <v>#NAME?</v>
      </c>
      <c r="BY667" s="484" t="e">
        <f t="shared" ca="1" si="607"/>
        <v>#NAME?</v>
      </c>
    </row>
    <row r="668" spans="9:77" ht="17.75" customHeight="1" x14ac:dyDescent="0.2">
      <c r="I668" s="366">
        <v>584</v>
      </c>
      <c r="J668" s="414">
        <f t="shared" si="608"/>
        <v>41706.118055556879</v>
      </c>
      <c r="K668" s="435" t="e">
        <f t="shared" ca="1" si="609"/>
        <v>#NAME?</v>
      </c>
      <c r="L668" s="435" t="e">
        <f t="shared" ca="1" si="590"/>
        <v>#NAME?</v>
      </c>
      <c r="M668" s="664" t="e">
        <f t="shared" ca="1" si="588"/>
        <v>#NAME?</v>
      </c>
      <c r="N668" s="664" t="e">
        <f t="shared" ca="1" si="589"/>
        <v>#NAME?</v>
      </c>
      <c r="O668" s="140" t="e">
        <f t="shared" ca="1" si="597"/>
        <v>#NAME?</v>
      </c>
      <c r="P668" s="352" t="e">
        <f t="shared" ca="1" si="610"/>
        <v>#NAME?</v>
      </c>
      <c r="Q668" s="665" t="e">
        <f t="shared" ca="1" si="591"/>
        <v>#NAME?</v>
      </c>
      <c r="R668" s="352" t="e">
        <f t="shared" ca="1" si="561"/>
        <v>#NAME?</v>
      </c>
      <c r="S668" s="662" t="e">
        <f t="shared" ca="1" si="598"/>
        <v>#NAME?</v>
      </c>
      <c r="T668" s="443" t="e">
        <f t="shared" ca="1" si="592"/>
        <v>#NAME?</v>
      </c>
      <c r="U668" s="369" t="e">
        <f t="shared" ca="1" si="593"/>
        <v>#NAME?</v>
      </c>
      <c r="V668" s="454" t="e">
        <f t="shared" ca="1" si="599"/>
        <v>#NAME?</v>
      </c>
      <c r="W668" s="457">
        <f t="shared" si="600"/>
        <v>1000</v>
      </c>
      <c r="X668" s="463" t="e">
        <f t="shared" ca="1" si="601"/>
        <v>#NAME?</v>
      </c>
      <c r="Y668" s="455" t="e">
        <f t="shared" ca="1" si="611"/>
        <v>#NAME?</v>
      </c>
      <c r="Z668" s="699">
        <f t="shared" si="594"/>
        <v>8.5</v>
      </c>
      <c r="AA668" s="355" t="str">
        <f t="shared" si="595"/>
        <v>ON</v>
      </c>
      <c r="AB668" s="357">
        <f t="shared" si="562"/>
        <v>1.4999999999999999E-2</v>
      </c>
      <c r="AC668" s="356" t="e">
        <f ca="1">IF(  Y667=0,0,IF(OR(S668="KCAS",S668="INOP",S668="MEFE"),   ( (5*( (   (((1+0.2*(T668/661.4786)^2)^3.5 -1)  )/( (1-6.8755856*10^-6 *100*Y668)^5.2558797) +1)^(2/7) -1) )^0.5),IF(S668="MACH",T668, IF(S668="LRC",BicubicInterpolation( 'LRC Mach'!$C$4:$AL$21, Y668,U668),  IF(S668="MRC",BicubicInterpolation( 'MRC Mach'!$C$3:$T$18, Y668,U668),  IF(S668="M0.84",0.84,  IF(S668="CI52",BicubicInterpolation('CI=52 Mach'!$C$3:$T$18, Y668,U668),  IF(S668="HOLDING",BicubicInterpolation(  'Holding Mach'!$C$4:$M$13, Y668,U668),                         IF(S668="LRCINOP", BicubicInterpolation('LRC INOP Mach'!$C$4:$AA$21,Y668,U668), IF(S668="HOLDINGINOP",  BicubicInterpolation('Holding INOP Mach'!$N$4:$U$13,Y668,U668),         "XXX" )))))))   )))</f>
        <v>#NAME?</v>
      </c>
      <c r="AD668" s="313" t="e">
        <f t="shared" ca="1" si="563"/>
        <v>#NAME?</v>
      </c>
      <c r="AE668" s="314" t="e">
        <f t="shared" ca="1" si="612"/>
        <v>#NAME?</v>
      </c>
      <c r="AF668" s="313" t="e">
        <f t="shared" ca="1" si="564"/>
        <v>#NAME?</v>
      </c>
      <c r="AG668" s="314" t="e">
        <f t="shared" ca="1" si="613"/>
        <v>#NAME?</v>
      </c>
      <c r="AH668" s="313" t="e">
        <f t="shared" ca="1" si="565"/>
        <v>#NAME?</v>
      </c>
      <c r="AI668" s="314" t="e">
        <f t="shared" ca="1" si="614"/>
        <v>#NAME?</v>
      </c>
      <c r="AJ668" s="315" t="e">
        <f t="shared" ca="1" si="615"/>
        <v>#NAME?</v>
      </c>
      <c r="AK668" s="568" t="e">
        <f t="shared" ca="1" si="566"/>
        <v>#NAME?</v>
      </c>
      <c r="AL668" s="313" t="e">
        <f t="shared" ca="1" si="567"/>
        <v>#NAME?</v>
      </c>
      <c r="AM668" s="313" t="e">
        <f t="shared" ca="1" si="616"/>
        <v>#NAME?</v>
      </c>
      <c r="AN668" s="313" t="e">
        <f t="shared" ca="1" si="617"/>
        <v>#NAME?</v>
      </c>
      <c r="AO668" s="316" t="e">
        <f t="shared" ca="1" si="568"/>
        <v>#NAME?</v>
      </c>
      <c r="AP668" s="313" t="e">
        <f t="shared" ca="1" si="569"/>
        <v>#NAME?</v>
      </c>
      <c r="AQ668" s="314" t="e">
        <f t="shared" ca="1" si="618"/>
        <v>#NAME?</v>
      </c>
      <c r="AR668" s="315" t="e">
        <f t="shared" ca="1" si="570"/>
        <v>#NAME?</v>
      </c>
      <c r="AS668" s="316" t="e">
        <f t="shared" ca="1" si="571"/>
        <v>#NAME?</v>
      </c>
      <c r="AT668" s="315" t="e">
        <f t="shared" ca="1" si="572"/>
        <v>#NAME?</v>
      </c>
      <c r="AU668" s="317">
        <v>427.8</v>
      </c>
      <c r="AV668" s="315" t="e">
        <f t="shared" ca="1" si="573"/>
        <v>#NAME?</v>
      </c>
      <c r="AW668" s="318" t="e">
        <f ca="1">0.0001*BicubicInterpolation('Drag Coef Table'!$B$4:$L$28,AV668,AC668)</f>
        <v>#NAME?</v>
      </c>
      <c r="AX668" s="319" t="e">
        <f t="shared" ca="1" si="574"/>
        <v>#NAME?</v>
      </c>
      <c r="AY668" s="318" t="e">
        <f t="shared" ca="1" si="575"/>
        <v>#NAME?</v>
      </c>
      <c r="AZ668" s="320" t="e">
        <f t="shared" ca="1" si="576"/>
        <v>#NAME?</v>
      </c>
      <c r="BA668" s="321" t="e">
        <f t="shared" ca="1" si="577"/>
        <v>#NAME?</v>
      </c>
      <c r="BB668" s="322" t="e">
        <f t="shared" ca="1" si="578"/>
        <v>#NAME?</v>
      </c>
      <c r="BC668" s="323">
        <v>75.196700000000007</v>
      </c>
      <c r="BD668" s="324" t="e">
        <f t="shared" ca="1" si="579"/>
        <v>#NAME?</v>
      </c>
      <c r="BE668" s="325" t="e">
        <f t="shared" ca="1" si="580"/>
        <v>#NAME?</v>
      </c>
      <c r="BF668" s="324" t="e">
        <f ca="1">BicubicInterpolation('TSFC Eff Table'!$B$4:$E$69,2,BB668)</f>
        <v>#NAME?</v>
      </c>
      <c r="BG668" s="326" t="e">
        <f t="shared" ca="1" si="581"/>
        <v>#NAME?</v>
      </c>
      <c r="BH668" s="694" t="e">
        <f ca="1">IF( S668="LRCINOP",   (1+(0.03/10)*Z668*(1+0.2*AC668^2) )*BicubicInterpolation( 'LRC INOP FF'!$C$4:$AA$21, Y668, U668 )-200, IF(S668 ="HOLDINGINOP", (1+(0.03/10)*Z668*(1+0.2*AC668^2) )*BicubicInterpolation( 'Holding INOP FF'!$C$4:$J$13,  Y668,  U668)/1.05-200,   BA668*BG668))</f>
        <v>#NAME?</v>
      </c>
      <c r="BI668" s="344" t="e">
        <f t="shared" ca="1" si="602"/>
        <v>#NAME?</v>
      </c>
      <c r="BJ668" s="322" t="e">
        <f t="shared" ca="1" si="582"/>
        <v>#NAME?</v>
      </c>
      <c r="BK668" s="338" t="e">
        <f t="shared" ca="1" si="603"/>
        <v>#NAME?</v>
      </c>
      <c r="BL668" s="327" t="e">
        <f t="shared" ca="1" si="583"/>
        <v>#NAME?</v>
      </c>
      <c r="BM668" s="328">
        <f t="shared" si="584"/>
        <v>200</v>
      </c>
      <c r="BN668" s="329" t="e">
        <f t="shared" ca="1" si="585"/>
        <v>#NAME?</v>
      </c>
      <c r="BO668" s="344" t="e">
        <f t="shared" ca="1" si="604"/>
        <v>#NAME?</v>
      </c>
      <c r="BP668" s="320" t="e">
        <f t="shared" ca="1" si="586"/>
        <v>#NAME?</v>
      </c>
      <c r="BQ668" s="344" t="e">
        <f t="shared" ca="1" si="605"/>
        <v>#NAME?</v>
      </c>
      <c r="BR668" s="347" t="e">
        <f t="shared" ca="1" si="606"/>
        <v>#NAME?</v>
      </c>
      <c r="BS668" s="326" t="e">
        <f t="shared" ca="1" si="587"/>
        <v>#NAME?</v>
      </c>
      <c r="BT668" s="437" t="e">
        <f t="shared" ca="1" si="619"/>
        <v>#NAME?</v>
      </c>
      <c r="BU668" s="437" t="e">
        <f t="shared" ca="1" si="620"/>
        <v>#NAME?</v>
      </c>
      <c r="BV668" s="441" t="e">
        <f t="shared" ca="1" si="621"/>
        <v>#NAME?</v>
      </c>
      <c r="BW668" s="442" t="e">
        <f t="shared" ca="1" si="622"/>
        <v>#NAME?</v>
      </c>
      <c r="BX668" s="470" t="e">
        <f t="shared" ca="1" si="596"/>
        <v>#NAME?</v>
      </c>
      <c r="BY668" s="484" t="e">
        <f t="shared" ca="1" si="607"/>
        <v>#NAME?</v>
      </c>
    </row>
    <row r="669" spans="9:77" ht="17.75" customHeight="1" x14ac:dyDescent="0.2">
      <c r="I669" s="366">
        <v>585</v>
      </c>
      <c r="J669" s="414">
        <f t="shared" si="608"/>
        <v>41706.118750001326</v>
      </c>
      <c r="K669" s="435" t="e">
        <f t="shared" ca="1" si="609"/>
        <v>#NAME?</v>
      </c>
      <c r="L669" s="435" t="e">
        <f t="shared" ca="1" si="590"/>
        <v>#NAME?</v>
      </c>
      <c r="M669" s="664" t="e">
        <f t="shared" ca="1" si="588"/>
        <v>#NAME?</v>
      </c>
      <c r="N669" s="664" t="e">
        <f t="shared" ca="1" si="589"/>
        <v>#NAME?</v>
      </c>
      <c r="O669" s="140" t="e">
        <f t="shared" ca="1" si="597"/>
        <v>#NAME?</v>
      </c>
      <c r="P669" s="352" t="e">
        <f t="shared" ca="1" si="610"/>
        <v>#NAME?</v>
      </c>
      <c r="Q669" s="665" t="e">
        <f t="shared" ca="1" si="591"/>
        <v>#NAME?</v>
      </c>
      <c r="R669" s="352" t="e">
        <f t="shared" ca="1" si="561"/>
        <v>#NAME?</v>
      </c>
      <c r="S669" s="662" t="e">
        <f t="shared" ca="1" si="598"/>
        <v>#NAME?</v>
      </c>
      <c r="T669" s="443" t="e">
        <f t="shared" ca="1" si="592"/>
        <v>#NAME?</v>
      </c>
      <c r="U669" s="369" t="e">
        <f t="shared" ca="1" si="593"/>
        <v>#NAME?</v>
      </c>
      <c r="V669" s="454" t="e">
        <f t="shared" ca="1" si="599"/>
        <v>#NAME?</v>
      </c>
      <c r="W669" s="457">
        <f t="shared" si="600"/>
        <v>1000</v>
      </c>
      <c r="X669" s="463" t="e">
        <f t="shared" ca="1" si="601"/>
        <v>#NAME?</v>
      </c>
      <c r="Y669" s="455" t="e">
        <f t="shared" ca="1" si="611"/>
        <v>#NAME?</v>
      </c>
      <c r="Z669" s="699">
        <f t="shared" si="594"/>
        <v>8.5</v>
      </c>
      <c r="AA669" s="355" t="str">
        <f t="shared" si="595"/>
        <v>ON</v>
      </c>
      <c r="AB669" s="357">
        <f t="shared" si="562"/>
        <v>1.4999999999999999E-2</v>
      </c>
      <c r="AC669" s="356" t="e">
        <f ca="1">IF(  Y668=0,0,IF(OR(S669="KCAS",S669="INOP",S669="MEFE"),   ( (5*( (   (((1+0.2*(T669/661.4786)^2)^3.5 -1)  )/( (1-6.8755856*10^-6 *100*Y669)^5.2558797) +1)^(2/7) -1) )^0.5),IF(S669="MACH",T669, IF(S669="LRC",BicubicInterpolation( 'LRC Mach'!$C$4:$AL$21, Y669,U669),  IF(S669="MRC",BicubicInterpolation( 'MRC Mach'!$C$3:$T$18, Y669,U669),  IF(S669="M0.84",0.84,  IF(S669="CI52",BicubicInterpolation('CI=52 Mach'!$C$3:$T$18, Y669,U669),  IF(S669="HOLDING",BicubicInterpolation(  'Holding Mach'!$C$4:$M$13, Y669,U669),                         IF(S669="LRCINOP", BicubicInterpolation('LRC INOP Mach'!$C$4:$AA$21,Y669,U669), IF(S669="HOLDINGINOP",  BicubicInterpolation('Holding INOP Mach'!$N$4:$U$13,Y669,U669),         "XXX" )))))))   )))</f>
        <v>#NAME?</v>
      </c>
      <c r="AD669" s="313" t="e">
        <f t="shared" ca="1" si="563"/>
        <v>#NAME?</v>
      </c>
      <c r="AE669" s="314" t="e">
        <f t="shared" ca="1" si="612"/>
        <v>#NAME?</v>
      </c>
      <c r="AF669" s="313" t="e">
        <f t="shared" ca="1" si="564"/>
        <v>#NAME?</v>
      </c>
      <c r="AG669" s="314" t="e">
        <f t="shared" ca="1" si="613"/>
        <v>#NAME?</v>
      </c>
      <c r="AH669" s="313" t="e">
        <f t="shared" ca="1" si="565"/>
        <v>#NAME?</v>
      </c>
      <c r="AI669" s="314" t="e">
        <f t="shared" ca="1" si="614"/>
        <v>#NAME?</v>
      </c>
      <c r="AJ669" s="315" t="e">
        <f t="shared" ca="1" si="615"/>
        <v>#NAME?</v>
      </c>
      <c r="AK669" s="568" t="e">
        <f t="shared" ca="1" si="566"/>
        <v>#NAME?</v>
      </c>
      <c r="AL669" s="313" t="e">
        <f t="shared" ca="1" si="567"/>
        <v>#NAME?</v>
      </c>
      <c r="AM669" s="313" t="e">
        <f t="shared" ca="1" si="616"/>
        <v>#NAME?</v>
      </c>
      <c r="AN669" s="313" t="e">
        <f t="shared" ca="1" si="617"/>
        <v>#NAME?</v>
      </c>
      <c r="AO669" s="316" t="e">
        <f t="shared" ca="1" si="568"/>
        <v>#NAME?</v>
      </c>
      <c r="AP669" s="313" t="e">
        <f t="shared" ca="1" si="569"/>
        <v>#NAME?</v>
      </c>
      <c r="AQ669" s="314" t="e">
        <f t="shared" ca="1" si="618"/>
        <v>#NAME?</v>
      </c>
      <c r="AR669" s="315" t="e">
        <f t="shared" ca="1" si="570"/>
        <v>#NAME?</v>
      </c>
      <c r="AS669" s="316" t="e">
        <f t="shared" ca="1" si="571"/>
        <v>#NAME?</v>
      </c>
      <c r="AT669" s="315" t="e">
        <f t="shared" ca="1" si="572"/>
        <v>#NAME?</v>
      </c>
      <c r="AU669" s="317">
        <v>427.8</v>
      </c>
      <c r="AV669" s="315" t="e">
        <f t="shared" ca="1" si="573"/>
        <v>#NAME?</v>
      </c>
      <c r="AW669" s="318" t="e">
        <f ca="1">0.0001*BicubicInterpolation('Drag Coef Table'!$B$4:$L$28,AV669,AC669)</f>
        <v>#NAME?</v>
      </c>
      <c r="AX669" s="319" t="e">
        <f t="shared" ca="1" si="574"/>
        <v>#NAME?</v>
      </c>
      <c r="AY669" s="318" t="e">
        <f t="shared" ca="1" si="575"/>
        <v>#NAME?</v>
      </c>
      <c r="AZ669" s="320" t="e">
        <f t="shared" ca="1" si="576"/>
        <v>#NAME?</v>
      </c>
      <c r="BA669" s="321" t="e">
        <f t="shared" ca="1" si="577"/>
        <v>#NAME?</v>
      </c>
      <c r="BB669" s="322" t="e">
        <f t="shared" ca="1" si="578"/>
        <v>#NAME?</v>
      </c>
      <c r="BC669" s="323">
        <v>75.196700000000007</v>
      </c>
      <c r="BD669" s="324" t="e">
        <f t="shared" ca="1" si="579"/>
        <v>#NAME?</v>
      </c>
      <c r="BE669" s="325" t="e">
        <f t="shared" ca="1" si="580"/>
        <v>#NAME?</v>
      </c>
      <c r="BF669" s="324" t="e">
        <f ca="1">BicubicInterpolation('TSFC Eff Table'!$B$4:$E$69,2,BB669)</f>
        <v>#NAME?</v>
      </c>
      <c r="BG669" s="326" t="e">
        <f t="shared" ca="1" si="581"/>
        <v>#NAME?</v>
      </c>
      <c r="BH669" s="694" t="e">
        <f ca="1">IF( S669="LRCINOP",   (1+(0.03/10)*Z669*(1+0.2*AC669^2) )*BicubicInterpolation( 'LRC INOP FF'!$C$4:$AA$21, Y669, U669 )-200, IF(S669 ="HOLDINGINOP", (1+(0.03/10)*Z669*(1+0.2*AC669^2) )*BicubicInterpolation( 'Holding INOP FF'!$C$4:$J$13,  Y669,  U669)/1.05-200,   BA669*BG669))</f>
        <v>#NAME?</v>
      </c>
      <c r="BI669" s="344" t="e">
        <f t="shared" ca="1" si="602"/>
        <v>#NAME?</v>
      </c>
      <c r="BJ669" s="322" t="e">
        <f t="shared" ca="1" si="582"/>
        <v>#NAME?</v>
      </c>
      <c r="BK669" s="338" t="e">
        <f t="shared" ca="1" si="603"/>
        <v>#NAME?</v>
      </c>
      <c r="BL669" s="327" t="e">
        <f t="shared" ca="1" si="583"/>
        <v>#NAME?</v>
      </c>
      <c r="BM669" s="328">
        <f t="shared" si="584"/>
        <v>200</v>
      </c>
      <c r="BN669" s="329" t="e">
        <f t="shared" ca="1" si="585"/>
        <v>#NAME?</v>
      </c>
      <c r="BO669" s="344" t="e">
        <f t="shared" ca="1" si="604"/>
        <v>#NAME?</v>
      </c>
      <c r="BP669" s="320" t="e">
        <f t="shared" ca="1" si="586"/>
        <v>#NAME?</v>
      </c>
      <c r="BQ669" s="344" t="e">
        <f t="shared" ca="1" si="605"/>
        <v>#NAME?</v>
      </c>
      <c r="BR669" s="347" t="e">
        <f t="shared" ca="1" si="606"/>
        <v>#NAME?</v>
      </c>
      <c r="BS669" s="326" t="e">
        <f t="shared" ca="1" si="587"/>
        <v>#NAME?</v>
      </c>
      <c r="BT669" s="437" t="e">
        <f t="shared" ca="1" si="619"/>
        <v>#NAME?</v>
      </c>
      <c r="BU669" s="437" t="e">
        <f t="shared" ca="1" si="620"/>
        <v>#NAME?</v>
      </c>
      <c r="BV669" s="441" t="e">
        <f t="shared" ca="1" si="621"/>
        <v>#NAME?</v>
      </c>
      <c r="BW669" s="442" t="e">
        <f t="shared" ca="1" si="622"/>
        <v>#NAME?</v>
      </c>
      <c r="BX669" s="470" t="e">
        <f t="shared" ca="1" si="596"/>
        <v>#NAME?</v>
      </c>
      <c r="BY669" s="484" t="e">
        <f t="shared" ca="1" si="607"/>
        <v>#NAME?</v>
      </c>
    </row>
    <row r="670" spans="9:77" ht="17.75" customHeight="1" x14ac:dyDescent="0.2">
      <c r="I670" s="366">
        <v>586</v>
      </c>
      <c r="J670" s="414">
        <f t="shared" si="608"/>
        <v>41706.119444445772</v>
      </c>
      <c r="K670" s="435" t="e">
        <f t="shared" ca="1" si="609"/>
        <v>#NAME?</v>
      </c>
      <c r="L670" s="435" t="e">
        <f t="shared" ca="1" si="590"/>
        <v>#NAME?</v>
      </c>
      <c r="M670" s="664" t="e">
        <f t="shared" ca="1" si="588"/>
        <v>#NAME?</v>
      </c>
      <c r="N670" s="664" t="e">
        <f t="shared" ca="1" si="589"/>
        <v>#NAME?</v>
      </c>
      <c r="O670" s="140" t="e">
        <f t="shared" ca="1" si="597"/>
        <v>#NAME?</v>
      </c>
      <c r="P670" s="352" t="e">
        <f t="shared" ca="1" si="610"/>
        <v>#NAME?</v>
      </c>
      <c r="Q670" s="665" t="e">
        <f t="shared" ca="1" si="591"/>
        <v>#NAME?</v>
      </c>
      <c r="R670" s="352" t="e">
        <f t="shared" ca="1" si="561"/>
        <v>#NAME?</v>
      </c>
      <c r="S670" s="662" t="e">
        <f t="shared" ca="1" si="598"/>
        <v>#NAME?</v>
      </c>
      <c r="T670" s="443" t="e">
        <f t="shared" ca="1" si="592"/>
        <v>#NAME?</v>
      </c>
      <c r="U670" s="369" t="e">
        <f t="shared" ca="1" si="593"/>
        <v>#NAME?</v>
      </c>
      <c r="V670" s="454" t="e">
        <f t="shared" ca="1" si="599"/>
        <v>#NAME?</v>
      </c>
      <c r="W670" s="457">
        <f t="shared" si="600"/>
        <v>1000</v>
      </c>
      <c r="X670" s="463" t="e">
        <f t="shared" ca="1" si="601"/>
        <v>#NAME?</v>
      </c>
      <c r="Y670" s="455" t="e">
        <f t="shared" ca="1" si="611"/>
        <v>#NAME?</v>
      </c>
      <c r="Z670" s="699">
        <f t="shared" si="594"/>
        <v>8.5</v>
      </c>
      <c r="AA670" s="355" t="str">
        <f t="shared" si="595"/>
        <v>ON</v>
      </c>
      <c r="AB670" s="357">
        <f t="shared" si="562"/>
        <v>1.4999999999999999E-2</v>
      </c>
      <c r="AC670" s="356" t="e">
        <f ca="1">IF(  Y669=0,0,IF(OR(S670="KCAS",S670="INOP",S670="MEFE"),   ( (5*( (   (((1+0.2*(T670/661.4786)^2)^3.5 -1)  )/( (1-6.8755856*10^-6 *100*Y670)^5.2558797) +1)^(2/7) -1) )^0.5),IF(S670="MACH",T670, IF(S670="LRC",BicubicInterpolation( 'LRC Mach'!$C$4:$AL$21, Y670,U670),  IF(S670="MRC",BicubicInterpolation( 'MRC Mach'!$C$3:$T$18, Y670,U670),  IF(S670="M0.84",0.84,  IF(S670="CI52",BicubicInterpolation('CI=52 Mach'!$C$3:$T$18, Y670,U670),  IF(S670="HOLDING",BicubicInterpolation(  'Holding Mach'!$C$4:$M$13, Y670,U670),                         IF(S670="LRCINOP", BicubicInterpolation('LRC INOP Mach'!$C$4:$AA$21,Y670,U670), IF(S670="HOLDINGINOP",  BicubicInterpolation('Holding INOP Mach'!$N$4:$U$13,Y670,U670),         "XXX" )))))))   )))</f>
        <v>#NAME?</v>
      </c>
      <c r="AD670" s="313" t="e">
        <f t="shared" ca="1" si="563"/>
        <v>#NAME?</v>
      </c>
      <c r="AE670" s="314" t="e">
        <f t="shared" ca="1" si="612"/>
        <v>#NAME?</v>
      </c>
      <c r="AF670" s="313" t="e">
        <f t="shared" ca="1" si="564"/>
        <v>#NAME?</v>
      </c>
      <c r="AG670" s="314" t="e">
        <f t="shared" ca="1" si="613"/>
        <v>#NAME?</v>
      </c>
      <c r="AH670" s="313" t="e">
        <f t="shared" ca="1" si="565"/>
        <v>#NAME?</v>
      </c>
      <c r="AI670" s="314" t="e">
        <f t="shared" ca="1" si="614"/>
        <v>#NAME?</v>
      </c>
      <c r="AJ670" s="315" t="e">
        <f t="shared" ca="1" si="615"/>
        <v>#NAME?</v>
      </c>
      <c r="AK670" s="568" t="e">
        <f t="shared" ca="1" si="566"/>
        <v>#NAME?</v>
      </c>
      <c r="AL670" s="313" t="e">
        <f t="shared" ca="1" si="567"/>
        <v>#NAME?</v>
      </c>
      <c r="AM670" s="313" t="e">
        <f t="shared" ca="1" si="616"/>
        <v>#NAME?</v>
      </c>
      <c r="AN670" s="313" t="e">
        <f t="shared" ca="1" si="617"/>
        <v>#NAME?</v>
      </c>
      <c r="AO670" s="316" t="e">
        <f t="shared" ca="1" si="568"/>
        <v>#NAME?</v>
      </c>
      <c r="AP670" s="313" t="e">
        <f t="shared" ca="1" si="569"/>
        <v>#NAME?</v>
      </c>
      <c r="AQ670" s="314" t="e">
        <f t="shared" ca="1" si="618"/>
        <v>#NAME?</v>
      </c>
      <c r="AR670" s="315" t="e">
        <f t="shared" ca="1" si="570"/>
        <v>#NAME?</v>
      </c>
      <c r="AS670" s="316" t="e">
        <f t="shared" ca="1" si="571"/>
        <v>#NAME?</v>
      </c>
      <c r="AT670" s="315" t="e">
        <f t="shared" ca="1" si="572"/>
        <v>#NAME?</v>
      </c>
      <c r="AU670" s="317">
        <v>427.8</v>
      </c>
      <c r="AV670" s="315" t="e">
        <f t="shared" ca="1" si="573"/>
        <v>#NAME?</v>
      </c>
      <c r="AW670" s="318" t="e">
        <f ca="1">0.0001*BicubicInterpolation('Drag Coef Table'!$B$4:$L$28,AV670,AC670)</f>
        <v>#NAME?</v>
      </c>
      <c r="AX670" s="319" t="e">
        <f t="shared" ca="1" si="574"/>
        <v>#NAME?</v>
      </c>
      <c r="AY670" s="318" t="e">
        <f t="shared" ca="1" si="575"/>
        <v>#NAME?</v>
      </c>
      <c r="AZ670" s="320" t="e">
        <f t="shared" ca="1" si="576"/>
        <v>#NAME?</v>
      </c>
      <c r="BA670" s="321" t="e">
        <f t="shared" ca="1" si="577"/>
        <v>#NAME?</v>
      </c>
      <c r="BB670" s="322" t="e">
        <f t="shared" ca="1" si="578"/>
        <v>#NAME?</v>
      </c>
      <c r="BC670" s="323">
        <v>75.196700000000007</v>
      </c>
      <c r="BD670" s="324" t="e">
        <f t="shared" ca="1" si="579"/>
        <v>#NAME?</v>
      </c>
      <c r="BE670" s="325" t="e">
        <f t="shared" ca="1" si="580"/>
        <v>#NAME?</v>
      </c>
      <c r="BF670" s="324" t="e">
        <f ca="1">BicubicInterpolation('TSFC Eff Table'!$B$4:$E$69,2,BB670)</f>
        <v>#NAME?</v>
      </c>
      <c r="BG670" s="326" t="e">
        <f t="shared" ca="1" si="581"/>
        <v>#NAME?</v>
      </c>
      <c r="BH670" s="694" t="e">
        <f ca="1">IF( S670="LRCINOP",   (1+(0.03/10)*Z670*(1+0.2*AC670^2) )*BicubicInterpolation( 'LRC INOP FF'!$C$4:$AA$21, Y670, U670 )-200, IF(S670 ="HOLDINGINOP", (1+(0.03/10)*Z670*(1+0.2*AC670^2) )*BicubicInterpolation( 'Holding INOP FF'!$C$4:$J$13,  Y670,  U670)/1.05-200,   BA670*BG670))</f>
        <v>#NAME?</v>
      </c>
      <c r="BI670" s="344" t="e">
        <f t="shared" ca="1" si="602"/>
        <v>#NAME?</v>
      </c>
      <c r="BJ670" s="322" t="e">
        <f t="shared" ca="1" si="582"/>
        <v>#NAME?</v>
      </c>
      <c r="BK670" s="338" t="e">
        <f t="shared" ca="1" si="603"/>
        <v>#NAME?</v>
      </c>
      <c r="BL670" s="327" t="e">
        <f t="shared" ca="1" si="583"/>
        <v>#NAME?</v>
      </c>
      <c r="BM670" s="328">
        <f t="shared" si="584"/>
        <v>200</v>
      </c>
      <c r="BN670" s="329" t="e">
        <f t="shared" ca="1" si="585"/>
        <v>#NAME?</v>
      </c>
      <c r="BO670" s="344" t="e">
        <f t="shared" ca="1" si="604"/>
        <v>#NAME?</v>
      </c>
      <c r="BP670" s="320" t="e">
        <f t="shared" ca="1" si="586"/>
        <v>#NAME?</v>
      </c>
      <c r="BQ670" s="344" t="e">
        <f t="shared" ca="1" si="605"/>
        <v>#NAME?</v>
      </c>
      <c r="BR670" s="347" t="e">
        <f t="shared" ca="1" si="606"/>
        <v>#NAME?</v>
      </c>
      <c r="BS670" s="326" t="e">
        <f t="shared" ca="1" si="587"/>
        <v>#NAME?</v>
      </c>
      <c r="BT670" s="437" t="e">
        <f t="shared" ca="1" si="619"/>
        <v>#NAME?</v>
      </c>
      <c r="BU670" s="437" t="e">
        <f t="shared" ca="1" si="620"/>
        <v>#NAME?</v>
      </c>
      <c r="BV670" s="441" t="e">
        <f t="shared" ca="1" si="621"/>
        <v>#NAME?</v>
      </c>
      <c r="BW670" s="442" t="e">
        <f t="shared" ca="1" si="622"/>
        <v>#NAME?</v>
      </c>
      <c r="BX670" s="470" t="e">
        <f t="shared" ca="1" si="596"/>
        <v>#NAME?</v>
      </c>
      <c r="BY670" s="484" t="e">
        <f t="shared" ca="1" si="607"/>
        <v>#NAME?</v>
      </c>
    </row>
    <row r="671" spans="9:77" ht="17.75" customHeight="1" x14ac:dyDescent="0.2">
      <c r="I671" s="366">
        <v>587</v>
      </c>
      <c r="J671" s="414">
        <f t="shared" si="608"/>
        <v>41706.120138890219</v>
      </c>
      <c r="K671" s="435" t="e">
        <f t="shared" ca="1" si="609"/>
        <v>#NAME?</v>
      </c>
      <c r="L671" s="435" t="e">
        <f t="shared" ca="1" si="590"/>
        <v>#NAME?</v>
      </c>
      <c r="M671" s="664" t="e">
        <f t="shared" ca="1" si="588"/>
        <v>#NAME?</v>
      </c>
      <c r="N671" s="664" t="e">
        <f t="shared" ca="1" si="589"/>
        <v>#NAME?</v>
      </c>
      <c r="O671" s="140" t="e">
        <f t="shared" ca="1" si="597"/>
        <v>#NAME?</v>
      </c>
      <c r="P671" s="352" t="e">
        <f t="shared" ca="1" si="610"/>
        <v>#NAME?</v>
      </c>
      <c r="Q671" s="665" t="e">
        <f t="shared" ca="1" si="591"/>
        <v>#NAME?</v>
      </c>
      <c r="R671" s="352" t="e">
        <f t="shared" ref="R671:R680" ca="1" si="623">AC671</f>
        <v>#NAME?</v>
      </c>
      <c r="S671" s="662" t="e">
        <f t="shared" ca="1" si="598"/>
        <v>#NAME?</v>
      </c>
      <c r="T671" s="443" t="e">
        <f t="shared" ca="1" si="592"/>
        <v>#NAME?</v>
      </c>
      <c r="U671" s="369" t="e">
        <f t="shared" ca="1" si="593"/>
        <v>#NAME?</v>
      </c>
      <c r="V671" s="454" t="e">
        <f t="shared" ca="1" si="599"/>
        <v>#NAME?</v>
      </c>
      <c r="W671" s="457">
        <f t="shared" si="600"/>
        <v>1000</v>
      </c>
      <c r="X671" s="463" t="e">
        <f t="shared" ca="1" si="601"/>
        <v>#NAME?</v>
      </c>
      <c r="Y671" s="455" t="e">
        <f t="shared" ca="1" si="611"/>
        <v>#NAME?</v>
      </c>
      <c r="Z671" s="699">
        <f t="shared" si="594"/>
        <v>8.5</v>
      </c>
      <c r="AA671" s="355" t="str">
        <f t="shared" si="595"/>
        <v>ON</v>
      </c>
      <c r="AB671" s="357">
        <f t="shared" ref="AB671:AB680" si="624">AB670</f>
        <v>1.4999999999999999E-2</v>
      </c>
      <c r="AC671" s="356" t="e">
        <f ca="1">IF(  Y670=0,0,IF(OR(S671="KCAS",S671="INOP",S671="MEFE"),   ( (5*( (   (((1+0.2*(T671/661.4786)^2)^3.5 -1)  )/( (1-6.8755856*10^-6 *100*Y671)^5.2558797) +1)^(2/7) -1) )^0.5),IF(S671="MACH",T671, IF(S671="LRC",BicubicInterpolation( 'LRC Mach'!$C$4:$AL$21, Y671,U671),  IF(S671="MRC",BicubicInterpolation( 'MRC Mach'!$C$3:$T$18, Y671,U671),  IF(S671="M0.84",0.84,  IF(S671="CI52",BicubicInterpolation('CI=52 Mach'!$C$3:$T$18, Y671,U671),  IF(S671="HOLDING",BicubicInterpolation(  'Holding Mach'!$C$4:$M$13, Y671,U671),                         IF(S671="LRCINOP", BicubicInterpolation('LRC INOP Mach'!$C$4:$AA$21,Y671,U671), IF(S671="HOLDINGINOP",  BicubicInterpolation('Holding INOP Mach'!$N$4:$U$13,Y671,U671),         "XXX" )))))))   )))</f>
        <v>#NAME?</v>
      </c>
      <c r="AD671" s="313" t="e">
        <f t="shared" ref="AD671:AD680" ca="1" si="625">IF(Y671&lt;360.8924,288.15-1.9812*Y671/10,216.65)</f>
        <v>#NAME?</v>
      </c>
      <c r="AE671" s="314" t="e">
        <f t="shared" ca="1" si="612"/>
        <v>#NAME?</v>
      </c>
      <c r="AF671" s="313" t="e">
        <f t="shared" ref="AF671:AF680" ca="1" si="626">AD671+Z671</f>
        <v>#NAME?</v>
      </c>
      <c r="AG671" s="314" t="e">
        <f t="shared" ca="1" si="613"/>
        <v>#NAME?</v>
      </c>
      <c r="AH671" s="313" t="e">
        <f t="shared" ref="AH671:AH680" ca="1" si="627">AF671*(1+0.2*AC671^2)</f>
        <v>#NAME?</v>
      </c>
      <c r="AI671" s="314" t="e">
        <f t="shared" ca="1" si="614"/>
        <v>#NAME?</v>
      </c>
      <c r="AJ671" s="315" t="e">
        <f t="shared" ca="1" si="615"/>
        <v>#NAME?</v>
      </c>
      <c r="AK671" s="568" t="e">
        <f t="shared" ref="AK671:AK680" ca="1" si="628">661.4786*SQRT(AG671)</f>
        <v>#NAME?</v>
      </c>
      <c r="AL671" s="313" t="e">
        <f t="shared" ref="AL671:AL680" ca="1" si="629">AC671*AK671</f>
        <v>#NAME?</v>
      </c>
      <c r="AM671" s="313" t="e">
        <f t="shared" ca="1" si="616"/>
        <v>#NAME?</v>
      </c>
      <c r="AN671" s="313" t="e">
        <f t="shared" ca="1" si="617"/>
        <v>#NAME?</v>
      </c>
      <c r="AO671" s="316" t="e">
        <f t="shared" ref="AO671:AO680" ca="1" si="630">661.4786*(5*((1 + ( (1-0.00068755856*Y671)^5.2558797)*((1 + AC671^2/5)^3.5 - 1))^(2/7) - 1))^0.5</f>
        <v>#NAME?</v>
      </c>
      <c r="AP671" s="313" t="e">
        <f t="shared" ref="AP671:AP680" ca="1" si="631">IF(Y671&lt;360.8924,1013.25*(1-0.0000068755856*100*Y671)^5.2558797,0.01*0.2233609*101325*EXP(-0.004806346*(Y671-360.8924)))</f>
        <v>#NAME?</v>
      </c>
      <c r="AQ671" s="314" t="e">
        <f t="shared" ca="1" si="618"/>
        <v>#NAME?</v>
      </c>
      <c r="AR671" s="315" t="e">
        <f t="shared" ref="AR671:AR680" ca="1" si="632">AQ671*(1+0.2*AC671^2)^3.5</f>
        <v>#NAME?</v>
      </c>
      <c r="AS671" s="316" t="e">
        <f t="shared" ref="AS671:AS680" ca="1" si="633">U671/AQ671</f>
        <v>#NAME?</v>
      </c>
      <c r="AT671" s="315" t="e">
        <f t="shared" ref="AT671:AT680" ca="1" si="634">1.225*AQ671/AG671</f>
        <v>#NAME?</v>
      </c>
      <c r="AU671" s="317">
        <v>427.8</v>
      </c>
      <c r="AV671" s="315" t="e">
        <f t="shared" ref="AV671:AV680" ca="1" si="635">1000*9.80665*U671/(0.5*AT671*AU671*(AM671)^2)</f>
        <v>#NAME?</v>
      </c>
      <c r="AW671" s="318" t="e">
        <f ca="1">0.0001*BicubicInterpolation('Drag Coef Table'!$B$4:$L$28,AV671,AC671)</f>
        <v>#NAME?</v>
      </c>
      <c r="AX671" s="319" t="e">
        <f t="shared" ref="AX671:AX680" ca="1" si="636">(-45.29)*0.0001*LOG10(  (  ( AG671 + 0.38312 ) / AG671^2    )   /   (   (AE671 +0.38312)/(AE671)^2  ) )</f>
        <v>#NAME?</v>
      </c>
      <c r="AY671" s="318" t="e">
        <f t="shared" ref="AY671:AY680" ca="1" si="637">AW671+AX671</f>
        <v>#NAME?</v>
      </c>
      <c r="AZ671" s="320" t="e">
        <f t="shared" ref="AZ671:AZ680" ca="1" si="638">AV671/AY671</f>
        <v>#NAME?</v>
      </c>
      <c r="BA671" s="321" t="e">
        <f t="shared" ref="BA671:BA680" ca="1" si="639">AY671*0.5*AT671*(AM671^2)*AU671/1000</f>
        <v>#NAME?</v>
      </c>
      <c r="BB671" s="322" t="e">
        <f t="shared" ref="BB671:BB680" ca="1" si="640">BA671/AQ671/9.80665</f>
        <v>#NAME?</v>
      </c>
      <c r="BC671" s="323">
        <v>75.196700000000007</v>
      </c>
      <c r="BD671" s="324" t="e">
        <f t="shared" ref="BD671:BD680" ca="1" si="641">AG671^0.68</f>
        <v>#NAME?</v>
      </c>
      <c r="BE671" s="325" t="e">
        <f t="shared" ref="BE671:BE680" ca="1" si="642">AC671^0.53</f>
        <v>#NAME?</v>
      </c>
      <c r="BF671" s="324" t="e">
        <f ca="1">BicubicInterpolation('TSFC Eff Table'!$B$4:$E$69,2,BB671)</f>
        <v>#NAME?</v>
      </c>
      <c r="BG671" s="326" t="e">
        <f t="shared" ref="BG671:BG680" ca="1" si="643">BC671*BD671*BE671/BF671</f>
        <v>#NAME?</v>
      </c>
      <c r="BH671" s="694" t="e">
        <f ca="1">IF( S671="LRCINOP",   (1+(0.03/10)*Z671*(1+0.2*AC671^2) )*BicubicInterpolation( 'LRC INOP FF'!$C$4:$AA$21, Y671, U671 )-200, IF(S671 ="HOLDINGINOP", (1+(0.03/10)*Z671*(1+0.2*AC671^2) )*BicubicInterpolation( 'Holding INOP FF'!$C$4:$J$13,  Y671,  U671)/1.05-200,   BA671*BG671))</f>
        <v>#NAME?</v>
      </c>
      <c r="BI671" s="344" t="e">
        <f t="shared" ca="1" si="602"/>
        <v>#NAME?</v>
      </c>
      <c r="BJ671" s="322" t="e">
        <f t="shared" ref="BJ671:BJ680" ca="1" si="644">BI671/(AR671*AJ671)/1000</f>
        <v>#NAME?</v>
      </c>
      <c r="BK671" s="338" t="e">
        <f t="shared" ca="1" si="603"/>
        <v>#NAME?</v>
      </c>
      <c r="BL671" s="327" t="e">
        <f t="shared" ref="BL671:BL680" ca="1" si="645">100*BK671/AS671</f>
        <v>#NAME?</v>
      </c>
      <c r="BM671" s="328">
        <f t="shared" ref="BM671:BM680" si="646">200-IF(AA671="OFF",55,0)</f>
        <v>200</v>
      </c>
      <c r="BN671" s="329" t="e">
        <f t="shared" ref="BN671:BN680" ca="1" si="647">BI671+BM671</f>
        <v>#NAME?</v>
      </c>
      <c r="BO671" s="344" t="e">
        <f t="shared" ca="1" si="604"/>
        <v>#NAME?</v>
      </c>
      <c r="BP671" s="320" t="e">
        <f t="shared" ref="BP671:BP680" ca="1" si="648">1000*AL671/BO671</f>
        <v>#NAME?</v>
      </c>
      <c r="BQ671" s="344" t="e">
        <f t="shared" ca="1" si="605"/>
        <v>#NAME?</v>
      </c>
      <c r="BR671" s="347" t="e">
        <f t="shared" ca="1" si="606"/>
        <v>#NAME?</v>
      </c>
      <c r="BS671" s="326" t="e">
        <f t="shared" ref="BS671:BS680" ca="1" si="649">1000*AL671/BR671</f>
        <v>#NAME?</v>
      </c>
      <c r="BT671" s="437" t="e">
        <f t="shared" ca="1" si="619"/>
        <v>#NAME?</v>
      </c>
      <c r="BU671" s="437" t="e">
        <f t="shared" ca="1" si="620"/>
        <v>#NAME?</v>
      </c>
      <c r="BV671" s="441" t="e">
        <f t="shared" ca="1" si="621"/>
        <v>#NAME?</v>
      </c>
      <c r="BW671" s="442" t="e">
        <f t="shared" ca="1" si="622"/>
        <v>#NAME?</v>
      </c>
      <c r="BX671" s="470" t="e">
        <f t="shared" ca="1" si="596"/>
        <v>#NAME?</v>
      </c>
      <c r="BY671" s="484" t="e">
        <f t="shared" ca="1" si="607"/>
        <v>#NAME?</v>
      </c>
    </row>
    <row r="672" spans="9:77" ht="17.75" customHeight="1" x14ac:dyDescent="0.2">
      <c r="I672" s="366">
        <v>588</v>
      </c>
      <c r="J672" s="414">
        <f t="shared" si="608"/>
        <v>41706.120833334666</v>
      </c>
      <c r="K672" s="435" t="e">
        <f t="shared" ca="1" si="609"/>
        <v>#NAME?</v>
      </c>
      <c r="L672" s="435" t="e">
        <f t="shared" ca="1" si="590"/>
        <v>#NAME?</v>
      </c>
      <c r="M672" s="664" t="e">
        <f t="shared" ca="1" si="588"/>
        <v>#NAME?</v>
      </c>
      <c r="N672" s="664" t="e">
        <f t="shared" ca="1" si="589"/>
        <v>#NAME?</v>
      </c>
      <c r="O672" s="140" t="e">
        <f t="shared" ca="1" si="597"/>
        <v>#NAME?</v>
      </c>
      <c r="P672" s="352" t="e">
        <f t="shared" ca="1" si="610"/>
        <v>#NAME?</v>
      </c>
      <c r="Q672" s="665" t="e">
        <f t="shared" ca="1" si="591"/>
        <v>#NAME?</v>
      </c>
      <c r="R672" s="352" t="e">
        <f t="shared" ca="1" si="623"/>
        <v>#NAME?</v>
      </c>
      <c r="S672" s="662" t="e">
        <f t="shared" ca="1" si="598"/>
        <v>#NAME?</v>
      </c>
      <c r="T672" s="443" t="e">
        <f t="shared" ca="1" si="592"/>
        <v>#NAME?</v>
      </c>
      <c r="U672" s="369" t="e">
        <f t="shared" ca="1" si="593"/>
        <v>#NAME?</v>
      </c>
      <c r="V672" s="454" t="e">
        <f t="shared" ca="1" si="599"/>
        <v>#NAME?</v>
      </c>
      <c r="W672" s="457">
        <f t="shared" si="600"/>
        <v>1000</v>
      </c>
      <c r="X672" s="463" t="e">
        <f t="shared" ca="1" si="601"/>
        <v>#NAME?</v>
      </c>
      <c r="Y672" s="455" t="e">
        <f t="shared" ca="1" si="611"/>
        <v>#NAME?</v>
      </c>
      <c r="Z672" s="699">
        <f t="shared" si="594"/>
        <v>8.5</v>
      </c>
      <c r="AA672" s="355" t="str">
        <f t="shared" si="595"/>
        <v>ON</v>
      </c>
      <c r="AB672" s="357">
        <f t="shared" si="624"/>
        <v>1.4999999999999999E-2</v>
      </c>
      <c r="AC672" s="356" t="e">
        <f ca="1">IF(  Y671=0,0,IF(OR(S672="KCAS",S672="INOP",S672="MEFE"),   ( (5*( (   (((1+0.2*(T672/661.4786)^2)^3.5 -1)  )/( (1-6.8755856*10^-6 *100*Y672)^5.2558797) +1)^(2/7) -1) )^0.5),IF(S672="MACH",T672, IF(S672="LRC",BicubicInterpolation( 'LRC Mach'!$C$4:$AL$21, Y672,U672),  IF(S672="MRC",BicubicInterpolation( 'MRC Mach'!$C$3:$T$18, Y672,U672),  IF(S672="M0.84",0.84,  IF(S672="CI52",BicubicInterpolation('CI=52 Mach'!$C$3:$T$18, Y672,U672),  IF(S672="HOLDING",BicubicInterpolation(  'Holding Mach'!$C$4:$M$13, Y672,U672),                         IF(S672="LRCINOP", BicubicInterpolation('LRC INOP Mach'!$C$4:$AA$21,Y672,U672), IF(S672="HOLDINGINOP",  BicubicInterpolation('Holding INOP Mach'!$N$4:$U$13,Y672,U672),         "XXX" )))))))   )))</f>
        <v>#NAME?</v>
      </c>
      <c r="AD672" s="313" t="e">
        <f t="shared" ca="1" si="625"/>
        <v>#NAME?</v>
      </c>
      <c r="AE672" s="314" t="e">
        <f t="shared" ca="1" si="612"/>
        <v>#NAME?</v>
      </c>
      <c r="AF672" s="313" t="e">
        <f t="shared" ca="1" si="626"/>
        <v>#NAME?</v>
      </c>
      <c r="AG672" s="314" t="e">
        <f t="shared" ca="1" si="613"/>
        <v>#NAME?</v>
      </c>
      <c r="AH672" s="313" t="e">
        <f t="shared" ca="1" si="627"/>
        <v>#NAME?</v>
      </c>
      <c r="AI672" s="314" t="e">
        <f t="shared" ca="1" si="614"/>
        <v>#NAME?</v>
      </c>
      <c r="AJ672" s="315" t="e">
        <f t="shared" ca="1" si="615"/>
        <v>#NAME?</v>
      </c>
      <c r="AK672" s="568" t="e">
        <f t="shared" ca="1" si="628"/>
        <v>#NAME?</v>
      </c>
      <c r="AL672" s="313" t="e">
        <f t="shared" ca="1" si="629"/>
        <v>#NAME?</v>
      </c>
      <c r="AM672" s="313" t="e">
        <f t="shared" ca="1" si="616"/>
        <v>#NAME?</v>
      </c>
      <c r="AN672" s="313" t="e">
        <f t="shared" ca="1" si="617"/>
        <v>#NAME?</v>
      </c>
      <c r="AO672" s="316" t="e">
        <f t="shared" ca="1" si="630"/>
        <v>#NAME?</v>
      </c>
      <c r="AP672" s="313" t="e">
        <f t="shared" ca="1" si="631"/>
        <v>#NAME?</v>
      </c>
      <c r="AQ672" s="314" t="e">
        <f t="shared" ca="1" si="618"/>
        <v>#NAME?</v>
      </c>
      <c r="AR672" s="315" t="e">
        <f t="shared" ca="1" si="632"/>
        <v>#NAME?</v>
      </c>
      <c r="AS672" s="316" t="e">
        <f t="shared" ca="1" si="633"/>
        <v>#NAME?</v>
      </c>
      <c r="AT672" s="315" t="e">
        <f t="shared" ca="1" si="634"/>
        <v>#NAME?</v>
      </c>
      <c r="AU672" s="317">
        <v>427.8</v>
      </c>
      <c r="AV672" s="315" t="e">
        <f t="shared" ca="1" si="635"/>
        <v>#NAME?</v>
      </c>
      <c r="AW672" s="318" t="e">
        <f ca="1">0.0001*BicubicInterpolation('Drag Coef Table'!$B$4:$L$28,AV672,AC672)</f>
        <v>#NAME?</v>
      </c>
      <c r="AX672" s="319" t="e">
        <f t="shared" ca="1" si="636"/>
        <v>#NAME?</v>
      </c>
      <c r="AY672" s="318" t="e">
        <f t="shared" ca="1" si="637"/>
        <v>#NAME?</v>
      </c>
      <c r="AZ672" s="320" t="e">
        <f t="shared" ca="1" si="638"/>
        <v>#NAME?</v>
      </c>
      <c r="BA672" s="321" t="e">
        <f t="shared" ca="1" si="639"/>
        <v>#NAME?</v>
      </c>
      <c r="BB672" s="322" t="e">
        <f t="shared" ca="1" si="640"/>
        <v>#NAME?</v>
      </c>
      <c r="BC672" s="323">
        <v>75.196700000000007</v>
      </c>
      <c r="BD672" s="324" t="e">
        <f t="shared" ca="1" si="641"/>
        <v>#NAME?</v>
      </c>
      <c r="BE672" s="325" t="e">
        <f t="shared" ca="1" si="642"/>
        <v>#NAME?</v>
      </c>
      <c r="BF672" s="324" t="e">
        <f ca="1">BicubicInterpolation('TSFC Eff Table'!$B$4:$E$69,2,BB672)</f>
        <v>#NAME?</v>
      </c>
      <c r="BG672" s="326" t="e">
        <f t="shared" ca="1" si="643"/>
        <v>#NAME?</v>
      </c>
      <c r="BH672" s="694" t="e">
        <f ca="1">IF( S672="LRCINOP",   (1+(0.03/10)*Z672*(1+0.2*AC672^2) )*BicubicInterpolation( 'LRC INOP FF'!$C$4:$AA$21, Y672, U672 )-200, IF(S672 ="HOLDINGINOP", (1+(0.03/10)*Z672*(1+0.2*AC672^2) )*BicubicInterpolation( 'Holding INOP FF'!$C$4:$J$13,  Y672,  U672)/1.05-200,   BA672*BG672))</f>
        <v>#NAME?</v>
      </c>
      <c r="BI672" s="344" t="e">
        <f t="shared" ca="1" si="602"/>
        <v>#NAME?</v>
      </c>
      <c r="BJ672" s="322" t="e">
        <f t="shared" ca="1" si="644"/>
        <v>#NAME?</v>
      </c>
      <c r="BK672" s="338" t="e">
        <f t="shared" ca="1" si="603"/>
        <v>#NAME?</v>
      </c>
      <c r="BL672" s="327" t="e">
        <f t="shared" ca="1" si="645"/>
        <v>#NAME?</v>
      </c>
      <c r="BM672" s="328">
        <f t="shared" si="646"/>
        <v>200</v>
      </c>
      <c r="BN672" s="329" t="e">
        <f t="shared" ca="1" si="647"/>
        <v>#NAME?</v>
      </c>
      <c r="BO672" s="344" t="e">
        <f t="shared" ca="1" si="604"/>
        <v>#NAME?</v>
      </c>
      <c r="BP672" s="320" t="e">
        <f t="shared" ca="1" si="648"/>
        <v>#NAME?</v>
      </c>
      <c r="BQ672" s="344" t="e">
        <f t="shared" ca="1" si="605"/>
        <v>#NAME?</v>
      </c>
      <c r="BR672" s="347" t="e">
        <f t="shared" ca="1" si="606"/>
        <v>#NAME?</v>
      </c>
      <c r="BS672" s="326" t="e">
        <f t="shared" ca="1" si="649"/>
        <v>#NAME?</v>
      </c>
      <c r="BT672" s="437" t="e">
        <f t="shared" ca="1" si="619"/>
        <v>#NAME?</v>
      </c>
      <c r="BU672" s="437" t="e">
        <f t="shared" ca="1" si="620"/>
        <v>#NAME?</v>
      </c>
      <c r="BV672" s="441" t="e">
        <f t="shared" ca="1" si="621"/>
        <v>#NAME?</v>
      </c>
      <c r="BW672" s="442" t="e">
        <f t="shared" ca="1" si="622"/>
        <v>#NAME?</v>
      </c>
      <c r="BX672" s="470" t="e">
        <f t="shared" ca="1" si="596"/>
        <v>#NAME?</v>
      </c>
      <c r="BY672" s="484" t="e">
        <f t="shared" ca="1" si="607"/>
        <v>#NAME?</v>
      </c>
    </row>
    <row r="673" spans="9:77" ht="17.75" customHeight="1" x14ac:dyDescent="0.2">
      <c r="I673" s="366">
        <v>589</v>
      </c>
      <c r="J673" s="414">
        <f t="shared" si="608"/>
        <v>41706.121527779113</v>
      </c>
      <c r="K673" s="435" t="e">
        <f t="shared" ca="1" si="609"/>
        <v>#NAME?</v>
      </c>
      <c r="L673" s="435" t="e">
        <f t="shared" ca="1" si="590"/>
        <v>#NAME?</v>
      </c>
      <c r="M673" s="664" t="e">
        <f t="shared" ca="1" si="588"/>
        <v>#NAME?</v>
      </c>
      <c r="N673" s="664" t="e">
        <f t="shared" ca="1" si="589"/>
        <v>#NAME?</v>
      </c>
      <c r="O673" s="140" t="e">
        <f t="shared" ca="1" si="597"/>
        <v>#NAME?</v>
      </c>
      <c r="P673" s="352" t="e">
        <f t="shared" ca="1" si="610"/>
        <v>#NAME?</v>
      </c>
      <c r="Q673" s="665" t="e">
        <f t="shared" ca="1" si="591"/>
        <v>#NAME?</v>
      </c>
      <c r="R673" s="352" t="e">
        <f t="shared" ca="1" si="623"/>
        <v>#NAME?</v>
      </c>
      <c r="S673" s="662" t="e">
        <f t="shared" ca="1" si="598"/>
        <v>#NAME?</v>
      </c>
      <c r="T673" s="443" t="e">
        <f t="shared" ca="1" si="592"/>
        <v>#NAME?</v>
      </c>
      <c r="U673" s="369" t="e">
        <f t="shared" ca="1" si="593"/>
        <v>#NAME?</v>
      </c>
      <c r="V673" s="454" t="e">
        <f t="shared" ca="1" si="599"/>
        <v>#NAME?</v>
      </c>
      <c r="W673" s="457">
        <f t="shared" si="600"/>
        <v>1000</v>
      </c>
      <c r="X673" s="463" t="e">
        <f t="shared" ca="1" si="601"/>
        <v>#NAME?</v>
      </c>
      <c r="Y673" s="455" t="e">
        <f t="shared" ca="1" si="611"/>
        <v>#NAME?</v>
      </c>
      <c r="Z673" s="699">
        <f t="shared" si="594"/>
        <v>8.5</v>
      </c>
      <c r="AA673" s="355" t="str">
        <f t="shared" si="595"/>
        <v>ON</v>
      </c>
      <c r="AB673" s="357">
        <f t="shared" si="624"/>
        <v>1.4999999999999999E-2</v>
      </c>
      <c r="AC673" s="356" t="e">
        <f ca="1">IF(  Y672=0,0,IF(OR(S673="KCAS",S673="INOP",S673="MEFE"),   ( (5*( (   (((1+0.2*(T673/661.4786)^2)^3.5 -1)  )/( (1-6.8755856*10^-6 *100*Y673)^5.2558797) +1)^(2/7) -1) )^0.5),IF(S673="MACH",T673, IF(S673="LRC",BicubicInterpolation( 'LRC Mach'!$C$4:$AL$21, Y673,U673),  IF(S673="MRC",BicubicInterpolation( 'MRC Mach'!$C$3:$T$18, Y673,U673),  IF(S673="M0.84",0.84,  IF(S673="CI52",BicubicInterpolation('CI=52 Mach'!$C$3:$T$18, Y673,U673),  IF(S673="HOLDING",BicubicInterpolation(  'Holding Mach'!$C$4:$M$13, Y673,U673),                         IF(S673="LRCINOP", BicubicInterpolation('LRC INOP Mach'!$C$4:$AA$21,Y673,U673), IF(S673="HOLDINGINOP",  BicubicInterpolation('Holding INOP Mach'!$N$4:$U$13,Y673,U673),         "XXX" )))))))   )))</f>
        <v>#NAME?</v>
      </c>
      <c r="AD673" s="313" t="e">
        <f t="shared" ca="1" si="625"/>
        <v>#NAME?</v>
      </c>
      <c r="AE673" s="314" t="e">
        <f t="shared" ca="1" si="612"/>
        <v>#NAME?</v>
      </c>
      <c r="AF673" s="313" t="e">
        <f t="shared" ca="1" si="626"/>
        <v>#NAME?</v>
      </c>
      <c r="AG673" s="314" t="e">
        <f t="shared" ca="1" si="613"/>
        <v>#NAME?</v>
      </c>
      <c r="AH673" s="313" t="e">
        <f t="shared" ca="1" si="627"/>
        <v>#NAME?</v>
      </c>
      <c r="AI673" s="314" t="e">
        <f t="shared" ca="1" si="614"/>
        <v>#NAME?</v>
      </c>
      <c r="AJ673" s="315" t="e">
        <f t="shared" ca="1" si="615"/>
        <v>#NAME?</v>
      </c>
      <c r="AK673" s="568" t="e">
        <f t="shared" ca="1" si="628"/>
        <v>#NAME?</v>
      </c>
      <c r="AL673" s="313" t="e">
        <f t="shared" ca="1" si="629"/>
        <v>#NAME?</v>
      </c>
      <c r="AM673" s="313" t="e">
        <f t="shared" ca="1" si="616"/>
        <v>#NAME?</v>
      </c>
      <c r="AN673" s="313" t="e">
        <f t="shared" ca="1" si="617"/>
        <v>#NAME?</v>
      </c>
      <c r="AO673" s="316" t="e">
        <f t="shared" ca="1" si="630"/>
        <v>#NAME?</v>
      </c>
      <c r="AP673" s="313" t="e">
        <f t="shared" ca="1" si="631"/>
        <v>#NAME?</v>
      </c>
      <c r="AQ673" s="314" t="e">
        <f t="shared" ca="1" si="618"/>
        <v>#NAME?</v>
      </c>
      <c r="AR673" s="315" t="e">
        <f t="shared" ca="1" si="632"/>
        <v>#NAME?</v>
      </c>
      <c r="AS673" s="316" t="e">
        <f t="shared" ca="1" si="633"/>
        <v>#NAME?</v>
      </c>
      <c r="AT673" s="315" t="e">
        <f t="shared" ca="1" si="634"/>
        <v>#NAME?</v>
      </c>
      <c r="AU673" s="317">
        <v>427.8</v>
      </c>
      <c r="AV673" s="315" t="e">
        <f t="shared" ca="1" si="635"/>
        <v>#NAME?</v>
      </c>
      <c r="AW673" s="318" t="e">
        <f ca="1">0.0001*BicubicInterpolation('Drag Coef Table'!$B$4:$L$28,AV673,AC673)</f>
        <v>#NAME?</v>
      </c>
      <c r="AX673" s="319" t="e">
        <f t="shared" ca="1" si="636"/>
        <v>#NAME?</v>
      </c>
      <c r="AY673" s="318" t="e">
        <f t="shared" ca="1" si="637"/>
        <v>#NAME?</v>
      </c>
      <c r="AZ673" s="320" t="e">
        <f t="shared" ca="1" si="638"/>
        <v>#NAME?</v>
      </c>
      <c r="BA673" s="321" t="e">
        <f t="shared" ca="1" si="639"/>
        <v>#NAME?</v>
      </c>
      <c r="BB673" s="322" t="e">
        <f t="shared" ca="1" si="640"/>
        <v>#NAME?</v>
      </c>
      <c r="BC673" s="323">
        <v>75.196700000000007</v>
      </c>
      <c r="BD673" s="324" t="e">
        <f t="shared" ca="1" si="641"/>
        <v>#NAME?</v>
      </c>
      <c r="BE673" s="325" t="e">
        <f t="shared" ca="1" si="642"/>
        <v>#NAME?</v>
      </c>
      <c r="BF673" s="324" t="e">
        <f ca="1">BicubicInterpolation('TSFC Eff Table'!$B$4:$E$69,2,BB673)</f>
        <v>#NAME?</v>
      </c>
      <c r="BG673" s="326" t="e">
        <f t="shared" ca="1" si="643"/>
        <v>#NAME?</v>
      </c>
      <c r="BH673" s="694" t="e">
        <f ca="1">IF( S673="LRCINOP",   (1+(0.03/10)*Z673*(1+0.2*AC673^2) )*BicubicInterpolation( 'LRC INOP FF'!$C$4:$AA$21, Y673, U673 )-200, IF(S673 ="HOLDINGINOP", (1+(0.03/10)*Z673*(1+0.2*AC673^2) )*BicubicInterpolation( 'Holding INOP FF'!$C$4:$J$13,  Y673,  U673)/1.05-200,   BA673*BG673))</f>
        <v>#NAME?</v>
      </c>
      <c r="BI673" s="344" t="e">
        <f t="shared" ca="1" si="602"/>
        <v>#NAME?</v>
      </c>
      <c r="BJ673" s="322" t="e">
        <f t="shared" ca="1" si="644"/>
        <v>#NAME?</v>
      </c>
      <c r="BK673" s="338" t="e">
        <f t="shared" ca="1" si="603"/>
        <v>#NAME?</v>
      </c>
      <c r="BL673" s="327" t="e">
        <f t="shared" ca="1" si="645"/>
        <v>#NAME?</v>
      </c>
      <c r="BM673" s="328">
        <f t="shared" si="646"/>
        <v>200</v>
      </c>
      <c r="BN673" s="329" t="e">
        <f t="shared" ca="1" si="647"/>
        <v>#NAME?</v>
      </c>
      <c r="BO673" s="344" t="e">
        <f t="shared" ca="1" si="604"/>
        <v>#NAME?</v>
      </c>
      <c r="BP673" s="320" t="e">
        <f t="shared" ca="1" si="648"/>
        <v>#NAME?</v>
      </c>
      <c r="BQ673" s="344" t="e">
        <f t="shared" ca="1" si="605"/>
        <v>#NAME?</v>
      </c>
      <c r="BR673" s="347" t="e">
        <f t="shared" ca="1" si="606"/>
        <v>#NAME?</v>
      </c>
      <c r="BS673" s="326" t="e">
        <f t="shared" ca="1" si="649"/>
        <v>#NAME?</v>
      </c>
      <c r="BT673" s="437" t="e">
        <f t="shared" ca="1" si="619"/>
        <v>#NAME?</v>
      </c>
      <c r="BU673" s="437" t="e">
        <f t="shared" ca="1" si="620"/>
        <v>#NAME?</v>
      </c>
      <c r="BV673" s="441" t="e">
        <f t="shared" ca="1" si="621"/>
        <v>#NAME?</v>
      </c>
      <c r="BW673" s="442" t="e">
        <f t="shared" ca="1" si="622"/>
        <v>#NAME?</v>
      </c>
      <c r="BX673" s="470" t="e">
        <f t="shared" ca="1" si="596"/>
        <v>#NAME?</v>
      </c>
      <c r="BY673" s="484" t="e">
        <f t="shared" ca="1" si="607"/>
        <v>#NAME?</v>
      </c>
    </row>
    <row r="674" spans="9:77" ht="17.75" customHeight="1" x14ac:dyDescent="0.2">
      <c r="I674" s="366">
        <v>590</v>
      </c>
      <c r="J674" s="414">
        <f t="shared" si="608"/>
        <v>41706.122222223559</v>
      </c>
      <c r="K674" s="435" t="e">
        <f t="shared" ca="1" si="609"/>
        <v>#NAME?</v>
      </c>
      <c r="L674" s="435" t="e">
        <f t="shared" ca="1" si="590"/>
        <v>#NAME?</v>
      </c>
      <c r="M674" s="664" t="e">
        <f t="shared" ca="1" si="588"/>
        <v>#NAME?</v>
      </c>
      <c r="N674" s="664" t="e">
        <f t="shared" ca="1" si="589"/>
        <v>#NAME?</v>
      </c>
      <c r="O674" s="140" t="e">
        <f t="shared" ca="1" si="597"/>
        <v>#NAME?</v>
      </c>
      <c r="P674" s="352" t="e">
        <f t="shared" ca="1" si="610"/>
        <v>#NAME?</v>
      </c>
      <c r="Q674" s="665" t="e">
        <f t="shared" ca="1" si="591"/>
        <v>#NAME?</v>
      </c>
      <c r="R674" s="352" t="e">
        <f t="shared" ca="1" si="623"/>
        <v>#NAME?</v>
      </c>
      <c r="S674" s="662" t="e">
        <f t="shared" ca="1" si="598"/>
        <v>#NAME?</v>
      </c>
      <c r="T674" s="443" t="e">
        <f t="shared" ca="1" si="592"/>
        <v>#NAME?</v>
      </c>
      <c r="U674" s="369" t="e">
        <f t="shared" ca="1" si="593"/>
        <v>#NAME?</v>
      </c>
      <c r="V674" s="454" t="e">
        <f t="shared" ca="1" si="599"/>
        <v>#NAME?</v>
      </c>
      <c r="W674" s="457">
        <f t="shared" si="600"/>
        <v>1000</v>
      </c>
      <c r="X674" s="463" t="e">
        <f t="shared" ca="1" si="601"/>
        <v>#NAME?</v>
      </c>
      <c r="Y674" s="455" t="e">
        <f t="shared" ca="1" si="611"/>
        <v>#NAME?</v>
      </c>
      <c r="Z674" s="699">
        <f t="shared" si="594"/>
        <v>8.5</v>
      </c>
      <c r="AA674" s="355" t="str">
        <f t="shared" si="595"/>
        <v>ON</v>
      </c>
      <c r="AB674" s="357">
        <f t="shared" si="624"/>
        <v>1.4999999999999999E-2</v>
      </c>
      <c r="AC674" s="356" t="e">
        <f ca="1">IF(  Y673=0,0,IF(OR(S674="KCAS",S674="INOP",S674="MEFE"),   ( (5*( (   (((1+0.2*(T674/661.4786)^2)^3.5 -1)  )/( (1-6.8755856*10^-6 *100*Y674)^5.2558797) +1)^(2/7) -1) )^0.5),IF(S674="MACH",T674, IF(S674="LRC",BicubicInterpolation( 'LRC Mach'!$C$4:$AL$21, Y674,U674),  IF(S674="MRC",BicubicInterpolation( 'MRC Mach'!$C$3:$T$18, Y674,U674),  IF(S674="M0.84",0.84,  IF(S674="CI52",BicubicInterpolation('CI=52 Mach'!$C$3:$T$18, Y674,U674),  IF(S674="HOLDING",BicubicInterpolation(  'Holding Mach'!$C$4:$M$13, Y674,U674),                         IF(S674="LRCINOP", BicubicInterpolation('LRC INOP Mach'!$C$4:$AA$21,Y674,U674), IF(S674="HOLDINGINOP",  BicubicInterpolation('Holding INOP Mach'!$N$4:$U$13,Y674,U674),         "XXX" )))))))   )))</f>
        <v>#NAME?</v>
      </c>
      <c r="AD674" s="313" t="e">
        <f t="shared" ca="1" si="625"/>
        <v>#NAME?</v>
      </c>
      <c r="AE674" s="314" t="e">
        <f t="shared" ca="1" si="612"/>
        <v>#NAME?</v>
      </c>
      <c r="AF674" s="313" t="e">
        <f t="shared" ca="1" si="626"/>
        <v>#NAME?</v>
      </c>
      <c r="AG674" s="314" t="e">
        <f t="shared" ca="1" si="613"/>
        <v>#NAME?</v>
      </c>
      <c r="AH674" s="313" t="e">
        <f t="shared" ca="1" si="627"/>
        <v>#NAME?</v>
      </c>
      <c r="AI674" s="314" t="e">
        <f t="shared" ca="1" si="614"/>
        <v>#NAME?</v>
      </c>
      <c r="AJ674" s="315" t="e">
        <f t="shared" ca="1" si="615"/>
        <v>#NAME?</v>
      </c>
      <c r="AK674" s="568" t="e">
        <f t="shared" ca="1" si="628"/>
        <v>#NAME?</v>
      </c>
      <c r="AL674" s="313" t="e">
        <f t="shared" ca="1" si="629"/>
        <v>#NAME?</v>
      </c>
      <c r="AM674" s="313" t="e">
        <f t="shared" ca="1" si="616"/>
        <v>#NAME?</v>
      </c>
      <c r="AN674" s="313" t="e">
        <f t="shared" ca="1" si="617"/>
        <v>#NAME?</v>
      </c>
      <c r="AO674" s="316" t="e">
        <f t="shared" ca="1" si="630"/>
        <v>#NAME?</v>
      </c>
      <c r="AP674" s="313" t="e">
        <f t="shared" ca="1" si="631"/>
        <v>#NAME?</v>
      </c>
      <c r="AQ674" s="314" t="e">
        <f t="shared" ca="1" si="618"/>
        <v>#NAME?</v>
      </c>
      <c r="AR674" s="315" t="e">
        <f t="shared" ca="1" si="632"/>
        <v>#NAME?</v>
      </c>
      <c r="AS674" s="316" t="e">
        <f t="shared" ca="1" si="633"/>
        <v>#NAME?</v>
      </c>
      <c r="AT674" s="315" t="e">
        <f t="shared" ca="1" si="634"/>
        <v>#NAME?</v>
      </c>
      <c r="AU674" s="317">
        <v>427.8</v>
      </c>
      <c r="AV674" s="315" t="e">
        <f t="shared" ca="1" si="635"/>
        <v>#NAME?</v>
      </c>
      <c r="AW674" s="318" t="e">
        <f ca="1">0.0001*BicubicInterpolation('Drag Coef Table'!$B$4:$L$28,AV674,AC674)</f>
        <v>#NAME?</v>
      </c>
      <c r="AX674" s="319" t="e">
        <f t="shared" ca="1" si="636"/>
        <v>#NAME?</v>
      </c>
      <c r="AY674" s="318" t="e">
        <f t="shared" ca="1" si="637"/>
        <v>#NAME?</v>
      </c>
      <c r="AZ674" s="320" t="e">
        <f t="shared" ca="1" si="638"/>
        <v>#NAME?</v>
      </c>
      <c r="BA674" s="321" t="e">
        <f t="shared" ca="1" si="639"/>
        <v>#NAME?</v>
      </c>
      <c r="BB674" s="322" t="e">
        <f t="shared" ca="1" si="640"/>
        <v>#NAME?</v>
      </c>
      <c r="BC674" s="323">
        <v>75.196700000000007</v>
      </c>
      <c r="BD674" s="324" t="e">
        <f t="shared" ca="1" si="641"/>
        <v>#NAME?</v>
      </c>
      <c r="BE674" s="325" t="e">
        <f t="shared" ca="1" si="642"/>
        <v>#NAME?</v>
      </c>
      <c r="BF674" s="324" t="e">
        <f ca="1">BicubicInterpolation('TSFC Eff Table'!$B$4:$E$69,2,BB674)</f>
        <v>#NAME?</v>
      </c>
      <c r="BG674" s="326" t="e">
        <f t="shared" ca="1" si="643"/>
        <v>#NAME?</v>
      </c>
      <c r="BH674" s="694" t="e">
        <f ca="1">IF( S674="LRCINOP",   (1+(0.03/10)*Z674*(1+0.2*AC674^2) )*BicubicInterpolation( 'LRC INOP FF'!$C$4:$AA$21, Y674, U674 )-200, IF(S674 ="HOLDINGINOP", (1+(0.03/10)*Z674*(1+0.2*AC674^2) )*BicubicInterpolation( 'Holding INOP FF'!$C$4:$J$13,  Y674,  U674)/1.05-200,   BA674*BG674))</f>
        <v>#NAME?</v>
      </c>
      <c r="BI674" s="344" t="e">
        <f t="shared" ca="1" si="602"/>
        <v>#NAME?</v>
      </c>
      <c r="BJ674" s="322" t="e">
        <f t="shared" ca="1" si="644"/>
        <v>#NAME?</v>
      </c>
      <c r="BK674" s="338" t="e">
        <f t="shared" ca="1" si="603"/>
        <v>#NAME?</v>
      </c>
      <c r="BL674" s="327" t="e">
        <f t="shared" ca="1" si="645"/>
        <v>#NAME?</v>
      </c>
      <c r="BM674" s="328">
        <f t="shared" si="646"/>
        <v>200</v>
      </c>
      <c r="BN674" s="329" t="e">
        <f t="shared" ca="1" si="647"/>
        <v>#NAME?</v>
      </c>
      <c r="BO674" s="344" t="e">
        <f t="shared" ca="1" si="604"/>
        <v>#NAME?</v>
      </c>
      <c r="BP674" s="320" t="e">
        <f t="shared" ca="1" si="648"/>
        <v>#NAME?</v>
      </c>
      <c r="BQ674" s="344" t="e">
        <f t="shared" ca="1" si="605"/>
        <v>#NAME?</v>
      </c>
      <c r="BR674" s="347" t="e">
        <f t="shared" ca="1" si="606"/>
        <v>#NAME?</v>
      </c>
      <c r="BS674" s="326" t="e">
        <f t="shared" ca="1" si="649"/>
        <v>#NAME?</v>
      </c>
      <c r="BT674" s="437" t="e">
        <f t="shared" ca="1" si="619"/>
        <v>#NAME?</v>
      </c>
      <c r="BU674" s="437" t="e">
        <f t="shared" ca="1" si="620"/>
        <v>#NAME?</v>
      </c>
      <c r="BV674" s="441" t="e">
        <f t="shared" ca="1" si="621"/>
        <v>#NAME?</v>
      </c>
      <c r="BW674" s="442" t="e">
        <f t="shared" ca="1" si="622"/>
        <v>#NAME?</v>
      </c>
      <c r="BX674" s="470" t="e">
        <f t="shared" ca="1" si="596"/>
        <v>#NAME?</v>
      </c>
      <c r="BY674" s="484" t="e">
        <f t="shared" ca="1" si="607"/>
        <v>#NAME?</v>
      </c>
    </row>
    <row r="675" spans="9:77" ht="17.75" customHeight="1" x14ac:dyDescent="0.2">
      <c r="I675" s="366">
        <v>591</v>
      </c>
      <c r="J675" s="414">
        <f t="shared" si="608"/>
        <v>41706.122916668006</v>
      </c>
      <c r="K675" s="435" t="e">
        <f t="shared" ca="1" si="609"/>
        <v>#NAME?</v>
      </c>
      <c r="L675" s="435" t="e">
        <f t="shared" ca="1" si="590"/>
        <v>#NAME?</v>
      </c>
      <c r="M675" s="664" t="e">
        <f t="shared" ca="1" si="588"/>
        <v>#NAME?</v>
      </c>
      <c r="N675" s="664" t="e">
        <f t="shared" ca="1" si="589"/>
        <v>#NAME?</v>
      </c>
      <c r="O675" s="140" t="e">
        <f t="shared" ca="1" si="597"/>
        <v>#NAME?</v>
      </c>
      <c r="P675" s="352" t="e">
        <f t="shared" ca="1" si="610"/>
        <v>#NAME?</v>
      </c>
      <c r="Q675" s="665" t="e">
        <f t="shared" ca="1" si="591"/>
        <v>#NAME?</v>
      </c>
      <c r="R675" s="352" t="e">
        <f t="shared" ca="1" si="623"/>
        <v>#NAME?</v>
      </c>
      <c r="S675" s="662" t="e">
        <f t="shared" ca="1" si="598"/>
        <v>#NAME?</v>
      </c>
      <c r="T675" s="443" t="e">
        <f t="shared" ca="1" si="592"/>
        <v>#NAME?</v>
      </c>
      <c r="U675" s="369" t="e">
        <f t="shared" ca="1" si="593"/>
        <v>#NAME?</v>
      </c>
      <c r="V675" s="454" t="e">
        <f t="shared" ca="1" si="599"/>
        <v>#NAME?</v>
      </c>
      <c r="W675" s="457">
        <f t="shared" si="600"/>
        <v>1000</v>
      </c>
      <c r="X675" s="463" t="e">
        <f t="shared" ca="1" si="601"/>
        <v>#NAME?</v>
      </c>
      <c r="Y675" s="455" t="e">
        <f t="shared" ca="1" si="611"/>
        <v>#NAME?</v>
      </c>
      <c r="Z675" s="699">
        <f t="shared" si="594"/>
        <v>8.5</v>
      </c>
      <c r="AA675" s="355" t="str">
        <f t="shared" si="595"/>
        <v>ON</v>
      </c>
      <c r="AB675" s="357">
        <f t="shared" si="624"/>
        <v>1.4999999999999999E-2</v>
      </c>
      <c r="AC675" s="356" t="e">
        <f ca="1">IF(  Y674=0,0,IF(OR(S675="KCAS",S675="INOP",S675="MEFE"),   ( (5*( (   (((1+0.2*(T675/661.4786)^2)^3.5 -1)  )/( (1-6.8755856*10^-6 *100*Y675)^5.2558797) +1)^(2/7) -1) )^0.5),IF(S675="MACH",T675, IF(S675="LRC",BicubicInterpolation( 'LRC Mach'!$C$4:$AL$21, Y675,U675),  IF(S675="MRC",BicubicInterpolation( 'MRC Mach'!$C$3:$T$18, Y675,U675),  IF(S675="M0.84",0.84,  IF(S675="CI52",BicubicInterpolation('CI=52 Mach'!$C$3:$T$18, Y675,U675),  IF(S675="HOLDING",BicubicInterpolation(  'Holding Mach'!$C$4:$M$13, Y675,U675),                         IF(S675="LRCINOP", BicubicInterpolation('LRC INOP Mach'!$C$4:$AA$21,Y675,U675), IF(S675="HOLDINGINOP",  BicubicInterpolation('Holding INOP Mach'!$N$4:$U$13,Y675,U675),         "XXX" )))))))   )))</f>
        <v>#NAME?</v>
      </c>
      <c r="AD675" s="313" t="e">
        <f t="shared" ca="1" si="625"/>
        <v>#NAME?</v>
      </c>
      <c r="AE675" s="314" t="e">
        <f t="shared" ca="1" si="612"/>
        <v>#NAME?</v>
      </c>
      <c r="AF675" s="313" t="e">
        <f t="shared" ca="1" si="626"/>
        <v>#NAME?</v>
      </c>
      <c r="AG675" s="314" t="e">
        <f t="shared" ca="1" si="613"/>
        <v>#NAME?</v>
      </c>
      <c r="AH675" s="313" t="e">
        <f t="shared" ca="1" si="627"/>
        <v>#NAME?</v>
      </c>
      <c r="AI675" s="314" t="e">
        <f t="shared" ca="1" si="614"/>
        <v>#NAME?</v>
      </c>
      <c r="AJ675" s="315" t="e">
        <f t="shared" ca="1" si="615"/>
        <v>#NAME?</v>
      </c>
      <c r="AK675" s="568" t="e">
        <f t="shared" ca="1" si="628"/>
        <v>#NAME?</v>
      </c>
      <c r="AL675" s="313" t="e">
        <f t="shared" ca="1" si="629"/>
        <v>#NAME?</v>
      </c>
      <c r="AM675" s="313" t="e">
        <f t="shared" ca="1" si="616"/>
        <v>#NAME?</v>
      </c>
      <c r="AN675" s="313" t="e">
        <f t="shared" ca="1" si="617"/>
        <v>#NAME?</v>
      </c>
      <c r="AO675" s="316" t="e">
        <f t="shared" ca="1" si="630"/>
        <v>#NAME?</v>
      </c>
      <c r="AP675" s="313" t="e">
        <f t="shared" ca="1" si="631"/>
        <v>#NAME?</v>
      </c>
      <c r="AQ675" s="314" t="e">
        <f t="shared" ca="1" si="618"/>
        <v>#NAME?</v>
      </c>
      <c r="AR675" s="315" t="e">
        <f t="shared" ca="1" si="632"/>
        <v>#NAME?</v>
      </c>
      <c r="AS675" s="316" t="e">
        <f t="shared" ca="1" si="633"/>
        <v>#NAME?</v>
      </c>
      <c r="AT675" s="315" t="e">
        <f t="shared" ca="1" si="634"/>
        <v>#NAME?</v>
      </c>
      <c r="AU675" s="317">
        <v>427.8</v>
      </c>
      <c r="AV675" s="315" t="e">
        <f t="shared" ca="1" si="635"/>
        <v>#NAME?</v>
      </c>
      <c r="AW675" s="318" t="e">
        <f ca="1">0.0001*BicubicInterpolation('Drag Coef Table'!$B$4:$L$28,AV675,AC675)</f>
        <v>#NAME?</v>
      </c>
      <c r="AX675" s="319" t="e">
        <f t="shared" ca="1" si="636"/>
        <v>#NAME?</v>
      </c>
      <c r="AY675" s="318" t="e">
        <f t="shared" ca="1" si="637"/>
        <v>#NAME?</v>
      </c>
      <c r="AZ675" s="320" t="e">
        <f t="shared" ca="1" si="638"/>
        <v>#NAME?</v>
      </c>
      <c r="BA675" s="321" t="e">
        <f t="shared" ca="1" si="639"/>
        <v>#NAME?</v>
      </c>
      <c r="BB675" s="322" t="e">
        <f t="shared" ca="1" si="640"/>
        <v>#NAME?</v>
      </c>
      <c r="BC675" s="323">
        <v>75.196700000000007</v>
      </c>
      <c r="BD675" s="324" t="e">
        <f t="shared" ca="1" si="641"/>
        <v>#NAME?</v>
      </c>
      <c r="BE675" s="325" t="e">
        <f t="shared" ca="1" si="642"/>
        <v>#NAME?</v>
      </c>
      <c r="BF675" s="324" t="e">
        <f ca="1">BicubicInterpolation('TSFC Eff Table'!$B$4:$E$69,2,BB675)</f>
        <v>#NAME?</v>
      </c>
      <c r="BG675" s="326" t="e">
        <f t="shared" ca="1" si="643"/>
        <v>#NAME?</v>
      </c>
      <c r="BH675" s="694" t="e">
        <f ca="1">IF( S675="LRCINOP",   (1+(0.03/10)*Z675*(1+0.2*AC675^2) )*BicubicInterpolation( 'LRC INOP FF'!$C$4:$AA$21, Y675, U675 )-200, IF(S675 ="HOLDINGINOP", (1+(0.03/10)*Z675*(1+0.2*AC675^2) )*BicubicInterpolation( 'Holding INOP FF'!$C$4:$J$13,  Y675,  U675)/1.05-200,   BA675*BG675))</f>
        <v>#NAME?</v>
      </c>
      <c r="BI675" s="344" t="e">
        <f t="shared" ca="1" si="602"/>
        <v>#NAME?</v>
      </c>
      <c r="BJ675" s="322" t="e">
        <f t="shared" ca="1" si="644"/>
        <v>#NAME?</v>
      </c>
      <c r="BK675" s="338" t="e">
        <f t="shared" ca="1" si="603"/>
        <v>#NAME?</v>
      </c>
      <c r="BL675" s="327" t="e">
        <f t="shared" ca="1" si="645"/>
        <v>#NAME?</v>
      </c>
      <c r="BM675" s="328">
        <f t="shared" si="646"/>
        <v>200</v>
      </c>
      <c r="BN675" s="329" t="e">
        <f t="shared" ca="1" si="647"/>
        <v>#NAME?</v>
      </c>
      <c r="BO675" s="344" t="e">
        <f t="shared" ca="1" si="604"/>
        <v>#NAME?</v>
      </c>
      <c r="BP675" s="320" t="e">
        <f t="shared" ca="1" si="648"/>
        <v>#NAME?</v>
      </c>
      <c r="BQ675" s="344" t="e">
        <f t="shared" ca="1" si="605"/>
        <v>#NAME?</v>
      </c>
      <c r="BR675" s="347" t="e">
        <f t="shared" ca="1" si="606"/>
        <v>#NAME?</v>
      </c>
      <c r="BS675" s="326" t="e">
        <f t="shared" ca="1" si="649"/>
        <v>#NAME?</v>
      </c>
      <c r="BT675" s="437" t="e">
        <f t="shared" ca="1" si="619"/>
        <v>#NAME?</v>
      </c>
      <c r="BU675" s="437" t="e">
        <f t="shared" ca="1" si="620"/>
        <v>#NAME?</v>
      </c>
      <c r="BV675" s="441" t="e">
        <f t="shared" ca="1" si="621"/>
        <v>#NAME?</v>
      </c>
      <c r="BW675" s="442" t="e">
        <f t="shared" ca="1" si="622"/>
        <v>#NAME?</v>
      </c>
      <c r="BX675" s="470" t="e">
        <f t="shared" ca="1" si="596"/>
        <v>#NAME?</v>
      </c>
      <c r="BY675" s="484" t="e">
        <f t="shared" ca="1" si="607"/>
        <v>#NAME?</v>
      </c>
    </row>
    <row r="676" spans="9:77" ht="17.75" customHeight="1" x14ac:dyDescent="0.2">
      <c r="I676" s="366">
        <v>592</v>
      </c>
      <c r="J676" s="414">
        <f t="shared" si="608"/>
        <v>41706.123611112453</v>
      </c>
      <c r="K676" s="435" t="e">
        <f t="shared" ca="1" si="609"/>
        <v>#NAME?</v>
      </c>
      <c r="L676" s="435" t="e">
        <f t="shared" ca="1" si="590"/>
        <v>#NAME?</v>
      </c>
      <c r="M676" s="664" t="e">
        <f t="shared" ca="1" si="588"/>
        <v>#NAME?</v>
      </c>
      <c r="N676" s="664" t="e">
        <f t="shared" ca="1" si="589"/>
        <v>#NAME?</v>
      </c>
      <c r="O676" s="140" t="e">
        <f t="shared" ca="1" si="597"/>
        <v>#NAME?</v>
      </c>
      <c r="P676" s="352" t="e">
        <f t="shared" ca="1" si="610"/>
        <v>#NAME?</v>
      </c>
      <c r="Q676" s="665" t="e">
        <f t="shared" ca="1" si="591"/>
        <v>#NAME?</v>
      </c>
      <c r="R676" s="352" t="e">
        <f t="shared" ca="1" si="623"/>
        <v>#NAME?</v>
      </c>
      <c r="S676" s="662" t="e">
        <f t="shared" ca="1" si="598"/>
        <v>#NAME?</v>
      </c>
      <c r="T676" s="443" t="e">
        <f t="shared" ca="1" si="592"/>
        <v>#NAME?</v>
      </c>
      <c r="U676" s="369" t="e">
        <f t="shared" ca="1" si="593"/>
        <v>#NAME?</v>
      </c>
      <c r="V676" s="454" t="e">
        <f t="shared" ca="1" si="599"/>
        <v>#NAME?</v>
      </c>
      <c r="W676" s="457">
        <f t="shared" si="600"/>
        <v>1000</v>
      </c>
      <c r="X676" s="463" t="e">
        <f t="shared" ca="1" si="601"/>
        <v>#NAME?</v>
      </c>
      <c r="Y676" s="455" t="e">
        <f t="shared" ca="1" si="611"/>
        <v>#NAME?</v>
      </c>
      <c r="Z676" s="699">
        <f t="shared" si="594"/>
        <v>8.5</v>
      </c>
      <c r="AA676" s="355" t="str">
        <f t="shared" si="595"/>
        <v>ON</v>
      </c>
      <c r="AB676" s="357">
        <f t="shared" si="624"/>
        <v>1.4999999999999999E-2</v>
      </c>
      <c r="AC676" s="356" t="e">
        <f ca="1">IF(  Y675=0,0,IF(OR(S676="KCAS",S676="INOP",S676="MEFE"),   ( (5*( (   (((1+0.2*(T676/661.4786)^2)^3.5 -1)  )/( (1-6.8755856*10^-6 *100*Y676)^5.2558797) +1)^(2/7) -1) )^0.5),IF(S676="MACH",T676, IF(S676="LRC",BicubicInterpolation( 'LRC Mach'!$C$4:$AL$21, Y676,U676),  IF(S676="MRC",BicubicInterpolation( 'MRC Mach'!$C$3:$T$18, Y676,U676),  IF(S676="M0.84",0.84,  IF(S676="CI52",BicubicInterpolation('CI=52 Mach'!$C$3:$T$18, Y676,U676),  IF(S676="HOLDING",BicubicInterpolation(  'Holding Mach'!$C$4:$M$13, Y676,U676),                         IF(S676="LRCINOP", BicubicInterpolation('LRC INOP Mach'!$C$4:$AA$21,Y676,U676), IF(S676="HOLDINGINOP",  BicubicInterpolation('Holding INOP Mach'!$N$4:$U$13,Y676,U676),         "XXX" )))))))   )))</f>
        <v>#NAME?</v>
      </c>
      <c r="AD676" s="313" t="e">
        <f t="shared" ca="1" si="625"/>
        <v>#NAME?</v>
      </c>
      <c r="AE676" s="314" t="e">
        <f t="shared" ca="1" si="612"/>
        <v>#NAME?</v>
      </c>
      <c r="AF676" s="313" t="e">
        <f t="shared" ca="1" si="626"/>
        <v>#NAME?</v>
      </c>
      <c r="AG676" s="314" t="e">
        <f t="shared" ca="1" si="613"/>
        <v>#NAME?</v>
      </c>
      <c r="AH676" s="313" t="e">
        <f t="shared" ca="1" si="627"/>
        <v>#NAME?</v>
      </c>
      <c r="AI676" s="314" t="e">
        <f t="shared" ca="1" si="614"/>
        <v>#NAME?</v>
      </c>
      <c r="AJ676" s="315" t="e">
        <f t="shared" ca="1" si="615"/>
        <v>#NAME?</v>
      </c>
      <c r="AK676" s="568" t="e">
        <f t="shared" ca="1" si="628"/>
        <v>#NAME?</v>
      </c>
      <c r="AL676" s="313" t="e">
        <f t="shared" ca="1" si="629"/>
        <v>#NAME?</v>
      </c>
      <c r="AM676" s="313" t="e">
        <f t="shared" ca="1" si="616"/>
        <v>#NAME?</v>
      </c>
      <c r="AN676" s="313" t="e">
        <f t="shared" ca="1" si="617"/>
        <v>#NAME?</v>
      </c>
      <c r="AO676" s="316" t="e">
        <f t="shared" ca="1" si="630"/>
        <v>#NAME?</v>
      </c>
      <c r="AP676" s="313" t="e">
        <f t="shared" ca="1" si="631"/>
        <v>#NAME?</v>
      </c>
      <c r="AQ676" s="314" t="e">
        <f t="shared" ca="1" si="618"/>
        <v>#NAME?</v>
      </c>
      <c r="AR676" s="315" t="e">
        <f t="shared" ca="1" si="632"/>
        <v>#NAME?</v>
      </c>
      <c r="AS676" s="316" t="e">
        <f t="shared" ca="1" si="633"/>
        <v>#NAME?</v>
      </c>
      <c r="AT676" s="315" t="e">
        <f t="shared" ca="1" si="634"/>
        <v>#NAME?</v>
      </c>
      <c r="AU676" s="317">
        <v>427.8</v>
      </c>
      <c r="AV676" s="315" t="e">
        <f t="shared" ca="1" si="635"/>
        <v>#NAME?</v>
      </c>
      <c r="AW676" s="318" t="e">
        <f ca="1">0.0001*BicubicInterpolation('Drag Coef Table'!$B$4:$L$28,AV676,AC676)</f>
        <v>#NAME?</v>
      </c>
      <c r="AX676" s="319" t="e">
        <f t="shared" ca="1" si="636"/>
        <v>#NAME?</v>
      </c>
      <c r="AY676" s="318" t="e">
        <f t="shared" ca="1" si="637"/>
        <v>#NAME?</v>
      </c>
      <c r="AZ676" s="320" t="e">
        <f t="shared" ca="1" si="638"/>
        <v>#NAME?</v>
      </c>
      <c r="BA676" s="321" t="e">
        <f t="shared" ca="1" si="639"/>
        <v>#NAME?</v>
      </c>
      <c r="BB676" s="322" t="e">
        <f t="shared" ca="1" si="640"/>
        <v>#NAME?</v>
      </c>
      <c r="BC676" s="323">
        <v>75.196700000000007</v>
      </c>
      <c r="BD676" s="324" t="e">
        <f t="shared" ca="1" si="641"/>
        <v>#NAME?</v>
      </c>
      <c r="BE676" s="325" t="e">
        <f t="shared" ca="1" si="642"/>
        <v>#NAME?</v>
      </c>
      <c r="BF676" s="324" t="e">
        <f ca="1">BicubicInterpolation('TSFC Eff Table'!$B$4:$E$69,2,BB676)</f>
        <v>#NAME?</v>
      </c>
      <c r="BG676" s="326" t="e">
        <f t="shared" ca="1" si="643"/>
        <v>#NAME?</v>
      </c>
      <c r="BH676" s="694" t="e">
        <f ca="1">IF( S676="LRCINOP",   (1+(0.03/10)*Z676*(1+0.2*AC676^2) )*BicubicInterpolation( 'LRC INOP FF'!$C$4:$AA$21, Y676, U676 )-200, IF(S676 ="HOLDINGINOP", (1+(0.03/10)*Z676*(1+0.2*AC676^2) )*BicubicInterpolation( 'Holding INOP FF'!$C$4:$J$13,  Y676,  U676)/1.05-200,   BA676*BG676))</f>
        <v>#NAME?</v>
      </c>
      <c r="BI676" s="344" t="e">
        <f t="shared" ca="1" si="602"/>
        <v>#NAME?</v>
      </c>
      <c r="BJ676" s="322" t="e">
        <f t="shared" ca="1" si="644"/>
        <v>#NAME?</v>
      </c>
      <c r="BK676" s="338" t="e">
        <f t="shared" ca="1" si="603"/>
        <v>#NAME?</v>
      </c>
      <c r="BL676" s="327" t="e">
        <f t="shared" ca="1" si="645"/>
        <v>#NAME?</v>
      </c>
      <c r="BM676" s="328">
        <f t="shared" si="646"/>
        <v>200</v>
      </c>
      <c r="BN676" s="329" t="e">
        <f t="shared" ca="1" si="647"/>
        <v>#NAME?</v>
      </c>
      <c r="BO676" s="344" t="e">
        <f t="shared" ca="1" si="604"/>
        <v>#NAME?</v>
      </c>
      <c r="BP676" s="320" t="e">
        <f t="shared" ca="1" si="648"/>
        <v>#NAME?</v>
      </c>
      <c r="BQ676" s="344" t="e">
        <f t="shared" ca="1" si="605"/>
        <v>#NAME?</v>
      </c>
      <c r="BR676" s="347" t="e">
        <f t="shared" ca="1" si="606"/>
        <v>#NAME?</v>
      </c>
      <c r="BS676" s="326" t="e">
        <f t="shared" ca="1" si="649"/>
        <v>#NAME?</v>
      </c>
      <c r="BT676" s="437" t="e">
        <f t="shared" ca="1" si="619"/>
        <v>#NAME?</v>
      </c>
      <c r="BU676" s="437" t="e">
        <f t="shared" ca="1" si="620"/>
        <v>#NAME?</v>
      </c>
      <c r="BV676" s="441" t="e">
        <f t="shared" ca="1" si="621"/>
        <v>#NAME?</v>
      </c>
      <c r="BW676" s="442" t="e">
        <f t="shared" ca="1" si="622"/>
        <v>#NAME?</v>
      </c>
      <c r="BX676" s="470" t="e">
        <f t="shared" ca="1" si="596"/>
        <v>#NAME?</v>
      </c>
      <c r="BY676" s="484" t="e">
        <f t="shared" ca="1" si="607"/>
        <v>#NAME?</v>
      </c>
    </row>
    <row r="677" spans="9:77" ht="17.75" customHeight="1" x14ac:dyDescent="0.2">
      <c r="I677" s="366">
        <v>593</v>
      </c>
      <c r="J677" s="414">
        <f t="shared" si="608"/>
        <v>41706.124305556899</v>
      </c>
      <c r="K677" s="435" t="e">
        <f t="shared" ca="1" si="609"/>
        <v>#NAME?</v>
      </c>
      <c r="L677" s="435" t="e">
        <f t="shared" ca="1" si="590"/>
        <v>#NAME?</v>
      </c>
      <c r="M677" s="664" t="e">
        <f t="shared" ca="1" si="588"/>
        <v>#NAME?</v>
      </c>
      <c r="N677" s="664" t="e">
        <f t="shared" ca="1" si="589"/>
        <v>#NAME?</v>
      </c>
      <c r="O677" s="140" t="e">
        <f t="shared" ca="1" si="597"/>
        <v>#NAME?</v>
      </c>
      <c r="P677" s="352" t="e">
        <f t="shared" ca="1" si="610"/>
        <v>#NAME?</v>
      </c>
      <c r="Q677" s="665" t="e">
        <f t="shared" ca="1" si="591"/>
        <v>#NAME?</v>
      </c>
      <c r="R677" s="352" t="e">
        <f t="shared" ca="1" si="623"/>
        <v>#NAME?</v>
      </c>
      <c r="S677" s="662" t="e">
        <f t="shared" ca="1" si="598"/>
        <v>#NAME?</v>
      </c>
      <c r="T677" s="443" t="e">
        <f t="shared" ca="1" si="592"/>
        <v>#NAME?</v>
      </c>
      <c r="U677" s="369" t="e">
        <f t="shared" ca="1" si="593"/>
        <v>#NAME?</v>
      </c>
      <c r="V677" s="454" t="e">
        <f t="shared" ca="1" si="599"/>
        <v>#NAME?</v>
      </c>
      <c r="W677" s="457">
        <f t="shared" si="600"/>
        <v>1000</v>
      </c>
      <c r="X677" s="463" t="e">
        <f t="shared" ca="1" si="601"/>
        <v>#NAME?</v>
      </c>
      <c r="Y677" s="455" t="e">
        <f t="shared" ca="1" si="611"/>
        <v>#NAME?</v>
      </c>
      <c r="Z677" s="699">
        <f t="shared" si="594"/>
        <v>8.5</v>
      </c>
      <c r="AA677" s="355" t="str">
        <f t="shared" si="595"/>
        <v>ON</v>
      </c>
      <c r="AB677" s="357">
        <f t="shared" si="624"/>
        <v>1.4999999999999999E-2</v>
      </c>
      <c r="AC677" s="356" t="e">
        <f ca="1">IF(  Y676=0,0,IF(OR(S677="KCAS",S677="INOP",S677="MEFE"),   ( (5*( (   (((1+0.2*(T677/661.4786)^2)^3.5 -1)  )/( (1-6.8755856*10^-6 *100*Y677)^5.2558797) +1)^(2/7) -1) )^0.5),IF(S677="MACH",T677, IF(S677="LRC",BicubicInterpolation( 'LRC Mach'!$C$4:$AL$21, Y677,U677),  IF(S677="MRC",BicubicInterpolation( 'MRC Mach'!$C$3:$T$18, Y677,U677),  IF(S677="M0.84",0.84,  IF(S677="CI52",BicubicInterpolation('CI=52 Mach'!$C$3:$T$18, Y677,U677),  IF(S677="HOLDING",BicubicInterpolation(  'Holding Mach'!$C$4:$M$13, Y677,U677),                         IF(S677="LRCINOP", BicubicInterpolation('LRC INOP Mach'!$C$4:$AA$21,Y677,U677), IF(S677="HOLDINGINOP",  BicubicInterpolation('Holding INOP Mach'!$N$4:$U$13,Y677,U677),         "XXX" )))))))   )))</f>
        <v>#NAME?</v>
      </c>
      <c r="AD677" s="313" t="e">
        <f t="shared" ca="1" si="625"/>
        <v>#NAME?</v>
      </c>
      <c r="AE677" s="314" t="e">
        <f t="shared" ca="1" si="612"/>
        <v>#NAME?</v>
      </c>
      <c r="AF677" s="313" t="e">
        <f t="shared" ca="1" si="626"/>
        <v>#NAME?</v>
      </c>
      <c r="AG677" s="314" t="e">
        <f t="shared" ca="1" si="613"/>
        <v>#NAME?</v>
      </c>
      <c r="AH677" s="313" t="e">
        <f t="shared" ca="1" si="627"/>
        <v>#NAME?</v>
      </c>
      <c r="AI677" s="314" t="e">
        <f t="shared" ca="1" si="614"/>
        <v>#NAME?</v>
      </c>
      <c r="AJ677" s="315" t="e">
        <f t="shared" ca="1" si="615"/>
        <v>#NAME?</v>
      </c>
      <c r="AK677" s="568" t="e">
        <f t="shared" ca="1" si="628"/>
        <v>#NAME?</v>
      </c>
      <c r="AL677" s="313" t="e">
        <f t="shared" ca="1" si="629"/>
        <v>#NAME?</v>
      </c>
      <c r="AM677" s="313" t="e">
        <f t="shared" ca="1" si="616"/>
        <v>#NAME?</v>
      </c>
      <c r="AN677" s="313" t="e">
        <f t="shared" ca="1" si="617"/>
        <v>#NAME?</v>
      </c>
      <c r="AO677" s="316" t="e">
        <f t="shared" ca="1" si="630"/>
        <v>#NAME?</v>
      </c>
      <c r="AP677" s="313" t="e">
        <f t="shared" ca="1" si="631"/>
        <v>#NAME?</v>
      </c>
      <c r="AQ677" s="314" t="e">
        <f t="shared" ca="1" si="618"/>
        <v>#NAME?</v>
      </c>
      <c r="AR677" s="315" t="e">
        <f t="shared" ca="1" si="632"/>
        <v>#NAME?</v>
      </c>
      <c r="AS677" s="316" t="e">
        <f t="shared" ca="1" si="633"/>
        <v>#NAME?</v>
      </c>
      <c r="AT677" s="315" t="e">
        <f t="shared" ca="1" si="634"/>
        <v>#NAME?</v>
      </c>
      <c r="AU677" s="317">
        <v>427.8</v>
      </c>
      <c r="AV677" s="315" t="e">
        <f t="shared" ca="1" si="635"/>
        <v>#NAME?</v>
      </c>
      <c r="AW677" s="318" t="e">
        <f ca="1">0.0001*BicubicInterpolation('Drag Coef Table'!$B$4:$L$28,AV677,AC677)</f>
        <v>#NAME?</v>
      </c>
      <c r="AX677" s="319" t="e">
        <f t="shared" ca="1" si="636"/>
        <v>#NAME?</v>
      </c>
      <c r="AY677" s="318" t="e">
        <f t="shared" ca="1" si="637"/>
        <v>#NAME?</v>
      </c>
      <c r="AZ677" s="320" t="e">
        <f t="shared" ca="1" si="638"/>
        <v>#NAME?</v>
      </c>
      <c r="BA677" s="321" t="e">
        <f t="shared" ca="1" si="639"/>
        <v>#NAME?</v>
      </c>
      <c r="BB677" s="322" t="e">
        <f t="shared" ca="1" si="640"/>
        <v>#NAME?</v>
      </c>
      <c r="BC677" s="323">
        <v>75.196700000000007</v>
      </c>
      <c r="BD677" s="324" t="e">
        <f t="shared" ca="1" si="641"/>
        <v>#NAME?</v>
      </c>
      <c r="BE677" s="325" t="e">
        <f t="shared" ca="1" si="642"/>
        <v>#NAME?</v>
      </c>
      <c r="BF677" s="324" t="e">
        <f ca="1">BicubicInterpolation('TSFC Eff Table'!$B$4:$E$69,2,BB677)</f>
        <v>#NAME?</v>
      </c>
      <c r="BG677" s="326" t="e">
        <f t="shared" ca="1" si="643"/>
        <v>#NAME?</v>
      </c>
      <c r="BH677" s="694" t="e">
        <f ca="1">IF( S677="LRCINOP",   (1+(0.03/10)*Z677*(1+0.2*AC677^2) )*BicubicInterpolation( 'LRC INOP FF'!$C$4:$AA$21, Y677, U677 )-200, IF(S677 ="HOLDINGINOP", (1+(0.03/10)*Z677*(1+0.2*AC677^2) )*BicubicInterpolation( 'Holding INOP FF'!$C$4:$J$13,  Y677,  U677)/1.05-200,   BA677*BG677))</f>
        <v>#NAME?</v>
      </c>
      <c r="BI677" s="344" t="e">
        <f t="shared" ca="1" si="602"/>
        <v>#NAME?</v>
      </c>
      <c r="BJ677" s="322" t="e">
        <f t="shared" ca="1" si="644"/>
        <v>#NAME?</v>
      </c>
      <c r="BK677" s="338" t="e">
        <f t="shared" ca="1" si="603"/>
        <v>#NAME?</v>
      </c>
      <c r="BL677" s="327" t="e">
        <f t="shared" ca="1" si="645"/>
        <v>#NAME?</v>
      </c>
      <c r="BM677" s="328">
        <f t="shared" si="646"/>
        <v>200</v>
      </c>
      <c r="BN677" s="329" t="e">
        <f t="shared" ca="1" si="647"/>
        <v>#NAME?</v>
      </c>
      <c r="BO677" s="344" t="e">
        <f t="shared" ca="1" si="604"/>
        <v>#NAME?</v>
      </c>
      <c r="BP677" s="320" t="e">
        <f t="shared" ca="1" si="648"/>
        <v>#NAME?</v>
      </c>
      <c r="BQ677" s="344" t="e">
        <f t="shared" ca="1" si="605"/>
        <v>#NAME?</v>
      </c>
      <c r="BR677" s="347" t="e">
        <f t="shared" ca="1" si="606"/>
        <v>#NAME?</v>
      </c>
      <c r="BS677" s="326" t="e">
        <f t="shared" ca="1" si="649"/>
        <v>#NAME?</v>
      </c>
      <c r="BT677" s="437" t="e">
        <f t="shared" ca="1" si="619"/>
        <v>#NAME?</v>
      </c>
      <c r="BU677" s="437" t="e">
        <f t="shared" ca="1" si="620"/>
        <v>#NAME?</v>
      </c>
      <c r="BV677" s="441" t="e">
        <f t="shared" ca="1" si="621"/>
        <v>#NAME?</v>
      </c>
      <c r="BW677" s="442" t="e">
        <f t="shared" ca="1" si="622"/>
        <v>#NAME?</v>
      </c>
      <c r="BX677" s="470" t="e">
        <f t="shared" ca="1" si="596"/>
        <v>#NAME?</v>
      </c>
      <c r="BY677" s="484" t="e">
        <f t="shared" ca="1" si="607"/>
        <v>#NAME?</v>
      </c>
    </row>
    <row r="678" spans="9:77" ht="17.75" customHeight="1" x14ac:dyDescent="0.2">
      <c r="I678" s="366">
        <v>594</v>
      </c>
      <c r="J678" s="414">
        <f t="shared" si="608"/>
        <v>41706.125000001346</v>
      </c>
      <c r="K678" s="435" t="e">
        <f t="shared" ca="1" si="609"/>
        <v>#NAME?</v>
      </c>
      <c r="L678" s="435" t="e">
        <f t="shared" ca="1" si="590"/>
        <v>#NAME?</v>
      </c>
      <c r="M678" s="664" t="e">
        <f t="shared" ca="1" si="588"/>
        <v>#NAME?</v>
      </c>
      <c r="N678" s="664" t="e">
        <f t="shared" ca="1" si="589"/>
        <v>#NAME?</v>
      </c>
      <c r="O678" s="140" t="e">
        <f t="shared" ca="1" si="597"/>
        <v>#NAME?</v>
      </c>
      <c r="P678" s="352" t="e">
        <f t="shared" ca="1" si="610"/>
        <v>#NAME?</v>
      </c>
      <c r="Q678" s="665" t="e">
        <f t="shared" ca="1" si="591"/>
        <v>#NAME?</v>
      </c>
      <c r="R678" s="352" t="e">
        <f t="shared" ca="1" si="623"/>
        <v>#NAME?</v>
      </c>
      <c r="S678" s="662" t="e">
        <f t="shared" ca="1" si="598"/>
        <v>#NAME?</v>
      </c>
      <c r="T678" s="443" t="e">
        <f t="shared" ca="1" si="592"/>
        <v>#NAME?</v>
      </c>
      <c r="U678" s="369" t="e">
        <f t="shared" ca="1" si="593"/>
        <v>#NAME?</v>
      </c>
      <c r="V678" s="454" t="e">
        <f t="shared" ca="1" si="599"/>
        <v>#NAME?</v>
      </c>
      <c r="W678" s="457">
        <f t="shared" si="600"/>
        <v>1000</v>
      </c>
      <c r="X678" s="463" t="e">
        <f t="shared" ca="1" si="601"/>
        <v>#NAME?</v>
      </c>
      <c r="Y678" s="455" t="e">
        <f t="shared" ca="1" si="611"/>
        <v>#NAME?</v>
      </c>
      <c r="Z678" s="699">
        <f t="shared" si="594"/>
        <v>8.5</v>
      </c>
      <c r="AA678" s="355" t="str">
        <f t="shared" si="595"/>
        <v>ON</v>
      </c>
      <c r="AB678" s="357">
        <f t="shared" si="624"/>
        <v>1.4999999999999999E-2</v>
      </c>
      <c r="AC678" s="356" t="e">
        <f ca="1">IF(  Y677=0,0,IF(OR(S678="KCAS",S678="INOP",S678="MEFE"),   ( (5*( (   (((1+0.2*(T678/661.4786)^2)^3.5 -1)  )/( (1-6.8755856*10^-6 *100*Y678)^5.2558797) +1)^(2/7) -1) )^0.5),IF(S678="MACH",T678, IF(S678="LRC",BicubicInterpolation( 'LRC Mach'!$C$4:$AL$21, Y678,U678),  IF(S678="MRC",BicubicInterpolation( 'MRC Mach'!$C$3:$T$18, Y678,U678),  IF(S678="M0.84",0.84,  IF(S678="CI52",BicubicInterpolation('CI=52 Mach'!$C$3:$T$18, Y678,U678),  IF(S678="HOLDING",BicubicInterpolation(  'Holding Mach'!$C$4:$M$13, Y678,U678),                         IF(S678="LRCINOP", BicubicInterpolation('LRC INOP Mach'!$C$4:$AA$21,Y678,U678), IF(S678="HOLDINGINOP",  BicubicInterpolation('Holding INOP Mach'!$N$4:$U$13,Y678,U678),         "XXX" )))))))   )))</f>
        <v>#NAME?</v>
      </c>
      <c r="AD678" s="313" t="e">
        <f t="shared" ca="1" si="625"/>
        <v>#NAME?</v>
      </c>
      <c r="AE678" s="314" t="e">
        <f t="shared" ca="1" si="612"/>
        <v>#NAME?</v>
      </c>
      <c r="AF678" s="313" t="e">
        <f t="shared" ca="1" si="626"/>
        <v>#NAME?</v>
      </c>
      <c r="AG678" s="314" t="e">
        <f t="shared" ca="1" si="613"/>
        <v>#NAME?</v>
      </c>
      <c r="AH678" s="313" t="e">
        <f t="shared" ca="1" si="627"/>
        <v>#NAME?</v>
      </c>
      <c r="AI678" s="314" t="e">
        <f t="shared" ca="1" si="614"/>
        <v>#NAME?</v>
      </c>
      <c r="AJ678" s="315" t="e">
        <f t="shared" ca="1" si="615"/>
        <v>#NAME?</v>
      </c>
      <c r="AK678" s="568" t="e">
        <f t="shared" ca="1" si="628"/>
        <v>#NAME?</v>
      </c>
      <c r="AL678" s="313" t="e">
        <f t="shared" ca="1" si="629"/>
        <v>#NAME?</v>
      </c>
      <c r="AM678" s="313" t="e">
        <f t="shared" ca="1" si="616"/>
        <v>#NAME?</v>
      </c>
      <c r="AN678" s="313" t="e">
        <f t="shared" ca="1" si="617"/>
        <v>#NAME?</v>
      </c>
      <c r="AO678" s="316" t="e">
        <f t="shared" ca="1" si="630"/>
        <v>#NAME?</v>
      </c>
      <c r="AP678" s="313" t="e">
        <f t="shared" ca="1" si="631"/>
        <v>#NAME?</v>
      </c>
      <c r="AQ678" s="314" t="e">
        <f t="shared" ca="1" si="618"/>
        <v>#NAME?</v>
      </c>
      <c r="AR678" s="315" t="e">
        <f t="shared" ca="1" si="632"/>
        <v>#NAME?</v>
      </c>
      <c r="AS678" s="316" t="e">
        <f t="shared" ca="1" si="633"/>
        <v>#NAME?</v>
      </c>
      <c r="AT678" s="315" t="e">
        <f t="shared" ca="1" si="634"/>
        <v>#NAME?</v>
      </c>
      <c r="AU678" s="317">
        <v>427.8</v>
      </c>
      <c r="AV678" s="315" t="e">
        <f t="shared" ca="1" si="635"/>
        <v>#NAME?</v>
      </c>
      <c r="AW678" s="318" t="e">
        <f ca="1">0.0001*BicubicInterpolation('Drag Coef Table'!$B$4:$L$28,AV678,AC678)</f>
        <v>#NAME?</v>
      </c>
      <c r="AX678" s="319" t="e">
        <f t="shared" ca="1" si="636"/>
        <v>#NAME?</v>
      </c>
      <c r="AY678" s="318" t="e">
        <f t="shared" ca="1" si="637"/>
        <v>#NAME?</v>
      </c>
      <c r="AZ678" s="320" t="e">
        <f t="shared" ca="1" si="638"/>
        <v>#NAME?</v>
      </c>
      <c r="BA678" s="321" t="e">
        <f t="shared" ca="1" si="639"/>
        <v>#NAME?</v>
      </c>
      <c r="BB678" s="322" t="e">
        <f t="shared" ca="1" si="640"/>
        <v>#NAME?</v>
      </c>
      <c r="BC678" s="323">
        <v>75.196700000000007</v>
      </c>
      <c r="BD678" s="324" t="e">
        <f t="shared" ca="1" si="641"/>
        <v>#NAME?</v>
      </c>
      <c r="BE678" s="325" t="e">
        <f t="shared" ca="1" si="642"/>
        <v>#NAME?</v>
      </c>
      <c r="BF678" s="324" t="e">
        <f ca="1">BicubicInterpolation('TSFC Eff Table'!$B$4:$E$69,2,BB678)</f>
        <v>#NAME?</v>
      </c>
      <c r="BG678" s="326" t="e">
        <f t="shared" ca="1" si="643"/>
        <v>#NAME?</v>
      </c>
      <c r="BH678" s="694" t="e">
        <f ca="1">IF( S678="LRCINOP",   (1+(0.03/10)*Z678*(1+0.2*AC678^2) )*BicubicInterpolation( 'LRC INOP FF'!$C$4:$AA$21, Y678, U678 )-200, IF(S678 ="HOLDINGINOP", (1+(0.03/10)*Z678*(1+0.2*AC678^2) )*BicubicInterpolation( 'Holding INOP FF'!$C$4:$J$13,  Y678,  U678)/1.05-200,   BA678*BG678))</f>
        <v>#NAME?</v>
      </c>
      <c r="BI678" s="344" t="e">
        <f t="shared" ca="1" si="602"/>
        <v>#NAME?</v>
      </c>
      <c r="BJ678" s="322" t="e">
        <f t="shared" ca="1" si="644"/>
        <v>#NAME?</v>
      </c>
      <c r="BK678" s="338" t="e">
        <f t="shared" ca="1" si="603"/>
        <v>#NAME?</v>
      </c>
      <c r="BL678" s="327" t="e">
        <f t="shared" ca="1" si="645"/>
        <v>#NAME?</v>
      </c>
      <c r="BM678" s="328">
        <f t="shared" si="646"/>
        <v>200</v>
      </c>
      <c r="BN678" s="329" t="e">
        <f t="shared" ca="1" si="647"/>
        <v>#NAME?</v>
      </c>
      <c r="BO678" s="344" t="e">
        <f t="shared" ca="1" si="604"/>
        <v>#NAME?</v>
      </c>
      <c r="BP678" s="320" t="e">
        <f t="shared" ca="1" si="648"/>
        <v>#NAME?</v>
      </c>
      <c r="BQ678" s="344" t="e">
        <f t="shared" ca="1" si="605"/>
        <v>#NAME?</v>
      </c>
      <c r="BR678" s="347" t="e">
        <f t="shared" ca="1" si="606"/>
        <v>#NAME?</v>
      </c>
      <c r="BS678" s="326" t="e">
        <f t="shared" ca="1" si="649"/>
        <v>#NAME?</v>
      </c>
      <c r="BT678" s="437" t="e">
        <f t="shared" ca="1" si="619"/>
        <v>#NAME?</v>
      </c>
      <c r="BU678" s="437" t="e">
        <f t="shared" ca="1" si="620"/>
        <v>#NAME?</v>
      </c>
      <c r="BV678" s="441" t="e">
        <f t="shared" ca="1" si="621"/>
        <v>#NAME?</v>
      </c>
      <c r="BW678" s="442" t="e">
        <f t="shared" ca="1" si="622"/>
        <v>#NAME?</v>
      </c>
      <c r="BX678" s="470" t="e">
        <f t="shared" ca="1" si="596"/>
        <v>#NAME?</v>
      </c>
      <c r="BY678" s="484" t="e">
        <f t="shared" ca="1" si="607"/>
        <v>#NAME?</v>
      </c>
    </row>
    <row r="679" spans="9:77" ht="17.75" customHeight="1" x14ac:dyDescent="0.2">
      <c r="I679" s="366">
        <v>595</v>
      </c>
      <c r="J679" s="414">
        <f t="shared" si="608"/>
        <v>41706.125694445793</v>
      </c>
      <c r="K679" s="435" t="e">
        <f t="shared" ca="1" si="609"/>
        <v>#NAME?</v>
      </c>
      <c r="L679" s="435" t="e">
        <f t="shared" ca="1" si="590"/>
        <v>#NAME?</v>
      </c>
      <c r="M679" s="664" t="e">
        <f t="shared" ca="1" si="588"/>
        <v>#NAME?</v>
      </c>
      <c r="N679" s="664" t="e">
        <f t="shared" ca="1" si="589"/>
        <v>#NAME?</v>
      </c>
      <c r="O679" s="140" t="e">
        <f t="shared" ca="1" si="597"/>
        <v>#NAME?</v>
      </c>
      <c r="P679" s="352" t="e">
        <f t="shared" ca="1" si="610"/>
        <v>#NAME?</v>
      </c>
      <c r="Q679" s="665" t="e">
        <f t="shared" ca="1" si="591"/>
        <v>#NAME?</v>
      </c>
      <c r="R679" s="352" t="e">
        <f t="shared" ca="1" si="623"/>
        <v>#NAME?</v>
      </c>
      <c r="S679" s="662" t="e">
        <f t="shared" ca="1" si="598"/>
        <v>#NAME?</v>
      </c>
      <c r="T679" s="443" t="e">
        <f t="shared" ca="1" si="592"/>
        <v>#NAME?</v>
      </c>
      <c r="U679" s="369" t="e">
        <f t="shared" ca="1" si="593"/>
        <v>#NAME?</v>
      </c>
      <c r="V679" s="454" t="e">
        <f t="shared" ca="1" si="599"/>
        <v>#NAME?</v>
      </c>
      <c r="W679" s="457">
        <f t="shared" si="600"/>
        <v>1000</v>
      </c>
      <c r="X679" s="463" t="e">
        <f t="shared" ca="1" si="601"/>
        <v>#NAME?</v>
      </c>
      <c r="Y679" s="455" t="e">
        <f t="shared" ca="1" si="611"/>
        <v>#NAME?</v>
      </c>
      <c r="Z679" s="699">
        <f t="shared" si="594"/>
        <v>8.5</v>
      </c>
      <c r="AA679" s="355" t="str">
        <f t="shared" si="595"/>
        <v>ON</v>
      </c>
      <c r="AB679" s="357">
        <f t="shared" si="624"/>
        <v>1.4999999999999999E-2</v>
      </c>
      <c r="AC679" s="356" t="e">
        <f ca="1">IF(  Y678=0,0,IF(OR(S679="KCAS",S679="INOP",S679="MEFE"),   ( (5*( (   (((1+0.2*(T679/661.4786)^2)^3.5 -1)  )/( (1-6.8755856*10^-6 *100*Y679)^5.2558797) +1)^(2/7) -1) )^0.5),IF(S679="MACH",T679, IF(S679="LRC",BicubicInterpolation( 'LRC Mach'!$C$4:$AL$21, Y679,U679),  IF(S679="MRC",BicubicInterpolation( 'MRC Mach'!$C$3:$T$18, Y679,U679),  IF(S679="M0.84",0.84,  IF(S679="CI52",BicubicInterpolation('CI=52 Mach'!$C$3:$T$18, Y679,U679),  IF(S679="HOLDING",BicubicInterpolation(  'Holding Mach'!$C$4:$M$13, Y679,U679),                         IF(S679="LRCINOP", BicubicInterpolation('LRC INOP Mach'!$C$4:$AA$21,Y679,U679), IF(S679="HOLDINGINOP",  BicubicInterpolation('Holding INOP Mach'!$N$4:$U$13,Y679,U679),         "XXX" )))))))   )))</f>
        <v>#NAME?</v>
      </c>
      <c r="AD679" s="313" t="e">
        <f t="shared" ca="1" si="625"/>
        <v>#NAME?</v>
      </c>
      <c r="AE679" s="314" t="e">
        <f t="shared" ca="1" si="612"/>
        <v>#NAME?</v>
      </c>
      <c r="AF679" s="313" t="e">
        <f t="shared" ca="1" si="626"/>
        <v>#NAME?</v>
      </c>
      <c r="AG679" s="314" t="e">
        <f t="shared" ca="1" si="613"/>
        <v>#NAME?</v>
      </c>
      <c r="AH679" s="313" t="e">
        <f t="shared" ca="1" si="627"/>
        <v>#NAME?</v>
      </c>
      <c r="AI679" s="314" t="e">
        <f t="shared" ca="1" si="614"/>
        <v>#NAME?</v>
      </c>
      <c r="AJ679" s="315" t="e">
        <f t="shared" ca="1" si="615"/>
        <v>#NAME?</v>
      </c>
      <c r="AK679" s="568" t="e">
        <f t="shared" ca="1" si="628"/>
        <v>#NAME?</v>
      </c>
      <c r="AL679" s="313" t="e">
        <f t="shared" ca="1" si="629"/>
        <v>#NAME?</v>
      </c>
      <c r="AM679" s="313" t="e">
        <f t="shared" ca="1" si="616"/>
        <v>#NAME?</v>
      </c>
      <c r="AN679" s="313" t="e">
        <f t="shared" ca="1" si="617"/>
        <v>#NAME?</v>
      </c>
      <c r="AO679" s="316" t="e">
        <f t="shared" ca="1" si="630"/>
        <v>#NAME?</v>
      </c>
      <c r="AP679" s="313" t="e">
        <f t="shared" ca="1" si="631"/>
        <v>#NAME?</v>
      </c>
      <c r="AQ679" s="314" t="e">
        <f t="shared" ca="1" si="618"/>
        <v>#NAME?</v>
      </c>
      <c r="AR679" s="315" t="e">
        <f t="shared" ca="1" si="632"/>
        <v>#NAME?</v>
      </c>
      <c r="AS679" s="316" t="e">
        <f t="shared" ca="1" si="633"/>
        <v>#NAME?</v>
      </c>
      <c r="AT679" s="315" t="e">
        <f t="shared" ca="1" si="634"/>
        <v>#NAME?</v>
      </c>
      <c r="AU679" s="317">
        <v>427.8</v>
      </c>
      <c r="AV679" s="315" t="e">
        <f t="shared" ca="1" si="635"/>
        <v>#NAME?</v>
      </c>
      <c r="AW679" s="318" t="e">
        <f ca="1">0.0001*BicubicInterpolation('Drag Coef Table'!$B$4:$L$28,AV679,AC679)</f>
        <v>#NAME?</v>
      </c>
      <c r="AX679" s="319" t="e">
        <f t="shared" ca="1" si="636"/>
        <v>#NAME?</v>
      </c>
      <c r="AY679" s="318" t="e">
        <f t="shared" ca="1" si="637"/>
        <v>#NAME?</v>
      </c>
      <c r="AZ679" s="320" t="e">
        <f t="shared" ca="1" si="638"/>
        <v>#NAME?</v>
      </c>
      <c r="BA679" s="321" t="e">
        <f t="shared" ca="1" si="639"/>
        <v>#NAME?</v>
      </c>
      <c r="BB679" s="322" t="e">
        <f t="shared" ca="1" si="640"/>
        <v>#NAME?</v>
      </c>
      <c r="BC679" s="323">
        <v>75.196700000000007</v>
      </c>
      <c r="BD679" s="324" t="e">
        <f t="shared" ca="1" si="641"/>
        <v>#NAME?</v>
      </c>
      <c r="BE679" s="325" t="e">
        <f t="shared" ca="1" si="642"/>
        <v>#NAME?</v>
      </c>
      <c r="BF679" s="324" t="e">
        <f ca="1">BicubicInterpolation('TSFC Eff Table'!$B$4:$E$69,2,BB679)</f>
        <v>#NAME?</v>
      </c>
      <c r="BG679" s="326" t="e">
        <f t="shared" ca="1" si="643"/>
        <v>#NAME?</v>
      </c>
      <c r="BH679" s="694" t="e">
        <f ca="1">IF( S679="LRCINOP",   (1+(0.03/10)*Z679*(1+0.2*AC679^2) )*BicubicInterpolation( 'LRC INOP FF'!$C$4:$AA$21, Y679, U679 )-200, IF(S679 ="HOLDINGINOP", (1+(0.03/10)*Z679*(1+0.2*AC679^2) )*BicubicInterpolation( 'Holding INOP FF'!$C$4:$J$13,  Y679,  U679)/1.05-200,   BA679*BG679))</f>
        <v>#NAME?</v>
      </c>
      <c r="BI679" s="344" t="e">
        <f t="shared" ca="1" si="602"/>
        <v>#NAME?</v>
      </c>
      <c r="BJ679" s="322" t="e">
        <f t="shared" ca="1" si="644"/>
        <v>#NAME?</v>
      </c>
      <c r="BK679" s="338" t="e">
        <f t="shared" ca="1" si="603"/>
        <v>#NAME?</v>
      </c>
      <c r="BL679" s="327" t="e">
        <f t="shared" ca="1" si="645"/>
        <v>#NAME?</v>
      </c>
      <c r="BM679" s="328">
        <f t="shared" si="646"/>
        <v>200</v>
      </c>
      <c r="BN679" s="329" t="e">
        <f t="shared" ca="1" si="647"/>
        <v>#NAME?</v>
      </c>
      <c r="BO679" s="344" t="e">
        <f t="shared" ca="1" si="604"/>
        <v>#NAME?</v>
      </c>
      <c r="BP679" s="320" t="e">
        <f t="shared" ca="1" si="648"/>
        <v>#NAME?</v>
      </c>
      <c r="BQ679" s="344" t="e">
        <f t="shared" ca="1" si="605"/>
        <v>#NAME?</v>
      </c>
      <c r="BR679" s="347" t="e">
        <f t="shared" ca="1" si="606"/>
        <v>#NAME?</v>
      </c>
      <c r="BS679" s="326" t="e">
        <f t="shared" ca="1" si="649"/>
        <v>#NAME?</v>
      </c>
      <c r="BT679" s="437" t="e">
        <f t="shared" ca="1" si="619"/>
        <v>#NAME?</v>
      </c>
      <c r="BU679" s="437" t="e">
        <f t="shared" ca="1" si="620"/>
        <v>#NAME?</v>
      </c>
      <c r="BV679" s="441" t="e">
        <f t="shared" ca="1" si="621"/>
        <v>#NAME?</v>
      </c>
      <c r="BW679" s="442" t="e">
        <f t="shared" ca="1" si="622"/>
        <v>#NAME?</v>
      </c>
      <c r="BX679" s="470" t="e">
        <f t="shared" ca="1" si="596"/>
        <v>#NAME?</v>
      </c>
      <c r="BY679" s="484" t="e">
        <f t="shared" ca="1" si="607"/>
        <v>#NAME?</v>
      </c>
    </row>
    <row r="680" spans="9:77" ht="17.75" customHeight="1" x14ac:dyDescent="0.2">
      <c r="I680" s="366">
        <v>596</v>
      </c>
      <c r="J680" s="414">
        <f t="shared" si="608"/>
        <v>41706.126388890239</v>
      </c>
      <c r="K680" s="435" t="e">
        <f t="shared" ca="1" si="609"/>
        <v>#NAME?</v>
      </c>
      <c r="L680" s="435" t="e">
        <f t="shared" ca="1" si="590"/>
        <v>#NAME?</v>
      </c>
      <c r="M680" s="664" t="e">
        <f t="shared" ca="1" si="588"/>
        <v>#NAME?</v>
      </c>
      <c r="N680" s="664" t="e">
        <f t="shared" ca="1" si="589"/>
        <v>#NAME?</v>
      </c>
      <c r="O680" s="140" t="e">
        <f t="shared" ca="1" si="597"/>
        <v>#NAME?</v>
      </c>
      <c r="P680" s="352" t="e">
        <f t="shared" ca="1" si="610"/>
        <v>#NAME?</v>
      </c>
      <c r="Q680" s="665" t="e">
        <f t="shared" ca="1" si="591"/>
        <v>#NAME?</v>
      </c>
      <c r="R680" s="352" t="e">
        <f t="shared" ca="1" si="623"/>
        <v>#NAME?</v>
      </c>
      <c r="S680" s="662" t="e">
        <f t="shared" ca="1" si="598"/>
        <v>#NAME?</v>
      </c>
      <c r="T680" s="443" t="e">
        <f t="shared" ca="1" si="592"/>
        <v>#NAME?</v>
      </c>
      <c r="U680" s="369" t="e">
        <f t="shared" ca="1" si="593"/>
        <v>#NAME?</v>
      </c>
      <c r="V680" s="454" t="e">
        <f t="shared" ca="1" si="599"/>
        <v>#NAME?</v>
      </c>
      <c r="W680" s="457">
        <f t="shared" si="600"/>
        <v>1000</v>
      </c>
      <c r="X680" s="463" t="e">
        <f t="shared" ca="1" si="601"/>
        <v>#NAME?</v>
      </c>
      <c r="Y680" s="455" t="e">
        <f t="shared" ca="1" si="611"/>
        <v>#NAME?</v>
      </c>
      <c r="Z680" s="699">
        <f t="shared" si="594"/>
        <v>8.5</v>
      </c>
      <c r="AA680" s="355" t="str">
        <f t="shared" si="595"/>
        <v>ON</v>
      </c>
      <c r="AB680" s="357">
        <f t="shared" si="624"/>
        <v>1.4999999999999999E-2</v>
      </c>
      <c r="AC680" s="356" t="e">
        <f ca="1">IF(  Y679=0,0,IF(OR(S680="KCAS",S680="INOP",S680="MEFE"),   ( (5*( (   (((1+0.2*(T680/661.4786)^2)^3.5 -1)  )/( (1-6.8755856*10^-6 *100*Y680)^5.2558797) +1)^(2/7) -1) )^0.5),IF(S680="MACH",T680, IF(S680="LRC",BicubicInterpolation( 'LRC Mach'!$C$4:$AL$21, Y680,U680),  IF(S680="MRC",BicubicInterpolation( 'MRC Mach'!$C$3:$T$18, Y680,U680),  IF(S680="M0.84",0.84,  IF(S680="CI52",BicubicInterpolation('CI=52 Mach'!$C$3:$T$18, Y680,U680),  IF(S680="HOLDING",BicubicInterpolation(  'Holding Mach'!$C$4:$M$13, Y680,U680),                         IF(S680="LRCINOP", BicubicInterpolation('LRC INOP Mach'!$C$4:$AA$21,Y680,U680), IF(S680="HOLDINGINOP",  BicubicInterpolation('Holding INOP Mach'!$N$4:$U$13,Y680,U680),         "XXX" )))))))   )))</f>
        <v>#NAME?</v>
      </c>
      <c r="AD680" s="313" t="e">
        <f t="shared" ca="1" si="625"/>
        <v>#NAME?</v>
      </c>
      <c r="AE680" s="314" t="e">
        <f t="shared" ca="1" si="612"/>
        <v>#NAME?</v>
      </c>
      <c r="AF680" s="313" t="e">
        <f t="shared" ca="1" si="626"/>
        <v>#NAME?</v>
      </c>
      <c r="AG680" s="314" t="e">
        <f t="shared" ca="1" si="613"/>
        <v>#NAME?</v>
      </c>
      <c r="AH680" s="313" t="e">
        <f t="shared" ca="1" si="627"/>
        <v>#NAME?</v>
      </c>
      <c r="AI680" s="314" t="e">
        <f t="shared" ca="1" si="614"/>
        <v>#NAME?</v>
      </c>
      <c r="AJ680" s="315" t="e">
        <f t="shared" ca="1" si="615"/>
        <v>#NAME?</v>
      </c>
      <c r="AK680" s="568" t="e">
        <f t="shared" ca="1" si="628"/>
        <v>#NAME?</v>
      </c>
      <c r="AL680" s="313" t="e">
        <f t="shared" ca="1" si="629"/>
        <v>#NAME?</v>
      </c>
      <c r="AM680" s="313" t="e">
        <f t="shared" ca="1" si="616"/>
        <v>#NAME?</v>
      </c>
      <c r="AN680" s="313" t="e">
        <f t="shared" ca="1" si="617"/>
        <v>#NAME?</v>
      </c>
      <c r="AO680" s="316" t="e">
        <f t="shared" ca="1" si="630"/>
        <v>#NAME?</v>
      </c>
      <c r="AP680" s="313" t="e">
        <f t="shared" ca="1" si="631"/>
        <v>#NAME?</v>
      </c>
      <c r="AQ680" s="314" t="e">
        <f t="shared" ca="1" si="618"/>
        <v>#NAME?</v>
      </c>
      <c r="AR680" s="315" t="e">
        <f t="shared" ca="1" si="632"/>
        <v>#NAME?</v>
      </c>
      <c r="AS680" s="316" t="e">
        <f t="shared" ca="1" si="633"/>
        <v>#NAME?</v>
      </c>
      <c r="AT680" s="315" t="e">
        <f t="shared" ca="1" si="634"/>
        <v>#NAME?</v>
      </c>
      <c r="AU680" s="317">
        <v>427.8</v>
      </c>
      <c r="AV680" s="315" t="e">
        <f t="shared" ca="1" si="635"/>
        <v>#NAME?</v>
      </c>
      <c r="AW680" s="318" t="e">
        <f ca="1">0.0001*BicubicInterpolation('Drag Coef Table'!$B$4:$L$28,AV680,AC680)</f>
        <v>#NAME?</v>
      </c>
      <c r="AX680" s="319" t="e">
        <f t="shared" ca="1" si="636"/>
        <v>#NAME?</v>
      </c>
      <c r="AY680" s="318" t="e">
        <f t="shared" ca="1" si="637"/>
        <v>#NAME?</v>
      </c>
      <c r="AZ680" s="320" t="e">
        <f t="shared" ca="1" si="638"/>
        <v>#NAME?</v>
      </c>
      <c r="BA680" s="321" t="e">
        <f t="shared" ca="1" si="639"/>
        <v>#NAME?</v>
      </c>
      <c r="BB680" s="322" t="e">
        <f t="shared" ca="1" si="640"/>
        <v>#NAME?</v>
      </c>
      <c r="BC680" s="323">
        <v>75.196700000000007</v>
      </c>
      <c r="BD680" s="324" t="e">
        <f t="shared" ca="1" si="641"/>
        <v>#NAME?</v>
      </c>
      <c r="BE680" s="325" t="e">
        <f t="shared" ca="1" si="642"/>
        <v>#NAME?</v>
      </c>
      <c r="BF680" s="324" t="e">
        <f ca="1">BicubicInterpolation('TSFC Eff Table'!$B$4:$E$69,2,BB680)</f>
        <v>#NAME?</v>
      </c>
      <c r="BG680" s="326" t="e">
        <f t="shared" ca="1" si="643"/>
        <v>#NAME?</v>
      </c>
      <c r="BH680" s="694" t="e">
        <f ca="1">IF( S680="LRCINOP",   (1+(0.03/10)*Z680*(1+0.2*AC680^2) )*BicubicInterpolation( 'LRC INOP FF'!$C$4:$AA$21, Y680, U680 )-200, IF(S680 ="HOLDINGINOP", (1+(0.03/10)*Z680*(1+0.2*AC680^2) )*BicubicInterpolation( 'Holding INOP FF'!$C$4:$J$13,  Y680,  U680)/1.05-200,   BA680*BG680))</f>
        <v>#NAME?</v>
      </c>
      <c r="BI680" s="344" t="e">
        <f t="shared" ca="1" si="602"/>
        <v>#NAME?</v>
      </c>
      <c r="BJ680" s="322" t="e">
        <f t="shared" ca="1" si="644"/>
        <v>#NAME?</v>
      </c>
      <c r="BK680" s="338" t="e">
        <f t="shared" ca="1" si="603"/>
        <v>#NAME?</v>
      </c>
      <c r="BL680" s="327" t="e">
        <f t="shared" ca="1" si="645"/>
        <v>#NAME?</v>
      </c>
      <c r="BM680" s="328">
        <f t="shared" si="646"/>
        <v>200</v>
      </c>
      <c r="BN680" s="329" t="e">
        <f t="shared" ca="1" si="647"/>
        <v>#NAME?</v>
      </c>
      <c r="BO680" s="344" t="e">
        <f t="shared" ca="1" si="604"/>
        <v>#NAME?</v>
      </c>
      <c r="BP680" s="320" t="e">
        <f t="shared" ca="1" si="648"/>
        <v>#NAME?</v>
      </c>
      <c r="BQ680" s="344" t="e">
        <f t="shared" ca="1" si="605"/>
        <v>#NAME?</v>
      </c>
      <c r="BR680" s="347" t="e">
        <f t="shared" ca="1" si="606"/>
        <v>#NAME?</v>
      </c>
      <c r="BS680" s="326" t="e">
        <f t="shared" ca="1" si="649"/>
        <v>#NAME?</v>
      </c>
      <c r="BT680" s="437" t="e">
        <f t="shared" ca="1" si="619"/>
        <v>#NAME?</v>
      </c>
      <c r="BU680" s="437" t="e">
        <f t="shared" ca="1" si="620"/>
        <v>#NAME?</v>
      </c>
      <c r="BV680" s="441" t="e">
        <f t="shared" ca="1" si="621"/>
        <v>#NAME?</v>
      </c>
      <c r="BW680" s="442" t="e">
        <f t="shared" ca="1" si="622"/>
        <v>#NAME?</v>
      </c>
      <c r="BX680" s="470" t="e">
        <f ca="1">IF(Y680=0,I680,"")</f>
        <v>#NAME?</v>
      </c>
      <c r="BY680" s="484" t="e">
        <f t="shared" ca="1" si="607"/>
        <v>#NAME?</v>
      </c>
    </row>
    <row r="681" spans="9:77" ht="17.75" customHeight="1" x14ac:dyDescent="0.2"/>
    <row r="682" spans="9:77" ht="17.75" customHeight="1" x14ac:dyDescent="0.2"/>
    <row r="683" spans="9:77" ht="17.75" customHeight="1" x14ac:dyDescent="0.2"/>
    <row r="684" spans="9:77" ht="17.75" customHeight="1" x14ac:dyDescent="0.2"/>
    <row r="685" spans="9:77" ht="17.75" customHeight="1" x14ac:dyDescent="0.2"/>
    <row r="686" spans="9:77" ht="17.75" customHeight="1" x14ac:dyDescent="0.2"/>
    <row r="687" spans="9:77" ht="17.75" customHeight="1" x14ac:dyDescent="0.2"/>
    <row r="688" spans="9:77" ht="17.75" customHeight="1" x14ac:dyDescent="0.2"/>
    <row r="689" ht="17.75" customHeight="1" x14ac:dyDescent="0.2"/>
    <row r="690" ht="17.75" customHeight="1" x14ac:dyDescent="0.2"/>
    <row r="691" ht="17.75" customHeight="1" x14ac:dyDescent="0.2"/>
  </sheetData>
  <mergeCells count="31">
    <mergeCell ref="A4:A11"/>
    <mergeCell ref="AA81:AB81"/>
    <mergeCell ref="T81:Z81"/>
    <mergeCell ref="I81:S81"/>
    <mergeCell ref="A24:A33"/>
    <mergeCell ref="A75:A77"/>
    <mergeCell ref="A47:B47"/>
    <mergeCell ref="A48:B48"/>
    <mergeCell ref="A49:B49"/>
    <mergeCell ref="E10:E11"/>
    <mergeCell ref="A12:A17"/>
    <mergeCell ref="A18:A23"/>
    <mergeCell ref="E29:E30"/>
    <mergeCell ref="A50:B50"/>
    <mergeCell ref="A67:A73"/>
    <mergeCell ref="A1:C1"/>
    <mergeCell ref="AC82:BY82"/>
    <mergeCell ref="AL83:AM83"/>
    <mergeCell ref="BW83:BW84"/>
    <mergeCell ref="A51:B51"/>
    <mergeCell ref="A36:A41"/>
    <mergeCell ref="A43:A44"/>
    <mergeCell ref="A52:B52"/>
    <mergeCell ref="E47:E52"/>
    <mergeCell ref="E67:E68"/>
    <mergeCell ref="A74:B74"/>
    <mergeCell ref="A78:A79"/>
    <mergeCell ref="E78:E79"/>
    <mergeCell ref="BV83:BV84"/>
    <mergeCell ref="A53:A59"/>
    <mergeCell ref="A60:A66"/>
  </mergeCells>
  <pageMargins left="0.7" right="0.7" top="0.75" bottom="0.75" header="0.3" footer="0.3"/>
  <pageSetup scale="36"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V104"/>
  <sheetViews>
    <sheetView zoomScale="80" zoomScaleNormal="80" workbookViewId="0">
      <selection activeCell="AH63" sqref="AH63"/>
    </sheetView>
  </sheetViews>
  <sheetFormatPr baseColWidth="10" defaultColWidth="8.83203125" defaultRowHeight="15" x14ac:dyDescent="0.2"/>
  <cols>
    <col min="2" max="2" width="22.6640625" style="757" customWidth="1"/>
    <col min="3" max="3" width="11.6640625" style="757" customWidth="1"/>
    <col min="4" max="4" width="19.6640625" style="761" customWidth="1"/>
    <col min="5" max="5" width="12.1640625" style="758" customWidth="1"/>
    <col min="6" max="6" width="26.5" style="758" customWidth="1"/>
    <col min="7" max="7" width="38.83203125" style="765" customWidth="1"/>
    <col min="20" max="20" width="17" customWidth="1"/>
    <col min="21" max="21" width="24.1640625" customWidth="1"/>
    <col min="22" max="22" width="10.33203125" customWidth="1"/>
  </cols>
  <sheetData>
    <row r="1" spans="2:7" ht="16" thickBot="1" x14ac:dyDescent="0.25"/>
    <row r="2" spans="2:7" ht="22.5" customHeight="1" thickTop="1" x14ac:dyDescent="0.2">
      <c r="B2" s="825" t="s">
        <v>403</v>
      </c>
      <c r="C2" s="826"/>
      <c r="D2" s="826"/>
      <c r="E2" s="826"/>
      <c r="F2" s="826"/>
      <c r="G2" s="827"/>
    </row>
    <row r="3" spans="2:7" ht="22.5" customHeight="1" thickBot="1" x14ac:dyDescent="0.25">
      <c r="B3" s="787" t="s">
        <v>400</v>
      </c>
      <c r="C3" s="772" t="s">
        <v>1</v>
      </c>
      <c r="D3" s="773" t="s">
        <v>401</v>
      </c>
      <c r="E3" s="774" t="s">
        <v>402</v>
      </c>
      <c r="F3" s="789" t="s">
        <v>429</v>
      </c>
      <c r="G3" s="788" t="s">
        <v>4</v>
      </c>
    </row>
    <row r="4" spans="2:7" x14ac:dyDescent="0.2">
      <c r="B4" s="792" t="s">
        <v>406</v>
      </c>
      <c r="C4" s="768">
        <v>15</v>
      </c>
      <c r="D4" s="769">
        <v>41706.095833333333</v>
      </c>
      <c r="E4" s="770">
        <v>1812</v>
      </c>
      <c r="F4" s="793">
        <f>31.111-0.04722*E4+0.000016686*E4^2-0.000000004987*E4^3+0.0000000000006648*E4^4</f>
        <v>-22.168740972447029</v>
      </c>
      <c r="G4" s="794"/>
    </row>
    <row r="5" spans="2:7" x14ac:dyDescent="0.2">
      <c r="B5" s="795" t="s">
        <v>406</v>
      </c>
      <c r="C5" s="759">
        <v>50</v>
      </c>
      <c r="D5" s="766">
        <v>41706.097222222219</v>
      </c>
      <c r="E5" s="760">
        <v>1899</v>
      </c>
      <c r="F5" s="790">
        <f t="shared" ref="F5:F103" si="0">31.111-0.04722*E5+0.000016686*E5^2-0.000000004987*E5^3+0.0000000000006648*E5^4</f>
        <v>-23.893047303196802</v>
      </c>
      <c r="G5" s="796" t="s">
        <v>409</v>
      </c>
    </row>
    <row r="6" spans="2:7" x14ac:dyDescent="0.2">
      <c r="B6" s="795" t="s">
        <v>406</v>
      </c>
      <c r="C6" s="759">
        <v>100</v>
      </c>
      <c r="D6" s="766">
        <v>41706.092361111114</v>
      </c>
      <c r="E6" s="760">
        <v>1994</v>
      </c>
      <c r="F6" s="790">
        <f t="shared" si="0"/>
        <v>-25.729823779520821</v>
      </c>
      <c r="G6" s="796"/>
    </row>
    <row r="7" spans="2:7" x14ac:dyDescent="0.2">
      <c r="B7" s="795" t="s">
        <v>406</v>
      </c>
      <c r="C7" s="759">
        <v>150</v>
      </c>
      <c r="D7" s="766">
        <v>41706.086805555555</v>
      </c>
      <c r="E7" s="760">
        <v>2097</v>
      </c>
      <c r="F7" s="790">
        <f t="shared" si="0"/>
        <v>-27.66575453310179</v>
      </c>
      <c r="G7" s="796"/>
    </row>
    <row r="8" spans="2:7" x14ac:dyDescent="0.2">
      <c r="B8" s="795" t="s">
        <v>406</v>
      </c>
      <c r="C8" s="759">
        <v>200</v>
      </c>
      <c r="D8" s="766">
        <v>41706.07916666667</v>
      </c>
      <c r="E8" s="760">
        <v>2200</v>
      </c>
      <c r="F8" s="790">
        <f t="shared" si="0"/>
        <v>-29.54099712</v>
      </c>
      <c r="G8" s="796"/>
    </row>
    <row r="9" spans="2:7" ht="22.25" customHeight="1" x14ac:dyDescent="0.2">
      <c r="B9" s="795" t="s">
        <v>406</v>
      </c>
      <c r="C9" s="759">
        <v>240</v>
      </c>
      <c r="D9" s="766">
        <v>41706.066666666666</v>
      </c>
      <c r="E9" s="760">
        <v>2299</v>
      </c>
      <c r="F9" s="790">
        <f t="shared" si="0"/>
        <v>-31.281802341076499</v>
      </c>
      <c r="G9" s="796" t="s">
        <v>407</v>
      </c>
    </row>
    <row r="10" spans="2:7" x14ac:dyDescent="0.2">
      <c r="B10" s="797" t="s">
        <v>404</v>
      </c>
      <c r="C10" s="762">
        <v>15</v>
      </c>
      <c r="D10" s="767">
        <v>41705.995833333334</v>
      </c>
      <c r="E10" s="763">
        <v>1219</v>
      </c>
      <c r="F10" s="791">
        <f t="shared" si="0"/>
        <v>-9.2208873788602403</v>
      </c>
      <c r="G10" s="798"/>
    </row>
    <row r="11" spans="2:7" x14ac:dyDescent="0.2">
      <c r="B11" s="797" t="s">
        <v>404</v>
      </c>
      <c r="C11" s="762">
        <v>50</v>
      </c>
      <c r="D11" s="821">
        <v>41706.005555555559</v>
      </c>
      <c r="E11" s="763">
        <v>1334</v>
      </c>
      <c r="F11" s="791">
        <f t="shared" si="0"/>
        <v>-11.920284402263984</v>
      </c>
      <c r="G11" s="798"/>
    </row>
    <row r="12" spans="2:7" x14ac:dyDescent="0.2">
      <c r="B12" s="797" t="s">
        <v>404</v>
      </c>
      <c r="C12" s="762">
        <v>100</v>
      </c>
      <c r="D12" s="767">
        <v>41706.022222222222</v>
      </c>
      <c r="E12" s="763">
        <v>1531</v>
      </c>
      <c r="F12" s="791">
        <f t="shared" si="0"/>
        <v>-16.315343326119432</v>
      </c>
      <c r="G12" s="798"/>
    </row>
    <row r="13" spans="2:7" x14ac:dyDescent="0.2">
      <c r="B13" s="797" t="s">
        <v>404</v>
      </c>
      <c r="C13" s="762">
        <v>150</v>
      </c>
      <c r="D13" s="767">
        <v>41706.038194444445</v>
      </c>
      <c r="E13" s="763">
        <v>1752</v>
      </c>
      <c r="F13" s="791">
        <f t="shared" si="0"/>
        <v>-20.955991197856562</v>
      </c>
      <c r="G13" s="798"/>
    </row>
    <row r="14" spans="2:7" x14ac:dyDescent="0.2">
      <c r="B14" s="797" t="s">
        <v>404</v>
      </c>
      <c r="C14" s="762">
        <v>200</v>
      </c>
      <c r="D14" s="767">
        <v>41706.04583333333</v>
      </c>
      <c r="E14" s="763">
        <v>1945</v>
      </c>
      <c r="F14" s="791">
        <f t="shared" si="0"/>
        <v>-24.788471473339506</v>
      </c>
      <c r="G14" s="798"/>
    </row>
    <row r="15" spans="2:7" x14ac:dyDescent="0.2">
      <c r="B15" s="797" t="s">
        <v>404</v>
      </c>
      <c r="C15" s="762">
        <v>220</v>
      </c>
      <c r="D15" s="767">
        <v>41706.04583333333</v>
      </c>
      <c r="E15" s="763">
        <v>2024</v>
      </c>
      <c r="F15" s="791">
        <f t="shared" si="0"/>
        <v>-26.299742538961709</v>
      </c>
      <c r="G15" s="798"/>
    </row>
    <row r="16" spans="2:7" x14ac:dyDescent="0.2">
      <c r="B16" s="797" t="s">
        <v>404</v>
      </c>
      <c r="C16" s="762">
        <v>250</v>
      </c>
      <c r="D16" s="767">
        <v>41706.043055555558</v>
      </c>
      <c r="E16" s="763">
        <v>2158</v>
      </c>
      <c r="F16" s="791">
        <f t="shared" si="0"/>
        <v>-28.783927641981609</v>
      </c>
      <c r="G16" s="798"/>
    </row>
    <row r="17" spans="2:7" x14ac:dyDescent="0.2">
      <c r="B17" s="797" t="s">
        <v>404</v>
      </c>
      <c r="C17" s="762">
        <v>300</v>
      </c>
      <c r="D17" s="767">
        <v>41706.03402777778</v>
      </c>
      <c r="E17" s="763">
        <v>2455</v>
      </c>
      <c r="F17" s="791">
        <f t="shared" si="0"/>
        <v>-33.887660045029499</v>
      </c>
      <c r="G17" s="798"/>
    </row>
    <row r="18" spans="2:7" x14ac:dyDescent="0.2">
      <c r="B18" s="797" t="s">
        <v>404</v>
      </c>
      <c r="C18" s="762">
        <v>350</v>
      </c>
      <c r="D18" s="767">
        <v>41706.027083333334</v>
      </c>
      <c r="E18" s="763">
        <v>2656</v>
      </c>
      <c r="F18" s="791">
        <f t="shared" si="0"/>
        <v>-36.951800695276354</v>
      </c>
      <c r="G18" s="798"/>
    </row>
    <row r="19" spans="2:7" ht="26" x14ac:dyDescent="0.2">
      <c r="B19" s="797" t="s">
        <v>404</v>
      </c>
      <c r="C19" s="762">
        <v>400</v>
      </c>
      <c r="D19" s="821">
        <v>41706.01458333333</v>
      </c>
      <c r="E19" s="763">
        <v>2793</v>
      </c>
      <c r="F19" s="791">
        <f t="shared" si="0"/>
        <v>-38.80987148835051</v>
      </c>
      <c r="G19" s="798" t="s">
        <v>410</v>
      </c>
    </row>
    <row r="20" spans="2:7" x14ac:dyDescent="0.2">
      <c r="B20" s="795" t="s">
        <v>405</v>
      </c>
      <c r="C20" s="759">
        <v>70</v>
      </c>
      <c r="D20" s="766">
        <v>41706.039583333331</v>
      </c>
      <c r="E20" s="760">
        <v>2100</v>
      </c>
      <c r="F20" s="790">
        <f t="shared" si="0"/>
        <v>-27.721250119999997</v>
      </c>
      <c r="G20" s="796"/>
    </row>
    <row r="21" spans="2:7" x14ac:dyDescent="0.2">
      <c r="B21" s="795" t="s">
        <v>405</v>
      </c>
      <c r="C21" s="759">
        <v>100</v>
      </c>
      <c r="D21" s="766">
        <v>41706.036111111112</v>
      </c>
      <c r="E21" s="760">
        <v>2147</v>
      </c>
      <c r="F21" s="790">
        <f t="shared" si="0"/>
        <v>-28.583898479861716</v>
      </c>
      <c r="G21" s="796"/>
    </row>
    <row r="22" spans="2:7" x14ac:dyDescent="0.2">
      <c r="B22" s="795" t="s">
        <v>405</v>
      </c>
      <c r="C22" s="759">
        <v>150</v>
      </c>
      <c r="D22" s="766">
        <v>41706.03125</v>
      </c>
      <c r="E22" s="760">
        <v>2237</v>
      </c>
      <c r="F22" s="790">
        <f t="shared" si="0"/>
        <v>-30.198953025714054</v>
      </c>
      <c r="G22" s="796"/>
    </row>
    <row r="23" spans="2:7" x14ac:dyDescent="0.2">
      <c r="B23" s="795" t="s">
        <v>405</v>
      </c>
      <c r="C23" s="759">
        <v>200</v>
      </c>
      <c r="D23" s="766">
        <v>41706.026388888888</v>
      </c>
      <c r="E23" s="760">
        <v>2331</v>
      </c>
      <c r="F23" s="790">
        <f t="shared" si="0"/>
        <v>-31.830642008465674</v>
      </c>
      <c r="G23" s="796"/>
    </row>
    <row r="24" spans="2:7" x14ac:dyDescent="0.2">
      <c r="B24" s="795" t="s">
        <v>405</v>
      </c>
      <c r="C24" s="759">
        <v>240</v>
      </c>
      <c r="D24" s="766">
        <v>41706.018750000003</v>
      </c>
      <c r="E24" s="760">
        <v>2389</v>
      </c>
      <c r="F24" s="790">
        <f t="shared" si="0"/>
        <v>-32.807047430270131</v>
      </c>
      <c r="G24" s="796" t="s">
        <v>407</v>
      </c>
    </row>
    <row r="25" spans="2:7" x14ac:dyDescent="0.2">
      <c r="B25" s="797" t="s">
        <v>355</v>
      </c>
      <c r="C25" s="762">
        <v>70</v>
      </c>
      <c r="D25" s="767">
        <v>41705.982638888891</v>
      </c>
      <c r="E25" s="763">
        <v>1753</v>
      </c>
      <c r="F25" s="791">
        <f t="shared" si="0"/>
        <v>-20.976363016897945</v>
      </c>
      <c r="G25" s="798"/>
    </row>
    <row r="26" spans="2:7" x14ac:dyDescent="0.2">
      <c r="B26" s="797" t="s">
        <v>355</v>
      </c>
      <c r="C26" s="762">
        <v>100</v>
      </c>
      <c r="D26" s="767">
        <v>41705.987500000003</v>
      </c>
      <c r="E26" s="763">
        <v>1847</v>
      </c>
      <c r="F26" s="791">
        <f t="shared" si="0"/>
        <v>-22.86726968386219</v>
      </c>
      <c r="G26" s="798"/>
    </row>
    <row r="27" spans="2:7" x14ac:dyDescent="0.2">
      <c r="B27" s="797" t="s">
        <v>355</v>
      </c>
      <c r="C27" s="762">
        <v>150</v>
      </c>
      <c r="D27" s="767">
        <v>41705.994444444441</v>
      </c>
      <c r="E27" s="763">
        <v>2014</v>
      </c>
      <c r="F27" s="791">
        <f t="shared" si="0"/>
        <v>-26.110315701899445</v>
      </c>
      <c r="G27" s="798"/>
    </row>
    <row r="28" spans="2:7" x14ac:dyDescent="0.2">
      <c r="B28" s="797" t="s">
        <v>355</v>
      </c>
      <c r="C28" s="762">
        <v>200</v>
      </c>
      <c r="D28" s="767">
        <v>41705.998611111114</v>
      </c>
      <c r="E28" s="763">
        <v>2174</v>
      </c>
      <c r="F28" s="791">
        <f t="shared" si="0"/>
        <v>-29.073591897916593</v>
      </c>
      <c r="G28" s="798"/>
    </row>
    <row r="29" spans="2:7" x14ac:dyDescent="0.2">
      <c r="B29" s="797" t="s">
        <v>355</v>
      </c>
      <c r="C29" s="762">
        <v>250</v>
      </c>
      <c r="D29" s="767">
        <v>41706.00277777778</v>
      </c>
      <c r="E29" s="763">
        <v>2348</v>
      </c>
      <c r="F29" s="791">
        <f t="shared" si="0"/>
        <v>-32.119324542294322</v>
      </c>
      <c r="G29" s="798"/>
    </row>
    <row r="30" spans="2:7" x14ac:dyDescent="0.2">
      <c r="B30" s="797" t="s">
        <v>355</v>
      </c>
      <c r="C30" s="762">
        <v>300</v>
      </c>
      <c r="D30" s="767">
        <v>41706.004166666666</v>
      </c>
      <c r="E30" s="763">
        <v>2515</v>
      </c>
      <c r="F30" s="791">
        <f t="shared" si="0"/>
        <v>-34.839865072969502</v>
      </c>
      <c r="G30" s="798"/>
    </row>
    <row r="31" spans="2:7" x14ac:dyDescent="0.2">
      <c r="B31" s="797" t="s">
        <v>355</v>
      </c>
      <c r="C31" s="762">
        <v>350</v>
      </c>
      <c r="D31" s="767">
        <v>41706.003472222219</v>
      </c>
      <c r="E31" s="763">
        <v>2672</v>
      </c>
      <c r="F31" s="791">
        <f t="shared" si="0"/>
        <v>-37.17929406223238</v>
      </c>
      <c r="G31" s="798"/>
    </row>
    <row r="32" spans="2:7" ht="24.5" customHeight="1" x14ac:dyDescent="0.2">
      <c r="B32" s="797" t="s">
        <v>355</v>
      </c>
      <c r="C32" s="762">
        <v>400</v>
      </c>
      <c r="D32" s="767">
        <v>41706.004166666666</v>
      </c>
      <c r="E32" s="763">
        <v>2757</v>
      </c>
      <c r="F32" s="791">
        <f t="shared" si="0"/>
        <v>-38.342018819204426</v>
      </c>
      <c r="G32" s="798" t="s">
        <v>407</v>
      </c>
    </row>
    <row r="33" spans="2:7" x14ac:dyDescent="0.2">
      <c r="B33" s="795" t="s">
        <v>396</v>
      </c>
      <c r="C33" s="759">
        <v>200</v>
      </c>
      <c r="D33" s="766">
        <v>41706.000694444447</v>
      </c>
      <c r="E33" s="760">
        <v>2157</v>
      </c>
      <c r="F33" s="790">
        <f t="shared" si="0"/>
        <v>-28.765772841995773</v>
      </c>
      <c r="G33" s="796"/>
    </row>
    <row r="34" spans="2:7" x14ac:dyDescent="0.2">
      <c r="B34" s="795" t="s">
        <v>396</v>
      </c>
      <c r="C34" s="759">
        <v>250</v>
      </c>
      <c r="D34" s="766">
        <v>41705.995138888888</v>
      </c>
      <c r="E34" s="760">
        <v>2330</v>
      </c>
      <c r="F34" s="790">
        <f t="shared" si="0"/>
        <v>-31.813597595392007</v>
      </c>
      <c r="G34" s="796"/>
    </row>
    <row r="35" spans="2:7" x14ac:dyDescent="0.2">
      <c r="B35" s="795" t="s">
        <v>396</v>
      </c>
      <c r="C35" s="759">
        <v>300</v>
      </c>
      <c r="D35" s="766">
        <v>41706.005555555559</v>
      </c>
      <c r="E35" s="760">
        <v>2517</v>
      </c>
      <c r="F35" s="790">
        <f t="shared" si="0"/>
        <v>-34.871085332482252</v>
      </c>
      <c r="G35" s="796"/>
    </row>
    <row r="36" spans="2:7" x14ac:dyDescent="0.2">
      <c r="B36" s="795" t="s">
        <v>396</v>
      </c>
      <c r="C36" s="759">
        <v>350</v>
      </c>
      <c r="D36" s="821">
        <v>41706.007638888892</v>
      </c>
      <c r="E36" s="760">
        <v>2681</v>
      </c>
      <c r="F36" s="790">
        <f t="shared" si="0"/>
        <v>-37.306094958080159</v>
      </c>
      <c r="G36" s="796"/>
    </row>
    <row r="37" spans="2:7" x14ac:dyDescent="0.2">
      <c r="B37" s="795" t="s">
        <v>396</v>
      </c>
      <c r="C37" s="759">
        <v>370</v>
      </c>
      <c r="D37" s="821">
        <v>41706.009027777778</v>
      </c>
      <c r="E37" s="760">
        <v>2749</v>
      </c>
      <c r="F37" s="790">
        <f t="shared" si="0"/>
        <v>-38.23600153127515</v>
      </c>
      <c r="G37" s="796"/>
    </row>
    <row r="38" spans="2:7" ht="24.5" customHeight="1" x14ac:dyDescent="0.2">
      <c r="B38" s="795" t="s">
        <v>396</v>
      </c>
      <c r="C38" s="759">
        <v>400</v>
      </c>
      <c r="D38" s="821">
        <v>41706.010416666664</v>
      </c>
      <c r="E38" s="760">
        <v>2791</v>
      </c>
      <c r="F38" s="790">
        <f t="shared" si="0"/>
        <v>-38.784282514922303</v>
      </c>
      <c r="G38" s="796" t="s">
        <v>407</v>
      </c>
    </row>
    <row r="39" spans="2:7" x14ac:dyDescent="0.2">
      <c r="B39" s="797" t="s">
        <v>309</v>
      </c>
      <c r="C39" s="762">
        <v>200</v>
      </c>
      <c r="D39" s="767">
        <v>41706.020833333336</v>
      </c>
      <c r="E39" s="763">
        <v>2133</v>
      </c>
      <c r="F39" s="791">
        <f t="shared" si="0"/>
        <v>-28.328283590898884</v>
      </c>
      <c r="G39" s="798"/>
    </row>
    <row r="40" spans="2:7" x14ac:dyDescent="0.2">
      <c r="B40" s="797" t="s">
        <v>309</v>
      </c>
      <c r="C40" s="762">
        <v>220</v>
      </c>
      <c r="D40" s="821">
        <v>41706.015277777777</v>
      </c>
      <c r="E40" s="763">
        <v>2242</v>
      </c>
      <c r="F40" s="791">
        <f t="shared" si="0"/>
        <v>-30.287204716131377</v>
      </c>
      <c r="G40" s="798"/>
    </row>
    <row r="41" spans="2:7" x14ac:dyDescent="0.2">
      <c r="B41" s="797" t="s">
        <v>309</v>
      </c>
      <c r="C41" s="762">
        <v>240</v>
      </c>
      <c r="D41" s="821">
        <v>41706.013888888891</v>
      </c>
      <c r="E41" s="763">
        <v>2319</v>
      </c>
      <c r="F41" s="791">
        <f t="shared" si="0"/>
        <v>-31.62565105768217</v>
      </c>
      <c r="G41" s="798"/>
    </row>
    <row r="42" spans="2:7" x14ac:dyDescent="0.2">
      <c r="B42" s="797" t="s">
        <v>309</v>
      </c>
      <c r="C42" s="762">
        <v>250</v>
      </c>
      <c r="D42" s="821">
        <v>41706.015277777777</v>
      </c>
      <c r="E42" s="763">
        <v>2359</v>
      </c>
      <c r="F42" s="791">
        <f t="shared" si="0"/>
        <v>-32.305028541614767</v>
      </c>
      <c r="G42" s="798"/>
    </row>
    <row r="43" spans="2:7" x14ac:dyDescent="0.2">
      <c r="B43" s="797" t="s">
        <v>309</v>
      </c>
      <c r="C43" s="762">
        <v>270</v>
      </c>
      <c r="D43" s="767">
        <v>41706.018055555556</v>
      </c>
      <c r="E43" s="763">
        <v>2427</v>
      </c>
      <c r="F43" s="791">
        <f t="shared" si="0"/>
        <v>-33.433322286586389</v>
      </c>
      <c r="G43" s="798"/>
    </row>
    <row r="44" spans="2:7" x14ac:dyDescent="0.2">
      <c r="B44" s="797" t="s">
        <v>309</v>
      </c>
      <c r="C44" s="762">
        <v>300</v>
      </c>
      <c r="D44" s="767">
        <v>41706.021527777775</v>
      </c>
      <c r="E44" s="763">
        <v>2529</v>
      </c>
      <c r="F44" s="791">
        <f t="shared" si="0"/>
        <v>-35.057681716170592</v>
      </c>
      <c r="G44" s="799"/>
    </row>
    <row r="45" spans="2:7" x14ac:dyDescent="0.2">
      <c r="B45" s="797" t="s">
        <v>309</v>
      </c>
      <c r="C45" s="762">
        <v>350</v>
      </c>
      <c r="D45" s="821">
        <v>41706.015277777777</v>
      </c>
      <c r="E45" s="763">
        <v>2685</v>
      </c>
      <c r="F45" s="791">
        <f t="shared" si="0"/>
        <v>-37.362178669479512</v>
      </c>
      <c r="G45" s="798"/>
    </row>
    <row r="46" spans="2:7" ht="26" x14ac:dyDescent="0.2">
      <c r="B46" s="797" t="s">
        <v>309</v>
      </c>
      <c r="C46" s="762">
        <v>400</v>
      </c>
      <c r="D46" s="821">
        <v>41706.012499999997</v>
      </c>
      <c r="E46" s="763">
        <v>2793</v>
      </c>
      <c r="F46" s="791">
        <f t="shared" si="0"/>
        <v>-38.80987148835051</v>
      </c>
      <c r="G46" s="798" t="s">
        <v>408</v>
      </c>
    </row>
    <row r="47" spans="2:7" x14ac:dyDescent="0.2">
      <c r="B47" s="800" t="s">
        <v>423</v>
      </c>
      <c r="C47" s="781">
        <v>250</v>
      </c>
      <c r="D47" s="822">
        <v>41706.007638888892</v>
      </c>
      <c r="E47" s="783">
        <v>1959</v>
      </c>
      <c r="F47" s="790">
        <f t="shared" si="0"/>
        <v>-25.058747586653492</v>
      </c>
      <c r="G47" s="801"/>
    </row>
    <row r="48" spans="2:7" x14ac:dyDescent="0.2">
      <c r="B48" s="800" t="s">
        <v>423</v>
      </c>
      <c r="C48" s="781">
        <v>300</v>
      </c>
      <c r="D48" s="822">
        <v>41706.009027777778</v>
      </c>
      <c r="E48" s="783">
        <v>2103</v>
      </c>
      <c r="F48" s="790">
        <f t="shared" si="0"/>
        <v>-27.776694253646504</v>
      </c>
      <c r="G48" s="801"/>
    </row>
    <row r="49" spans="2:22" x14ac:dyDescent="0.2">
      <c r="B49" s="800" t="s">
        <v>423</v>
      </c>
      <c r="C49" s="781">
        <v>350</v>
      </c>
      <c r="D49" s="822">
        <v>41706.009027777778</v>
      </c>
      <c r="E49" s="783">
        <v>2238</v>
      </c>
      <c r="F49" s="790">
        <f t="shared" si="0"/>
        <v>-30.216616102448306</v>
      </c>
      <c r="G49" s="801"/>
    </row>
    <row r="50" spans="2:22" x14ac:dyDescent="0.2">
      <c r="B50" s="800" t="s">
        <v>423</v>
      </c>
      <c r="C50" s="781">
        <v>400</v>
      </c>
      <c r="D50" s="822">
        <v>41706.009722222225</v>
      </c>
      <c r="E50" s="783">
        <v>2320</v>
      </c>
      <c r="F50" s="790">
        <f t="shared" si="0"/>
        <v>-31.642771671552001</v>
      </c>
      <c r="G50" s="801"/>
    </row>
    <row r="51" spans="2:22" x14ac:dyDescent="0.2">
      <c r="B51" s="802" t="s">
        <v>424</v>
      </c>
      <c r="C51" s="784">
        <v>250</v>
      </c>
      <c r="D51" s="785">
        <v>41706</v>
      </c>
      <c r="E51" s="786">
        <v>1937</v>
      </c>
      <c r="F51" s="791">
        <f t="shared" si="0"/>
        <v>-24.633556688207321</v>
      </c>
      <c r="G51" s="803"/>
    </row>
    <row r="52" spans="2:22" x14ac:dyDescent="0.2">
      <c r="B52" s="802" t="s">
        <v>424</v>
      </c>
      <c r="C52" s="784">
        <v>300</v>
      </c>
      <c r="D52" s="822">
        <v>41706.009722222225</v>
      </c>
      <c r="E52" s="786">
        <v>2105</v>
      </c>
      <c r="F52" s="791">
        <f t="shared" si="0"/>
        <v>-27.813628376219498</v>
      </c>
      <c r="G52" s="803"/>
    </row>
    <row r="53" spans="2:22" x14ac:dyDescent="0.2">
      <c r="B53" s="802" t="s">
        <v>424</v>
      </c>
      <c r="C53" s="784">
        <v>350</v>
      </c>
      <c r="D53" s="822">
        <v>41706.011805555558</v>
      </c>
      <c r="E53" s="786">
        <v>2239</v>
      </c>
      <c r="F53" s="791">
        <f t="shared" si="0"/>
        <v>-30.234272815658862</v>
      </c>
      <c r="G53" s="803"/>
    </row>
    <row r="54" spans="2:22" x14ac:dyDescent="0.2">
      <c r="B54" s="811" t="s">
        <v>424</v>
      </c>
      <c r="C54" s="812">
        <v>400</v>
      </c>
      <c r="D54" s="823">
        <v>41706.013888888891</v>
      </c>
      <c r="E54" s="813">
        <v>2340</v>
      </c>
      <c r="F54" s="814">
        <f t="shared" si="0"/>
        <v>-31.983727172671994</v>
      </c>
      <c r="G54" s="815"/>
    </row>
    <row r="55" spans="2:22" x14ac:dyDescent="0.2">
      <c r="B55" s="795" t="s">
        <v>349</v>
      </c>
      <c r="C55" s="781">
        <v>400</v>
      </c>
      <c r="D55" s="782">
        <v>41706.004166666666</v>
      </c>
      <c r="E55" s="783">
        <v>2758</v>
      </c>
      <c r="F55" s="790">
        <f t="shared" si="0"/>
        <v>-38.355219309267369</v>
      </c>
      <c r="G55" s="816"/>
    </row>
    <row r="56" spans="2:22" x14ac:dyDescent="0.2">
      <c r="B56" s="795" t="s">
        <v>349</v>
      </c>
      <c r="C56" s="781">
        <v>380</v>
      </c>
      <c r="D56" s="782">
        <v>41706.00277777778</v>
      </c>
      <c r="E56" s="783">
        <v>2741</v>
      </c>
      <c r="F56" s="790">
        <f t="shared" si="0"/>
        <v>-38.129254436096431</v>
      </c>
      <c r="G56" s="816"/>
    </row>
    <row r="57" spans="2:22" x14ac:dyDescent="0.2">
      <c r="B57" s="795" t="s">
        <v>349</v>
      </c>
      <c r="C57" s="781">
        <v>360</v>
      </c>
      <c r="D57" s="782">
        <v>41705.996527777781</v>
      </c>
      <c r="E57" s="783">
        <v>2670</v>
      </c>
      <c r="F57" s="790">
        <f t="shared" si="0"/>
        <v>-37.151001609392011</v>
      </c>
      <c r="G57" s="817"/>
    </row>
    <row r="58" spans="2:22" ht="16" thickBot="1" x14ac:dyDescent="0.25">
      <c r="B58" s="795" t="s">
        <v>349</v>
      </c>
      <c r="C58" s="781">
        <v>340</v>
      </c>
      <c r="D58" s="782">
        <v>41705.98541666667</v>
      </c>
      <c r="E58" s="783">
        <v>2564</v>
      </c>
      <c r="F58" s="790">
        <f t="shared" si="0"/>
        <v>-35.594679929322815</v>
      </c>
      <c r="G58" s="817"/>
    </row>
    <row r="59" spans="2:22" ht="20" thickBot="1" x14ac:dyDescent="0.3">
      <c r="B59" s="797" t="s">
        <v>432</v>
      </c>
      <c r="C59" s="784">
        <v>410</v>
      </c>
      <c r="D59" s="822">
        <v>41706.011805555558</v>
      </c>
      <c r="E59" s="786">
        <v>2780</v>
      </c>
      <c r="F59" s="791">
        <f t="shared" si="0"/>
        <v>-38.642688094912025</v>
      </c>
      <c r="G59" s="820"/>
      <c r="T59" s="828" t="s">
        <v>431</v>
      </c>
      <c r="U59" s="829"/>
      <c r="V59" s="830"/>
    </row>
    <row r="60" spans="2:22" x14ac:dyDescent="0.2">
      <c r="B60" s="797" t="s">
        <v>432</v>
      </c>
      <c r="C60" s="784">
        <v>400</v>
      </c>
      <c r="D60" s="822">
        <v>41706.013194444444</v>
      </c>
      <c r="E60" s="786">
        <v>2795</v>
      </c>
      <c r="F60" s="791">
        <f t="shared" si="0"/>
        <v>-38.835412334129508</v>
      </c>
      <c r="G60" s="820"/>
      <c r="T60" s="804" t="s">
        <v>421</v>
      </c>
      <c r="U60" s="769">
        <v>41705.958333333336</v>
      </c>
      <c r="V60" s="805">
        <v>2890</v>
      </c>
    </row>
    <row r="61" spans="2:22" x14ac:dyDescent="0.2">
      <c r="B61" s="797" t="s">
        <v>432</v>
      </c>
      <c r="C61" s="784">
        <v>390</v>
      </c>
      <c r="D61" s="822">
        <v>41706.012499999997</v>
      </c>
      <c r="E61" s="786">
        <v>2788</v>
      </c>
      <c r="F61" s="791">
        <f t="shared" si="0"/>
        <v>-38.745809071304009</v>
      </c>
      <c r="G61" s="820"/>
      <c r="T61" s="775" t="s">
        <v>421</v>
      </c>
      <c r="U61" s="766">
        <v>41706.125</v>
      </c>
      <c r="V61" s="776">
        <v>2890</v>
      </c>
    </row>
    <row r="62" spans="2:22" x14ac:dyDescent="0.2">
      <c r="B62" s="797" t="s">
        <v>432</v>
      </c>
      <c r="C62" s="784">
        <v>380</v>
      </c>
      <c r="D62" s="822">
        <v>41706.011111111111</v>
      </c>
      <c r="E62" s="786">
        <v>2774</v>
      </c>
      <c r="F62" s="791">
        <f t="shared" si="0"/>
        <v>-38.564849552776117</v>
      </c>
      <c r="G62" s="820"/>
      <c r="T62" s="777" t="s">
        <v>411</v>
      </c>
      <c r="U62" s="767">
        <v>41705.958333333336</v>
      </c>
      <c r="V62" s="778">
        <v>2730</v>
      </c>
    </row>
    <row r="63" spans="2:22" x14ac:dyDescent="0.2">
      <c r="B63" s="797" t="s">
        <v>432</v>
      </c>
      <c r="C63" s="784">
        <v>370</v>
      </c>
      <c r="D63" s="822">
        <v>41706.009027777778</v>
      </c>
      <c r="E63" s="786">
        <v>2750</v>
      </c>
      <c r="F63" s="791">
        <f t="shared" si="0"/>
        <v>-38.24929375</v>
      </c>
      <c r="G63" s="820"/>
      <c r="T63" s="777" t="s">
        <v>411</v>
      </c>
      <c r="U63" s="767">
        <v>41706.125</v>
      </c>
      <c r="V63" s="778">
        <v>2730</v>
      </c>
    </row>
    <row r="64" spans="2:22" x14ac:dyDescent="0.2">
      <c r="B64" s="797" t="s">
        <v>432</v>
      </c>
      <c r="C64" s="784">
        <v>360</v>
      </c>
      <c r="D64" s="785">
        <v>41706.005555555559</v>
      </c>
      <c r="E64" s="786">
        <v>2711</v>
      </c>
      <c r="F64" s="791">
        <f t="shared" si="0"/>
        <v>-37.722573484104615</v>
      </c>
      <c r="G64" s="820"/>
      <c r="T64" s="775" t="s">
        <v>412</v>
      </c>
      <c r="U64" s="767">
        <v>41705.958333333336</v>
      </c>
      <c r="V64" s="776">
        <v>2585</v>
      </c>
    </row>
    <row r="65" spans="2:22" x14ac:dyDescent="0.2">
      <c r="B65" s="797" t="s">
        <v>432</v>
      </c>
      <c r="C65" s="784">
        <v>350</v>
      </c>
      <c r="D65" s="785">
        <v>41706.000694444447</v>
      </c>
      <c r="E65" s="786">
        <v>2666</v>
      </c>
      <c r="F65" s="791">
        <f t="shared" si="0"/>
        <v>-37.094292583675184</v>
      </c>
      <c r="G65" s="820"/>
      <c r="T65" s="775" t="s">
        <v>412</v>
      </c>
      <c r="U65" s="767">
        <f t="shared" ref="U65:U81" si="1">U63</f>
        <v>41706.125</v>
      </c>
      <c r="V65" s="776">
        <v>2585</v>
      </c>
    </row>
    <row r="66" spans="2:22" x14ac:dyDescent="0.2">
      <c r="B66" s="797" t="s">
        <v>432</v>
      </c>
      <c r="C66" s="784">
        <v>340</v>
      </c>
      <c r="D66" s="785">
        <v>41705.995138888888</v>
      </c>
      <c r="E66" s="786">
        <v>2615</v>
      </c>
      <c r="F66" s="791">
        <f t="shared" si="0"/>
        <v>-36.357077765189501</v>
      </c>
      <c r="G66" s="820"/>
      <c r="T66" s="777" t="s">
        <v>413</v>
      </c>
      <c r="U66" s="767">
        <f t="shared" si="1"/>
        <v>41705.958333333336</v>
      </c>
      <c r="V66" s="778">
        <v>2460</v>
      </c>
    </row>
    <row r="67" spans="2:22" x14ac:dyDescent="0.2">
      <c r="B67" s="795" t="s">
        <v>433</v>
      </c>
      <c r="C67" s="781">
        <v>410</v>
      </c>
      <c r="D67" s="822">
        <v>41706.015277777777</v>
      </c>
      <c r="E67" s="783">
        <v>2753</v>
      </c>
      <c r="F67" s="790">
        <f t="shared" si="0"/>
        <v>-38.289101847699541</v>
      </c>
      <c r="G67" s="817"/>
      <c r="T67" s="777" t="s">
        <v>413</v>
      </c>
      <c r="U67" s="767">
        <f t="shared" si="1"/>
        <v>41706.125</v>
      </c>
      <c r="V67" s="778">
        <v>2460</v>
      </c>
    </row>
    <row r="68" spans="2:22" x14ac:dyDescent="0.2">
      <c r="B68" s="795" t="s">
        <v>433</v>
      </c>
      <c r="C68" s="781">
        <v>400</v>
      </c>
      <c r="D68" s="822">
        <v>41706.017361111109</v>
      </c>
      <c r="E68" s="783">
        <v>2775</v>
      </c>
      <c r="F68" s="790">
        <f t="shared" si="0"/>
        <v>-38.577852118437498</v>
      </c>
      <c r="G68" s="817"/>
      <c r="T68" s="775" t="s">
        <v>414</v>
      </c>
      <c r="U68" s="767">
        <f t="shared" si="1"/>
        <v>41705.958333333336</v>
      </c>
      <c r="V68" s="776">
        <v>2340</v>
      </c>
    </row>
    <row r="69" spans="2:22" x14ac:dyDescent="0.2">
      <c r="B69" s="795" t="s">
        <v>433</v>
      </c>
      <c r="C69" s="781">
        <v>390</v>
      </c>
      <c r="D69" s="822">
        <v>41706.017361111109</v>
      </c>
      <c r="E69" s="783">
        <v>2775</v>
      </c>
      <c r="F69" s="790">
        <f t="shared" si="0"/>
        <v>-38.577852118437498</v>
      </c>
      <c r="G69" s="817"/>
      <c r="T69" s="775" t="s">
        <v>414</v>
      </c>
      <c r="U69" s="767">
        <f t="shared" si="1"/>
        <v>41706.125</v>
      </c>
      <c r="V69" s="776">
        <v>2340</v>
      </c>
    </row>
    <row r="70" spans="2:22" x14ac:dyDescent="0.2">
      <c r="B70" s="795" t="s">
        <v>433</v>
      </c>
      <c r="C70" s="781">
        <v>380</v>
      </c>
      <c r="D70" s="822">
        <v>41706.01666666667</v>
      </c>
      <c r="E70" s="783">
        <v>2767</v>
      </c>
      <c r="F70" s="790">
        <f t="shared" si="0"/>
        <v>-38.473503209369831</v>
      </c>
      <c r="G70" s="817"/>
      <c r="T70" s="777" t="s">
        <v>415</v>
      </c>
      <c r="U70" s="767">
        <f t="shared" si="1"/>
        <v>41705.958333333336</v>
      </c>
      <c r="V70" s="778">
        <v>2230</v>
      </c>
    </row>
    <row r="71" spans="2:22" x14ac:dyDescent="0.2">
      <c r="B71" s="795" t="s">
        <v>433</v>
      </c>
      <c r="C71" s="781">
        <v>370</v>
      </c>
      <c r="D71" s="822">
        <v>41706.01458333333</v>
      </c>
      <c r="E71" s="783">
        <v>2746</v>
      </c>
      <c r="F71" s="790">
        <f t="shared" si="0"/>
        <v>-38.196056511881025</v>
      </c>
      <c r="G71" s="817"/>
      <c r="T71" s="777" t="s">
        <v>415</v>
      </c>
      <c r="U71" s="767">
        <f t="shared" si="1"/>
        <v>41706.125</v>
      </c>
      <c r="V71" s="778">
        <v>2230</v>
      </c>
    </row>
    <row r="72" spans="2:22" x14ac:dyDescent="0.2">
      <c r="B72" s="795" t="s">
        <v>433</v>
      </c>
      <c r="C72" s="781">
        <v>360</v>
      </c>
      <c r="D72" s="822">
        <v>41706.011805555558</v>
      </c>
      <c r="E72" s="783">
        <v>2715</v>
      </c>
      <c r="F72" s="790">
        <f t="shared" si="0"/>
        <v>-37.777371559809502</v>
      </c>
      <c r="G72" s="817"/>
      <c r="T72" s="775" t="s">
        <v>416</v>
      </c>
      <c r="U72" s="767">
        <f t="shared" si="1"/>
        <v>41705.958333333336</v>
      </c>
      <c r="V72" s="776">
        <v>2110</v>
      </c>
    </row>
    <row r="73" spans="2:22" x14ac:dyDescent="0.2">
      <c r="B73" s="795" t="s">
        <v>433</v>
      </c>
      <c r="C73" s="781">
        <v>350</v>
      </c>
      <c r="D73" s="822">
        <v>41706.007638888892</v>
      </c>
      <c r="E73" s="783">
        <v>2680</v>
      </c>
      <c r="F73" s="790">
        <f t="shared" si="0"/>
        <v>-37.292047767552006</v>
      </c>
      <c r="G73" s="817"/>
      <c r="T73" s="775" t="s">
        <v>416</v>
      </c>
      <c r="U73" s="767">
        <f t="shared" si="1"/>
        <v>41706.125</v>
      </c>
      <c r="V73" s="776">
        <v>2110</v>
      </c>
    </row>
    <row r="74" spans="2:22" x14ac:dyDescent="0.2">
      <c r="B74" s="795" t="s">
        <v>433</v>
      </c>
      <c r="C74" s="781">
        <v>340</v>
      </c>
      <c r="D74" s="782">
        <v>41706.00277777778</v>
      </c>
      <c r="E74" s="783">
        <v>2638</v>
      </c>
      <c r="F74" s="790">
        <f t="shared" si="0"/>
        <v>-36.692759272775334</v>
      </c>
      <c r="G74" s="817"/>
      <c r="T74" s="777" t="s">
        <v>417</v>
      </c>
      <c r="U74" s="767">
        <f t="shared" si="1"/>
        <v>41705.958333333336</v>
      </c>
      <c r="V74" s="778">
        <v>2010</v>
      </c>
    </row>
    <row r="75" spans="2:22" x14ac:dyDescent="0.2">
      <c r="B75" s="795" t="s">
        <v>433</v>
      </c>
      <c r="C75" s="781">
        <v>330</v>
      </c>
      <c r="D75" s="782">
        <v>41705.997916666667</v>
      </c>
      <c r="E75" s="783">
        <v>2594</v>
      </c>
      <c r="F75" s="790">
        <f t="shared" si="0"/>
        <v>-36.046110509785137</v>
      </c>
      <c r="G75" s="817"/>
      <c r="T75" s="777" t="s">
        <v>417</v>
      </c>
      <c r="U75" s="767">
        <f t="shared" si="1"/>
        <v>41706.125</v>
      </c>
      <c r="V75" s="778">
        <v>2010</v>
      </c>
    </row>
    <row r="76" spans="2:22" x14ac:dyDescent="0.2">
      <c r="B76" s="797" t="s">
        <v>434</v>
      </c>
      <c r="C76" s="784">
        <v>410</v>
      </c>
      <c r="D76" s="822">
        <v>41706.01666666667</v>
      </c>
      <c r="E76" s="786">
        <v>2700</v>
      </c>
      <c r="F76" s="791">
        <f t="shared" si="0"/>
        <v>-37.570983319999996</v>
      </c>
      <c r="G76" s="820"/>
      <c r="T76" s="775" t="s">
        <v>418</v>
      </c>
      <c r="U76" s="767">
        <f t="shared" si="1"/>
        <v>41705.958333333336</v>
      </c>
      <c r="V76" s="776">
        <v>1900</v>
      </c>
    </row>
    <row r="77" spans="2:22" x14ac:dyDescent="0.2">
      <c r="B77" s="797" t="s">
        <v>434</v>
      </c>
      <c r="C77" s="784">
        <v>400</v>
      </c>
      <c r="D77" s="785">
        <v>41706.019444444442</v>
      </c>
      <c r="E77" s="786">
        <v>2730</v>
      </c>
      <c r="F77" s="791">
        <f t="shared" si="0"/>
        <v>-37.981298580032011</v>
      </c>
      <c r="G77" s="820"/>
      <c r="T77" s="775" t="s">
        <v>418</v>
      </c>
      <c r="U77" s="767">
        <f t="shared" si="1"/>
        <v>41706.125</v>
      </c>
      <c r="V77" s="776">
        <v>1900</v>
      </c>
    </row>
    <row r="78" spans="2:22" x14ac:dyDescent="0.2">
      <c r="B78" s="797" t="s">
        <v>434</v>
      </c>
      <c r="C78" s="784">
        <v>380</v>
      </c>
      <c r="D78" s="785">
        <v>41706.020138888889</v>
      </c>
      <c r="E78" s="786">
        <v>2738</v>
      </c>
      <c r="F78" s="791">
        <f t="shared" si="0"/>
        <v>-38.089037573997103</v>
      </c>
      <c r="G78" s="820"/>
      <c r="T78" s="777" t="s">
        <v>419</v>
      </c>
      <c r="U78" s="767">
        <f t="shared" si="1"/>
        <v>41705.958333333336</v>
      </c>
      <c r="V78" s="778">
        <v>1800</v>
      </c>
    </row>
    <row r="79" spans="2:22" x14ac:dyDescent="0.2">
      <c r="B79" s="797" t="s">
        <v>434</v>
      </c>
      <c r="C79" s="784">
        <v>360</v>
      </c>
      <c r="D79" s="822">
        <v>41706.017361111109</v>
      </c>
      <c r="E79" s="786">
        <v>2709</v>
      </c>
      <c r="F79" s="791">
        <f t="shared" si="0"/>
        <v>-37.695109082845882</v>
      </c>
      <c r="G79" s="820"/>
      <c r="T79" s="777" t="s">
        <v>419</v>
      </c>
      <c r="U79" s="767">
        <f t="shared" si="1"/>
        <v>41706.125</v>
      </c>
      <c r="V79" s="778">
        <v>1800</v>
      </c>
    </row>
    <row r="80" spans="2:22" x14ac:dyDescent="0.2">
      <c r="B80" s="797" t="s">
        <v>434</v>
      </c>
      <c r="C80" s="784">
        <v>350</v>
      </c>
      <c r="D80" s="822">
        <v>41706.013194444444</v>
      </c>
      <c r="E80" s="786">
        <v>2676</v>
      </c>
      <c r="F80" s="791">
        <f t="shared" si="0"/>
        <v>-37.235754340103497</v>
      </c>
      <c r="G80" s="820"/>
      <c r="T80" s="775" t="s">
        <v>420</v>
      </c>
      <c r="U80" s="767">
        <f t="shared" si="1"/>
        <v>41705.958333333336</v>
      </c>
      <c r="V80" s="776">
        <v>1710</v>
      </c>
    </row>
    <row r="81" spans="2:22" ht="16" thickBot="1" x14ac:dyDescent="0.25">
      <c r="B81" s="797" t="s">
        <v>434</v>
      </c>
      <c r="C81" s="784">
        <v>340</v>
      </c>
      <c r="D81" s="822">
        <v>41706.009722222225</v>
      </c>
      <c r="E81" s="786">
        <v>2647</v>
      </c>
      <c r="F81" s="791">
        <f t="shared" si="0"/>
        <v>-36.822687596180927</v>
      </c>
      <c r="G81" s="820"/>
      <c r="T81" s="779" t="s">
        <v>420</v>
      </c>
      <c r="U81" s="771">
        <f t="shared" si="1"/>
        <v>41706.125</v>
      </c>
      <c r="V81" s="780">
        <v>1710</v>
      </c>
    </row>
    <row r="82" spans="2:22" x14ac:dyDescent="0.2">
      <c r="B82" s="797" t="s">
        <v>434</v>
      </c>
      <c r="C82" s="784">
        <v>330</v>
      </c>
      <c r="D82" s="785">
        <v>41706.005555555559</v>
      </c>
      <c r="E82" s="786">
        <v>2614</v>
      </c>
      <c r="F82" s="791">
        <f t="shared" si="0"/>
        <v>-36.342365727344557</v>
      </c>
      <c r="G82" s="820"/>
      <c r="T82" s="777" t="s">
        <v>422</v>
      </c>
      <c r="U82" s="767">
        <v>41706.011805555558</v>
      </c>
      <c r="V82" s="778">
        <v>0</v>
      </c>
    </row>
    <row r="83" spans="2:22" x14ac:dyDescent="0.2">
      <c r="B83" s="797" t="s">
        <v>434</v>
      </c>
      <c r="C83" s="784">
        <v>320</v>
      </c>
      <c r="D83" s="785">
        <v>41706.000694444447</v>
      </c>
      <c r="E83" s="786">
        <v>2573</v>
      </c>
      <c r="F83" s="791">
        <f t="shared" si="0"/>
        <v>-35.730982472112387</v>
      </c>
      <c r="G83" s="820"/>
      <c r="T83" s="777" t="s">
        <v>422</v>
      </c>
      <c r="U83" s="767">
        <v>41706.011805555558</v>
      </c>
      <c r="V83" s="778">
        <v>5000</v>
      </c>
    </row>
    <row r="84" spans="2:22" ht="19" x14ac:dyDescent="0.2">
      <c r="B84" s="797" t="s">
        <v>434</v>
      </c>
      <c r="C84" s="784">
        <v>310</v>
      </c>
      <c r="D84" s="785">
        <v>41705.995833333334</v>
      </c>
      <c r="E84" s="786">
        <v>2528</v>
      </c>
      <c r="F84" s="791">
        <f t="shared" si="0"/>
        <v>-35.04217974510469</v>
      </c>
      <c r="G84" s="820"/>
      <c r="T84" s="806" t="s">
        <v>430</v>
      </c>
      <c r="U84" s="767">
        <f>U82-4/1440</f>
        <v>41706.009027777778</v>
      </c>
      <c r="V84" s="807">
        <v>0</v>
      </c>
    </row>
    <row r="85" spans="2:22" x14ac:dyDescent="0.2">
      <c r="B85" s="795" t="s">
        <v>435</v>
      </c>
      <c r="C85" s="781">
        <v>380</v>
      </c>
      <c r="D85" s="782">
        <v>41706.025000000001</v>
      </c>
      <c r="E85" s="783">
        <v>2649</v>
      </c>
      <c r="F85" s="790">
        <f t="shared" si="0"/>
        <v>-36.851450163661212</v>
      </c>
      <c r="G85" s="817"/>
      <c r="T85" s="808"/>
      <c r="U85" s="767">
        <f>U84</f>
        <v>41706.009027777778</v>
      </c>
      <c r="V85" s="807">
        <v>5000</v>
      </c>
    </row>
    <row r="86" spans="2:22" x14ac:dyDescent="0.2">
      <c r="B86" s="795" t="s">
        <v>435</v>
      </c>
      <c r="C86" s="781">
        <v>360</v>
      </c>
      <c r="D86" s="782">
        <v>41706.027083333334</v>
      </c>
      <c r="E86" s="783">
        <v>2672</v>
      </c>
      <c r="F86" s="790">
        <f t="shared" si="0"/>
        <v>-37.17929406223238</v>
      </c>
      <c r="G86" s="817"/>
      <c r="T86" s="808"/>
      <c r="U86" s="767">
        <f>U82+4/1440</f>
        <v>41706.014583333337</v>
      </c>
      <c r="V86" s="807">
        <v>5000</v>
      </c>
    </row>
    <row r="87" spans="2:22" ht="16" thickBot="1" x14ac:dyDescent="0.25">
      <c r="B87" s="795" t="s">
        <v>435</v>
      </c>
      <c r="C87" s="781">
        <v>340</v>
      </c>
      <c r="D87" s="782">
        <v>41706.022916666669</v>
      </c>
      <c r="E87" s="783">
        <v>2652</v>
      </c>
      <c r="F87" s="790">
        <f t="shared" si="0"/>
        <v>-36.894518316118329</v>
      </c>
      <c r="G87" s="817"/>
      <c r="T87" s="809"/>
      <c r="U87" s="771">
        <f>U86</f>
        <v>41706.014583333337</v>
      </c>
      <c r="V87" s="810">
        <v>0</v>
      </c>
    </row>
    <row r="88" spans="2:22" x14ac:dyDescent="0.2">
      <c r="B88" s="795" t="s">
        <v>435</v>
      </c>
      <c r="C88" s="781">
        <v>320</v>
      </c>
      <c r="D88" s="822">
        <v>41706.015277777777</v>
      </c>
      <c r="E88" s="783">
        <v>2594</v>
      </c>
      <c r="F88" s="790">
        <f t="shared" si="0"/>
        <v>-36.046110509785137</v>
      </c>
      <c r="G88" s="817"/>
    </row>
    <row r="89" spans="2:22" x14ac:dyDescent="0.2">
      <c r="B89" s="795" t="s">
        <v>435</v>
      </c>
      <c r="C89" s="781">
        <v>310</v>
      </c>
      <c r="D89" s="822">
        <v>41706.010416666664</v>
      </c>
      <c r="E89" s="783">
        <v>2555</v>
      </c>
      <c r="F89" s="790">
        <f t="shared" si="0"/>
        <v>-35.457640480289513</v>
      </c>
      <c r="G89" s="817"/>
    </row>
    <row r="90" spans="2:22" x14ac:dyDescent="0.2">
      <c r="B90" s="795" t="s">
        <v>435</v>
      </c>
      <c r="C90" s="781">
        <v>300</v>
      </c>
      <c r="D90" s="782">
        <v>41706.005555555559</v>
      </c>
      <c r="E90" s="783">
        <v>2513</v>
      </c>
      <c r="F90" s="790">
        <f t="shared" si="0"/>
        <v>-34.808610500295643</v>
      </c>
      <c r="G90" s="817"/>
    </row>
    <row r="91" spans="2:22" x14ac:dyDescent="0.2">
      <c r="B91" s="795" t="s">
        <v>435</v>
      </c>
      <c r="C91" s="781">
        <v>290</v>
      </c>
      <c r="D91" s="782">
        <v>41706.000694444447</v>
      </c>
      <c r="E91" s="783">
        <v>2472</v>
      </c>
      <c r="F91" s="790">
        <f t="shared" si="0"/>
        <v>-34.160462669648695</v>
      </c>
      <c r="G91" s="817"/>
    </row>
    <row r="92" spans="2:22" x14ac:dyDescent="0.2">
      <c r="B92" s="797" t="s">
        <v>436</v>
      </c>
      <c r="C92" s="784">
        <v>250</v>
      </c>
      <c r="D92" s="822">
        <v>41706.010416666664</v>
      </c>
      <c r="E92" s="786">
        <v>2342</v>
      </c>
      <c r="F92" s="791">
        <f t="shared" si="0"/>
        <v>-32.017668884010405</v>
      </c>
      <c r="G92" s="820"/>
    </row>
    <row r="93" spans="2:22" x14ac:dyDescent="0.2">
      <c r="B93" s="797" t="s">
        <v>436</v>
      </c>
      <c r="C93" s="784">
        <v>270</v>
      </c>
      <c r="D93" s="822">
        <v>41706.010416666664</v>
      </c>
      <c r="E93" s="786">
        <v>2416</v>
      </c>
      <c r="F93" s="791">
        <f t="shared" si="0"/>
        <v>-33.253160926855998</v>
      </c>
      <c r="G93" s="820"/>
    </row>
    <row r="94" spans="2:22" x14ac:dyDescent="0.2">
      <c r="B94" s="797" t="s">
        <v>436</v>
      </c>
      <c r="C94" s="784">
        <v>290</v>
      </c>
      <c r="D94" s="822">
        <v>41706.009722222225</v>
      </c>
      <c r="E94" s="786">
        <v>2484</v>
      </c>
      <c r="F94" s="791">
        <f t="shared" si="0"/>
        <v>-34.351613103887665</v>
      </c>
      <c r="G94" s="820"/>
    </row>
    <row r="95" spans="2:22" x14ac:dyDescent="0.2">
      <c r="B95" s="797" t="s">
        <v>436</v>
      </c>
      <c r="C95" s="784">
        <v>310</v>
      </c>
      <c r="D95" s="822">
        <v>41706.008333333331</v>
      </c>
      <c r="E95" s="786">
        <v>2550</v>
      </c>
      <c r="F95" s="791">
        <f t="shared" si="0"/>
        <v>-35.381191969999996</v>
      </c>
      <c r="G95" s="820"/>
    </row>
    <row r="96" spans="2:22" x14ac:dyDescent="0.2">
      <c r="B96" s="797" t="s">
        <v>436</v>
      </c>
      <c r="C96" s="784">
        <v>330</v>
      </c>
      <c r="D96" s="822">
        <v>41706.006944444445</v>
      </c>
      <c r="E96" s="786">
        <v>2615</v>
      </c>
      <c r="F96" s="791">
        <f t="shared" si="0"/>
        <v>-36.357077765189501</v>
      </c>
      <c r="G96" s="820"/>
    </row>
    <row r="97" spans="2:7" x14ac:dyDescent="0.2">
      <c r="B97" s="797" t="s">
        <v>436</v>
      </c>
      <c r="C97" s="784">
        <v>340</v>
      </c>
      <c r="D97" s="785">
        <v>41706.005555555559</v>
      </c>
      <c r="E97" s="786">
        <v>2642</v>
      </c>
      <c r="F97" s="791">
        <f t="shared" si="0"/>
        <v>-36.750605265663545</v>
      </c>
      <c r="G97" s="820"/>
    </row>
    <row r="98" spans="2:7" x14ac:dyDescent="0.2">
      <c r="B98" s="797" t="s">
        <v>436</v>
      </c>
      <c r="C98" s="784">
        <v>350</v>
      </c>
      <c r="D98" s="785">
        <v>41706.004861111112</v>
      </c>
      <c r="E98" s="786">
        <v>2671</v>
      </c>
      <c r="F98" s="791">
        <f t="shared" si="0"/>
        <v>-37.165153018042353</v>
      </c>
      <c r="G98" s="820"/>
    </row>
    <row r="99" spans="2:7" x14ac:dyDescent="0.2">
      <c r="B99" s="795" t="s">
        <v>437</v>
      </c>
      <c r="C99" s="781">
        <v>330</v>
      </c>
      <c r="D99" s="782">
        <v>41706.027777777781</v>
      </c>
      <c r="E99" s="783">
        <v>2609</v>
      </c>
      <c r="F99" s="790">
        <f t="shared" si="0"/>
        <v>-36.268660771385562</v>
      </c>
      <c r="G99" s="817"/>
    </row>
    <row r="100" spans="2:7" x14ac:dyDescent="0.2">
      <c r="B100" s="795" t="s">
        <v>437</v>
      </c>
      <c r="C100" s="781">
        <v>350</v>
      </c>
      <c r="D100" s="782">
        <v>41706.025000000001</v>
      </c>
      <c r="E100" s="783">
        <v>2667</v>
      </c>
      <c r="F100" s="790">
        <f t="shared" si="0"/>
        <v>-37.108485323462808</v>
      </c>
      <c r="G100" s="817"/>
    </row>
    <row r="101" spans="2:7" x14ac:dyDescent="0.2">
      <c r="B101" s="795" t="s">
        <v>437</v>
      </c>
      <c r="C101" s="781">
        <v>370</v>
      </c>
      <c r="D101" s="782">
        <v>41706.020833333336</v>
      </c>
      <c r="E101" s="783">
        <v>2721</v>
      </c>
      <c r="F101" s="790">
        <f t="shared" si="0"/>
        <v>-37.859240250685787</v>
      </c>
      <c r="G101" s="817"/>
    </row>
    <row r="102" spans="2:7" x14ac:dyDescent="0.2">
      <c r="B102" s="795" t="s">
        <v>437</v>
      </c>
      <c r="C102" s="781">
        <v>390</v>
      </c>
      <c r="D102" s="822">
        <v>41706.015972222223</v>
      </c>
      <c r="E102" s="783">
        <v>2781</v>
      </c>
      <c r="F102" s="790">
        <f t="shared" si="0"/>
        <v>-38.65561981908543</v>
      </c>
      <c r="G102" s="817"/>
    </row>
    <row r="103" spans="2:7" x14ac:dyDescent="0.2">
      <c r="B103" s="795" t="s">
        <v>437</v>
      </c>
      <c r="C103" s="781">
        <v>400</v>
      </c>
      <c r="D103" s="822">
        <v>41706.011805555558</v>
      </c>
      <c r="E103" s="783">
        <v>2792</v>
      </c>
      <c r="F103" s="790">
        <f t="shared" si="0"/>
        <v>-38.7970830102741</v>
      </c>
      <c r="G103" s="817"/>
    </row>
    <row r="104" spans="2:7" ht="19" x14ac:dyDescent="0.2">
      <c r="D104" s="806" t="s">
        <v>430</v>
      </c>
    </row>
  </sheetData>
  <mergeCells count="2">
    <mergeCell ref="B2:G2"/>
    <mergeCell ref="T59:V59"/>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L28"/>
  <sheetViews>
    <sheetView zoomScale="70" zoomScaleNormal="70" workbookViewId="0">
      <selection activeCell="Z32" sqref="Z32"/>
    </sheetView>
  </sheetViews>
  <sheetFormatPr baseColWidth="10" defaultColWidth="8.83203125" defaultRowHeight="15" x14ac:dyDescent="0.2"/>
  <sheetData>
    <row r="1" spans="2:12" ht="16" thickBot="1" x14ac:dyDescent="0.25"/>
    <row r="2" spans="2:12" ht="37" customHeight="1" thickBot="1" x14ac:dyDescent="0.25">
      <c r="B2" s="901" t="s">
        <v>66</v>
      </c>
      <c r="C2" s="902"/>
      <c r="D2" s="903"/>
      <c r="E2" s="903"/>
      <c r="F2" s="903"/>
      <c r="G2" s="903"/>
      <c r="H2" s="903"/>
      <c r="I2" s="903"/>
      <c r="J2" s="903"/>
      <c r="K2" s="903"/>
      <c r="L2" s="904"/>
    </row>
    <row r="3" spans="2:12" ht="30" customHeight="1" x14ac:dyDescent="0.25">
      <c r="B3" s="153" t="s">
        <v>0</v>
      </c>
      <c r="C3" s="905" t="s">
        <v>67</v>
      </c>
      <c r="D3" s="906"/>
      <c r="E3" s="906"/>
      <c r="F3" s="906"/>
      <c r="G3" s="906"/>
      <c r="H3" s="906"/>
      <c r="I3" s="906"/>
      <c r="J3" s="906"/>
      <c r="K3" s="906"/>
      <c r="L3" s="907"/>
    </row>
    <row r="4" spans="2:12" ht="30" customHeight="1" thickBot="1" x14ac:dyDescent="0.25">
      <c r="B4" s="152"/>
      <c r="C4" s="154">
        <v>0.25</v>
      </c>
      <c r="D4" s="151">
        <v>0.3</v>
      </c>
      <c r="E4" s="149">
        <v>0.35</v>
      </c>
      <c r="F4" s="149">
        <v>0.4</v>
      </c>
      <c r="G4" s="149">
        <v>0.45</v>
      </c>
      <c r="H4" s="149">
        <v>0.5</v>
      </c>
      <c r="I4" s="149">
        <v>0.55000000000000004</v>
      </c>
      <c r="J4" s="149">
        <v>0.6</v>
      </c>
      <c r="K4" s="149">
        <v>0.65</v>
      </c>
      <c r="L4" s="150">
        <v>0.7</v>
      </c>
    </row>
    <row r="5" spans="2:12" ht="19" x14ac:dyDescent="0.2">
      <c r="B5" s="156">
        <v>0.5</v>
      </c>
      <c r="C5" s="144">
        <v>157.65095757322948</v>
      </c>
      <c r="D5" s="145">
        <v>168.59414749361824</v>
      </c>
      <c r="E5" s="145">
        <v>182.18846561554781</v>
      </c>
      <c r="F5" s="145">
        <v>198.5336041699808</v>
      </c>
      <c r="G5" s="145">
        <v>217.57422225192121</v>
      </c>
      <c r="H5" s="145">
        <v>239.05423289477272</v>
      </c>
      <c r="I5" s="145">
        <v>262.93260127749278</v>
      </c>
      <c r="J5" s="145">
        <v>289.46651317018257</v>
      </c>
      <c r="K5" s="145">
        <v>319.19056045714814</v>
      </c>
      <c r="L5" s="146">
        <v>351.78806277568958</v>
      </c>
    </row>
    <row r="6" spans="2:12" ht="19" x14ac:dyDescent="0.2">
      <c r="B6" s="157">
        <f t="shared" ref="B6:B18" si="0">B5+0.02</f>
        <v>0.52</v>
      </c>
      <c r="C6" s="147">
        <v>157.71007684503692</v>
      </c>
      <c r="D6" s="141">
        <v>168.35211158732474</v>
      </c>
      <c r="E6" s="141">
        <v>181.78986069948493</v>
      </c>
      <c r="F6" s="141">
        <v>198.11424350598278</v>
      </c>
      <c r="G6" s="141">
        <v>217.27156682506816</v>
      </c>
      <c r="H6" s="141">
        <v>239.01381312417664</v>
      </c>
      <c r="I6" s="141">
        <v>263.25949447724878</v>
      </c>
      <c r="J6" s="141">
        <v>290.32604515539424</v>
      </c>
      <c r="K6" s="141">
        <v>320.79753533565264</v>
      </c>
      <c r="L6" s="142">
        <v>354.22771502188965</v>
      </c>
    </row>
    <row r="7" spans="2:12" ht="19" x14ac:dyDescent="0.2">
      <c r="B7" s="157">
        <f t="shared" si="0"/>
        <v>0.54</v>
      </c>
      <c r="C7" s="147">
        <v>157.80896167364531</v>
      </c>
      <c r="D7" s="141">
        <v>168.06702707287971</v>
      </c>
      <c r="E7" s="141">
        <v>181.3150320862095</v>
      </c>
      <c r="F7" s="141">
        <v>197.59845159409286</v>
      </c>
      <c r="G7" s="141">
        <v>216.88533112747021</v>
      </c>
      <c r="H7" s="141">
        <v>239.00973176589483</v>
      </c>
      <c r="I7" s="141">
        <v>263.83595061549011</v>
      </c>
      <c r="J7" s="141">
        <v>291.72101379110222</v>
      </c>
      <c r="K7" s="141">
        <v>323.18111838185524</v>
      </c>
      <c r="L7" s="142">
        <v>357.62064205612302</v>
      </c>
    </row>
    <row r="8" spans="2:12" ht="19" x14ac:dyDescent="0.2">
      <c r="B8" s="157">
        <f t="shared" si="0"/>
        <v>0.56000000000000005</v>
      </c>
      <c r="C8" s="147">
        <v>157.93889648378283</v>
      </c>
      <c r="D8" s="141">
        <v>167.79047251975101</v>
      </c>
      <c r="E8" s="141">
        <v>180.84092555207607</v>
      </c>
      <c r="F8" s="141">
        <v>197.08730795328742</v>
      </c>
      <c r="G8" s="141">
        <v>216.5139296374642</v>
      </c>
      <c r="H8" s="141">
        <v>239.02222798497979</v>
      </c>
      <c r="I8" s="141">
        <v>264.46554409247693</v>
      </c>
      <c r="J8" s="141">
        <v>293.2531279887707</v>
      </c>
      <c r="K8" s="141">
        <v>325.81725903042218</v>
      </c>
      <c r="L8" s="142">
        <v>361.39432418760578</v>
      </c>
    </row>
    <row r="9" spans="2:12" ht="19" x14ac:dyDescent="0.2">
      <c r="B9" s="157">
        <f t="shared" si="0"/>
        <v>0.58000000000000007</v>
      </c>
      <c r="C9" s="147">
        <v>158.07317836066497</v>
      </c>
      <c r="D9" s="141">
        <v>167.56774245784422</v>
      </c>
      <c r="E9" s="141">
        <v>180.44667998200805</v>
      </c>
      <c r="F9" s="141">
        <v>196.65994050856162</v>
      </c>
      <c r="G9" s="141">
        <v>216.17380570965591</v>
      </c>
      <c r="H9" s="141">
        <v>238.95963359049935</v>
      </c>
      <c r="I9" s="141">
        <v>265.0122318101898</v>
      </c>
      <c r="J9" s="141">
        <v>294.71257371783958</v>
      </c>
      <c r="K9" s="141">
        <v>328.26860779279463</v>
      </c>
      <c r="L9" s="142">
        <v>364.92460831687123</v>
      </c>
    </row>
    <row r="10" spans="2:12" ht="19" x14ac:dyDescent="0.2">
      <c r="B10" s="157">
        <f t="shared" si="0"/>
        <v>0.60000000000000009</v>
      </c>
      <c r="C10" s="147">
        <v>158.23100539315595</v>
      </c>
      <c r="D10" s="141">
        <v>167.43294816130495</v>
      </c>
      <c r="E10" s="141">
        <v>180.16688571090765</v>
      </c>
      <c r="F10" s="141">
        <v>196.32362950255416</v>
      </c>
      <c r="G10" s="141">
        <v>215.79086170861731</v>
      </c>
      <c r="H10" s="141">
        <v>238.76717589875275</v>
      </c>
      <c r="I10" s="141">
        <v>265.46682194944196</v>
      </c>
      <c r="J10" s="141">
        <v>296.08694700277789</v>
      </c>
      <c r="K10" s="141">
        <v>330.3891872504056</v>
      </c>
      <c r="L10" s="142">
        <v>367.9343842254417</v>
      </c>
    </row>
    <row r="11" spans="2:12" ht="19" x14ac:dyDescent="0.2">
      <c r="B11" s="157">
        <f t="shared" si="0"/>
        <v>0.62000000000000011</v>
      </c>
      <c r="C11" s="147">
        <v>158.45190381069457</v>
      </c>
      <c r="D11" s="141">
        <v>167.41023444772202</v>
      </c>
      <c r="E11" s="141">
        <v>180.01283906457255</v>
      </c>
      <c r="F11" s="141">
        <v>196.07551452177924</v>
      </c>
      <c r="G11" s="141">
        <v>215.32809893069791</v>
      </c>
      <c r="H11" s="141">
        <v>238.56704511808991</v>
      </c>
      <c r="I11" s="141">
        <v>265.91998120014171</v>
      </c>
      <c r="J11" s="141">
        <v>297.3315151535208</v>
      </c>
      <c r="K11" s="141">
        <v>332.16426103076901</v>
      </c>
      <c r="L11" s="142">
        <v>370.40739087183374</v>
      </c>
    </row>
    <row r="12" spans="2:12" ht="19" x14ac:dyDescent="0.2">
      <c r="B12" s="157">
        <f t="shared" si="0"/>
        <v>0.64000000000000012</v>
      </c>
      <c r="C12" s="147">
        <v>158.69054095449377</v>
      </c>
      <c r="D12" s="141">
        <v>167.48224038785725</v>
      </c>
      <c r="E12" s="141">
        <v>180.00008424711763</v>
      </c>
      <c r="F12" s="141">
        <v>195.97527322720057</v>
      </c>
      <c r="G12" s="141">
        <v>214.90965689112599</v>
      </c>
      <c r="H12" s="141">
        <v>238.5431140979052</v>
      </c>
      <c r="I12" s="141">
        <v>266.46943094905731</v>
      </c>
      <c r="J12" s="141">
        <v>298.37566232833944</v>
      </c>
      <c r="K12" s="141">
        <v>333.60225646572087</v>
      </c>
      <c r="L12" s="142">
        <v>372.3645999526812</v>
      </c>
    </row>
    <row r="13" spans="2:12" ht="19" x14ac:dyDescent="0.2">
      <c r="B13" s="157">
        <f t="shared" si="0"/>
        <v>0.66000000000000014</v>
      </c>
      <c r="C13" s="147">
        <v>158.86460839597305</v>
      </c>
      <c r="D13" s="141">
        <v>167.62114193310245</v>
      </c>
      <c r="E13" s="141">
        <v>180.16434438765555</v>
      </c>
      <c r="F13" s="141">
        <v>196.14607846423274</v>
      </c>
      <c r="G13" s="141">
        <v>214.81661068814688</v>
      </c>
      <c r="H13" s="141">
        <v>238.75844830241658</v>
      </c>
      <c r="I13" s="141">
        <v>267.15958776096556</v>
      </c>
      <c r="J13" s="141">
        <v>299.22994997444033</v>
      </c>
      <c r="K13" s="141">
        <v>334.74516715301559</v>
      </c>
      <c r="L13" s="142">
        <v>373.80987341922031</v>
      </c>
    </row>
    <row r="14" spans="2:12" ht="19" x14ac:dyDescent="0.2">
      <c r="B14" s="157">
        <f t="shared" si="0"/>
        <v>0.68000000000000016</v>
      </c>
      <c r="C14" s="147">
        <v>159.00081094452833</v>
      </c>
      <c r="D14" s="141">
        <v>167.86133316976091</v>
      </c>
      <c r="E14" s="141">
        <v>180.5440660325676</v>
      </c>
      <c r="F14" s="141">
        <v>196.66049234408638</v>
      </c>
      <c r="G14" s="141">
        <v>215.2135393575355</v>
      </c>
      <c r="H14" s="141">
        <v>239.18534184371751</v>
      </c>
      <c r="I14" s="141">
        <v>268.15727467857204</v>
      </c>
      <c r="J14" s="141">
        <v>300.07164363658404</v>
      </c>
      <c r="K14" s="141">
        <v>335.64328651481901</v>
      </c>
      <c r="L14" s="142">
        <v>374.68500389458734</v>
      </c>
    </row>
    <row r="15" spans="2:12" ht="19" x14ac:dyDescent="0.2">
      <c r="B15" s="157">
        <f t="shared" si="0"/>
        <v>0.70000000000000018</v>
      </c>
      <c r="C15" s="147">
        <v>159.19858342248924</v>
      </c>
      <c r="D15" s="141">
        <v>168.25846934069222</v>
      </c>
      <c r="E15" s="141">
        <v>181.11902719724247</v>
      </c>
      <c r="F15" s="141">
        <v>197.43893508110872</v>
      </c>
      <c r="G15" s="141">
        <v>215.95908321170637</v>
      </c>
      <c r="H15" s="141">
        <v>239.82923480406018</v>
      </c>
      <c r="I15" s="141">
        <v>269.85634813809099</v>
      </c>
      <c r="J15" s="141">
        <v>301.29637883794777</v>
      </c>
      <c r="K15" s="141">
        <v>336.38767499137526</v>
      </c>
      <c r="L15" s="142">
        <v>374.9188728686068</v>
      </c>
    </row>
    <row r="16" spans="2:12" ht="19" x14ac:dyDescent="0.2">
      <c r="B16" s="157">
        <f t="shared" si="0"/>
        <v>0.7200000000000002</v>
      </c>
      <c r="C16" s="147">
        <v>159.48605789969531</v>
      </c>
      <c r="D16" s="141">
        <v>168.79604089283134</v>
      </c>
      <c r="E16" s="141">
        <v>181.81836292723571</v>
      </c>
      <c r="F16" s="141">
        <v>198.34431626310916</v>
      </c>
      <c r="G16" s="141">
        <v>216.89725785341278</v>
      </c>
      <c r="H16" s="141">
        <v>240.77124759494876</v>
      </c>
      <c r="I16" s="141">
        <v>272.24008146525063</v>
      </c>
      <c r="J16" s="141">
        <v>303.1340030624516</v>
      </c>
      <c r="K16" s="141">
        <v>337.11543204240274</v>
      </c>
      <c r="L16" s="142">
        <v>374.61440875890463</v>
      </c>
    </row>
    <row r="17" spans="2:12" ht="19" x14ac:dyDescent="0.2">
      <c r="B17" s="157">
        <f t="shared" si="0"/>
        <v>0.74000000000000021</v>
      </c>
      <c r="C17" s="147">
        <v>159.81536263944841</v>
      </c>
      <c r="D17" s="141">
        <v>169.39657793698601</v>
      </c>
      <c r="E17" s="141">
        <v>182.5884563818089</v>
      </c>
      <c r="F17" s="141">
        <v>199.30832915410625</v>
      </c>
      <c r="G17" s="141">
        <v>218.11654755969303</v>
      </c>
      <c r="H17" s="141">
        <v>242.10601581468472</v>
      </c>
      <c r="I17" s="141">
        <v>274.33517177715834</v>
      </c>
      <c r="J17" s="141">
        <v>305.20005294334942</v>
      </c>
      <c r="K17" s="141">
        <v>337.88308647844843</v>
      </c>
      <c r="L17" s="142">
        <v>374.08322382304209</v>
      </c>
    </row>
    <row r="18" spans="2:12" ht="19" x14ac:dyDescent="0.2">
      <c r="B18" s="157">
        <f t="shared" si="0"/>
        <v>0.76000000000000023</v>
      </c>
      <c r="C18" s="147">
        <v>160.16373145402088</v>
      </c>
      <c r="D18" s="141">
        <v>169.99823399210109</v>
      </c>
      <c r="E18" s="141">
        <v>183.37090316714932</v>
      </c>
      <c r="F18" s="141">
        <v>200.27494004468986</v>
      </c>
      <c r="G18" s="141">
        <v>219.63690502293389</v>
      </c>
      <c r="H18" s="141">
        <v>243.72858855658089</v>
      </c>
      <c r="I18" s="141">
        <v>275.23072231034456</v>
      </c>
      <c r="J18" s="141">
        <v>306.7857875887301</v>
      </c>
      <c r="K18" s="141">
        <v>338.59832573187828</v>
      </c>
      <c r="L18" s="142">
        <v>373.70719071131759</v>
      </c>
    </row>
    <row r="19" spans="2:12" ht="19" x14ac:dyDescent="0.2">
      <c r="B19" s="157">
        <v>0.77</v>
      </c>
      <c r="C19" s="147">
        <v>160.57861481444175</v>
      </c>
      <c r="D19" s="141">
        <v>170.60270414973149</v>
      </c>
      <c r="E19" s="141">
        <v>184.08575054545349</v>
      </c>
      <c r="F19" s="141">
        <v>201.15546533619536</v>
      </c>
      <c r="G19" s="141">
        <v>221.12781059822495</v>
      </c>
      <c r="H19" s="141">
        <v>245.26096625039744</v>
      </c>
      <c r="I19" s="141">
        <v>275.21954582932636</v>
      </c>
      <c r="J19" s="141">
        <v>307.43747479770627</v>
      </c>
      <c r="K19" s="141">
        <v>339.16681401731091</v>
      </c>
      <c r="L19" s="142">
        <v>373.93097267497944</v>
      </c>
    </row>
    <row r="20" spans="2:12" ht="19" x14ac:dyDescent="0.2">
      <c r="B20" s="157">
        <f>B18+0.02</f>
        <v>0.78000000000000025</v>
      </c>
      <c r="C20" s="147">
        <v>161.1329651541968</v>
      </c>
      <c r="D20" s="141">
        <v>171.26922914694208</v>
      </c>
      <c r="E20" s="141">
        <v>184.74124256929997</v>
      </c>
      <c r="F20" s="141">
        <v>201.9190461602017</v>
      </c>
      <c r="G20" s="141">
        <v>222.21045566005893</v>
      </c>
      <c r="H20" s="141">
        <v>246.4153356404243</v>
      </c>
      <c r="I20" s="141">
        <v>275.17509254306015</v>
      </c>
      <c r="J20" s="141">
        <v>307.31058468984077</v>
      </c>
      <c r="K20" s="141">
        <v>339.69082511736246</v>
      </c>
      <c r="L20" s="142">
        <v>375.04551341725278</v>
      </c>
    </row>
    <row r="21" spans="2:12" ht="19" x14ac:dyDescent="0.2">
      <c r="B21" s="157">
        <v>0.79</v>
      </c>
      <c r="C21" s="147">
        <v>161.89130958913415</v>
      </c>
      <c r="D21" s="141">
        <v>172.07896991557362</v>
      </c>
      <c r="E21" s="141">
        <v>185.472046980991</v>
      </c>
      <c r="F21" s="141">
        <v>202.59743716506927</v>
      </c>
      <c r="G21" s="141">
        <v>222.74976749074506</v>
      </c>
      <c r="H21" s="141">
        <v>247.22720382248957</v>
      </c>
      <c r="I21" s="141">
        <v>275.54586944541967</v>
      </c>
      <c r="J21" s="141">
        <v>307.11637416466863</v>
      </c>
      <c r="K21" s="141">
        <v>340.39384309604054</v>
      </c>
      <c r="L21" s="142">
        <v>376.79507644565865</v>
      </c>
    </row>
    <row r="22" spans="2:12" ht="19" x14ac:dyDescent="0.2">
      <c r="B22" s="157">
        <f>B20+0.02</f>
        <v>0.80000000000000027</v>
      </c>
      <c r="C22" s="147">
        <v>162.90736652983063</v>
      </c>
      <c r="D22" s="141">
        <v>173.08587990144389</v>
      </c>
      <c r="E22" s="141">
        <v>186.36710685726069</v>
      </c>
      <c r="F22" s="141">
        <v>203.18897783904904</v>
      </c>
      <c r="G22" s="141">
        <v>222.98129141568464</v>
      </c>
      <c r="H22" s="141">
        <v>247.98801151945875</v>
      </c>
      <c r="I22" s="141">
        <v>276.40473837801744</v>
      </c>
      <c r="J22" s="141">
        <v>307.58296030903227</v>
      </c>
      <c r="K22" s="141">
        <v>341.59230931605362</v>
      </c>
      <c r="L22" s="142">
        <v>377.97590600986865</v>
      </c>
    </row>
    <row r="23" spans="2:12" ht="19" x14ac:dyDescent="0.2">
      <c r="B23" s="157">
        <f t="shared" ref="B23:B28" si="1">B22+0.01</f>
        <v>0.81000000000000028</v>
      </c>
      <c r="C23" s="147">
        <v>164.23678159560805</v>
      </c>
      <c r="D23" s="141">
        <v>174.30609534581379</v>
      </c>
      <c r="E23" s="141">
        <v>187.3803796586121</v>
      </c>
      <c r="F23" s="141">
        <v>203.2372858053603</v>
      </c>
      <c r="G23" s="141">
        <v>223.63108014896122</v>
      </c>
      <c r="H23" s="141">
        <v>249.27462628584729</v>
      </c>
      <c r="I23" s="141">
        <v>277.97931758636946</v>
      </c>
      <c r="J23" s="141">
        <v>309.31113593889506</v>
      </c>
      <c r="K23" s="141">
        <v>342.02235653153548</v>
      </c>
      <c r="L23" s="142">
        <v>379.73928101096158</v>
      </c>
    </row>
    <row r="24" spans="2:12" ht="19" x14ac:dyDescent="0.2">
      <c r="B24" s="157">
        <f t="shared" si="1"/>
        <v>0.82000000000000028</v>
      </c>
      <c r="C24" s="147">
        <v>165.92907063567296</v>
      </c>
      <c r="D24" s="141">
        <v>175.73537254580077</v>
      </c>
      <c r="E24" s="141">
        <v>188.5085644235194</v>
      </c>
      <c r="F24" s="141">
        <v>204.25531253708854</v>
      </c>
      <c r="G24" s="141">
        <v>225.46893788322376</v>
      </c>
      <c r="H24" s="141">
        <v>250.6849265020202</v>
      </c>
      <c r="I24" s="141">
        <v>280.21786757206428</v>
      </c>
      <c r="J24" s="141">
        <v>311.06955405121539</v>
      </c>
      <c r="K24" s="141">
        <v>345.33573092851606</v>
      </c>
      <c r="L24" s="142">
        <v>384.10853308044284</v>
      </c>
    </row>
    <row r="25" spans="2:12" ht="19" x14ac:dyDescent="0.2">
      <c r="B25" s="157">
        <f t="shared" si="1"/>
        <v>0.83000000000000029</v>
      </c>
      <c r="C25" s="147">
        <v>167.98555785536158</v>
      </c>
      <c r="D25" s="141">
        <v>177.36753249551731</v>
      </c>
      <c r="E25" s="141">
        <v>189.89925638621662</v>
      </c>
      <c r="F25" s="141">
        <v>205.93021700388394</v>
      </c>
      <c r="G25" s="141">
        <v>227.56691350305542</v>
      </c>
      <c r="H25" s="141">
        <v>253.93153171908443</v>
      </c>
      <c r="I25" s="141">
        <v>283.14101480720637</v>
      </c>
      <c r="J25" s="141">
        <v>316.0336506060915</v>
      </c>
      <c r="K25" s="141">
        <v>353.09993712850826</v>
      </c>
      <c r="L25" s="142">
        <v>394.19494943535057</v>
      </c>
    </row>
    <row r="26" spans="2:12" ht="19" x14ac:dyDescent="0.2">
      <c r="B26" s="157">
        <f t="shared" si="1"/>
        <v>0.8400000000000003</v>
      </c>
      <c r="C26" s="147">
        <v>170.36756573079151</v>
      </c>
      <c r="D26" s="141">
        <v>179.25160235837046</v>
      </c>
      <c r="E26" s="141">
        <v>191.65034126823596</v>
      </c>
      <c r="F26" s="141">
        <v>209.31959739082558</v>
      </c>
      <c r="G26" s="141">
        <v>230.97015240661253</v>
      </c>
      <c r="H26" s="141">
        <v>259.58475485349027</v>
      </c>
      <c r="I26" s="141">
        <v>291.43462940838214</v>
      </c>
      <c r="J26" s="141">
        <v>328.01833782608514</v>
      </c>
      <c r="K26" s="141">
        <v>369.63483512171689</v>
      </c>
      <c r="L26" s="142">
        <v>416.04785230327838</v>
      </c>
    </row>
    <row r="27" spans="2:12" ht="19" x14ac:dyDescent="0.2">
      <c r="B27" s="157">
        <f t="shared" si="1"/>
        <v>0.85000000000000031</v>
      </c>
      <c r="C27" s="147">
        <v>173.35478657170029</v>
      </c>
      <c r="D27" s="141">
        <v>181.22077051726029</v>
      </c>
      <c r="E27" s="141">
        <v>193.34252861840488</v>
      </c>
      <c r="F27" s="141">
        <v>213.69607371942269</v>
      </c>
      <c r="G27" s="141">
        <v>238.54744228811404</v>
      </c>
      <c r="H27" s="141">
        <v>271.67330052370625</v>
      </c>
      <c r="I27" s="141">
        <v>311.25311456843622</v>
      </c>
      <c r="J27" s="141">
        <v>357.81514747073544</v>
      </c>
      <c r="K27" s="141">
        <v>411.62524000056783</v>
      </c>
      <c r="L27" s="142">
        <v>472.4162583012764</v>
      </c>
    </row>
    <row r="28" spans="2:12" ht="20" thickBot="1" x14ac:dyDescent="0.25">
      <c r="B28" s="158">
        <f t="shared" si="1"/>
        <v>0.86000000000000032</v>
      </c>
      <c r="C28" s="148">
        <v>179.23522933275572</v>
      </c>
      <c r="D28" s="143">
        <v>186.37160136648208</v>
      </c>
      <c r="E28" s="143">
        <v>197.36682511354618</v>
      </c>
      <c r="F28" s="143">
        <v>220.97970361939639</v>
      </c>
      <c r="G28" s="143">
        <v>252.95368981244144</v>
      </c>
      <c r="H28" s="143">
        <v>297.4664345712464</v>
      </c>
      <c r="I28" s="143">
        <v>353.01333154361191</v>
      </c>
      <c r="J28" s="143">
        <v>419.81381417418191</v>
      </c>
      <c r="K28" s="143">
        <v>498.12136466337893</v>
      </c>
      <c r="L28" s="155">
        <v>587.70160698539109</v>
      </c>
    </row>
  </sheetData>
  <mergeCells count="2">
    <mergeCell ref="B2:L2"/>
    <mergeCell ref="C3:L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B1:E70"/>
  <sheetViews>
    <sheetView zoomScale="70" zoomScaleNormal="70" workbookViewId="0">
      <selection activeCell="R33" sqref="R33"/>
    </sheetView>
  </sheetViews>
  <sheetFormatPr baseColWidth="10" defaultColWidth="8.83203125" defaultRowHeight="15" x14ac:dyDescent="0.2"/>
  <cols>
    <col min="2" max="2" width="12" customWidth="1"/>
  </cols>
  <sheetData>
    <row r="1" spans="2:5" ht="16" thickBot="1" x14ac:dyDescent="0.25"/>
    <row r="2" spans="2:5" ht="32.5" customHeight="1" thickTop="1" thickBot="1" x14ac:dyDescent="0.25">
      <c r="B2" s="908" t="s">
        <v>111</v>
      </c>
      <c r="C2" s="909"/>
      <c r="D2" s="909"/>
      <c r="E2" s="910"/>
    </row>
    <row r="3" spans="2:5" ht="49" customHeight="1" x14ac:dyDescent="0.2">
      <c r="B3" s="163" t="s">
        <v>110</v>
      </c>
      <c r="C3" s="911" t="s">
        <v>112</v>
      </c>
      <c r="D3" s="912"/>
      <c r="E3" s="913"/>
    </row>
    <row r="4" spans="2:5" ht="37.5" customHeight="1" thickBot="1" x14ac:dyDescent="0.25">
      <c r="B4" s="164"/>
      <c r="C4" s="161">
        <v>1</v>
      </c>
      <c r="D4" s="162">
        <v>2</v>
      </c>
      <c r="E4" s="165">
        <v>3</v>
      </c>
    </row>
    <row r="5" spans="2:5" ht="19" x14ac:dyDescent="0.2">
      <c r="B5" s="170">
        <v>12</v>
      </c>
      <c r="C5" s="172">
        <v>0.79131437950149563</v>
      </c>
      <c r="D5" s="160">
        <f t="shared" ref="D5:D36" si="0">C5</f>
        <v>0.79131437950149563</v>
      </c>
      <c r="E5" s="166">
        <f t="shared" ref="E5:E36" si="1">C5</f>
        <v>0.79131437950149563</v>
      </c>
    </row>
    <row r="6" spans="2:5" ht="19" x14ac:dyDescent="0.2">
      <c r="B6" s="170">
        <v>13</v>
      </c>
      <c r="C6" s="172">
        <v>0.79981293604265513</v>
      </c>
      <c r="D6" s="159">
        <f t="shared" si="0"/>
        <v>0.79981293604265513</v>
      </c>
      <c r="E6" s="167">
        <f t="shared" si="1"/>
        <v>0.79981293604265513</v>
      </c>
    </row>
    <row r="7" spans="2:5" ht="19" x14ac:dyDescent="0.2">
      <c r="B7" s="170">
        <v>14</v>
      </c>
      <c r="C7" s="172">
        <v>0.81590145059271324</v>
      </c>
      <c r="D7" s="159">
        <f t="shared" si="0"/>
        <v>0.81590145059271324</v>
      </c>
      <c r="E7" s="167">
        <f t="shared" si="1"/>
        <v>0.81590145059271324</v>
      </c>
    </row>
    <row r="8" spans="2:5" ht="19" x14ac:dyDescent="0.2">
      <c r="B8" s="170">
        <v>15</v>
      </c>
      <c r="C8" s="172">
        <v>0.83553900132811498</v>
      </c>
      <c r="D8" s="159">
        <f t="shared" si="0"/>
        <v>0.83553900132811498</v>
      </c>
      <c r="E8" s="167">
        <f t="shared" si="1"/>
        <v>0.83553900132811498</v>
      </c>
    </row>
    <row r="9" spans="2:5" ht="19" x14ac:dyDescent="0.2">
      <c r="B9" s="170">
        <v>16</v>
      </c>
      <c r="C9" s="172">
        <v>0.85407208781070409</v>
      </c>
      <c r="D9" s="159">
        <f t="shared" si="0"/>
        <v>0.85407208781070409</v>
      </c>
      <c r="E9" s="167">
        <f t="shared" si="1"/>
        <v>0.85407208781070409</v>
      </c>
    </row>
    <row r="10" spans="2:5" ht="19" x14ac:dyDescent="0.2">
      <c r="B10" s="170">
        <v>17</v>
      </c>
      <c r="C10" s="172">
        <v>0.86871069245168664</v>
      </c>
      <c r="D10" s="159">
        <f t="shared" si="0"/>
        <v>0.86871069245168664</v>
      </c>
      <c r="E10" s="167">
        <f t="shared" si="1"/>
        <v>0.86871069245168664</v>
      </c>
    </row>
    <row r="11" spans="2:5" ht="19" x14ac:dyDescent="0.2">
      <c r="B11" s="170">
        <v>18</v>
      </c>
      <c r="C11" s="172">
        <v>0.87929745908016455</v>
      </c>
      <c r="D11" s="159">
        <f t="shared" si="0"/>
        <v>0.87929745908016455</v>
      </c>
      <c r="E11" s="167">
        <f t="shared" si="1"/>
        <v>0.87929745908016455</v>
      </c>
    </row>
    <row r="12" spans="2:5" ht="19" x14ac:dyDescent="0.2">
      <c r="B12" s="170">
        <v>19</v>
      </c>
      <c r="C12" s="172">
        <v>0.88729385136815087</v>
      </c>
      <c r="D12" s="159">
        <f t="shared" si="0"/>
        <v>0.88729385136815087</v>
      </c>
      <c r="E12" s="167">
        <f t="shared" si="1"/>
        <v>0.88729385136815087</v>
      </c>
    </row>
    <row r="13" spans="2:5" ht="19" x14ac:dyDescent="0.2">
      <c r="B13" s="170">
        <v>20</v>
      </c>
      <c r="C13" s="172">
        <v>0.89421086132871486</v>
      </c>
      <c r="D13" s="159">
        <f t="shared" si="0"/>
        <v>0.89421086132871486</v>
      </c>
      <c r="E13" s="167">
        <f t="shared" si="1"/>
        <v>0.89421086132871486</v>
      </c>
    </row>
    <row r="14" spans="2:5" ht="19" x14ac:dyDescent="0.2">
      <c r="B14" s="170">
        <v>21</v>
      </c>
      <c r="C14" s="172">
        <v>0.90073611018848265</v>
      </c>
      <c r="D14" s="159">
        <f t="shared" si="0"/>
        <v>0.90073611018848265</v>
      </c>
      <c r="E14" s="167">
        <f t="shared" si="1"/>
        <v>0.90073611018848265</v>
      </c>
    </row>
    <row r="15" spans="2:5" ht="19" x14ac:dyDescent="0.2">
      <c r="B15" s="170">
        <v>22</v>
      </c>
      <c r="C15" s="172">
        <v>0.90689571672380287</v>
      </c>
      <c r="D15" s="159">
        <f t="shared" si="0"/>
        <v>0.90689571672380287</v>
      </c>
      <c r="E15" s="167">
        <f t="shared" si="1"/>
        <v>0.90689571672380287</v>
      </c>
    </row>
    <row r="16" spans="2:5" ht="19" x14ac:dyDescent="0.2">
      <c r="B16" s="170">
        <v>23</v>
      </c>
      <c r="C16" s="172">
        <v>0.91254900541127792</v>
      </c>
      <c r="D16" s="159">
        <f t="shared" si="0"/>
        <v>0.91254900541127792</v>
      </c>
      <c r="E16" s="167">
        <f t="shared" si="1"/>
        <v>0.91254900541127792</v>
      </c>
    </row>
    <row r="17" spans="2:5" ht="19" x14ac:dyDescent="0.2">
      <c r="B17" s="170">
        <v>24</v>
      </c>
      <c r="C17" s="172">
        <v>0.91779045063764786</v>
      </c>
      <c r="D17" s="159">
        <f t="shared" si="0"/>
        <v>0.91779045063764786</v>
      </c>
      <c r="E17" s="167">
        <f t="shared" si="1"/>
        <v>0.91779045063764786</v>
      </c>
    </row>
    <row r="18" spans="2:5" ht="19" x14ac:dyDescent="0.2">
      <c r="B18" s="170">
        <v>25</v>
      </c>
      <c r="C18" s="172">
        <v>0.92277329484084902</v>
      </c>
      <c r="D18" s="159">
        <f t="shared" si="0"/>
        <v>0.92277329484084902</v>
      </c>
      <c r="E18" s="167">
        <f t="shared" si="1"/>
        <v>0.92277329484084902</v>
      </c>
    </row>
    <row r="19" spans="2:5" ht="19" x14ac:dyDescent="0.2">
      <c r="B19" s="170">
        <v>26</v>
      </c>
      <c r="C19" s="172">
        <v>0.92753690605307881</v>
      </c>
      <c r="D19" s="159">
        <f t="shared" si="0"/>
        <v>0.92753690605307881</v>
      </c>
      <c r="E19" s="167">
        <f t="shared" si="1"/>
        <v>0.92753690605307881</v>
      </c>
    </row>
    <row r="20" spans="2:5" ht="19" x14ac:dyDescent="0.2">
      <c r="B20" s="170">
        <v>27</v>
      </c>
      <c r="C20" s="172">
        <v>0.93206765457721841</v>
      </c>
      <c r="D20" s="159">
        <f t="shared" si="0"/>
        <v>0.93206765457721841</v>
      </c>
      <c r="E20" s="167">
        <f t="shared" si="1"/>
        <v>0.93206765457721841</v>
      </c>
    </row>
    <row r="21" spans="2:5" ht="19" x14ac:dyDescent="0.2">
      <c r="B21" s="170">
        <v>28</v>
      </c>
      <c r="C21" s="172">
        <v>0.93639899189932907</v>
      </c>
      <c r="D21" s="159">
        <f t="shared" si="0"/>
        <v>0.93639899189932907</v>
      </c>
      <c r="E21" s="167">
        <f t="shared" si="1"/>
        <v>0.93639899189932907</v>
      </c>
    </row>
    <row r="22" spans="2:5" ht="19" x14ac:dyDescent="0.2">
      <c r="B22" s="170">
        <v>29</v>
      </c>
      <c r="C22" s="172">
        <v>0.94051784383909609</v>
      </c>
      <c r="D22" s="159">
        <f t="shared" si="0"/>
        <v>0.94051784383909609</v>
      </c>
      <c r="E22" s="167">
        <f t="shared" si="1"/>
        <v>0.94051784383909609</v>
      </c>
    </row>
    <row r="23" spans="2:5" ht="19" x14ac:dyDescent="0.2">
      <c r="B23" s="170">
        <v>30</v>
      </c>
      <c r="C23" s="172">
        <v>0.94416871705781835</v>
      </c>
      <c r="D23" s="159">
        <f t="shared" si="0"/>
        <v>0.94416871705781835</v>
      </c>
      <c r="E23" s="167">
        <f t="shared" si="1"/>
        <v>0.94416871705781835</v>
      </c>
    </row>
    <row r="24" spans="2:5" ht="19" x14ac:dyDescent="0.2">
      <c r="B24" s="170">
        <v>31</v>
      </c>
      <c r="C24" s="172">
        <v>0.94698292799605088</v>
      </c>
      <c r="D24" s="159">
        <f t="shared" si="0"/>
        <v>0.94698292799605088</v>
      </c>
      <c r="E24" s="167">
        <f t="shared" si="1"/>
        <v>0.94698292799605088</v>
      </c>
    </row>
    <row r="25" spans="2:5" ht="19" x14ac:dyDescent="0.2">
      <c r="B25" s="170">
        <v>32</v>
      </c>
      <c r="C25" s="172">
        <v>0.94896867704965393</v>
      </c>
      <c r="D25" s="159">
        <f t="shared" si="0"/>
        <v>0.94896867704965393</v>
      </c>
      <c r="E25" s="167">
        <f t="shared" si="1"/>
        <v>0.94896867704965393</v>
      </c>
    </row>
    <row r="26" spans="2:5" ht="19" x14ac:dyDescent="0.2">
      <c r="B26" s="170">
        <v>33</v>
      </c>
      <c r="C26" s="172">
        <v>0.95082977224653087</v>
      </c>
      <c r="D26" s="159">
        <f t="shared" si="0"/>
        <v>0.95082977224653087</v>
      </c>
      <c r="E26" s="167">
        <f t="shared" si="1"/>
        <v>0.95082977224653087</v>
      </c>
    </row>
    <row r="27" spans="2:5" ht="19" x14ac:dyDescent="0.2">
      <c r="B27" s="170">
        <v>34</v>
      </c>
      <c r="C27" s="172">
        <v>0.95361503056673769</v>
      </c>
      <c r="D27" s="159">
        <f t="shared" si="0"/>
        <v>0.95361503056673769</v>
      </c>
      <c r="E27" s="167">
        <f t="shared" si="1"/>
        <v>0.95361503056673769</v>
      </c>
    </row>
    <row r="28" spans="2:5" ht="19" x14ac:dyDescent="0.2">
      <c r="B28" s="170">
        <v>35</v>
      </c>
      <c r="C28" s="172">
        <v>0.95779464079177956</v>
      </c>
      <c r="D28" s="159">
        <f t="shared" si="0"/>
        <v>0.95779464079177956</v>
      </c>
      <c r="E28" s="167">
        <f t="shared" si="1"/>
        <v>0.95779464079177956</v>
      </c>
    </row>
    <row r="29" spans="2:5" ht="19" x14ac:dyDescent="0.2">
      <c r="B29" s="170">
        <v>36</v>
      </c>
      <c r="C29" s="172">
        <v>0.96257414637509808</v>
      </c>
      <c r="D29" s="159">
        <f t="shared" si="0"/>
        <v>0.96257414637509808</v>
      </c>
      <c r="E29" s="167">
        <f t="shared" si="1"/>
        <v>0.96257414637509808</v>
      </c>
    </row>
    <row r="30" spans="2:5" ht="19" x14ac:dyDescent="0.2">
      <c r="B30" s="170">
        <v>37</v>
      </c>
      <c r="C30" s="172">
        <v>0.96626886121730082</v>
      </c>
      <c r="D30" s="159">
        <f t="shared" si="0"/>
        <v>0.96626886121730082</v>
      </c>
      <c r="E30" s="167">
        <f t="shared" si="1"/>
        <v>0.96626886121730082</v>
      </c>
    </row>
    <row r="31" spans="2:5" ht="19" x14ac:dyDescent="0.2">
      <c r="B31" s="170">
        <v>38</v>
      </c>
      <c r="C31" s="172">
        <v>0.9676348555013814</v>
      </c>
      <c r="D31" s="159">
        <f t="shared" si="0"/>
        <v>0.9676348555013814</v>
      </c>
      <c r="E31" s="167">
        <f t="shared" si="1"/>
        <v>0.9676348555013814</v>
      </c>
    </row>
    <row r="32" spans="2:5" ht="19" x14ac:dyDescent="0.2">
      <c r="B32" s="170">
        <v>39</v>
      </c>
      <c r="C32" s="172">
        <v>0.96705527193372609</v>
      </c>
      <c r="D32" s="159">
        <f t="shared" si="0"/>
        <v>0.96705527193372609</v>
      </c>
      <c r="E32" s="167">
        <f t="shared" si="1"/>
        <v>0.96705527193372609</v>
      </c>
    </row>
    <row r="33" spans="2:5" ht="19" x14ac:dyDescent="0.2">
      <c r="B33" s="170">
        <v>40</v>
      </c>
      <c r="C33" s="172">
        <v>0.96642451818166319</v>
      </c>
      <c r="D33" s="159">
        <f t="shared" si="0"/>
        <v>0.96642451818166319</v>
      </c>
      <c r="E33" s="167">
        <f t="shared" si="1"/>
        <v>0.96642451818166319</v>
      </c>
    </row>
    <row r="34" spans="2:5" ht="19" x14ac:dyDescent="0.2">
      <c r="B34" s="170">
        <v>41</v>
      </c>
      <c r="C34" s="172">
        <v>0.96775886557713409</v>
      </c>
      <c r="D34" s="159">
        <f t="shared" si="0"/>
        <v>0.96775886557713409</v>
      </c>
      <c r="E34" s="167">
        <f t="shared" si="1"/>
        <v>0.96775886557713409</v>
      </c>
    </row>
    <row r="35" spans="2:5" ht="19" x14ac:dyDescent="0.2">
      <c r="B35" s="170">
        <v>42</v>
      </c>
      <c r="C35" s="172">
        <v>0.97174206566969912</v>
      </c>
      <c r="D35" s="159">
        <f t="shared" si="0"/>
        <v>0.97174206566969912</v>
      </c>
      <c r="E35" s="167">
        <f t="shared" si="1"/>
        <v>0.97174206566969912</v>
      </c>
    </row>
    <row r="36" spans="2:5" ht="19" x14ac:dyDescent="0.2">
      <c r="B36" s="170">
        <v>43</v>
      </c>
      <c r="C36" s="172">
        <v>0.97728837252053558</v>
      </c>
      <c r="D36" s="159">
        <f t="shared" si="0"/>
        <v>0.97728837252053558</v>
      </c>
      <c r="E36" s="167">
        <f t="shared" si="1"/>
        <v>0.97728837252053558</v>
      </c>
    </row>
    <row r="37" spans="2:5" ht="19" x14ac:dyDescent="0.2">
      <c r="B37" s="170">
        <v>44</v>
      </c>
      <c r="C37" s="172">
        <v>0.98232994517684158</v>
      </c>
      <c r="D37" s="159">
        <f t="shared" ref="D37:D68" si="2">C37</f>
        <v>0.98232994517684158</v>
      </c>
      <c r="E37" s="167">
        <f t="shared" ref="E37:E69" si="3">C37</f>
        <v>0.98232994517684158</v>
      </c>
    </row>
    <row r="38" spans="2:5" ht="19" x14ac:dyDescent="0.2">
      <c r="B38" s="170">
        <v>45</v>
      </c>
      <c r="C38" s="172">
        <v>0.98522573481288656</v>
      </c>
      <c r="D38" s="159">
        <f t="shared" si="2"/>
        <v>0.98522573481288656</v>
      </c>
      <c r="E38" s="167">
        <f t="shared" si="3"/>
        <v>0.98522573481288656</v>
      </c>
    </row>
    <row r="39" spans="2:5" ht="19" x14ac:dyDescent="0.2">
      <c r="B39" s="170">
        <v>46</v>
      </c>
      <c r="C39" s="172">
        <v>0.98576178917204038</v>
      </c>
      <c r="D39" s="159">
        <f t="shared" si="2"/>
        <v>0.98576178917204038</v>
      </c>
      <c r="E39" s="167">
        <f t="shared" si="3"/>
        <v>0.98576178917204038</v>
      </c>
    </row>
    <row r="40" spans="2:5" ht="19" x14ac:dyDescent="0.2">
      <c r="B40" s="170">
        <v>46.5</v>
      </c>
      <c r="C40" s="172">
        <v>0.9852322244982491</v>
      </c>
      <c r="D40" s="159">
        <f t="shared" si="2"/>
        <v>0.9852322244982491</v>
      </c>
      <c r="E40" s="167">
        <f t="shared" si="3"/>
        <v>0.9852322244982491</v>
      </c>
    </row>
    <row r="41" spans="2:5" ht="19" x14ac:dyDescent="0.2">
      <c r="B41" s="170">
        <v>47</v>
      </c>
      <c r="C41" s="172">
        <v>0.98572895246106351</v>
      </c>
      <c r="D41" s="159">
        <f t="shared" si="2"/>
        <v>0.98572895246106351</v>
      </c>
      <c r="E41" s="167">
        <f t="shared" si="3"/>
        <v>0.98572895246106351</v>
      </c>
    </row>
    <row r="42" spans="2:5" ht="19" x14ac:dyDescent="0.2">
      <c r="B42" s="170">
        <v>47.5</v>
      </c>
      <c r="C42" s="172">
        <v>0.98870843194160185</v>
      </c>
      <c r="D42" s="159">
        <f t="shared" si="2"/>
        <v>0.98870843194160185</v>
      </c>
      <c r="E42" s="167">
        <f t="shared" si="3"/>
        <v>0.98870843194160185</v>
      </c>
    </row>
    <row r="43" spans="2:5" ht="19" x14ac:dyDescent="0.2">
      <c r="B43" s="170">
        <v>48</v>
      </c>
      <c r="C43" s="172">
        <v>0.99348942413661545</v>
      </c>
      <c r="D43" s="159">
        <f t="shared" si="2"/>
        <v>0.99348942413661545</v>
      </c>
      <c r="E43" s="167">
        <f t="shared" si="3"/>
        <v>0.99348942413661545</v>
      </c>
    </row>
    <row r="44" spans="2:5" ht="19" x14ac:dyDescent="0.2">
      <c r="B44" s="170">
        <v>48.5</v>
      </c>
      <c r="C44" s="172">
        <v>0.99732739754989885</v>
      </c>
      <c r="D44" s="159">
        <f t="shared" si="2"/>
        <v>0.99732739754989885</v>
      </c>
      <c r="E44" s="167">
        <f t="shared" si="3"/>
        <v>0.99732739754989885</v>
      </c>
    </row>
    <row r="45" spans="2:5" ht="19" x14ac:dyDescent="0.2">
      <c r="B45" s="170">
        <v>49</v>
      </c>
      <c r="C45" s="172">
        <v>0.99768729248790011</v>
      </c>
      <c r="D45" s="159">
        <f t="shared" si="2"/>
        <v>0.99768729248790011</v>
      </c>
      <c r="E45" s="167">
        <f t="shared" si="3"/>
        <v>0.99768729248790011</v>
      </c>
    </row>
    <row r="46" spans="2:5" ht="19" x14ac:dyDescent="0.2">
      <c r="B46" s="170">
        <v>49.5</v>
      </c>
      <c r="C46" s="172">
        <v>0.99476856021541227</v>
      </c>
      <c r="D46" s="159">
        <f t="shared" si="2"/>
        <v>0.99476856021541227</v>
      </c>
      <c r="E46" s="167">
        <f t="shared" si="3"/>
        <v>0.99476856021541227</v>
      </c>
    </row>
    <row r="47" spans="2:5" ht="19" x14ac:dyDescent="0.2">
      <c r="B47" s="170">
        <v>50</v>
      </c>
      <c r="C47" s="172">
        <v>0.99153245465220152</v>
      </c>
      <c r="D47" s="159">
        <f t="shared" si="2"/>
        <v>0.99153245465220152</v>
      </c>
      <c r="E47" s="167">
        <f t="shared" si="3"/>
        <v>0.99153245465220152</v>
      </c>
    </row>
    <row r="48" spans="2:5" ht="19" x14ac:dyDescent="0.2">
      <c r="B48" s="170">
        <v>50.5</v>
      </c>
      <c r="C48" s="172">
        <v>0.99094544378490779</v>
      </c>
      <c r="D48" s="159">
        <f t="shared" si="2"/>
        <v>0.99094544378490779</v>
      </c>
      <c r="E48" s="167">
        <f t="shared" si="3"/>
        <v>0.99094544378490779</v>
      </c>
    </row>
    <row r="49" spans="2:5" ht="19" x14ac:dyDescent="0.2">
      <c r="B49" s="170">
        <v>51</v>
      </c>
      <c r="C49" s="172">
        <v>0.99332760320357816</v>
      </c>
      <c r="D49" s="159">
        <f t="shared" si="2"/>
        <v>0.99332760320357816</v>
      </c>
      <c r="E49" s="167">
        <f t="shared" si="3"/>
        <v>0.99332760320357816</v>
      </c>
    </row>
    <row r="50" spans="2:5" ht="19" x14ac:dyDescent="0.2">
      <c r="B50" s="170">
        <v>51.5</v>
      </c>
      <c r="C50" s="172">
        <v>0.9965710102644797</v>
      </c>
      <c r="D50" s="159">
        <f t="shared" si="2"/>
        <v>0.9965710102644797</v>
      </c>
      <c r="E50" s="167">
        <f t="shared" si="3"/>
        <v>0.9965710102644797</v>
      </c>
    </row>
    <row r="51" spans="2:5" ht="19" x14ac:dyDescent="0.2">
      <c r="B51" s="170">
        <v>52</v>
      </c>
      <c r="C51" s="172">
        <v>0.99862002579375941</v>
      </c>
      <c r="D51" s="159">
        <f t="shared" si="2"/>
        <v>0.99862002579375941</v>
      </c>
      <c r="E51" s="167">
        <f t="shared" si="3"/>
        <v>0.99862002579375941</v>
      </c>
    </row>
    <row r="52" spans="2:5" ht="19" x14ac:dyDescent="0.2">
      <c r="B52" s="170">
        <v>52.5</v>
      </c>
      <c r="C52" s="172">
        <v>0.99924182669892858</v>
      </c>
      <c r="D52" s="159">
        <f t="shared" si="2"/>
        <v>0.99924182669892858</v>
      </c>
      <c r="E52" s="167">
        <f t="shared" si="3"/>
        <v>0.99924182669892858</v>
      </c>
    </row>
    <row r="53" spans="2:5" ht="19" x14ac:dyDescent="0.2">
      <c r="B53" s="170">
        <v>53</v>
      </c>
      <c r="C53" s="172">
        <v>0.99940106123548456</v>
      </c>
      <c r="D53" s="159">
        <f t="shared" si="2"/>
        <v>0.99940106123548456</v>
      </c>
      <c r="E53" s="167">
        <f t="shared" si="3"/>
        <v>0.99940106123548456</v>
      </c>
    </row>
    <row r="54" spans="2:5" ht="19" x14ac:dyDescent="0.2">
      <c r="B54" s="170">
        <v>53.5</v>
      </c>
      <c r="C54" s="172">
        <v>0.99968081773810125</v>
      </c>
      <c r="D54" s="159">
        <f t="shared" si="2"/>
        <v>0.99968081773810125</v>
      </c>
      <c r="E54" s="167">
        <f t="shared" si="3"/>
        <v>0.99968081773810125</v>
      </c>
    </row>
    <row r="55" spans="2:5" ht="19" x14ac:dyDescent="0.2">
      <c r="B55" s="170">
        <v>54</v>
      </c>
      <c r="C55" s="172">
        <v>0.99994647230533251</v>
      </c>
      <c r="D55" s="159">
        <f t="shared" si="2"/>
        <v>0.99994647230533251</v>
      </c>
      <c r="E55" s="167">
        <f t="shared" si="3"/>
        <v>0.99994647230533251</v>
      </c>
    </row>
    <row r="56" spans="2:5" ht="19" x14ac:dyDescent="0.2">
      <c r="B56" s="170">
        <v>54.5</v>
      </c>
      <c r="C56" s="172">
        <v>0.99995567609814195</v>
      </c>
      <c r="D56" s="159">
        <f t="shared" si="2"/>
        <v>0.99995567609814195</v>
      </c>
      <c r="E56" s="167">
        <f t="shared" si="3"/>
        <v>0.99995567609814195</v>
      </c>
    </row>
    <row r="57" spans="2:5" ht="19" x14ac:dyDescent="0.2">
      <c r="B57" s="170">
        <v>55</v>
      </c>
      <c r="C57" s="172">
        <v>0.99941283891070187</v>
      </c>
      <c r="D57" s="159">
        <f t="shared" si="2"/>
        <v>0.99941283891070187</v>
      </c>
      <c r="E57" s="167">
        <f t="shared" si="3"/>
        <v>0.99941283891070187</v>
      </c>
    </row>
    <row r="58" spans="2:5" ht="19" x14ac:dyDescent="0.2">
      <c r="B58" s="170">
        <v>56</v>
      </c>
      <c r="C58" s="172">
        <v>0.99775409368720969</v>
      </c>
      <c r="D58" s="159">
        <f t="shared" si="2"/>
        <v>0.99775409368720969</v>
      </c>
      <c r="E58" s="167">
        <f t="shared" si="3"/>
        <v>0.99775409368720969</v>
      </c>
    </row>
    <row r="59" spans="2:5" ht="19" x14ac:dyDescent="0.2">
      <c r="B59" s="170">
        <v>57</v>
      </c>
      <c r="C59" s="172">
        <v>0.99467771134716243</v>
      </c>
      <c r="D59" s="159">
        <f t="shared" si="2"/>
        <v>0.99467771134716243</v>
      </c>
      <c r="E59" s="167">
        <f t="shared" si="3"/>
        <v>0.99467771134716243</v>
      </c>
    </row>
    <row r="60" spans="2:5" ht="19" x14ac:dyDescent="0.2">
      <c r="B60" s="170">
        <v>58</v>
      </c>
      <c r="C60" s="172">
        <v>0.99107185002389186</v>
      </c>
      <c r="D60" s="159">
        <f t="shared" si="2"/>
        <v>0.99107185002389186</v>
      </c>
      <c r="E60" s="167">
        <f t="shared" si="3"/>
        <v>0.99107185002389186</v>
      </c>
    </row>
    <row r="61" spans="2:5" ht="19" x14ac:dyDescent="0.2">
      <c r="B61" s="170">
        <v>59</v>
      </c>
      <c r="C61" s="172">
        <v>0.9884791801179279</v>
      </c>
      <c r="D61" s="159">
        <f t="shared" si="2"/>
        <v>0.9884791801179279</v>
      </c>
      <c r="E61" s="167">
        <f t="shared" si="3"/>
        <v>0.9884791801179279</v>
      </c>
    </row>
    <row r="62" spans="2:5" ht="19" x14ac:dyDescent="0.2">
      <c r="B62" s="170">
        <v>60</v>
      </c>
      <c r="C62" s="172">
        <v>0.98648144208604593</v>
      </c>
      <c r="D62" s="159">
        <f t="shared" si="2"/>
        <v>0.98648144208604593</v>
      </c>
      <c r="E62" s="167">
        <f t="shared" si="3"/>
        <v>0.98648144208604593</v>
      </c>
    </row>
    <row r="63" spans="2:5" ht="19" x14ac:dyDescent="0.2">
      <c r="B63" s="170">
        <v>61</v>
      </c>
      <c r="C63" s="172">
        <v>0.98063941569884161</v>
      </c>
      <c r="D63" s="159">
        <f t="shared" si="2"/>
        <v>0.98063941569884161</v>
      </c>
      <c r="E63" s="167">
        <f t="shared" si="3"/>
        <v>0.98063941569884161</v>
      </c>
    </row>
    <row r="64" spans="2:5" ht="19" x14ac:dyDescent="0.2">
      <c r="B64" s="170">
        <v>62</v>
      </c>
      <c r="C64" s="172">
        <v>0.96355403536036754</v>
      </c>
      <c r="D64" s="159">
        <f t="shared" si="2"/>
        <v>0.96355403536036754</v>
      </c>
      <c r="E64" s="167">
        <f t="shared" si="3"/>
        <v>0.96355403536036754</v>
      </c>
    </row>
    <row r="65" spans="2:5" ht="19" x14ac:dyDescent="0.2">
      <c r="B65" s="170">
        <v>63</v>
      </c>
      <c r="C65" s="172">
        <v>0.92931483606870291</v>
      </c>
      <c r="D65" s="159">
        <f t="shared" si="2"/>
        <v>0.92931483606870291</v>
      </c>
      <c r="E65" s="167">
        <f t="shared" si="3"/>
        <v>0.92931483606870291</v>
      </c>
    </row>
    <row r="66" spans="2:5" ht="19" x14ac:dyDescent="0.2">
      <c r="B66" s="170">
        <v>64</v>
      </c>
      <c r="C66" s="172">
        <v>0.87778459839698775</v>
      </c>
      <c r="D66" s="159">
        <f t="shared" si="2"/>
        <v>0.87778459839698775</v>
      </c>
      <c r="E66" s="167">
        <f t="shared" si="3"/>
        <v>0.87778459839698775</v>
      </c>
    </row>
    <row r="67" spans="2:5" ht="19" x14ac:dyDescent="0.2">
      <c r="B67" s="170">
        <v>65</v>
      </c>
      <c r="C67" s="172">
        <v>0.81622864883938639</v>
      </c>
      <c r="D67" s="159">
        <f t="shared" si="2"/>
        <v>0.81622864883938639</v>
      </c>
      <c r="E67" s="167">
        <f t="shared" si="3"/>
        <v>0.81622864883938639</v>
      </c>
    </row>
    <row r="68" spans="2:5" ht="19" x14ac:dyDescent="0.2">
      <c r="B68" s="170">
        <v>66</v>
      </c>
      <c r="C68" s="172">
        <v>0.75767112380955726</v>
      </c>
      <c r="D68" s="159">
        <f t="shared" si="2"/>
        <v>0.75767112380955726</v>
      </c>
      <c r="E68" s="167">
        <f t="shared" si="3"/>
        <v>0.75767112380955726</v>
      </c>
    </row>
    <row r="69" spans="2:5" ht="20" thickBot="1" x14ac:dyDescent="0.25">
      <c r="B69" s="171">
        <v>67</v>
      </c>
      <c r="C69" s="173">
        <v>0.71649850891656885</v>
      </c>
      <c r="D69" s="168">
        <f t="shared" ref="D69" si="4">C69</f>
        <v>0.71649850891656885</v>
      </c>
      <c r="E69" s="169">
        <f t="shared" si="3"/>
        <v>0.71649850891656885</v>
      </c>
    </row>
    <row r="70" spans="2:5" ht="16" thickTop="1" x14ac:dyDescent="0.2"/>
  </sheetData>
  <mergeCells count="2">
    <mergeCell ref="B2:E2"/>
    <mergeCell ref="C3:E3"/>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
  <sheetViews>
    <sheetView zoomScale="40" zoomScaleNormal="40" workbookViewId="0">
      <selection activeCell="CE77" sqref="CE77"/>
    </sheetView>
  </sheetViews>
  <sheetFormatPr baseColWidth="10" defaultColWidth="8.6640625" defaultRowHeight="15" x14ac:dyDescent="0.2"/>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0">
    <pageSetUpPr fitToPage="1"/>
  </sheetPr>
  <dimension ref="B1:AL229"/>
  <sheetViews>
    <sheetView zoomScale="80" zoomScaleNormal="80" workbookViewId="0">
      <selection activeCell="AB13" sqref="AB13"/>
    </sheetView>
  </sheetViews>
  <sheetFormatPr baseColWidth="10" defaultColWidth="8.83203125" defaultRowHeight="15" x14ac:dyDescent="0.2"/>
  <cols>
    <col min="1" max="1" width="4.6640625" customWidth="1"/>
    <col min="2" max="2" width="16.83203125" customWidth="1"/>
    <col min="4" max="38" width="7" style="3" customWidth="1"/>
    <col min="39" max="39" width="6.6640625" customWidth="1"/>
    <col min="43" max="43" width="15.1640625" customWidth="1"/>
    <col min="44" max="45" width="11.83203125" customWidth="1"/>
    <col min="46" max="46" width="14" customWidth="1"/>
    <col min="47" max="47" width="14.6640625" customWidth="1"/>
    <col min="48" max="48" width="11.1640625" customWidth="1"/>
    <col min="49" max="49" width="14.5" customWidth="1"/>
    <col min="50" max="54" width="11.1640625" customWidth="1"/>
    <col min="55" max="55" width="18.33203125" customWidth="1"/>
    <col min="56" max="56" width="12.5" customWidth="1"/>
    <col min="57" max="57" width="11.1640625" customWidth="1"/>
    <col min="58" max="58" width="18.6640625" customWidth="1"/>
    <col min="59" max="59" width="11.1640625" customWidth="1"/>
    <col min="60" max="60" width="11.5" customWidth="1"/>
    <col min="61" max="61" width="14.33203125" customWidth="1"/>
    <col min="64" max="64" width="12.33203125" customWidth="1"/>
    <col min="72" max="72" width="14.33203125" customWidth="1"/>
    <col min="75" max="77" width="20.6640625" customWidth="1"/>
    <col min="78" max="78" width="12.5" bestFit="1" customWidth="1"/>
    <col min="79" max="82" width="12.5" customWidth="1"/>
    <col min="91" max="91" width="11.1640625" customWidth="1"/>
    <col min="92" max="94" width="10.6640625" customWidth="1"/>
  </cols>
  <sheetData>
    <row r="1" spans="2:38" ht="16" thickBot="1" x14ac:dyDescent="0.25"/>
    <row r="2" spans="2:38" ht="66.75" customHeight="1" thickBot="1" x14ac:dyDescent="0.25">
      <c r="B2" s="921" t="s">
        <v>31</v>
      </c>
      <c r="C2" s="922"/>
      <c r="D2" s="922"/>
      <c r="E2" s="922"/>
      <c r="F2" s="922"/>
      <c r="G2" s="922"/>
      <c r="H2" s="922"/>
      <c r="I2" s="922"/>
      <c r="J2" s="922"/>
      <c r="K2" s="922"/>
      <c r="L2" s="922"/>
      <c r="M2" s="922"/>
      <c r="N2" s="922"/>
      <c r="O2" s="922"/>
      <c r="P2" s="922"/>
      <c r="Q2" s="922"/>
      <c r="R2" s="922"/>
      <c r="S2" s="922"/>
      <c r="T2" s="922"/>
      <c r="U2" s="922"/>
      <c r="V2" s="922"/>
      <c r="W2" s="922"/>
      <c r="X2" s="922"/>
      <c r="Y2" s="922"/>
      <c r="Z2" s="922"/>
      <c r="AA2" s="922"/>
      <c r="AB2" s="922"/>
      <c r="AC2" s="922"/>
      <c r="AD2" s="922"/>
      <c r="AE2" s="922"/>
      <c r="AF2" s="922"/>
      <c r="AG2" s="922"/>
      <c r="AH2" s="922"/>
      <c r="AI2" s="922"/>
      <c r="AJ2" s="922"/>
      <c r="AK2" s="922"/>
      <c r="AL2" s="923"/>
    </row>
    <row r="3" spans="2:38" ht="42.5" customHeight="1" thickBot="1" x14ac:dyDescent="0.25">
      <c r="B3" s="10"/>
      <c r="C3" s="11"/>
      <c r="D3" s="924" t="s">
        <v>10</v>
      </c>
      <c r="E3" s="925"/>
      <c r="F3" s="925"/>
      <c r="G3" s="925"/>
      <c r="H3" s="925"/>
      <c r="I3" s="925"/>
      <c r="J3" s="925"/>
      <c r="K3" s="925"/>
      <c r="L3" s="925"/>
      <c r="M3" s="925"/>
      <c r="N3" s="925"/>
      <c r="O3" s="925"/>
      <c r="P3" s="925"/>
      <c r="Q3" s="925"/>
      <c r="R3" s="925"/>
      <c r="S3" s="925"/>
      <c r="T3" s="925"/>
      <c r="U3" s="925"/>
      <c r="V3" s="925"/>
      <c r="W3" s="925"/>
      <c r="X3" s="925"/>
      <c r="Y3" s="925"/>
      <c r="Z3" s="925"/>
      <c r="AA3" s="925"/>
      <c r="AB3" s="925"/>
      <c r="AC3" s="925"/>
      <c r="AD3" s="925"/>
      <c r="AE3" s="925"/>
      <c r="AF3" s="925"/>
      <c r="AG3" s="925"/>
      <c r="AH3" s="925"/>
      <c r="AI3" s="925"/>
      <c r="AJ3" s="925"/>
      <c r="AK3" s="925"/>
      <c r="AL3" s="926"/>
    </row>
    <row r="4" spans="2:38" ht="62.5" customHeight="1" thickBot="1" x14ac:dyDescent="0.25">
      <c r="B4" s="4"/>
      <c r="C4" s="2"/>
      <c r="D4" s="135">
        <v>60</v>
      </c>
      <c r="E4" s="136">
        <v>80</v>
      </c>
      <c r="F4" s="136">
        <v>100</v>
      </c>
      <c r="G4" s="136">
        <v>120</v>
      </c>
      <c r="H4" s="136">
        <v>130</v>
      </c>
      <c r="I4" s="136">
        <v>140</v>
      </c>
      <c r="J4" s="136">
        <v>150</v>
      </c>
      <c r="K4" s="136">
        <v>160</v>
      </c>
      <c r="L4" s="136">
        <v>170</v>
      </c>
      <c r="M4" s="137">
        <f>L4+10</f>
        <v>180</v>
      </c>
      <c r="N4" s="137">
        <f t="shared" ref="N4:AL4" si="0">M4+10</f>
        <v>190</v>
      </c>
      <c r="O4" s="137">
        <f t="shared" si="0"/>
        <v>200</v>
      </c>
      <c r="P4" s="137">
        <f t="shared" si="0"/>
        <v>210</v>
      </c>
      <c r="Q4" s="137">
        <f t="shared" si="0"/>
        <v>220</v>
      </c>
      <c r="R4" s="137">
        <f t="shared" si="0"/>
        <v>230</v>
      </c>
      <c r="S4" s="137">
        <f t="shared" si="0"/>
        <v>240</v>
      </c>
      <c r="T4" s="137">
        <f t="shared" si="0"/>
        <v>250</v>
      </c>
      <c r="U4" s="137">
        <f t="shared" si="0"/>
        <v>260</v>
      </c>
      <c r="V4" s="137">
        <f t="shared" si="0"/>
        <v>270</v>
      </c>
      <c r="W4" s="137">
        <f t="shared" si="0"/>
        <v>280</v>
      </c>
      <c r="X4" s="137">
        <f t="shared" si="0"/>
        <v>290</v>
      </c>
      <c r="Y4" s="137">
        <f t="shared" si="0"/>
        <v>300</v>
      </c>
      <c r="Z4" s="137">
        <f t="shared" si="0"/>
        <v>310</v>
      </c>
      <c r="AA4" s="137">
        <f t="shared" si="0"/>
        <v>320</v>
      </c>
      <c r="AB4" s="137">
        <f t="shared" si="0"/>
        <v>330</v>
      </c>
      <c r="AC4" s="137">
        <f t="shared" si="0"/>
        <v>340</v>
      </c>
      <c r="AD4" s="137">
        <f t="shared" si="0"/>
        <v>350</v>
      </c>
      <c r="AE4" s="137">
        <f t="shared" si="0"/>
        <v>360</v>
      </c>
      <c r="AF4" s="137">
        <f t="shared" si="0"/>
        <v>370</v>
      </c>
      <c r="AG4" s="137">
        <f t="shared" si="0"/>
        <v>380</v>
      </c>
      <c r="AH4" s="137">
        <f t="shared" si="0"/>
        <v>390</v>
      </c>
      <c r="AI4" s="137">
        <f t="shared" si="0"/>
        <v>400</v>
      </c>
      <c r="AJ4" s="137">
        <f t="shared" si="0"/>
        <v>410</v>
      </c>
      <c r="AK4" s="137">
        <f t="shared" si="0"/>
        <v>420</v>
      </c>
      <c r="AL4" s="138">
        <f t="shared" si="0"/>
        <v>430</v>
      </c>
    </row>
    <row r="5" spans="2:38" ht="24" customHeight="1" x14ac:dyDescent="0.2">
      <c r="B5" s="916" t="s">
        <v>28</v>
      </c>
      <c r="C5" s="131">
        <v>140</v>
      </c>
      <c r="D5" s="140">
        <v>0.439</v>
      </c>
      <c r="E5" s="140">
        <v>0.45100000000000001</v>
      </c>
      <c r="F5" s="140">
        <v>0.46500000000000002</v>
      </c>
      <c r="G5" s="140">
        <v>0.47899999999999998</v>
      </c>
      <c r="H5" s="140">
        <v>0.48699999999999999</v>
      </c>
      <c r="I5" s="140">
        <v>0.495</v>
      </c>
      <c r="J5" s="140">
        <v>0.503</v>
      </c>
      <c r="K5" s="140">
        <v>0.51200000000000001</v>
      </c>
      <c r="L5" s="140">
        <v>0.52100000000000002</v>
      </c>
      <c r="M5" s="140">
        <v>0.53</v>
      </c>
      <c r="N5" s="140">
        <v>0.54</v>
      </c>
      <c r="O5" s="140">
        <v>0.54900000000000004</v>
      </c>
      <c r="P5" s="140">
        <v>0.56000000000000005</v>
      </c>
      <c r="Q5" s="140">
        <v>0.56999999999999995</v>
      </c>
      <c r="R5" s="140">
        <v>0.58099999999999996</v>
      </c>
      <c r="S5" s="140">
        <v>0.59099999999999997</v>
      </c>
      <c r="T5" s="140">
        <v>0.60199999999999998</v>
      </c>
      <c r="U5" s="140">
        <v>0.61299999999999999</v>
      </c>
      <c r="V5" s="140">
        <v>0.625</v>
      </c>
      <c r="W5" s="140">
        <v>0.63600000000000001</v>
      </c>
      <c r="X5" s="140">
        <v>0.64800000000000002</v>
      </c>
      <c r="Y5" s="140">
        <v>0.65900000000000003</v>
      </c>
      <c r="Z5" s="140">
        <v>0.67100000000000004</v>
      </c>
      <c r="AA5" s="140">
        <v>0.68300000000000005</v>
      </c>
      <c r="AB5" s="140">
        <v>0.69599999999999995</v>
      </c>
      <c r="AC5" s="140">
        <v>0.70899999999999996</v>
      </c>
      <c r="AD5" s="140">
        <v>0.72199999999999998</v>
      </c>
      <c r="AE5" s="140">
        <v>0.73599999999999999</v>
      </c>
      <c r="AF5" s="140">
        <v>0.75</v>
      </c>
      <c r="AG5" s="140">
        <v>0.76400000000000001</v>
      </c>
      <c r="AH5" s="140">
        <v>0.77800000000000002</v>
      </c>
      <c r="AI5" s="140">
        <v>0.79300000000000004</v>
      </c>
      <c r="AJ5" s="140">
        <v>0.80700000000000005</v>
      </c>
      <c r="AK5" s="140">
        <v>0.82</v>
      </c>
      <c r="AL5" s="140">
        <v>0.83099999999999996</v>
      </c>
    </row>
    <row r="6" spans="2:38" ht="24" customHeight="1" x14ac:dyDescent="0.2">
      <c r="B6" s="917"/>
      <c r="C6" s="132">
        <v>150</v>
      </c>
      <c r="D6" s="140">
        <v>0.45</v>
      </c>
      <c r="E6" s="140">
        <v>0.46300000000000002</v>
      </c>
      <c r="F6" s="140">
        <v>0.47699999999999998</v>
      </c>
      <c r="G6" s="140">
        <v>0.49299999999999999</v>
      </c>
      <c r="H6" s="140">
        <v>0.501</v>
      </c>
      <c r="I6" s="140">
        <v>0.50900000000000001</v>
      </c>
      <c r="J6" s="140">
        <v>0.51800000000000002</v>
      </c>
      <c r="K6" s="140">
        <v>0.52700000000000002</v>
      </c>
      <c r="L6" s="140">
        <v>0.53600000000000003</v>
      </c>
      <c r="M6" s="140">
        <v>0.54600000000000004</v>
      </c>
      <c r="N6" s="140">
        <v>0.55600000000000005</v>
      </c>
      <c r="O6" s="140">
        <v>0.56599999999999995</v>
      </c>
      <c r="P6" s="140">
        <v>0.57699999999999996</v>
      </c>
      <c r="Q6" s="140">
        <v>0.58699999999999997</v>
      </c>
      <c r="R6" s="140">
        <v>0.59799999999999998</v>
      </c>
      <c r="S6" s="140">
        <v>0.60899999999999999</v>
      </c>
      <c r="T6" s="140">
        <v>0.62</v>
      </c>
      <c r="U6" s="140">
        <v>0.63100000000000001</v>
      </c>
      <c r="V6" s="140">
        <v>0.64200000000000002</v>
      </c>
      <c r="W6" s="140">
        <v>0.65400000000000003</v>
      </c>
      <c r="X6" s="140">
        <v>0.66600000000000004</v>
      </c>
      <c r="Y6" s="140">
        <v>0.67700000000000005</v>
      </c>
      <c r="Z6" s="140">
        <v>0.69</v>
      </c>
      <c r="AA6" s="140">
        <v>0.70199999999999996</v>
      </c>
      <c r="AB6" s="140">
        <v>0.71499999999999997</v>
      </c>
      <c r="AC6" s="140">
        <v>0.72799999999999998</v>
      </c>
      <c r="AD6" s="140">
        <v>0.74199999999999999</v>
      </c>
      <c r="AE6" s="140">
        <v>0.75600000000000001</v>
      </c>
      <c r="AF6" s="140">
        <v>0.77</v>
      </c>
      <c r="AG6" s="140">
        <v>0.78500000000000003</v>
      </c>
      <c r="AH6" s="140">
        <v>0.79900000000000004</v>
      </c>
      <c r="AI6" s="140">
        <v>0.81200000000000006</v>
      </c>
      <c r="AJ6" s="140">
        <v>0.82499999999999996</v>
      </c>
      <c r="AK6" s="140">
        <v>0.83399999999999996</v>
      </c>
      <c r="AL6" s="140">
        <v>0.84</v>
      </c>
    </row>
    <row r="7" spans="2:38" ht="24" customHeight="1" x14ac:dyDescent="0.2">
      <c r="B7" s="917"/>
      <c r="C7" s="130">
        <v>160</v>
      </c>
      <c r="D7" s="140">
        <v>0.46100000000000002</v>
      </c>
      <c r="E7" s="140">
        <v>0.47499999999999998</v>
      </c>
      <c r="F7" s="140">
        <v>0.49</v>
      </c>
      <c r="G7" s="140">
        <v>0.50600000000000001</v>
      </c>
      <c r="H7" s="140">
        <v>0.51500000000000001</v>
      </c>
      <c r="I7" s="140">
        <v>0.52300000000000002</v>
      </c>
      <c r="J7" s="140">
        <v>0.53300000000000003</v>
      </c>
      <c r="K7" s="140">
        <v>0.54200000000000004</v>
      </c>
      <c r="L7" s="140">
        <v>0.55200000000000005</v>
      </c>
      <c r="M7" s="140">
        <v>0.56200000000000006</v>
      </c>
      <c r="N7" s="140">
        <v>0.57199999999999995</v>
      </c>
      <c r="O7" s="140">
        <v>0.58199999999999996</v>
      </c>
      <c r="P7" s="140">
        <v>0.59299999999999997</v>
      </c>
      <c r="Q7" s="140">
        <v>0.60299999999999998</v>
      </c>
      <c r="R7" s="140">
        <v>0.61399999999999999</v>
      </c>
      <c r="S7" s="140">
        <v>0.625</v>
      </c>
      <c r="T7" s="140">
        <v>0.63600000000000001</v>
      </c>
      <c r="U7" s="140">
        <v>0.64800000000000002</v>
      </c>
      <c r="V7" s="140">
        <v>0.65900000000000003</v>
      </c>
      <c r="W7" s="140">
        <v>0.67100000000000004</v>
      </c>
      <c r="X7" s="140">
        <v>0.68200000000000005</v>
      </c>
      <c r="Y7" s="140">
        <v>0.69499999999999995</v>
      </c>
      <c r="Z7" s="140">
        <v>0.70699999999999996</v>
      </c>
      <c r="AA7" s="140">
        <v>0.72</v>
      </c>
      <c r="AB7" s="140">
        <v>0.73299999999999998</v>
      </c>
      <c r="AC7" s="140">
        <v>0.747</v>
      </c>
      <c r="AD7" s="140">
        <v>0.76100000000000001</v>
      </c>
      <c r="AE7" s="140">
        <v>0.77500000000000002</v>
      </c>
      <c r="AF7" s="140">
        <v>0.79</v>
      </c>
      <c r="AG7" s="140">
        <v>0.80400000000000005</v>
      </c>
      <c r="AH7" s="140">
        <v>0.81699999999999995</v>
      </c>
      <c r="AI7" s="140">
        <v>0.82799999999999996</v>
      </c>
      <c r="AJ7" s="140">
        <v>0.83699999999999997</v>
      </c>
      <c r="AK7" s="140">
        <v>0.84</v>
      </c>
      <c r="AL7" s="140">
        <v>0.84099999999999997</v>
      </c>
    </row>
    <row r="8" spans="2:38" ht="24" customHeight="1" x14ac:dyDescent="0.2">
      <c r="B8" s="917"/>
      <c r="C8" s="130">
        <v>170</v>
      </c>
      <c r="D8" s="140">
        <v>0.47199999999999998</v>
      </c>
      <c r="E8" s="140">
        <v>0.48699999999999999</v>
      </c>
      <c r="F8" s="140">
        <v>0.502</v>
      </c>
      <c r="G8" s="140">
        <v>0.51900000000000002</v>
      </c>
      <c r="H8" s="140">
        <v>0.52800000000000002</v>
      </c>
      <c r="I8" s="140">
        <v>0.53700000000000003</v>
      </c>
      <c r="J8" s="140">
        <v>0.54700000000000004</v>
      </c>
      <c r="K8" s="140">
        <v>0.55600000000000005</v>
      </c>
      <c r="L8" s="140">
        <v>0.56599999999999995</v>
      </c>
      <c r="M8" s="140">
        <v>0.57699999999999996</v>
      </c>
      <c r="N8" s="140">
        <v>0.58699999999999997</v>
      </c>
      <c r="O8" s="140">
        <v>0.59699999999999998</v>
      </c>
      <c r="P8" s="140">
        <v>0.60799999999999998</v>
      </c>
      <c r="Q8" s="140">
        <v>0.61899999999999999</v>
      </c>
      <c r="R8" s="140">
        <v>0.63</v>
      </c>
      <c r="S8" s="140">
        <v>0.64100000000000001</v>
      </c>
      <c r="T8" s="140">
        <v>0.65200000000000002</v>
      </c>
      <c r="U8" s="140">
        <v>0.66300000000000003</v>
      </c>
      <c r="V8" s="140">
        <v>0.67500000000000004</v>
      </c>
      <c r="W8" s="140">
        <v>0.68700000000000006</v>
      </c>
      <c r="X8" s="140">
        <v>0.69899999999999995</v>
      </c>
      <c r="Y8" s="140">
        <v>0.71099999999999997</v>
      </c>
      <c r="Z8" s="140">
        <v>0.72399999999999998</v>
      </c>
      <c r="AA8" s="140">
        <v>0.73699999999999999</v>
      </c>
      <c r="AB8" s="140">
        <v>0.751</v>
      </c>
      <c r="AC8" s="140">
        <v>0.76500000000000001</v>
      </c>
      <c r="AD8" s="140">
        <v>0.77900000000000003</v>
      </c>
      <c r="AE8" s="140">
        <v>0.79300000000000004</v>
      </c>
      <c r="AF8" s="140">
        <v>0.80700000000000005</v>
      </c>
      <c r="AG8" s="140">
        <v>0.82</v>
      </c>
      <c r="AH8" s="140">
        <v>0.83099999999999996</v>
      </c>
      <c r="AI8" s="140">
        <v>0.83799999999999997</v>
      </c>
      <c r="AJ8" s="140">
        <v>0.84099999999999997</v>
      </c>
      <c r="AK8" s="140">
        <v>0.84099999999999997</v>
      </c>
      <c r="AL8" s="140">
        <v>0.83899999999999997</v>
      </c>
    </row>
    <row r="9" spans="2:38" ht="24" customHeight="1" x14ac:dyDescent="0.2">
      <c r="B9" s="917"/>
      <c r="C9" s="130">
        <v>180</v>
      </c>
      <c r="D9" s="140">
        <v>0.48299999999999998</v>
      </c>
      <c r="E9" s="140">
        <v>0.498</v>
      </c>
      <c r="F9" s="140">
        <v>0.51500000000000001</v>
      </c>
      <c r="G9" s="140">
        <v>0.53200000000000003</v>
      </c>
      <c r="H9" s="140">
        <v>0.54100000000000004</v>
      </c>
      <c r="I9" s="140">
        <v>0.55100000000000005</v>
      </c>
      <c r="J9" s="140">
        <v>0.56100000000000005</v>
      </c>
      <c r="K9" s="140">
        <v>0.57099999999999995</v>
      </c>
      <c r="L9" s="140">
        <v>0.58099999999999996</v>
      </c>
      <c r="M9" s="140">
        <v>0.59099999999999997</v>
      </c>
      <c r="N9" s="140">
        <v>0.60099999999999998</v>
      </c>
      <c r="O9" s="140">
        <v>0.61199999999999999</v>
      </c>
      <c r="P9" s="140">
        <v>0.622</v>
      </c>
      <c r="Q9" s="140">
        <v>0.63300000000000001</v>
      </c>
      <c r="R9" s="140">
        <v>0.64400000000000002</v>
      </c>
      <c r="S9" s="140">
        <v>0.65600000000000003</v>
      </c>
      <c r="T9" s="140">
        <v>0.66700000000000004</v>
      </c>
      <c r="U9" s="140">
        <v>0.67800000000000005</v>
      </c>
      <c r="V9" s="140">
        <v>0.69</v>
      </c>
      <c r="W9" s="140">
        <v>0.70199999999999996</v>
      </c>
      <c r="X9" s="140">
        <v>0.71399999999999997</v>
      </c>
      <c r="Y9" s="140">
        <v>0.72699999999999998</v>
      </c>
      <c r="Z9" s="140">
        <v>0.74</v>
      </c>
      <c r="AA9" s="140">
        <v>0.754</v>
      </c>
      <c r="AB9" s="140">
        <v>0.76800000000000002</v>
      </c>
      <c r="AC9" s="140">
        <v>0.78200000000000003</v>
      </c>
      <c r="AD9" s="140">
        <v>0.79600000000000004</v>
      </c>
      <c r="AE9" s="140">
        <v>0.81</v>
      </c>
      <c r="AF9" s="140">
        <v>0.82199999999999995</v>
      </c>
      <c r="AG9" s="140">
        <v>0.83299999999999996</v>
      </c>
      <c r="AH9" s="140">
        <v>0.83899999999999997</v>
      </c>
      <c r="AI9" s="140">
        <v>0.84099999999999997</v>
      </c>
      <c r="AJ9" s="140">
        <v>0.84</v>
      </c>
      <c r="AK9" s="140">
        <v>0.83899999999999997</v>
      </c>
      <c r="AL9" s="140">
        <v>0.83899999999999997</v>
      </c>
    </row>
    <row r="10" spans="2:38" ht="24" customHeight="1" x14ac:dyDescent="0.2">
      <c r="B10" s="917"/>
      <c r="C10" s="130">
        <v>190</v>
      </c>
      <c r="D10" s="140">
        <v>0.49399999999999999</v>
      </c>
      <c r="E10" s="140">
        <v>0.51</v>
      </c>
      <c r="F10" s="140">
        <v>0.52700000000000002</v>
      </c>
      <c r="G10" s="140">
        <v>0.54500000000000004</v>
      </c>
      <c r="H10" s="140">
        <v>0.55400000000000005</v>
      </c>
      <c r="I10" s="140">
        <v>0.56399999999999995</v>
      </c>
      <c r="J10" s="140">
        <v>0.57399999999999995</v>
      </c>
      <c r="K10" s="140">
        <v>0.58399999999999996</v>
      </c>
      <c r="L10" s="140">
        <v>0.59399999999999997</v>
      </c>
      <c r="M10" s="140">
        <v>0.60399999999999998</v>
      </c>
      <c r="N10" s="140">
        <v>0.61499999999999999</v>
      </c>
      <c r="O10" s="140">
        <v>0.626</v>
      </c>
      <c r="P10" s="140">
        <v>0.63600000000000001</v>
      </c>
      <c r="Q10" s="140">
        <v>0.64700000000000002</v>
      </c>
      <c r="R10" s="140">
        <v>0.65800000000000003</v>
      </c>
      <c r="S10" s="140">
        <v>0.67</v>
      </c>
      <c r="T10" s="140">
        <v>0.68100000000000005</v>
      </c>
      <c r="U10" s="140">
        <v>0.69299999999999995</v>
      </c>
      <c r="V10" s="140">
        <v>0.70499999999999996</v>
      </c>
      <c r="W10" s="140">
        <v>0.71699999999999997</v>
      </c>
      <c r="X10" s="140">
        <v>0.73</v>
      </c>
      <c r="Y10" s="140">
        <v>0.74299999999999999</v>
      </c>
      <c r="Z10" s="140">
        <v>0.75600000000000001</v>
      </c>
      <c r="AA10" s="140">
        <v>0.77</v>
      </c>
      <c r="AB10" s="140">
        <v>0.78400000000000003</v>
      </c>
      <c r="AC10" s="140">
        <v>0.79800000000000004</v>
      </c>
      <c r="AD10" s="140">
        <v>0.81100000000000005</v>
      </c>
      <c r="AE10" s="140">
        <v>0.82399999999999995</v>
      </c>
      <c r="AF10" s="140">
        <v>0.83399999999999996</v>
      </c>
      <c r="AG10" s="140">
        <v>0.83899999999999997</v>
      </c>
      <c r="AH10" s="140">
        <v>0.84099999999999997</v>
      </c>
      <c r="AI10" s="140">
        <v>0.84</v>
      </c>
      <c r="AJ10" s="140">
        <v>0.83899999999999997</v>
      </c>
      <c r="AK10" s="140">
        <v>0.83899999999999997</v>
      </c>
      <c r="AL10" s="140">
        <v>0.83799999999999997</v>
      </c>
    </row>
    <row r="11" spans="2:38" ht="24" customHeight="1" x14ac:dyDescent="0.2">
      <c r="B11" s="917"/>
      <c r="C11" s="130">
        <v>200</v>
      </c>
      <c r="D11" s="140">
        <v>0.504</v>
      </c>
      <c r="E11" s="140">
        <v>0.52100000000000002</v>
      </c>
      <c r="F11" s="140">
        <v>0.53800000000000003</v>
      </c>
      <c r="G11" s="140">
        <v>0.55700000000000005</v>
      </c>
      <c r="H11" s="140">
        <v>0.56699999999999995</v>
      </c>
      <c r="I11" s="140">
        <v>0.57699999999999996</v>
      </c>
      <c r="J11" s="140">
        <v>0.58699999999999997</v>
      </c>
      <c r="K11" s="140">
        <v>0.59699999999999998</v>
      </c>
      <c r="L11" s="140">
        <v>0.60699999999999998</v>
      </c>
      <c r="M11" s="140">
        <v>0.61699999999999999</v>
      </c>
      <c r="N11" s="140">
        <v>0.628</v>
      </c>
      <c r="O11" s="140">
        <v>0.63900000000000001</v>
      </c>
      <c r="P11" s="140">
        <v>0.65</v>
      </c>
      <c r="Q11" s="140">
        <v>0.66100000000000003</v>
      </c>
      <c r="R11" s="140">
        <v>0.67200000000000004</v>
      </c>
      <c r="S11" s="140">
        <v>0.68300000000000005</v>
      </c>
      <c r="T11" s="140">
        <v>0.69499999999999995</v>
      </c>
      <c r="U11" s="140">
        <v>0.70599999999999996</v>
      </c>
      <c r="V11" s="140">
        <v>0.71899999999999997</v>
      </c>
      <c r="W11" s="140">
        <v>0.73199999999999998</v>
      </c>
      <c r="X11" s="140">
        <v>0.745</v>
      </c>
      <c r="Y11" s="140">
        <v>0.75800000000000001</v>
      </c>
      <c r="Z11" s="140">
        <v>0.77200000000000002</v>
      </c>
      <c r="AA11" s="140">
        <v>0.78600000000000003</v>
      </c>
      <c r="AB11" s="140">
        <v>0.79900000000000004</v>
      </c>
      <c r="AC11" s="140">
        <v>0.81200000000000006</v>
      </c>
      <c r="AD11" s="140">
        <v>0.82499999999999996</v>
      </c>
      <c r="AE11" s="140">
        <v>0.83399999999999996</v>
      </c>
      <c r="AF11" s="140">
        <v>0.84</v>
      </c>
      <c r="AG11" s="140">
        <v>0.84099999999999997</v>
      </c>
      <c r="AH11" s="140">
        <v>0.84</v>
      </c>
      <c r="AI11" s="140">
        <v>0.83899999999999997</v>
      </c>
      <c r="AJ11" s="140">
        <v>0.83899999999999997</v>
      </c>
      <c r="AK11" s="140">
        <v>0.83799999999999997</v>
      </c>
      <c r="AL11" s="139">
        <v>0.83799999999999997</v>
      </c>
    </row>
    <row r="12" spans="2:38" ht="24" customHeight="1" x14ac:dyDescent="0.2">
      <c r="B12" s="917"/>
      <c r="C12" s="130">
        <v>210</v>
      </c>
      <c r="D12" s="140">
        <v>0.51500000000000001</v>
      </c>
      <c r="E12" s="140">
        <v>0.53200000000000003</v>
      </c>
      <c r="F12" s="140">
        <v>0.55000000000000004</v>
      </c>
      <c r="G12" s="140">
        <v>0.56899999999999995</v>
      </c>
      <c r="H12" s="140">
        <v>0.57899999999999996</v>
      </c>
      <c r="I12" s="140">
        <v>0.58899999999999997</v>
      </c>
      <c r="J12" s="140">
        <v>0.59899999999999998</v>
      </c>
      <c r="K12" s="140">
        <v>0.60899999999999999</v>
      </c>
      <c r="L12" s="140">
        <v>0.61899999999999999</v>
      </c>
      <c r="M12" s="140">
        <v>0.63</v>
      </c>
      <c r="N12" s="140">
        <v>0.64100000000000001</v>
      </c>
      <c r="O12" s="140">
        <v>0.65100000000000002</v>
      </c>
      <c r="P12" s="140">
        <v>0.66200000000000003</v>
      </c>
      <c r="Q12" s="140">
        <v>0.67300000000000004</v>
      </c>
      <c r="R12" s="140">
        <v>0.68500000000000005</v>
      </c>
      <c r="S12" s="140">
        <v>0.69599999999999995</v>
      </c>
      <c r="T12" s="140">
        <v>0.70799999999999996</v>
      </c>
      <c r="U12" s="140">
        <v>0.72</v>
      </c>
      <c r="V12" s="140">
        <v>0.73299999999999998</v>
      </c>
      <c r="W12" s="140">
        <v>0.746</v>
      </c>
      <c r="X12" s="140">
        <v>0.75900000000000001</v>
      </c>
      <c r="Y12" s="140">
        <v>0.77300000000000002</v>
      </c>
      <c r="Z12" s="140">
        <v>0.78600000000000003</v>
      </c>
      <c r="AA12" s="140">
        <v>0.8</v>
      </c>
      <c r="AB12" s="140">
        <v>0.81299999999999994</v>
      </c>
      <c r="AC12" s="140">
        <v>0.82499999999999996</v>
      </c>
      <c r="AD12" s="140">
        <v>0.83399999999999996</v>
      </c>
      <c r="AE12" s="140">
        <v>0.84</v>
      </c>
      <c r="AF12" s="140">
        <v>0.84099999999999997</v>
      </c>
      <c r="AG12" s="140">
        <v>0.84</v>
      </c>
      <c r="AH12" s="140">
        <v>0.83899999999999997</v>
      </c>
      <c r="AI12" s="140">
        <v>0.83799999999999997</v>
      </c>
      <c r="AJ12" s="140">
        <v>0.83799999999999997</v>
      </c>
      <c r="AK12" s="139">
        <v>0.83799999999999997</v>
      </c>
      <c r="AL12" s="139">
        <v>0.83799999999999997</v>
      </c>
    </row>
    <row r="13" spans="2:38" ht="24" customHeight="1" x14ac:dyDescent="0.2">
      <c r="B13" s="917"/>
      <c r="C13" s="130">
        <v>220</v>
      </c>
      <c r="D13" s="140">
        <v>0.52500000000000002</v>
      </c>
      <c r="E13" s="140">
        <v>0.54300000000000004</v>
      </c>
      <c r="F13" s="140">
        <v>0.56100000000000005</v>
      </c>
      <c r="G13" s="140">
        <v>0.58099999999999996</v>
      </c>
      <c r="H13" s="140">
        <v>0.59</v>
      </c>
      <c r="I13" s="140">
        <v>0.6</v>
      </c>
      <c r="J13" s="140">
        <v>0.61099999999999999</v>
      </c>
      <c r="K13" s="140">
        <v>0.621</v>
      </c>
      <c r="L13" s="140">
        <v>0.63100000000000001</v>
      </c>
      <c r="M13" s="140">
        <v>0.64200000000000002</v>
      </c>
      <c r="N13" s="140">
        <v>0.65300000000000002</v>
      </c>
      <c r="O13" s="140">
        <v>0.66300000000000003</v>
      </c>
      <c r="P13" s="140">
        <v>0.67400000000000004</v>
      </c>
      <c r="Q13" s="140">
        <v>0.68600000000000005</v>
      </c>
      <c r="R13" s="140">
        <v>0.69699999999999995</v>
      </c>
      <c r="S13" s="140">
        <v>0.70899999999999996</v>
      </c>
      <c r="T13" s="140">
        <v>0.72099999999999997</v>
      </c>
      <c r="U13" s="140">
        <v>0.73399999999999999</v>
      </c>
      <c r="V13" s="140">
        <v>0.746</v>
      </c>
      <c r="W13" s="140">
        <v>0.76</v>
      </c>
      <c r="X13" s="140">
        <v>0.77300000000000002</v>
      </c>
      <c r="Y13" s="140">
        <v>0.78700000000000003</v>
      </c>
      <c r="Z13" s="140">
        <v>0.8</v>
      </c>
      <c r="AA13" s="140">
        <v>0.81299999999999994</v>
      </c>
      <c r="AB13" s="140">
        <v>0.82499999999999996</v>
      </c>
      <c r="AC13" s="140">
        <v>0.83399999999999996</v>
      </c>
      <c r="AD13" s="140">
        <v>0.84</v>
      </c>
      <c r="AE13" s="140">
        <v>0.84099999999999997</v>
      </c>
      <c r="AF13" s="140">
        <v>0.84</v>
      </c>
      <c r="AG13" s="140">
        <v>0.83899999999999997</v>
      </c>
      <c r="AH13" s="140">
        <v>0.83899999999999997</v>
      </c>
      <c r="AI13" s="140">
        <v>0.83799999999999997</v>
      </c>
      <c r="AJ13" s="139">
        <v>0.83799999999999997</v>
      </c>
      <c r="AK13" s="139">
        <v>0.83799999999999997</v>
      </c>
      <c r="AL13" s="139">
        <v>0.83799999999999997</v>
      </c>
    </row>
    <row r="14" spans="2:38" ht="24" customHeight="1" x14ac:dyDescent="0.2">
      <c r="B14" s="917"/>
      <c r="C14" s="130">
        <v>230</v>
      </c>
      <c r="D14" s="140">
        <v>0.53500000000000003</v>
      </c>
      <c r="E14" s="140">
        <v>0.55300000000000005</v>
      </c>
      <c r="F14" s="140">
        <v>0.57199999999999995</v>
      </c>
      <c r="G14" s="140">
        <v>0.59199999999999997</v>
      </c>
      <c r="H14" s="140">
        <v>0.60199999999999998</v>
      </c>
      <c r="I14" s="140">
        <v>0.61199999999999999</v>
      </c>
      <c r="J14" s="140">
        <v>0.622</v>
      </c>
      <c r="K14" s="140">
        <v>0.63200000000000001</v>
      </c>
      <c r="L14" s="140">
        <v>0.64300000000000002</v>
      </c>
      <c r="M14" s="140">
        <v>0.65300000000000002</v>
      </c>
      <c r="N14" s="140">
        <v>0.66400000000000003</v>
      </c>
      <c r="O14" s="140">
        <v>0.67500000000000004</v>
      </c>
      <c r="P14" s="140">
        <v>0.68600000000000005</v>
      </c>
      <c r="Q14" s="140">
        <v>0.69699999999999995</v>
      </c>
      <c r="R14" s="140">
        <v>0.70899999999999996</v>
      </c>
      <c r="S14" s="140">
        <v>0.72099999999999997</v>
      </c>
      <c r="T14" s="140">
        <v>0.73399999999999999</v>
      </c>
      <c r="U14" s="140">
        <v>0.746</v>
      </c>
      <c r="V14" s="140">
        <v>0.76</v>
      </c>
      <c r="W14" s="140">
        <v>0.77300000000000002</v>
      </c>
      <c r="X14" s="140">
        <v>0.78600000000000003</v>
      </c>
      <c r="Y14" s="140">
        <v>0.8</v>
      </c>
      <c r="Z14" s="140">
        <v>0.81200000000000006</v>
      </c>
      <c r="AA14" s="140">
        <v>0.82399999999999995</v>
      </c>
      <c r="AB14" s="140">
        <v>0.83399999999999996</v>
      </c>
      <c r="AC14" s="140">
        <v>0.83899999999999997</v>
      </c>
      <c r="AD14" s="140">
        <v>0.84099999999999997</v>
      </c>
      <c r="AE14" s="140">
        <v>0.84</v>
      </c>
      <c r="AF14" s="140">
        <v>0.83899999999999997</v>
      </c>
      <c r="AG14" s="140">
        <v>0.83899999999999997</v>
      </c>
      <c r="AH14" s="140">
        <v>0.83799999999999997</v>
      </c>
      <c r="AI14" s="139">
        <v>0.83799999999999997</v>
      </c>
      <c r="AJ14" s="139">
        <v>0.83799999999999997</v>
      </c>
      <c r="AK14" s="139">
        <v>0.83799999999999997</v>
      </c>
      <c r="AL14" s="139">
        <v>0.83799999999999997</v>
      </c>
    </row>
    <row r="15" spans="2:38" ht="24" customHeight="1" x14ac:dyDescent="0.2">
      <c r="B15" s="917"/>
      <c r="C15" s="130">
        <v>240</v>
      </c>
      <c r="D15" s="140">
        <v>0.54500000000000004</v>
      </c>
      <c r="E15" s="140">
        <v>0.56399999999999995</v>
      </c>
      <c r="F15" s="140">
        <v>0.58299999999999996</v>
      </c>
      <c r="G15" s="140">
        <v>0.60199999999999998</v>
      </c>
      <c r="H15" s="140">
        <v>0.61199999999999999</v>
      </c>
      <c r="I15" s="140">
        <v>0.622</v>
      </c>
      <c r="J15" s="140">
        <v>0.63300000000000001</v>
      </c>
      <c r="K15" s="140">
        <v>0.64300000000000002</v>
      </c>
      <c r="L15" s="140">
        <v>0.65400000000000003</v>
      </c>
      <c r="M15" s="140">
        <v>0.66400000000000003</v>
      </c>
      <c r="N15" s="140">
        <v>0.67500000000000004</v>
      </c>
      <c r="O15" s="140">
        <v>0.68600000000000005</v>
      </c>
      <c r="P15" s="140">
        <v>0.69699999999999995</v>
      </c>
      <c r="Q15" s="140">
        <v>0.70899999999999996</v>
      </c>
      <c r="R15" s="140">
        <v>0.72099999999999997</v>
      </c>
      <c r="S15" s="140">
        <v>0.73299999999999998</v>
      </c>
      <c r="T15" s="140">
        <v>0.746</v>
      </c>
      <c r="U15" s="140">
        <v>0.75900000000000001</v>
      </c>
      <c r="V15" s="140">
        <v>0.77200000000000002</v>
      </c>
      <c r="W15" s="140">
        <v>0.78600000000000003</v>
      </c>
      <c r="X15" s="140">
        <v>0.79900000000000004</v>
      </c>
      <c r="Y15" s="140">
        <v>0.81200000000000006</v>
      </c>
      <c r="Z15" s="140">
        <v>0.82299999999999995</v>
      </c>
      <c r="AA15" s="140">
        <v>0.83299999999999996</v>
      </c>
      <c r="AB15" s="140">
        <v>0.83899999999999997</v>
      </c>
      <c r="AC15" s="140">
        <v>0.84099999999999997</v>
      </c>
      <c r="AD15" s="140">
        <v>0.84</v>
      </c>
      <c r="AE15" s="140">
        <v>0.83899999999999997</v>
      </c>
      <c r="AF15" s="140">
        <v>0.83899999999999997</v>
      </c>
      <c r="AG15" s="140">
        <v>0.83899999999999997</v>
      </c>
      <c r="AH15" s="139">
        <v>0.83799999999999997</v>
      </c>
      <c r="AI15" s="139">
        <v>0.83799999999999997</v>
      </c>
      <c r="AJ15" s="139">
        <v>0.83799999999999997</v>
      </c>
      <c r="AK15" s="139">
        <v>0.83799999999999997</v>
      </c>
      <c r="AL15" s="139">
        <v>0.83799999999999997</v>
      </c>
    </row>
    <row r="16" spans="2:38" ht="24" customHeight="1" x14ac:dyDescent="0.2">
      <c r="B16" s="917"/>
      <c r="C16" s="130">
        <v>250</v>
      </c>
      <c r="D16" s="140">
        <v>0.54500000000000004</v>
      </c>
      <c r="E16" s="140">
        <v>0.56499999999999995</v>
      </c>
      <c r="F16" s="140">
        <v>0.58499999999999996</v>
      </c>
      <c r="G16" s="140">
        <v>0.60699999999999998</v>
      </c>
      <c r="H16" s="140">
        <v>0.61799999999999999</v>
      </c>
      <c r="I16" s="140">
        <v>0.629</v>
      </c>
      <c r="J16" s="140">
        <v>0.64100000000000001</v>
      </c>
      <c r="K16" s="140">
        <v>0.65200000000000002</v>
      </c>
      <c r="L16" s="140">
        <v>0.66400000000000003</v>
      </c>
      <c r="M16" s="140">
        <v>0.67500000000000004</v>
      </c>
      <c r="N16" s="140">
        <v>0.68600000000000005</v>
      </c>
      <c r="O16" s="140">
        <v>0.69699999999999995</v>
      </c>
      <c r="P16" s="140">
        <v>0.70899999999999996</v>
      </c>
      <c r="Q16" s="140">
        <v>0.72099999999999997</v>
      </c>
      <c r="R16" s="140">
        <v>0.73299999999999998</v>
      </c>
      <c r="S16" s="140">
        <v>0.745</v>
      </c>
      <c r="T16" s="140">
        <v>0.75800000000000001</v>
      </c>
      <c r="U16" s="140">
        <v>0.77100000000000002</v>
      </c>
      <c r="V16" s="140">
        <v>0.78500000000000003</v>
      </c>
      <c r="W16" s="140">
        <v>0.79800000000000004</v>
      </c>
      <c r="X16" s="140">
        <v>0.81</v>
      </c>
      <c r="Y16" s="140">
        <v>0.82199999999999995</v>
      </c>
      <c r="Z16" s="140">
        <v>0.83199999999999996</v>
      </c>
      <c r="AA16" s="140">
        <v>0.83899999999999997</v>
      </c>
      <c r="AB16" s="140">
        <v>0.84099999999999997</v>
      </c>
      <c r="AC16" s="140">
        <v>0.84099999999999997</v>
      </c>
      <c r="AD16" s="140">
        <v>0.83899999999999997</v>
      </c>
      <c r="AE16" s="140">
        <v>0.83899999999999997</v>
      </c>
      <c r="AF16" s="140">
        <v>0.83799999999999997</v>
      </c>
      <c r="AG16" s="140">
        <v>0.83899999999999997</v>
      </c>
      <c r="AH16" s="139">
        <v>0.83799999999999997</v>
      </c>
      <c r="AI16" s="139">
        <v>0.83799999999999997</v>
      </c>
      <c r="AJ16" s="139">
        <v>0.83799999999999997</v>
      </c>
      <c r="AK16" s="139">
        <v>0.83799999999999997</v>
      </c>
      <c r="AL16" s="139">
        <v>0.83799999999999997</v>
      </c>
    </row>
    <row r="17" spans="2:38" ht="24" customHeight="1" x14ac:dyDescent="0.2">
      <c r="B17" s="917"/>
      <c r="C17" s="130">
        <v>260</v>
      </c>
      <c r="D17" s="140">
        <v>0.54500000000000004</v>
      </c>
      <c r="E17" s="140">
        <v>0.56499999999999995</v>
      </c>
      <c r="F17" s="140">
        <v>0.58499999999999996</v>
      </c>
      <c r="G17" s="140">
        <v>0.60699999999999998</v>
      </c>
      <c r="H17" s="140">
        <v>0.61799999999999999</v>
      </c>
      <c r="I17" s="140">
        <v>0.629</v>
      </c>
      <c r="J17" s="140">
        <v>0.64100000000000001</v>
      </c>
      <c r="K17" s="140">
        <v>0.65200000000000002</v>
      </c>
      <c r="L17" s="140">
        <v>0.66500000000000004</v>
      </c>
      <c r="M17" s="140">
        <v>0.67700000000000005</v>
      </c>
      <c r="N17" s="140">
        <v>0.69</v>
      </c>
      <c r="O17" s="140">
        <v>0.70299999999999996</v>
      </c>
      <c r="P17" s="140">
        <v>0.71599999999999997</v>
      </c>
      <c r="Q17" s="140">
        <v>0.73</v>
      </c>
      <c r="R17" s="140">
        <v>0.74299999999999999</v>
      </c>
      <c r="S17" s="140">
        <v>0.75700000000000001</v>
      </c>
      <c r="T17" s="140">
        <v>0.77</v>
      </c>
      <c r="U17" s="140">
        <v>0.78300000000000003</v>
      </c>
      <c r="V17" s="140">
        <v>0.79600000000000004</v>
      </c>
      <c r="W17" s="140">
        <v>0.80900000000000005</v>
      </c>
      <c r="X17" s="140">
        <v>0.82099999999999995</v>
      </c>
      <c r="Y17" s="140">
        <v>0.83099999999999996</v>
      </c>
      <c r="Z17" s="140">
        <v>0.83799999999999997</v>
      </c>
      <c r="AA17" s="140">
        <v>0.84099999999999997</v>
      </c>
      <c r="AB17" s="140">
        <v>0.84099999999999997</v>
      </c>
      <c r="AC17" s="140">
        <v>0.84</v>
      </c>
      <c r="AD17" s="140">
        <v>0.83899999999999997</v>
      </c>
      <c r="AE17" s="140">
        <v>0.83799999999999997</v>
      </c>
      <c r="AF17" s="140">
        <v>0.83899999999999997</v>
      </c>
      <c r="AG17" s="139">
        <v>0.83799999999999997</v>
      </c>
      <c r="AH17" s="139">
        <v>0.83799999999999997</v>
      </c>
      <c r="AI17" s="139">
        <v>0.83799999999999997</v>
      </c>
      <c r="AJ17" s="139">
        <v>0.83799999999999997</v>
      </c>
      <c r="AK17" s="139">
        <v>0.83799999999999997</v>
      </c>
      <c r="AL17" s="139">
        <v>0.83799999999999997</v>
      </c>
    </row>
    <row r="18" spans="2:38" ht="24" customHeight="1" x14ac:dyDescent="0.2">
      <c r="B18" s="917"/>
      <c r="C18" s="130">
        <v>270</v>
      </c>
      <c r="D18" s="140">
        <v>0.54500000000000004</v>
      </c>
      <c r="E18" s="140">
        <v>0.56499999999999995</v>
      </c>
      <c r="F18" s="140">
        <v>0.58499999999999996</v>
      </c>
      <c r="G18" s="140">
        <v>0.60699999999999998</v>
      </c>
      <c r="H18" s="140">
        <v>0.61799999999999999</v>
      </c>
      <c r="I18" s="140">
        <v>0.629</v>
      </c>
      <c r="J18" s="140">
        <v>0.64100000000000001</v>
      </c>
      <c r="K18" s="140">
        <v>0.65200000000000002</v>
      </c>
      <c r="L18" s="140">
        <v>0.66500000000000004</v>
      </c>
      <c r="M18" s="140">
        <v>0.67700000000000005</v>
      </c>
      <c r="N18" s="140">
        <v>0.69</v>
      </c>
      <c r="O18" s="140">
        <v>0.70099999999999996</v>
      </c>
      <c r="P18" s="140">
        <v>0.71599999999999997</v>
      </c>
      <c r="Q18" s="140">
        <v>0.73</v>
      </c>
      <c r="R18" s="140">
        <v>0.74299999999999999</v>
      </c>
      <c r="S18" s="140">
        <v>0.75800000000000001</v>
      </c>
      <c r="T18" s="140">
        <v>0.77200000000000002</v>
      </c>
      <c r="U18" s="140">
        <v>0.78700000000000003</v>
      </c>
      <c r="V18" s="140">
        <v>0.80200000000000005</v>
      </c>
      <c r="W18" s="140">
        <v>0.81799999999999995</v>
      </c>
      <c r="X18" s="140">
        <v>0.82899999999999996</v>
      </c>
      <c r="Y18" s="140">
        <v>0.83699999999999997</v>
      </c>
      <c r="Z18" s="140">
        <v>0.84</v>
      </c>
      <c r="AA18" s="140">
        <v>0.84099999999999997</v>
      </c>
      <c r="AB18" s="140">
        <v>0.84</v>
      </c>
      <c r="AC18" s="140">
        <v>0.83899999999999997</v>
      </c>
      <c r="AD18" s="140">
        <v>0.83799999999999997</v>
      </c>
      <c r="AE18" s="140">
        <v>0.83899999999999997</v>
      </c>
      <c r="AF18" s="139">
        <v>0.83799999999999997</v>
      </c>
      <c r="AG18" s="139">
        <v>0.83799999999999997</v>
      </c>
      <c r="AH18" s="139">
        <v>0.83799999999999997</v>
      </c>
      <c r="AI18" s="139">
        <v>0.83799999999999997</v>
      </c>
      <c r="AJ18" s="139">
        <v>0.83799999999999997</v>
      </c>
      <c r="AK18" s="139">
        <v>0.83799999999999997</v>
      </c>
      <c r="AL18" s="139">
        <v>0.83799999999999997</v>
      </c>
    </row>
    <row r="19" spans="2:38" ht="24" customHeight="1" x14ac:dyDescent="0.2">
      <c r="B19" s="917"/>
      <c r="C19" s="130">
        <v>280</v>
      </c>
      <c r="D19" s="140">
        <v>0.54500000000000004</v>
      </c>
      <c r="E19" s="140">
        <v>0.56499999999999995</v>
      </c>
      <c r="F19" s="140">
        <v>0.58499999999999996</v>
      </c>
      <c r="G19" s="140">
        <v>0.60699999999999998</v>
      </c>
      <c r="H19" s="140">
        <v>0.61799999999999999</v>
      </c>
      <c r="I19" s="140">
        <v>0.629</v>
      </c>
      <c r="J19" s="140">
        <v>0.64100000000000001</v>
      </c>
      <c r="K19" s="140">
        <v>0.65200000000000002</v>
      </c>
      <c r="L19" s="140">
        <v>0.66500000000000004</v>
      </c>
      <c r="M19" s="140">
        <v>0.67700000000000005</v>
      </c>
      <c r="N19" s="140">
        <v>0.69</v>
      </c>
      <c r="O19" s="140">
        <v>0.70299999999999996</v>
      </c>
      <c r="P19" s="140">
        <v>0.71599999999999997</v>
      </c>
      <c r="Q19" s="140">
        <v>0.73</v>
      </c>
      <c r="R19" s="140">
        <v>0.74299999999999999</v>
      </c>
      <c r="S19" s="140">
        <v>0.75800000000000001</v>
      </c>
      <c r="T19" s="140">
        <v>0.77200000000000002</v>
      </c>
      <c r="U19" s="140">
        <v>0.78700000000000003</v>
      </c>
      <c r="V19" s="140">
        <v>0.80200000000000005</v>
      </c>
      <c r="W19" s="140">
        <v>0.81799999999999995</v>
      </c>
      <c r="X19" s="140">
        <v>0.83399999999999996</v>
      </c>
      <c r="Y19" s="140">
        <v>0.84</v>
      </c>
      <c r="Z19" s="140">
        <v>0.84099999999999997</v>
      </c>
      <c r="AA19" s="140">
        <v>0.84</v>
      </c>
      <c r="AB19" s="140">
        <v>0.83899999999999997</v>
      </c>
      <c r="AC19" s="140">
        <v>0.83799999999999997</v>
      </c>
      <c r="AD19" s="140">
        <v>0.83799999999999997</v>
      </c>
      <c r="AE19" s="139">
        <v>0.83799999999999997</v>
      </c>
      <c r="AF19" s="139">
        <v>0.83799999999999997</v>
      </c>
      <c r="AG19" s="139">
        <v>0.83799999999999997</v>
      </c>
      <c r="AH19" s="139">
        <v>0.83799999999999997</v>
      </c>
      <c r="AI19" s="139">
        <v>0.83799999999999997</v>
      </c>
      <c r="AJ19" s="139">
        <v>0.83799999999999997</v>
      </c>
      <c r="AK19" s="139">
        <v>0.83799999999999997</v>
      </c>
      <c r="AL19" s="139">
        <v>0.83799999999999997</v>
      </c>
    </row>
    <row r="20" spans="2:38" ht="24" customHeight="1" x14ac:dyDescent="0.2">
      <c r="B20" s="917"/>
      <c r="C20" s="133">
        <v>290</v>
      </c>
      <c r="D20" s="140">
        <v>0.54500000000000004</v>
      </c>
      <c r="E20" s="140">
        <v>0.56499999999999995</v>
      </c>
      <c r="F20" s="140">
        <v>0.58499999999999996</v>
      </c>
      <c r="G20" s="140">
        <v>0.60699999999999998</v>
      </c>
      <c r="H20" s="140">
        <v>0.61799999999999999</v>
      </c>
      <c r="I20" s="140">
        <v>0.629</v>
      </c>
      <c r="J20" s="140">
        <v>0.64100000000000001</v>
      </c>
      <c r="K20" s="140">
        <v>0.65200000000000002</v>
      </c>
      <c r="L20" s="140">
        <v>0.66500000000000004</v>
      </c>
      <c r="M20" s="140">
        <v>0.67700000000000005</v>
      </c>
      <c r="N20" s="140">
        <v>0.69</v>
      </c>
      <c r="O20" s="140">
        <v>0.70299999999999996</v>
      </c>
      <c r="P20" s="140">
        <v>0.71599999999999997</v>
      </c>
      <c r="Q20" s="140">
        <v>0.73</v>
      </c>
      <c r="R20" s="140">
        <v>0.74299999999999999</v>
      </c>
      <c r="S20" s="140">
        <v>0.75800000000000001</v>
      </c>
      <c r="T20" s="140">
        <v>0.77200000000000002</v>
      </c>
      <c r="U20" s="140">
        <v>0.78700000000000003</v>
      </c>
      <c r="V20" s="140">
        <v>0.80200000000000005</v>
      </c>
      <c r="W20" s="140">
        <v>0.81799999999999995</v>
      </c>
      <c r="X20" s="140">
        <v>0.83399999999999996</v>
      </c>
      <c r="Y20" s="140">
        <v>0.84099999999999997</v>
      </c>
      <c r="Z20" s="140">
        <v>0.84</v>
      </c>
      <c r="AA20" s="140">
        <v>0.83899999999999997</v>
      </c>
      <c r="AB20" s="140">
        <v>0.83899999999999997</v>
      </c>
      <c r="AC20" s="140">
        <v>0.83799999999999997</v>
      </c>
      <c r="AD20" s="139">
        <v>0.83799999999999997</v>
      </c>
      <c r="AE20" s="139">
        <v>0.83799999999999997</v>
      </c>
      <c r="AF20" s="139">
        <v>0.83799999999999997</v>
      </c>
      <c r="AG20" s="139">
        <v>0.83799999999999997</v>
      </c>
      <c r="AH20" s="139">
        <v>0.83799999999999997</v>
      </c>
      <c r="AI20" s="139">
        <v>0.83799999999999997</v>
      </c>
      <c r="AJ20" s="139">
        <v>0.83799999999999997</v>
      </c>
      <c r="AK20" s="139">
        <v>0.83799999999999997</v>
      </c>
      <c r="AL20" s="139">
        <v>0.83799999999999997</v>
      </c>
    </row>
    <row r="21" spans="2:38" ht="24" customHeight="1" thickBot="1" x14ac:dyDescent="0.25">
      <c r="B21" s="918"/>
      <c r="C21" s="134">
        <v>300</v>
      </c>
      <c r="D21" s="140">
        <v>0.54500000000000004</v>
      </c>
      <c r="E21" s="140">
        <v>0.56499999999999995</v>
      </c>
      <c r="F21" s="140">
        <v>0.58499999999999996</v>
      </c>
      <c r="G21" s="140">
        <v>0.60699999999999998</v>
      </c>
      <c r="H21" s="140">
        <v>0.61799999999999999</v>
      </c>
      <c r="I21" s="140">
        <v>0.629</v>
      </c>
      <c r="J21" s="140">
        <v>0.64100000000000001</v>
      </c>
      <c r="K21" s="140">
        <v>0.65200000000000002</v>
      </c>
      <c r="L21" s="140">
        <v>0.66500000000000004</v>
      </c>
      <c r="M21" s="140">
        <v>0.67700000000000005</v>
      </c>
      <c r="N21" s="140">
        <v>0.69</v>
      </c>
      <c r="O21" s="140">
        <v>0.70299999999999996</v>
      </c>
      <c r="P21" s="140">
        <v>0.71599999999999997</v>
      </c>
      <c r="Q21" s="140">
        <v>0.73</v>
      </c>
      <c r="R21" s="140">
        <v>0.74299999999999999</v>
      </c>
      <c r="S21" s="140">
        <v>0.75800000000000001</v>
      </c>
      <c r="T21" s="140">
        <v>0.77200000000000002</v>
      </c>
      <c r="U21" s="140">
        <v>0.78700000000000003</v>
      </c>
      <c r="V21" s="140">
        <v>0.80200000000000005</v>
      </c>
      <c r="W21" s="140">
        <v>0.81799999999999995</v>
      </c>
      <c r="X21" s="140">
        <v>0.83399999999999996</v>
      </c>
      <c r="Y21" s="140">
        <v>0.84099999999999997</v>
      </c>
      <c r="Z21" s="140">
        <v>0.84</v>
      </c>
      <c r="AA21" s="140">
        <v>0.83899999999999997</v>
      </c>
      <c r="AB21" s="140">
        <v>0.83799999999999997</v>
      </c>
      <c r="AC21" s="139">
        <v>0.83799999999999997</v>
      </c>
      <c r="AD21" s="139">
        <v>0.83799999999999997</v>
      </c>
      <c r="AE21" s="139">
        <v>0.83799999999999997</v>
      </c>
      <c r="AF21" s="139">
        <v>0.83799999999999997</v>
      </c>
      <c r="AG21" s="139">
        <v>0.83799999999999997</v>
      </c>
      <c r="AH21" s="139">
        <v>0.83799999999999997</v>
      </c>
      <c r="AI21" s="139">
        <v>0.83799999999999997</v>
      </c>
      <c r="AJ21" s="139">
        <v>0.83799999999999997</v>
      </c>
      <c r="AK21" s="139">
        <v>0.83799999999999997</v>
      </c>
      <c r="AL21" s="139">
        <v>0.83799999999999997</v>
      </c>
    </row>
    <row r="22" spans="2:38" ht="22.5" customHeight="1" thickBot="1" x14ac:dyDescent="0.25"/>
    <row r="23" spans="2:38" ht="22.5" customHeight="1" x14ac:dyDescent="0.2">
      <c r="B23" s="919" t="s">
        <v>11</v>
      </c>
      <c r="C23" s="920"/>
      <c r="D23" s="5"/>
      <c r="E23" s="5"/>
      <c r="F23" s="5"/>
      <c r="G23" s="5"/>
      <c r="H23" s="18"/>
      <c r="I23" s="18"/>
      <c r="J23" s="18"/>
      <c r="K23" s="18"/>
      <c r="L23" s="18"/>
      <c r="M23" s="19"/>
    </row>
    <row r="24" spans="2:38" ht="23.25" customHeight="1" x14ac:dyDescent="0.2">
      <c r="B24" s="26" t="s">
        <v>12</v>
      </c>
      <c r="C24" s="22">
        <v>350</v>
      </c>
      <c r="D24" s="27" t="s">
        <v>13</v>
      </c>
      <c r="E24" s="6" t="s">
        <v>23</v>
      </c>
      <c r="F24" s="7"/>
      <c r="G24" s="7"/>
      <c r="H24" s="20"/>
      <c r="I24" s="20"/>
      <c r="J24" s="20"/>
      <c r="K24" s="20"/>
      <c r="L24" s="20"/>
      <c r="M24" s="21"/>
    </row>
    <row r="25" spans="2:38" ht="23.25" customHeight="1" x14ac:dyDescent="0.2">
      <c r="B25" s="26" t="s">
        <v>14</v>
      </c>
      <c r="C25" s="22">
        <v>207.64</v>
      </c>
      <c r="D25" s="27" t="s">
        <v>15</v>
      </c>
      <c r="E25" s="6" t="s">
        <v>24</v>
      </c>
      <c r="F25" s="7"/>
      <c r="G25" s="7"/>
      <c r="H25" s="20"/>
      <c r="I25" s="20"/>
      <c r="J25" s="20"/>
      <c r="K25" s="20"/>
      <c r="L25" s="20"/>
      <c r="M25" s="21"/>
    </row>
    <row r="26" spans="2:38" ht="14.25" customHeight="1" x14ac:dyDescent="0.2">
      <c r="B26" s="8"/>
      <c r="C26" s="9"/>
      <c r="D26" s="9"/>
      <c r="E26" s="9"/>
      <c r="F26" s="7"/>
      <c r="G26" s="7"/>
      <c r="H26" s="20"/>
      <c r="I26" s="20"/>
      <c r="J26" s="20"/>
      <c r="K26" s="20"/>
      <c r="L26" s="20"/>
      <c r="M26" s="21"/>
    </row>
    <row r="27" spans="2:38" ht="24" customHeight="1" x14ac:dyDescent="0.2">
      <c r="B27" s="26" t="s">
        <v>27</v>
      </c>
      <c r="C27" s="43" t="e">
        <f ca="1">BicubicInterpolation(C4:AL21,C24,C25)</f>
        <v>#NAME?</v>
      </c>
      <c r="D27" s="27" t="s">
        <v>29</v>
      </c>
      <c r="E27" s="7"/>
      <c r="F27" s="7"/>
      <c r="G27" s="7"/>
      <c r="H27" s="20"/>
      <c r="I27" s="20"/>
      <c r="J27" s="20"/>
      <c r="K27" s="20"/>
      <c r="L27" s="20"/>
      <c r="M27" s="21"/>
    </row>
    <row r="28" spans="2:38" ht="13.5" customHeight="1" thickBot="1" x14ac:dyDescent="0.25">
      <c r="B28" s="37"/>
      <c r="C28" s="38"/>
      <c r="D28" s="39"/>
      <c r="E28" s="40"/>
      <c r="F28" s="40"/>
      <c r="G28" s="40"/>
      <c r="H28" s="41"/>
      <c r="I28" s="41"/>
      <c r="J28" s="41"/>
      <c r="K28" s="41"/>
      <c r="L28" s="41"/>
      <c r="M28" s="42"/>
    </row>
    <row r="29" spans="2:38" ht="31" customHeight="1" thickBot="1" x14ac:dyDescent="0.25">
      <c r="B29" s="174" t="s">
        <v>20</v>
      </c>
      <c r="C29" s="914" t="s">
        <v>120</v>
      </c>
      <c r="D29" s="914"/>
      <c r="E29" s="914"/>
      <c r="F29" s="914"/>
      <c r="G29" s="914"/>
      <c r="H29" s="914"/>
      <c r="I29" s="914"/>
      <c r="J29" s="914"/>
      <c r="K29" s="914"/>
      <c r="L29" s="914"/>
      <c r="M29" s="915"/>
    </row>
    <row r="31" spans="2:38" x14ac:dyDescent="0.2">
      <c r="D31"/>
      <c r="E31"/>
      <c r="F31"/>
      <c r="G31"/>
      <c r="H31"/>
      <c r="I31"/>
      <c r="J31"/>
      <c r="K31"/>
      <c r="L31"/>
      <c r="M31"/>
      <c r="N31"/>
      <c r="O31"/>
      <c r="P31"/>
      <c r="Q31"/>
      <c r="R31"/>
      <c r="S31"/>
      <c r="T31"/>
      <c r="U31"/>
      <c r="V31"/>
      <c r="W31"/>
      <c r="X31"/>
      <c r="Y31"/>
      <c r="Z31"/>
      <c r="AA31"/>
      <c r="AB31"/>
      <c r="AC31"/>
      <c r="AD31"/>
      <c r="AE31"/>
      <c r="AF31"/>
      <c r="AG31"/>
      <c r="AH31"/>
      <c r="AI31"/>
      <c r="AJ31"/>
      <c r="AK31"/>
      <c r="AL31"/>
    </row>
    <row r="32" spans="2:38" x14ac:dyDescent="0.2">
      <c r="D32"/>
      <c r="E32"/>
      <c r="F32"/>
      <c r="G32"/>
      <c r="H32"/>
      <c r="I32"/>
      <c r="J32"/>
      <c r="K32"/>
      <c r="L32"/>
      <c r="M32"/>
      <c r="N32"/>
      <c r="O32"/>
      <c r="P32"/>
      <c r="Q32"/>
      <c r="R32"/>
      <c r="S32"/>
      <c r="T32"/>
      <c r="U32"/>
      <c r="V32"/>
      <c r="W32"/>
      <c r="X32"/>
      <c r="Y32"/>
      <c r="Z32"/>
      <c r="AA32"/>
      <c r="AB32"/>
      <c r="AC32"/>
      <c r="AD32"/>
      <c r="AE32"/>
      <c r="AF32"/>
      <c r="AG32"/>
      <c r="AH32"/>
      <c r="AI32"/>
      <c r="AJ32"/>
      <c r="AK32"/>
      <c r="AL32"/>
    </row>
    <row r="33" customFormat="1" x14ac:dyDescent="0.2"/>
    <row r="34" customFormat="1" x14ac:dyDescent="0.2"/>
    <row r="35" customFormat="1" x14ac:dyDescent="0.2"/>
    <row r="36" customFormat="1" x14ac:dyDescent="0.2"/>
    <row r="37" customFormat="1" x14ac:dyDescent="0.2"/>
    <row r="38" customFormat="1" x14ac:dyDescent="0.2"/>
    <row r="39" customFormat="1" x14ac:dyDescent="0.2"/>
    <row r="40" customFormat="1" x14ac:dyDescent="0.2"/>
    <row r="41" customFormat="1" x14ac:dyDescent="0.2"/>
    <row r="42" customFormat="1" x14ac:dyDescent="0.2"/>
    <row r="43" customFormat="1" x14ac:dyDescent="0.2"/>
    <row r="44" customForma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sheetData>
  <mergeCells count="5">
    <mergeCell ref="C29:M29"/>
    <mergeCell ref="B5:B21"/>
    <mergeCell ref="B23:C23"/>
    <mergeCell ref="B2:AL2"/>
    <mergeCell ref="D3:AL3"/>
  </mergeCells>
  <pageMargins left="0.7" right="0.7" top="0.75" bottom="0.75" header="0.3" footer="0.3"/>
  <pageSetup scale="48"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3"/>
  <dimension ref="B1:AL32"/>
  <sheetViews>
    <sheetView zoomScale="80" zoomScaleNormal="80" workbookViewId="0">
      <selection activeCell="W39" sqref="W39"/>
    </sheetView>
  </sheetViews>
  <sheetFormatPr baseColWidth="10" defaultColWidth="8.83203125" defaultRowHeight="15" x14ac:dyDescent="0.2"/>
  <cols>
    <col min="1" max="1" width="5.33203125" customWidth="1"/>
    <col min="2" max="2" width="16.83203125" customWidth="1"/>
    <col min="4" max="38" width="7" style="3" customWidth="1"/>
    <col min="39" max="39" width="6.1640625" customWidth="1"/>
    <col min="41" max="41" width="15.1640625" customWidth="1"/>
    <col min="44" max="44" width="14.6640625" customWidth="1"/>
    <col min="45" max="45" width="11.1640625" customWidth="1"/>
    <col min="46" max="46" width="11.5" customWidth="1"/>
  </cols>
  <sheetData>
    <row r="1" spans="2:38" ht="16" thickBot="1" x14ac:dyDescent="0.25"/>
    <row r="2" spans="2:38" ht="66.75" customHeight="1" thickBot="1" x14ac:dyDescent="0.25">
      <c r="B2" s="929" t="s">
        <v>42</v>
      </c>
      <c r="C2" s="930"/>
      <c r="D2" s="930"/>
      <c r="E2" s="930"/>
      <c r="F2" s="930"/>
      <c r="G2" s="930"/>
      <c r="H2" s="930"/>
      <c r="I2" s="930"/>
      <c r="J2" s="930"/>
      <c r="K2" s="930"/>
      <c r="L2" s="930"/>
      <c r="M2" s="930"/>
      <c r="N2" s="930"/>
      <c r="O2" s="930"/>
      <c r="P2" s="930"/>
      <c r="Q2" s="930"/>
      <c r="R2" s="930"/>
      <c r="S2" s="930"/>
      <c r="T2" s="930"/>
      <c r="U2" s="930"/>
      <c r="V2" s="930"/>
      <c r="W2" s="930"/>
      <c r="X2" s="930"/>
      <c r="Y2" s="930"/>
      <c r="Z2" s="930"/>
      <c r="AA2" s="930"/>
      <c r="AB2" s="930"/>
      <c r="AC2" s="930"/>
      <c r="AD2" s="930"/>
      <c r="AE2" s="930"/>
      <c r="AF2" s="930"/>
      <c r="AG2" s="930"/>
      <c r="AH2" s="930"/>
      <c r="AI2" s="930"/>
      <c r="AJ2" s="930"/>
      <c r="AK2" s="930"/>
      <c r="AL2" s="931"/>
    </row>
    <row r="3" spans="2:38" ht="30" customHeight="1" thickBot="1" x14ac:dyDescent="0.25">
      <c r="B3" s="10"/>
      <c r="C3" s="11"/>
      <c r="D3" s="924" t="s">
        <v>10</v>
      </c>
      <c r="E3" s="925"/>
      <c r="F3" s="925"/>
      <c r="G3" s="925"/>
      <c r="H3" s="925"/>
      <c r="I3" s="925"/>
      <c r="J3" s="925"/>
      <c r="K3" s="925"/>
      <c r="L3" s="925"/>
      <c r="M3" s="925"/>
      <c r="N3" s="925"/>
      <c r="O3" s="925"/>
      <c r="P3" s="925"/>
      <c r="Q3" s="925"/>
      <c r="R3" s="925"/>
      <c r="S3" s="925"/>
      <c r="T3" s="925"/>
      <c r="U3" s="925"/>
      <c r="V3" s="925"/>
      <c r="W3" s="925"/>
      <c r="X3" s="925"/>
      <c r="Y3" s="925"/>
      <c r="Z3" s="925"/>
      <c r="AA3" s="925"/>
      <c r="AB3" s="925"/>
      <c r="AC3" s="925"/>
      <c r="AD3" s="925"/>
      <c r="AE3" s="925"/>
      <c r="AF3" s="925"/>
      <c r="AG3" s="925"/>
      <c r="AH3" s="925"/>
      <c r="AI3" s="925"/>
      <c r="AJ3" s="925"/>
      <c r="AK3" s="925"/>
      <c r="AL3" s="926"/>
    </row>
    <row r="4" spans="2:38" ht="27" customHeight="1" thickBot="1" x14ac:dyDescent="0.25">
      <c r="B4" s="4"/>
      <c r="C4" s="2"/>
      <c r="D4" s="12">
        <v>60</v>
      </c>
      <c r="E4" s="13">
        <v>80</v>
      </c>
      <c r="F4" s="13">
        <v>100</v>
      </c>
      <c r="G4" s="13">
        <v>120</v>
      </c>
      <c r="H4" s="13">
        <v>130</v>
      </c>
      <c r="I4" s="13">
        <v>140</v>
      </c>
      <c r="J4" s="13">
        <v>150</v>
      </c>
      <c r="K4" s="13">
        <v>160</v>
      </c>
      <c r="L4" s="13">
        <v>170</v>
      </c>
      <c r="M4" s="30">
        <f>L4+10</f>
        <v>180</v>
      </c>
      <c r="N4" s="30">
        <f t="shared" ref="N4:AL4" si="0">M4+10</f>
        <v>190</v>
      </c>
      <c r="O4" s="30">
        <f t="shared" si="0"/>
        <v>200</v>
      </c>
      <c r="P4" s="30">
        <f t="shared" si="0"/>
        <v>210</v>
      </c>
      <c r="Q4" s="30">
        <f t="shared" si="0"/>
        <v>220</v>
      </c>
      <c r="R4" s="30">
        <f t="shared" si="0"/>
        <v>230</v>
      </c>
      <c r="S4" s="30">
        <f t="shared" si="0"/>
        <v>240</v>
      </c>
      <c r="T4" s="30">
        <f t="shared" si="0"/>
        <v>250</v>
      </c>
      <c r="U4" s="30">
        <f t="shared" si="0"/>
        <v>260</v>
      </c>
      <c r="V4" s="30">
        <f t="shared" si="0"/>
        <v>270</v>
      </c>
      <c r="W4" s="30">
        <f t="shared" si="0"/>
        <v>280</v>
      </c>
      <c r="X4" s="30">
        <f t="shared" si="0"/>
        <v>290</v>
      </c>
      <c r="Y4" s="30">
        <f t="shared" si="0"/>
        <v>300</v>
      </c>
      <c r="Z4" s="30">
        <f t="shared" si="0"/>
        <v>310</v>
      </c>
      <c r="AA4" s="30">
        <f t="shared" si="0"/>
        <v>320</v>
      </c>
      <c r="AB4" s="30">
        <f t="shared" si="0"/>
        <v>330</v>
      </c>
      <c r="AC4" s="30">
        <f t="shared" si="0"/>
        <v>340</v>
      </c>
      <c r="AD4" s="30">
        <f t="shared" si="0"/>
        <v>350</v>
      </c>
      <c r="AE4" s="30">
        <f t="shared" si="0"/>
        <v>360</v>
      </c>
      <c r="AF4" s="30">
        <f t="shared" si="0"/>
        <v>370</v>
      </c>
      <c r="AG4" s="30">
        <f t="shared" si="0"/>
        <v>380</v>
      </c>
      <c r="AH4" s="30">
        <f t="shared" si="0"/>
        <v>390</v>
      </c>
      <c r="AI4" s="30">
        <f t="shared" si="0"/>
        <v>400</v>
      </c>
      <c r="AJ4" s="30">
        <f t="shared" si="0"/>
        <v>410</v>
      </c>
      <c r="AK4" s="30">
        <f t="shared" si="0"/>
        <v>420</v>
      </c>
      <c r="AL4" s="14">
        <f t="shared" si="0"/>
        <v>430</v>
      </c>
    </row>
    <row r="5" spans="2:38" ht="24" customHeight="1" thickBot="1" x14ac:dyDescent="0.25">
      <c r="B5" s="916" t="s">
        <v>28</v>
      </c>
      <c r="C5" s="15">
        <v>140</v>
      </c>
      <c r="D5" s="50">
        <f>661.4786*(5*((1 + ( (1-0.00068755856*D$4)^5.2558797)*((1 + 'LRC Mach'!D5^2/5)^3.5 - 1))^(2/7) - 1))^0.5</f>
        <v>261.1453747282028</v>
      </c>
      <c r="E5" s="50">
        <f>661.4786*(5*((1 + ( (1-0.00068755856*E$4)^5.2558797)*((1 + 'LRC Mach'!E5^2/5)^3.5 - 1))^(2/7) - 1))^0.5</f>
        <v>258.72313690960078</v>
      </c>
      <c r="F5" s="50">
        <f>661.4786*(5*((1 + ( (1-0.00068755856*F$4)^5.2558797)*((1 + 'LRC Mach'!F5^2/5)^3.5 - 1))^(2/7) - 1))^0.5</f>
        <v>257.14090232935416</v>
      </c>
      <c r="G5" s="50">
        <f>661.4786*(5*((1 + ( (1-0.00068755856*G$4)^5.2558797)*((1 + 'LRC Mach'!G5^2/5)^3.5 - 1))^(2/7) - 1))^0.5</f>
        <v>255.21483102985016</v>
      </c>
      <c r="H5" s="50">
        <f>661.4786*(5*((1 + ( (1-0.00068755856*H$4)^5.2558797)*((1 + 'LRC Mach'!H5^2/5)^3.5 - 1))^(2/7) - 1))^0.5</f>
        <v>254.66170188300958</v>
      </c>
      <c r="I5" s="50">
        <f>661.4786*(5*((1 + ( (1-0.00068755856*I$4)^5.2558797)*((1 + 'LRC Mach'!I5^2/5)^3.5 - 1))^(2/7) - 1))^0.5</f>
        <v>254.01059843969364</v>
      </c>
      <c r="J5" s="50">
        <f>661.4786*(5*((1 + ( (1-0.00068755856*J$4)^5.2558797)*((1 + 'LRC Mach'!J5^2/5)^3.5 - 1))^(2/7) - 1))^0.5</f>
        <v>253.26377675983406</v>
      </c>
      <c r="K5" s="50">
        <f>661.4786*(5*((1 + ( (1-0.00068755856*K$4)^5.2558797)*((1 + 'LRC Mach'!K5^2/5)^3.5 - 1))^(2/7) - 1))^0.5</f>
        <v>252.9309607006775</v>
      </c>
      <c r="L5" s="50">
        <f>661.4786*(5*((1 + ( (1-0.00068755856*L$4)^5.2558797)*((1 + 'LRC Mach'!L5^2/5)^3.5 - 1))^(2/7) - 1))^0.5</f>
        <v>252.48973613456511</v>
      </c>
      <c r="M5" s="50">
        <f>661.4786*(5*((1 + ( (1-0.00068755856*M$4)^5.2558797)*((1 + 'LRC Mach'!M5^2/5)^3.5 - 1))^(2/7) - 1))^0.5</f>
        <v>251.94260364019397</v>
      </c>
      <c r="N5" s="50">
        <f>661.4786*(5*((1 + ( (1-0.00068755856*N$4)^5.2558797)*((1 + 'LRC Mach'!N5^2/5)^3.5 - 1))^(2/7) - 1))^0.5</f>
        <v>251.77437411896523</v>
      </c>
      <c r="O5" s="50">
        <f>661.4786*(5*((1 + ( (1-0.00068755856*O$4)^5.2558797)*((1 + 'LRC Mach'!O5^2/5)^3.5 - 1))^(2/7) - 1))^0.5</f>
        <v>251.01459903331263</v>
      </c>
      <c r="P5" s="50">
        <f>661.4786*(5*((1 + ( (1-0.00068755856*P$4)^5.2558797)*((1 + 'LRC Mach'!P5^2/5)^3.5 - 1))^(2/7) - 1))^0.5</f>
        <v>251.08871079266532</v>
      </c>
      <c r="Q5" s="50">
        <f>661.4786*(5*((1 + ( (1-0.00068755856*Q$4)^5.2558797)*((1 + 'LRC Mach'!Q5^2/5)^3.5 - 1))^(2/7) - 1))^0.5</f>
        <v>250.57667673088693</v>
      </c>
      <c r="R5" s="50">
        <f>661.4786*(5*((1 + ( (1-0.00068755856*R$4)^5.2558797)*((1 + 'LRC Mach'!R5^2/5)^3.5 - 1))^(2/7) - 1))^0.5</f>
        <v>250.40602827234338</v>
      </c>
      <c r="S5" s="50">
        <f>661.4786*(5*((1 + ( (1-0.00068755856*S$4)^5.2558797)*((1 + 'LRC Mach'!S5^2/5)^3.5 - 1))^(2/7) - 1))^0.5</f>
        <v>249.67037684522577</v>
      </c>
      <c r="T5" s="50">
        <f>661.4786*(5*((1 + ( (1-0.00068755856*T$4)^5.2558797)*((1 + 'LRC Mach'!T5^2/5)^3.5 - 1))^(2/7) - 1))^0.5</f>
        <v>249.26620527586547</v>
      </c>
      <c r="U5" s="50">
        <f>661.4786*(5*((1 + ( (1-0.00068755856*U$4)^5.2558797)*((1 + 'LRC Mach'!U5^2/5)^3.5 - 1))^(2/7) - 1))^0.5</f>
        <v>248.74568769745727</v>
      </c>
      <c r="V5" s="50">
        <f>661.4786*(5*((1 + ( (1-0.00068755856*V$4)^5.2558797)*((1 + 'LRC Mach'!V5^2/5)^3.5 - 1))^(2/7) - 1))^0.5</f>
        <v>248.53250618945845</v>
      </c>
      <c r="W5" s="50">
        <f>661.4786*(5*((1 + ( (1-0.00068755856*W$4)^5.2558797)*((1 + 'LRC Mach'!W5^2/5)^3.5 - 1))^(2/7) - 1))^0.5</f>
        <v>247.78041116887309</v>
      </c>
      <c r="X5" s="50">
        <f>661.4786*(5*((1 + ( (1-0.00068755856*X$4)^5.2558797)*((1 + 'LRC Mach'!X5^2/5)^3.5 - 1))^(2/7) - 1))^0.5</f>
        <v>247.32699698230962</v>
      </c>
      <c r="Y5" s="50">
        <f>661.4786*(5*((1 + ( (1-0.00068755856*Y$4)^5.2558797)*((1 + 'LRC Mach'!Y5^2/5)^3.5 - 1))^(2/7) - 1))^0.5</f>
        <v>246.35450930589633</v>
      </c>
      <c r="Z5" s="50">
        <f>661.4786*(5*((1 + ( (1-0.00068755856*Z$4)^5.2558797)*((1 + 'LRC Mach'!Z5^2/5)^3.5 - 1))^(2/7) - 1))^0.5</f>
        <v>245.67225065603625</v>
      </c>
      <c r="AA5" s="50">
        <f>661.4786*(5*((1 + ( (1-0.00068755856*AA$4)^5.2558797)*((1 + 'LRC Mach'!AA5^2/5)^3.5 - 1))^(2/7) - 1))^0.5</f>
        <v>244.87637339158817</v>
      </c>
      <c r="AB5" s="50">
        <f>661.4786*(5*((1 + ( (1-0.00068755856*AB$4)^5.2558797)*((1 + 'LRC Mach'!AB5^2/5)^3.5 - 1))^(2/7) - 1))^0.5</f>
        <v>244.34929083918078</v>
      </c>
      <c r="AC5" s="50">
        <f>661.4786*(5*((1 + ( (1-0.00068755856*AC$4)^5.2558797)*((1 + 'LRC Mach'!AC5^2/5)^3.5 - 1))^(2/7) - 1))^0.5</f>
        <v>243.70116296715631</v>
      </c>
      <c r="AD5" s="50">
        <f>661.4786*(5*((1 + ( (1-0.00068755856*AD$4)^5.2558797)*((1 + 'LRC Mach'!AD5^2/5)^3.5 - 1))^(2/7) - 1))^0.5</f>
        <v>242.93496676004202</v>
      </c>
      <c r="AE5" s="50">
        <f>661.4786*(5*((1 + ( (1-0.00068755856*AE$4)^5.2558797)*((1 + 'LRC Mach'!AE5^2/5)^3.5 - 1))^(2/7) - 1))^0.5</f>
        <v>242.41425440596143</v>
      </c>
      <c r="AF5" s="50">
        <f>661.4786*(5*((1 + ( (1-0.00068755856*AF$4)^5.2558797)*((1 + 'LRC Mach'!AF5^2/5)^3.5 - 1))^(2/7) - 1))^0.5</f>
        <v>241.76899655728286</v>
      </c>
      <c r="AG5" s="50">
        <f>661.4786*(5*((1 + ( (1-0.00068755856*AG$4)^5.2558797)*((1 + 'LRC Mach'!AG5^2/5)^3.5 - 1))^(2/7) - 1))^0.5</f>
        <v>241.00226558510167</v>
      </c>
      <c r="AH5" s="50">
        <f>661.4786*(5*((1 + ( (1-0.00068755856*AH$4)^5.2558797)*((1 + 'LRC Mach'!AH5^2/5)^3.5 - 1))^(2/7) - 1))^0.5</f>
        <v>240.1170860494164</v>
      </c>
      <c r="AI5" s="50">
        <f>661.4786*(5*((1 + ( (1-0.00068755856*AI$4)^5.2558797)*((1 + 'LRC Mach'!AI5^2/5)^3.5 - 1))^(2/7) - 1))^0.5</f>
        <v>239.45327201185106</v>
      </c>
      <c r="AJ5" s="50">
        <f>661.4786*(5*((1 + ( (1-0.00068755856*AJ$4)^5.2558797)*((1 + 'LRC Mach'!AJ5^2/5)^3.5 - 1))^(2/7) - 1))^0.5</f>
        <v>238.33428856372956</v>
      </c>
      <c r="AK5" s="50">
        <f>661.4786*(5*((1 + ( (1-0.00068755856*AK$4)^5.2558797)*((1 + 'LRC Mach'!AK5^2/5)^3.5 - 1))^(2/7) - 1))^0.5</f>
        <v>236.78044434576961</v>
      </c>
      <c r="AL5" s="52">
        <f>661.4786*(5*((1 + ( (1-0.00068755856*AL$4)^5.2558797)*((1 + 'LRC Mach'!AL5^2/5)^3.5 - 1))^(2/7) - 1))^0.5</f>
        <v>234.49279543695525</v>
      </c>
    </row>
    <row r="6" spans="2:38" ht="24" customHeight="1" thickBot="1" x14ac:dyDescent="0.25">
      <c r="B6" s="917"/>
      <c r="C6" s="28">
        <v>150</v>
      </c>
      <c r="D6" s="50">
        <f>661.4786*(5*((1 + ( (1-0.00068755856*D$4)^5.2558797)*((1 + 'LRC Mach'!D6^2/5)^3.5 - 1))^(2/7) - 1))^0.5</f>
        <v>267.74792957307164</v>
      </c>
      <c r="E6" s="50">
        <f>661.4786*(5*((1 + ( (1-0.00068755856*E$4)^5.2558797)*((1 + 'LRC Mach'!E6^2/5)^3.5 - 1))^(2/7) - 1))^0.5</f>
        <v>265.69230248010331</v>
      </c>
      <c r="F6" s="50">
        <f>661.4786*(5*((1 + ( (1-0.00068755856*F$4)^5.2558797)*((1 + 'LRC Mach'!F6^2/5)^3.5 - 1))^(2/7) - 1))^0.5</f>
        <v>263.88270129226629</v>
      </c>
      <c r="G6" s="50">
        <f>661.4786*(5*((1 + ( (1-0.00068755856*G$4)^5.2558797)*((1 + 'LRC Mach'!G6^2/5)^3.5 - 1))^(2/7) - 1))^0.5</f>
        <v>262.82216947611715</v>
      </c>
      <c r="H6" s="50">
        <f>661.4786*(5*((1 + ( (1-0.00068755856*H$4)^5.2558797)*((1 + 'LRC Mach'!H6^2/5)^3.5 - 1))^(2/7) - 1))^0.5</f>
        <v>262.14281376615111</v>
      </c>
      <c r="I6" s="50">
        <f>661.4786*(5*((1 + ( (1-0.00068755856*I$4)^5.2558797)*((1 + 'LRC Mach'!I6^2/5)^3.5 - 1))^(2/7) - 1))^0.5</f>
        <v>261.36706984508982</v>
      </c>
      <c r="J6" s="50">
        <f>661.4786*(5*((1 + ( (1-0.00068755856*J$4)^5.2558797)*((1 + 'LRC Mach'!J6^2/5)^3.5 - 1))^(2/7) - 1))^0.5</f>
        <v>261.0143706809551</v>
      </c>
      <c r="K6" s="50">
        <f>661.4786*(5*((1 + ( (1-0.00068755856*K$4)^5.2558797)*((1 + 'LRC Mach'!K6^2/5)^3.5 - 1))^(2/7) - 1))^0.5</f>
        <v>260.55245693289515</v>
      </c>
      <c r="L6" s="50">
        <f>661.4786*(5*((1 + ( (1-0.00068755856*L$4)^5.2558797)*((1 + 'LRC Mach'!L6^2/5)^3.5 - 1))^(2/7) - 1))^0.5</f>
        <v>259.98382054025529</v>
      </c>
      <c r="M6" s="50">
        <f>661.4786*(5*((1 + ( (1-0.00068755856*M$4)^5.2558797)*((1 + 'LRC Mach'!M6^2/5)^3.5 - 1))^(2/7) - 1))^0.5</f>
        <v>259.80280428708977</v>
      </c>
      <c r="N6" s="50">
        <f>661.4786*(5*((1 + ( (1-0.00068755856*N$4)^5.2558797)*((1 + 'LRC Mach'!N6^2/5)^3.5 - 1))^(2/7) - 1))^0.5</f>
        <v>259.50353046621865</v>
      </c>
      <c r="O6" s="50">
        <f>661.4786*(5*((1 + ( (1-0.00068755856*O$4)^5.2558797)*((1 + 'LRC Mach'!O6^2/5)^3.5 - 1))^(2/7) - 1))^0.5</f>
        <v>259.08871128927723</v>
      </c>
      <c r="P6" s="50">
        <f>661.4786*(5*((1 + ( (1-0.00068755856*P$4)^5.2558797)*((1 + 'LRC Mach'!P6^2/5)^3.5 - 1))^(2/7) - 1))^0.5</f>
        <v>259.02882355180805</v>
      </c>
      <c r="Q6" s="50">
        <f>661.4786*(5*((1 + ( (1-0.00068755856*Q$4)^5.2558797)*((1 + 'LRC Mach'!Q6^2/5)^3.5 - 1))^(2/7) - 1))^0.5</f>
        <v>258.3830447448376</v>
      </c>
      <c r="R6" s="50">
        <f>661.4786*(5*((1 + ( (1-0.00068755856*R$4)^5.2558797)*((1 + 'LRC Mach'!R6^2/5)^3.5 - 1))^(2/7) - 1))^0.5</f>
        <v>258.08203563741461</v>
      </c>
      <c r="S6" s="50">
        <f>661.4786*(5*((1 + ( (1-0.00068755856*S$4)^5.2558797)*((1 + 'LRC Mach'!S6^2/5)^3.5 - 1))^(2/7) - 1))^0.5</f>
        <v>257.66085137333124</v>
      </c>
      <c r="T6" s="50">
        <f>661.4786*(5*((1 + ( (1-0.00068755856*T$4)^5.2558797)*((1 + 'LRC Mach'!T6^2/5)^3.5 - 1))^(2/7) - 1))^0.5</f>
        <v>257.12230750892581</v>
      </c>
      <c r="U6" s="50">
        <f>661.4786*(5*((1 + ( (1-0.00068755856*U$4)^5.2558797)*((1 + 'LRC Mach'!U6^2/5)^3.5 - 1))^(2/7) - 1))^0.5</f>
        <v>256.4691768854957</v>
      </c>
      <c r="V6" s="50">
        <f>661.4786*(5*((1 + ( (1-0.00068755856*V$4)^5.2558797)*((1 + 'LRC Mach'!V6^2/5)^3.5 - 1))^(2/7) - 1))^0.5</f>
        <v>255.70419176401668</v>
      </c>
      <c r="W6" s="50">
        <f>661.4786*(5*((1 + ( (1-0.00068755856*W$4)^5.2558797)*((1 + 'LRC Mach'!W6^2/5)^3.5 - 1))^(2/7) - 1))^0.5</f>
        <v>255.24572304800091</v>
      </c>
      <c r="X6" s="50">
        <f>661.4786*(5*((1 + ( (1-0.00068755856*X$4)^5.2558797)*((1 + 'LRC Mach'!X6^2/5)^3.5 - 1))^(2/7) - 1))^0.5</f>
        <v>254.66671966754674</v>
      </c>
      <c r="Y6" s="50">
        <f>661.4786*(5*((1 + ( (1-0.00068755856*Y$4)^5.2558797)*((1 + 'LRC Mach'!Y6^2/5)^3.5 - 1))^(2/7) - 1))^0.5</f>
        <v>253.56821814653495</v>
      </c>
      <c r="Z6" s="50">
        <f>661.4786*(5*((1 + ( (1-0.00068755856*Z$4)^5.2558797)*((1 + 'LRC Mach'!Z6^2/5)^3.5 - 1))^(2/7) - 1))^0.5</f>
        <v>253.15860498232396</v>
      </c>
      <c r="AA6" s="50">
        <f>661.4786*(5*((1 + ( (1-0.00068755856*AA$4)^5.2558797)*((1 + 'LRC Mach'!AA6^2/5)^3.5 - 1))^(2/7) - 1))^0.5</f>
        <v>252.23513557701889</v>
      </c>
      <c r="AB6" s="50">
        <f>661.4786*(5*((1 + ( (1-0.00068755856*AB$4)^5.2558797)*((1 + 'LRC Mach'!AB6^2/5)^3.5 - 1))^(2/7) - 1))^0.5</f>
        <v>251.5842868832402</v>
      </c>
      <c r="AC6" s="50">
        <f>661.4786*(5*((1 + ( (1-0.00068755856*AC$4)^5.2558797)*((1 + 'LRC Mach'!AC6^2/5)^3.5 - 1))^(2/7) - 1))^0.5</f>
        <v>250.81396113732896</v>
      </c>
      <c r="AD6" s="50">
        <f>661.4786*(5*((1 + ( (1-0.00068755856*AD$4)^5.2558797)*((1 + 'LRC Mach'!AD6^2/5)^3.5 - 1))^(2/7) - 1))^0.5</f>
        <v>250.2963156045893</v>
      </c>
      <c r="AE6" s="50">
        <f>661.4786*(5*((1 + ( (1-0.00068755856*AE$4)^5.2558797)*((1 + 'LRC Mach'!AE6^2/5)^3.5 - 1))^(2/7) - 1))^0.5</f>
        <v>249.65259698453471</v>
      </c>
      <c r="AF6" s="50">
        <f>661.4786*(5*((1 + ( (1-0.00068755856*AF$4)^5.2558797)*((1 + 'LRC Mach'!AF6^2/5)^3.5 - 1))^(2/7) - 1))^0.5</f>
        <v>248.8858673196427</v>
      </c>
      <c r="AG6" s="50">
        <f>661.4786*(5*((1 + ( (1-0.00068755856*AG$4)^5.2558797)*((1 + 'LRC Mach'!AG6^2/5)^3.5 - 1))^(2/7) - 1))^0.5</f>
        <v>248.35031850446626</v>
      </c>
      <c r="AH6" s="50">
        <f>661.4786*(5*((1 + ( (1-0.00068755856*AH$4)^5.2558797)*((1 + 'LRC Mach'!AH6^2/5)^3.5 - 1))^(2/7) - 1))^0.5</f>
        <v>247.34064445155533</v>
      </c>
      <c r="AI6" s="50">
        <f>661.4786*(5*((1 + ( (1-0.00068755856*AI$4)^5.2558797)*((1 + 'LRC Mach'!AI6^2/5)^3.5 - 1))^(2/7) - 1))^0.5</f>
        <v>245.8775214475601</v>
      </c>
      <c r="AJ6" s="50">
        <f>661.4786*(5*((1 + ( (1-0.00068755856*AJ$4)^5.2558797)*((1 + 'LRC Mach'!AJ6^2/5)^3.5 - 1))^(2/7) - 1))^0.5</f>
        <v>244.31494567900879</v>
      </c>
      <c r="AK6" s="50">
        <f>661.4786*(5*((1 + ( (1-0.00068755856*AK$4)^5.2558797)*((1 + 'LRC Mach'!AK6^2/5)^3.5 - 1))^(2/7) - 1))^0.5</f>
        <v>241.34633896749568</v>
      </c>
      <c r="AL6" s="52">
        <f>661.4786*(5*((1 + ( (1-0.00068755856*AL$4)^5.2558797)*((1 + 'LRC Mach'!AL6^2/5)^3.5 - 1))^(2/7) - 1))^0.5</f>
        <v>237.37049510043377</v>
      </c>
    </row>
    <row r="7" spans="2:38" ht="24" customHeight="1" thickBot="1" x14ac:dyDescent="0.25">
      <c r="B7" s="917"/>
      <c r="C7" s="16">
        <v>160</v>
      </c>
      <c r="D7" s="50">
        <f>661.4786*(5*((1 + ( (1-0.00068755856*D$4)^5.2558797)*((1 + 'LRC Mach'!D7^2/5)^3.5 - 1))^(2/7) - 1))^0.5</f>
        <v>274.35458772809818</v>
      </c>
      <c r="E7" s="50">
        <f>661.4786*(5*((1 + ( (1-0.00068755856*E$4)^5.2558797)*((1 + 'LRC Mach'!E7^2/5)^3.5 - 1))^(2/7) - 1))^0.5</f>
        <v>272.66775777777053</v>
      </c>
      <c r="F7" s="50">
        <f>661.4786*(5*((1 + ( (1-0.00068755856*F$4)^5.2558797)*((1 + 'LRC Mach'!F7^2/5)^3.5 - 1))^(2/7) - 1))^0.5</f>
        <v>271.19489679547854</v>
      </c>
      <c r="G7" s="50">
        <f>661.4786*(5*((1 + ( (1-0.00068755856*G$4)^5.2558797)*((1 + 'LRC Mach'!G7^2/5)^3.5 - 1))^(2/7) - 1))^0.5</f>
        <v>269.89688517219025</v>
      </c>
      <c r="H7" s="50">
        <f>661.4786*(5*((1 + ( (1-0.00068755856*H$4)^5.2558797)*((1 + 'LRC Mach'!H7^2/5)^3.5 - 1))^(2/7) - 1))^0.5</f>
        <v>269.63673640440282</v>
      </c>
      <c r="I7" s="50">
        <f>661.4786*(5*((1 + ( (1-0.00068755856*I$4)^5.2558797)*((1 + 'LRC Mach'!I7^2/5)^3.5 - 1))^(2/7) - 1))^0.5</f>
        <v>268.73710949950492</v>
      </c>
      <c r="J7" s="50">
        <f>661.4786*(5*((1 + ( (1-0.00068755856*J$4)^5.2558797)*((1 + 'LRC Mach'!J7^2/5)^3.5 - 1))^(2/7) - 1))^0.5</f>
        <v>268.78139550567192</v>
      </c>
      <c r="K7" s="50">
        <f>661.4786*(5*((1 + ( (1-0.00068755856*K$4)^5.2558797)*((1 + 'LRC Mach'!K7^2/5)^3.5 - 1))^(2/7) - 1))^0.5</f>
        <v>268.1912043374922</v>
      </c>
      <c r="L7" s="50">
        <f>661.4786*(5*((1 + ( (1-0.00068755856*L$4)^5.2558797)*((1 + 'LRC Mach'!L7^2/5)^3.5 - 1))^(2/7) - 1))^0.5</f>
        <v>267.99739969323724</v>
      </c>
      <c r="M7" s="50">
        <f>661.4786*(5*((1 + ( (1-0.00068755856*M$4)^5.2558797)*((1 + 'LRC Mach'!M7^2/5)^3.5 - 1))^(2/7) - 1))^0.5</f>
        <v>267.6844087968492</v>
      </c>
      <c r="N7" s="50">
        <f>661.4786*(5*((1 + ( (1-0.00068755856*N$4)^5.2558797)*((1 + 'LRC Mach'!N7^2/5)^3.5 - 1))^(2/7) - 1))^0.5</f>
        <v>267.25493523622185</v>
      </c>
      <c r="O7" s="50">
        <f>661.4786*(5*((1 + ( (1-0.00068755856*O$4)^5.2558797)*((1 + 'LRC Mach'!O7^2/5)^3.5 - 1))^(2/7) - 1))^0.5</f>
        <v>266.71164139839203</v>
      </c>
      <c r="P7" s="50">
        <f>661.4786*(5*((1 + ( (1-0.00068755856*P$4)^5.2558797)*((1 + 'LRC Mach'!P7^2/5)^3.5 - 1))^(2/7) - 1))^0.5</f>
        <v>266.52646055736773</v>
      </c>
      <c r="Q7" s="50">
        <f>661.4786*(5*((1 + ( (1-0.00068755856*Q$4)^5.2558797)*((1 + 'LRC Mach'!Q7^2/5)^3.5 - 1))^(2/7) - 1))^0.5</f>
        <v>265.75555970385471</v>
      </c>
      <c r="R7" s="50">
        <f>661.4786*(5*((1 + ( (1-0.00068755856*R$4)^5.2558797)*((1 + 'LRC Mach'!R7^2/5)^3.5 - 1))^(2/7) - 1))^0.5</f>
        <v>265.33260712822488</v>
      </c>
      <c r="S7" s="50">
        <f>661.4786*(5*((1 + ( (1-0.00068755856*S$4)^5.2558797)*((1 + 'LRC Mach'!S7^2/5)^3.5 - 1))^(2/7) - 1))^0.5</f>
        <v>264.79110235949702</v>
      </c>
      <c r="T7" s="50">
        <f>661.4786*(5*((1 + ( (1-0.00068755856*T$4)^5.2558797)*((1 + 'LRC Mach'!T7^2/5)^3.5 - 1))^(2/7) - 1))^0.5</f>
        <v>264.13381171705294</v>
      </c>
      <c r="U7" s="50">
        <f>661.4786*(5*((1 + ( (1-0.00068755856*U$4)^5.2558797)*((1 + 'LRC Mach'!U7^2/5)^3.5 - 1))^(2/7) - 1))^0.5</f>
        <v>263.79527028789607</v>
      </c>
      <c r="V7" s="50">
        <f>661.4786*(5*((1 + ( (1-0.00068755856*V$4)^5.2558797)*((1 + 'LRC Mach'!V7^2/5)^3.5 - 1))^(2/7) - 1))^0.5</f>
        <v>262.90733002498405</v>
      </c>
      <c r="W7" s="50">
        <f>661.4786*(5*((1 + ( (1-0.00068755856*W$4)^5.2558797)*((1 + 'LRC Mach'!W7^2/5)^3.5 - 1))^(2/7) - 1))^0.5</f>
        <v>262.3293358236574</v>
      </c>
      <c r="X7" s="50">
        <f>661.4786*(5*((1 + ( (1-0.00068755856*X$4)^5.2558797)*((1 + 'LRC Mach'!X7^2/5)^3.5 - 1))^(2/7) - 1))^0.5</f>
        <v>261.22169553176263</v>
      </c>
      <c r="Y7" s="50">
        <f>661.4786*(5*((1 + ( (1-0.00068755856*Y$4)^5.2558797)*((1 + 'LRC Mach'!Y7^2/5)^3.5 - 1))^(2/7) - 1))^0.5</f>
        <v>260.81922389605569</v>
      </c>
      <c r="Z7" s="50">
        <f>661.4786*(5*((1 + ( (1-0.00068755856*Z$4)^5.2558797)*((1 + 'LRC Mach'!Z7^2/5)^3.5 - 1))^(2/7) - 1))^0.5</f>
        <v>259.89273242154366</v>
      </c>
      <c r="AA7" s="50">
        <f>661.4786*(5*((1 + ( (1-0.00068755856*AA$4)^5.2558797)*((1 + 'LRC Mach'!AA7^2/5)^3.5 - 1))^(2/7) - 1))^0.5</f>
        <v>259.24615845254488</v>
      </c>
      <c r="AB7" s="50">
        <f>661.4786*(5*((1 + ( (1-0.00068755856*AB$4)^5.2558797)*((1 + 'LRC Mach'!AB7^2/5)^3.5 - 1))^(2/7) - 1))^0.5</f>
        <v>258.47863703938373</v>
      </c>
      <c r="AC7" s="50">
        <f>661.4786*(5*((1 + ( (1-0.00068755856*AC$4)^5.2558797)*((1 + 'LRC Mach'!AC7^2/5)^3.5 - 1))^(2/7) - 1))^0.5</f>
        <v>257.97087553151437</v>
      </c>
      <c r="AD7" s="50">
        <f>661.4786*(5*((1 + ( (1-0.00068755856*AD$4)^5.2558797)*((1 + 'LRC Mach'!AD7^2/5)^3.5 - 1))^(2/7) - 1))^0.5</f>
        <v>257.33545635668287</v>
      </c>
      <c r="AE7" s="50">
        <f>661.4786*(5*((1 + ( (1-0.00068755856*AE$4)^5.2558797)*((1 + 'LRC Mach'!AE7^2/5)^3.5 - 1))^(2/7) - 1))^0.5</f>
        <v>256.57543348052786</v>
      </c>
      <c r="AF7" s="50">
        <f>661.4786*(5*((1 + ( (1-0.00068755856*AF$4)^5.2558797)*((1 + 'LRC Mach'!AF7^2/5)^3.5 - 1))^(2/7) - 1))^0.5</f>
        <v>256.05340735146871</v>
      </c>
      <c r="AG7" s="50">
        <f>661.4786*(5*((1 + ( (1-0.00068755856*AG$4)^5.2558797)*((1 + 'LRC Mach'!AG7^2/5)^3.5 - 1))^(2/7) - 1))^0.5</f>
        <v>255.04718082475367</v>
      </c>
      <c r="AH7" s="50">
        <f>661.4786*(5*((1 + ( (1-0.00068755856*AH$4)^5.2558797)*((1 + 'LRC Mach'!AH7^2/5)^3.5 - 1))^(2/7) - 1))^0.5</f>
        <v>253.57755797996384</v>
      </c>
      <c r="AI7" s="50">
        <f>661.4786*(5*((1 + ( (1-0.00068755856*AI$4)^5.2558797)*((1 + 'LRC Mach'!AI7^2/5)^3.5 - 1))^(2/7) - 1))^0.5</f>
        <v>251.32379159879761</v>
      </c>
      <c r="AJ7" s="50">
        <f>661.4786*(5*((1 + ( (1-0.00068755856*AJ$4)^5.2558797)*((1 + 'LRC Mach'!AJ7^2/5)^3.5 - 1))^(2/7) - 1))^0.5</f>
        <v>248.3255490089723</v>
      </c>
      <c r="AK7" s="50">
        <f>661.4786*(5*((1 + ( (1-0.00068755856*AK$4)^5.2558797)*((1 + 'LRC Mach'!AK7^2/5)^3.5 - 1))^(2/7) - 1))^0.5</f>
        <v>243.3109873298402</v>
      </c>
      <c r="AL7" s="52">
        <f>661.4786*(5*((1 + ( (1-0.00068755856*AL$4)^5.2558797)*((1 + 'LRC Mach'!AL7^2/5)^3.5 - 1))^(2/7) - 1))^0.5</f>
        <v>237.69089079372276</v>
      </c>
    </row>
    <row r="8" spans="2:38" ht="24" customHeight="1" thickBot="1" x14ac:dyDescent="0.25">
      <c r="B8" s="917"/>
      <c r="C8" s="16">
        <v>170</v>
      </c>
      <c r="D8" s="50">
        <f>661.4786*(5*((1 + ( (1-0.00068755856*D$4)^5.2558797)*((1 + 'LRC Mach'!D8^2/5)^3.5 - 1))^(2/7) - 1))^0.5</f>
        <v>280.96541685848115</v>
      </c>
      <c r="E8" s="50">
        <f>661.4786*(5*((1 + ( (1-0.00068755856*E$4)^5.2558797)*((1 + 'LRC Mach'!E8^2/5)^3.5 - 1))^(2/7) - 1))^0.5</f>
        <v>279.64961375942687</v>
      </c>
      <c r="F8" s="50">
        <f>661.4786*(5*((1 + ( (1-0.00068755856*F$4)^5.2558797)*((1 + 'LRC Mach'!F8^2/5)^3.5 - 1))^(2/7) - 1))^0.5</f>
        <v>277.95267614759263</v>
      </c>
      <c r="G8" s="50">
        <f>661.4786*(5*((1 + ( (1-0.00068755856*G$4)^5.2558797)*((1 + 'LRC Mach'!G8^2/5)^3.5 - 1))^(2/7) - 1))^0.5</f>
        <v>276.98215482800066</v>
      </c>
      <c r="H8" s="50">
        <f>661.4786*(5*((1 + ( (1-0.00068755856*H$4)^5.2558797)*((1 + 'LRC Mach'!H8^2/5)^3.5 - 1))^(2/7) - 1))^0.5</f>
        <v>276.60706672287785</v>
      </c>
      <c r="I8" s="50">
        <f>661.4786*(5*((1 + ( (1-0.00068755856*I$4)^5.2558797)*((1 + 'LRC Mach'!I8^2/5)^3.5 - 1))^(2/7) - 1))^0.5</f>
        <v>276.12097722230442</v>
      </c>
      <c r="J8" s="50">
        <f>661.4786*(5*((1 + ( (1-0.00068755856*J$4)^5.2558797)*((1 + 'LRC Mach'!J8^2/5)^3.5 - 1))^(2/7) - 1))^0.5</f>
        <v>276.04573595342106</v>
      </c>
      <c r="K8" s="50">
        <f>661.4786*(5*((1 + ( (1-0.00068755856*K$4)^5.2558797)*((1 + 'LRC Mach'!K8^2/5)^3.5 - 1))^(2/7) - 1))^0.5</f>
        <v>275.33656968062206</v>
      </c>
      <c r="L8" s="50">
        <f>661.4786*(5*((1 + ( (1-0.00068755856*L$4)^5.2558797)*((1 + 'LRC Mach'!L8^2/5)^3.5 - 1))^(2/7) - 1))^0.5</f>
        <v>275.02645390422566</v>
      </c>
      <c r="M8" s="50">
        <f>661.4786*(5*((1 + ( (1-0.00068755856*M$4)^5.2558797)*((1 + 'LRC Mach'!M8^2/5)^3.5 - 1))^(2/7) - 1))^0.5</f>
        <v>275.09324483916299</v>
      </c>
      <c r="N8" s="50">
        <f>661.4786*(5*((1 + ( (1-0.00068755856*N$4)^5.2558797)*((1 + 'LRC Mach'!N8^2/5)^3.5 - 1))^(2/7) - 1))^0.5</f>
        <v>274.54248543811855</v>
      </c>
      <c r="O8" s="50">
        <f>661.4786*(5*((1 + ( (1-0.00068755856*O$4)^5.2558797)*((1 + 'LRC Mach'!O8^2/5)^3.5 - 1))^(2/7) - 1))^0.5</f>
        <v>273.87948808098992</v>
      </c>
      <c r="P8" s="50">
        <f>661.4786*(5*((1 + ( (1-0.00068755856*P$4)^5.2558797)*((1 + 'LRC Mach'!P8^2/5)^3.5 - 1))^(2/7) - 1))^0.5</f>
        <v>273.57757797017848</v>
      </c>
      <c r="Q8" s="50">
        <f>661.4786*(5*((1 + ( (1-0.00068755856*Q$4)^5.2558797)*((1 + 'LRC Mach'!Q8^2/5)^3.5 - 1))^(2/7) - 1))^0.5</f>
        <v>273.1531398296853</v>
      </c>
      <c r="R8" s="50">
        <f>661.4786*(5*((1 + ( (1-0.00068755856*R$4)^5.2558797)*((1 + 'LRC Mach'!R8^2/5)^3.5 - 1))^(2/7) - 1))^0.5</f>
        <v>272.60897676412003</v>
      </c>
      <c r="S8" s="50">
        <f>661.4786*(5*((1 + ( (1-0.00068755856*S$4)^5.2558797)*((1 + 'LRC Mach'!S8^2/5)^3.5 - 1))^(2/7) - 1))^0.5</f>
        <v>271.94784786907468</v>
      </c>
      <c r="T8" s="50">
        <f>661.4786*(5*((1 + ( (1-0.00068755856*T$4)^5.2558797)*((1 + 'LRC Mach'!T8^2/5)^3.5 - 1))^(2/7) - 1))^0.5</f>
        <v>271.17247047362088</v>
      </c>
      <c r="U8" s="50">
        <f>661.4786*(5*((1 + ( (1-0.00068755856*U$4)^5.2558797)*((1 + 'LRC Mach'!U8^2/5)^3.5 - 1))^(2/7) - 1))^0.5</f>
        <v>270.28552232940052</v>
      </c>
      <c r="V8" s="50">
        <f>661.4786*(5*((1 + ( (1-0.00068755856*V$4)^5.2558797)*((1 + 'LRC Mach'!V8^2/5)^3.5 - 1))^(2/7) - 1))^0.5</f>
        <v>269.71602872553791</v>
      </c>
      <c r="W8" s="50">
        <f>661.4786*(5*((1 + ( (1-0.00068755856*W$4)^5.2558797)*((1 + 'LRC Mach'!W8^2/5)^3.5 - 1))^(2/7) - 1))^0.5</f>
        <v>269.02614244991651</v>
      </c>
      <c r="X8" s="50">
        <f>661.4786*(5*((1 + ( (1-0.00068755856*X$4)^5.2558797)*((1 + 'LRC Mach'!X8^2/5)^3.5 - 1))^(2/7) - 1))^0.5</f>
        <v>268.21869228998673</v>
      </c>
      <c r="Y8" s="50">
        <f>661.4786*(5*((1 + ( (1-0.00068755856*Y$4)^5.2558797)*((1 + 'LRC Mach'!Y8^2/5)^3.5 - 1))^(2/7) - 1))^0.5</f>
        <v>267.29646460556779</v>
      </c>
      <c r="Z8" s="50">
        <f>661.4786*(5*((1 + ( (1-0.00068755856*Z$4)^5.2558797)*((1 + 'LRC Mach'!Z8^2/5)^3.5 - 1))^(2/7) - 1))^0.5</f>
        <v>266.66132295176919</v>
      </c>
      <c r="AA8" s="50">
        <f>661.4786*(5*((1 + ( (1-0.00068755856*AA$4)^5.2558797)*((1 + 'LRC Mach'!AA8^2/5)^3.5 - 1))^(2/7) - 1))^0.5</f>
        <v>265.90370124073797</v>
      </c>
      <c r="AB8" s="50">
        <f>661.4786*(5*((1 + ( (1-0.00068755856*AB$4)^5.2558797)*((1 + 'LRC Mach'!AB8^2/5)^3.5 - 1))^(2/7) - 1))^0.5</f>
        <v>265.41279471283747</v>
      </c>
      <c r="AC8" s="50">
        <f>661.4786*(5*((1 + ( (1-0.00068755856*AC$4)^5.2558797)*((1 + 'LRC Mach'!AC8^2/5)^3.5 - 1))^(2/7) - 1))^0.5</f>
        <v>264.79258827236646</v>
      </c>
      <c r="AD8" s="50">
        <f>661.4786*(5*((1 + ( (1-0.00068755856*AD$4)^5.2558797)*((1 + 'LRC Mach'!AD8^2/5)^3.5 - 1))^(2/7) - 1))^0.5</f>
        <v>264.04613033060167</v>
      </c>
      <c r="AE8" s="50">
        <f>661.4786*(5*((1 + ( (1-0.00068755856*AE$4)^5.2558797)*((1 + 'LRC Mach'!AE8^2/5)^3.5 - 1))^(2/7) - 1))^0.5</f>
        <v>263.17641874384259</v>
      </c>
      <c r="AF8" s="50">
        <f>661.4786*(5*((1 + ( (1-0.00068755856*AF$4)^5.2558797)*((1 + 'LRC Mach'!AF8^2/5)^3.5 - 1))^(2/7) - 1))^0.5</f>
        <v>262.18640389371791</v>
      </c>
      <c r="AG8" s="50">
        <f>661.4786*(5*((1 + ( (1-0.00068755856*AG$4)^5.2558797)*((1 + 'LRC Mach'!AG8^2/5)^3.5 - 1))^(2/7) - 1))^0.5</f>
        <v>260.72312520257879</v>
      </c>
      <c r="AH8" s="50">
        <f>661.4786*(5*((1 + ( (1-0.00068755856*AH$4)^5.2558797)*((1 + 'LRC Mach'!AH8^2/5)^3.5 - 1))^(2/7) - 1))^0.5</f>
        <v>258.45788874888837</v>
      </c>
      <c r="AI8" s="50">
        <f>661.4786*(5*((1 + ( (1-0.00068755856*AI$4)^5.2558797)*((1 + 'LRC Mach'!AI8^2/5)^3.5 - 1))^(2/7) - 1))^0.5</f>
        <v>254.74484247727187</v>
      </c>
      <c r="AJ8" s="50">
        <f>661.4786*(5*((1 + ( (1-0.00068755856*AJ$4)^5.2558797)*((1 + 'LRC Mach'!AJ8^2/5)^3.5 - 1))^(2/7) - 1))^0.5</f>
        <v>249.666639613607</v>
      </c>
      <c r="AK8" s="50">
        <f>661.4786*(5*((1 + ( (1-0.00068755856*AK$4)^5.2558797)*((1 + 'LRC Mach'!AK8^2/5)^3.5 - 1))^(2/7) - 1))^0.5</f>
        <v>243.6388889210333</v>
      </c>
      <c r="AL8" s="52">
        <f>661.4786*(5*((1 + ( (1-0.00068755856*AL$4)^5.2558797)*((1 + 'LRC Mach'!AL8^2/5)^3.5 - 1))^(2/7) - 1))^0.5</f>
        <v>237.05023000119422</v>
      </c>
    </row>
    <row r="9" spans="2:38" ht="24" customHeight="1" thickBot="1" x14ac:dyDescent="0.25">
      <c r="B9" s="917"/>
      <c r="C9" s="16">
        <v>180</v>
      </c>
      <c r="D9" s="50">
        <f>661.4786*(5*((1 + ( (1-0.00068755856*D$4)^5.2558797)*((1 + 'LRC Mach'!D9^2/5)^3.5 - 1))^(2/7) - 1))^0.5</f>
        <v>287.5804825338052</v>
      </c>
      <c r="E9" s="50">
        <f>661.4786*(5*((1 + ( (1-0.00068755856*E$4)^5.2558797)*((1 + 'LRC Mach'!E9^2/5)^3.5 - 1))^(2/7) - 1))^0.5</f>
        <v>286.05536300689477</v>
      </c>
      <c r="F9" s="50">
        <f>661.4786*(5*((1 + ( (1-0.00068755856*F$4)^5.2558797)*((1 + 'LRC Mach'!F9^2/5)^3.5 - 1))^(2/7) - 1))^0.5</f>
        <v>285.28248717790592</v>
      </c>
      <c r="G9" s="50">
        <f>661.4786*(5*((1 + ( (1-0.00068755856*G$4)^5.2558797)*((1 + 'LRC Mach'!G9^2/5)^3.5 - 1))^(2/7) - 1))^0.5</f>
        <v>284.0781613120958</v>
      </c>
      <c r="H9" s="50">
        <f>661.4786*(5*((1 + ( (1-0.00068755856*H$4)^5.2558797)*((1 + 'LRC Mach'!H9^2/5)^3.5 - 1))^(2/7) - 1))^0.5</f>
        <v>283.58884929619313</v>
      </c>
      <c r="I9" s="50">
        <f>661.4786*(5*((1 + ( (1-0.00068755856*I$4)^5.2558797)*((1 + 'LRC Mach'!I9^2/5)^3.5 - 1))^(2/7) - 1))^0.5</f>
        <v>283.51892429314216</v>
      </c>
      <c r="J9" s="50">
        <f>661.4786*(5*((1 + ( (1-0.00068755856*J$4)^5.2558797)*((1 + 'LRC Mach'!J9^2/5)^3.5 - 1))^(2/7) - 1))^0.5</f>
        <v>283.32493959227497</v>
      </c>
      <c r="K9" s="50">
        <f>661.4786*(5*((1 + ( (1-0.00068755856*K$4)^5.2558797)*((1 + 'LRC Mach'!K9^2/5)^3.5 - 1))^(2/7) - 1))^0.5</f>
        <v>283.00963368787376</v>
      </c>
      <c r="L9" s="50">
        <f>661.4786*(5*((1 + ( (1-0.00068755856*L$4)^5.2558797)*((1 + 'LRC Mach'!L9^2/5)^3.5 - 1))^(2/7) - 1))^0.5</f>
        <v>282.57570050870544</v>
      </c>
      <c r="M9" s="50">
        <f>661.4786*(5*((1 + ( (1-0.00068755856*M$4)^5.2558797)*((1 + 'LRC Mach'!M9^2/5)^3.5 - 1))^(2/7) - 1))^0.5</f>
        <v>282.02579150747891</v>
      </c>
      <c r="N9" s="50">
        <f>661.4786*(5*((1 + ( (1-0.00068755856*N$4)^5.2558797)*((1 + 'LRC Mach'!N9^2/5)^3.5 - 1))^(2/7) - 1))^0.5</f>
        <v>281.362517705801</v>
      </c>
      <c r="O9" s="50">
        <f>661.4786*(5*((1 + ( (1-0.00068755856*O$4)^5.2558797)*((1 + 'LRC Mach'!O9^2/5)^3.5 - 1))^(2/7) - 1))^0.5</f>
        <v>281.06837235241852</v>
      </c>
      <c r="P9" s="50">
        <f>661.4786*(5*((1 + ( (1-0.00068755856*P$4)^5.2558797)*((1 + 'LRC Mach'!P9^2/5)^3.5 - 1))^(2/7) - 1))^0.5</f>
        <v>280.17824024537032</v>
      </c>
      <c r="Q9" s="50">
        <f>661.4786*(5*((1 + ( (1-0.00068755856*Q$4)^5.2558797)*((1 + 'LRC Mach'!Q9^2/5)^3.5 - 1))^(2/7) - 1))^0.5</f>
        <v>279.64694785753107</v>
      </c>
      <c r="R9" s="50">
        <f>661.4786*(5*((1 + ( (1-0.00068755856*R$4)^5.2558797)*((1 + 'LRC Mach'!R9^2/5)^3.5 - 1))^(2/7) - 1))^0.5</f>
        <v>278.99733217630313</v>
      </c>
      <c r="S9" s="50">
        <f>661.4786*(5*((1 + ( (1-0.00068755856*S$4)^5.2558797)*((1 + 'LRC Mach'!S9^2/5)^3.5 - 1))^(2/7) - 1))^0.5</f>
        <v>278.68178236372091</v>
      </c>
      <c r="T9" s="50">
        <f>661.4786*(5*((1 + ( (1-0.00068755856*T$4)^5.2558797)*((1 + 'LRC Mach'!T9^2/5)^3.5 - 1))^(2/7) - 1))^0.5</f>
        <v>277.79630306007226</v>
      </c>
      <c r="U9" s="50">
        <f>661.4786*(5*((1 + ( (1-0.00068755856*U$4)^5.2558797)*((1 + 'LRC Mach'!U9^2/5)^3.5 - 1))^(2/7) - 1))^0.5</f>
        <v>276.80061663669443</v>
      </c>
      <c r="V9" s="50">
        <f>661.4786*(5*((1 + ( (1-0.00068755856*V$4)^5.2558797)*((1 + 'LRC Mach'!V9^2/5)^3.5 - 1))^(2/7) - 1))^0.5</f>
        <v>276.12541070850574</v>
      </c>
      <c r="W9" s="50">
        <f>661.4786*(5*((1 + ( (1-0.00068755856*W$4)^5.2558797)*((1 + 'LRC Mach'!W9^2/5)^3.5 - 1))^(2/7) - 1))^0.5</f>
        <v>275.33115920815368</v>
      </c>
      <c r="X9" s="50">
        <f>661.4786*(5*((1 + ( (1-0.00068755856*X$4)^5.2558797)*((1 + 'LRC Mach'!X9^2/5)^3.5 - 1))^(2/7) - 1))^0.5</f>
        <v>274.42064502465905</v>
      </c>
      <c r="Y9" s="50">
        <f>661.4786*(5*((1 + ( (1-0.00068755856*Y$4)^5.2558797)*((1 + 'LRC Mach'!Y9^2/5)^3.5 - 1))^(2/7) - 1))^0.5</f>
        <v>273.8042509721223</v>
      </c>
      <c r="Z9" s="50">
        <f>661.4786*(5*((1 + ( (1-0.00068755856*Z$4)^5.2558797)*((1 + 'LRC Mach'!Z9^2/5)^3.5 - 1))^(2/7) - 1))^0.5</f>
        <v>273.06378085272394</v>
      </c>
      <c r="AA9" s="50">
        <f>661.4786*(5*((1 + ( (1-0.00068755856*AA$4)^5.2558797)*((1 + 'LRC Mach'!AA9^2/5)^3.5 - 1))^(2/7) - 1))^0.5</f>
        <v>272.59684968457645</v>
      </c>
      <c r="AB9" s="50">
        <f>661.4786*(5*((1 + ( (1-0.00068755856*AB$4)^5.2558797)*((1 + 'LRC Mach'!AB9^2/5)^3.5 - 1))^(2/7) - 1))^0.5</f>
        <v>271.99891735216448</v>
      </c>
      <c r="AC9" s="50">
        <f>661.4786*(5*((1 + ( (1-0.00068755856*AC$4)^5.2558797)*((1 + 'LRC Mach'!AC9^2/5)^3.5 - 1))^(2/7) - 1))^0.5</f>
        <v>271.27302952016277</v>
      </c>
      <c r="AD9" s="50">
        <f>661.4786*(5*((1 + ( (1-0.00068755856*AD$4)^5.2558797)*((1 + 'LRC Mach'!AD9^2/5)^3.5 - 1))^(2/7) - 1))^0.5</f>
        <v>270.42218007309936</v>
      </c>
      <c r="AE9" s="50">
        <f>661.4786*(5*((1 + ( (1-0.00068755856*AE$4)^5.2558797)*((1 + 'LRC Mach'!AE9^2/5)^3.5 - 1))^(2/7) - 1))^0.5</f>
        <v>269.44931426466508</v>
      </c>
      <c r="AF9" s="50">
        <f>661.4786*(5*((1 + ( (1-0.00068755856*AF$4)^5.2558797)*((1 + 'LRC Mach'!AF9^2/5)^3.5 - 1))^(2/7) - 1))^0.5</f>
        <v>267.62935237784052</v>
      </c>
      <c r="AG9" s="50">
        <f>661.4786*(5*((1 + ( (1-0.00068755856*AG$4)^5.2558797)*((1 + 'LRC Mach'!AG9^2/5)^3.5 - 1))^(2/7) - 1))^0.5</f>
        <v>265.35975769295254</v>
      </c>
      <c r="AH9" s="50">
        <f>661.4786*(5*((1 + ( (1-0.00068755856*AH$4)^5.2558797)*((1 + 'LRC Mach'!AH9^2/5)^3.5 - 1))^(2/7) - 1))^0.5</f>
        <v>261.25834179310709</v>
      </c>
      <c r="AI9" s="50">
        <f>661.4786*(5*((1 + ( (1-0.00068755856*AI$4)^5.2558797)*((1 + 'LRC Mach'!AI9^2/5)^3.5 - 1))^(2/7) - 1))^0.5</f>
        <v>255.77375069303395</v>
      </c>
      <c r="AJ9" s="50">
        <f>661.4786*(5*((1 + ( (1-0.00068755856*AJ$4)^5.2558797)*((1 + 'LRC Mach'!AJ9^2/5)^3.5 - 1))^(2/7) - 1))^0.5</f>
        <v>249.33116809009161</v>
      </c>
      <c r="AK9" s="50">
        <f>661.4786*(5*((1 + ( (1-0.00068755856*AK$4)^5.2558797)*((1 + 'LRC Mach'!AK9^2/5)^3.5 - 1))^(2/7) - 1))^0.5</f>
        <v>242.98321743167784</v>
      </c>
      <c r="AL9" s="52">
        <f>661.4786*(5*((1 + ( (1-0.00068755856*AL$4)^5.2558797)*((1 + 'LRC Mach'!AL9^2/5)^3.5 - 1))^(2/7) - 1))^0.5</f>
        <v>237.05023000119422</v>
      </c>
    </row>
    <row r="10" spans="2:38" ht="24" customHeight="1" thickBot="1" x14ac:dyDescent="0.25">
      <c r="B10" s="917"/>
      <c r="C10" s="16">
        <v>190</v>
      </c>
      <c r="D10" s="50">
        <f>661.4786*(5*((1 + ( (1-0.00068755856*D$4)^5.2558797)*((1 + 'LRC Mach'!D10^2/5)^3.5 - 1))^(2/7) - 1))^0.5</f>
        <v>294.19984820807707</v>
      </c>
      <c r="E10" s="50">
        <f>661.4786*(5*((1 + ( (1-0.00068755856*E$4)^5.2558797)*((1 + 'LRC Mach'!E10^2/5)^3.5 - 1))^(2/7) - 1))^0.5</f>
        <v>293.04978402111203</v>
      </c>
      <c r="F10" s="50">
        <f>661.4786*(5*((1 + ( (1-0.00068755856*F$4)^5.2558797)*((1 + 'LRC Mach'!F10^2/5)^3.5 - 1))^(2/7) - 1))^0.5</f>
        <v>292.05679805221928</v>
      </c>
      <c r="G10" s="50">
        <f>661.4786*(5*((1 + ( (1-0.00068755856*G$4)^5.2558797)*((1 + 'LRC Mach'!G10^2/5)^3.5 - 1))^(2/7) - 1))^0.5</f>
        <v>291.18508138224263</v>
      </c>
      <c r="H10" s="50">
        <f>661.4786*(5*((1 + ( (1-0.00068755856*H$4)^5.2558797)*((1 + 'LRC Mach'!H10^2/5)^3.5 - 1))^(2/7) - 1))^0.5</f>
        <v>290.58227004626332</v>
      </c>
      <c r="I10" s="50">
        <f>661.4786*(5*((1 + ( (1-0.00068755856*I$4)^5.2558797)*((1 + 'LRC Mach'!I10^2/5)^3.5 - 1))^(2/7) - 1))^0.5</f>
        <v>290.40126553323483</v>
      </c>
      <c r="J10" s="50">
        <f>661.4786*(5*((1 + ( (1-0.00068755856*J$4)^5.2558797)*((1 + 'LRC Mach'!J10^2/5)^3.5 - 1))^(2/7) - 1))^0.5</f>
        <v>290.09772913452792</v>
      </c>
      <c r="K10" s="50">
        <f>661.4786*(5*((1 + ( (1-0.00068755856*K$4)^5.2558797)*((1 + 'LRC Mach'!K10^2/5)^3.5 - 1))^(2/7) - 1))^0.5</f>
        <v>289.67435425632539</v>
      </c>
      <c r="L10" s="50">
        <f>661.4786*(5*((1 + ( (1-0.00068755856*L$4)^5.2558797)*((1 + 'LRC Mach'!L10^2/5)^3.5 - 1))^(2/7) - 1))^0.5</f>
        <v>289.13379101489602</v>
      </c>
      <c r="M10" s="50">
        <f>661.4786*(5*((1 + ( (1-0.00068755856*M$4)^5.2558797)*((1 + 'LRC Mach'!M10^2/5)^3.5 - 1))^(2/7) - 1))^0.5</f>
        <v>288.47864833037852</v>
      </c>
      <c r="N10" s="50">
        <f>661.4786*(5*((1 + ( (1-0.00068755856*N$4)^5.2558797)*((1 + 'LRC Mach'!N10^2/5)^3.5 - 1))^(2/7) - 1))^0.5</f>
        <v>288.2005273147609</v>
      </c>
      <c r="O10" s="50">
        <f>661.4786*(5*((1 + ( (1-0.00068755856*O$4)^5.2558797)*((1 + 'LRC Mach'!O10^2/5)^3.5 - 1))^(2/7) - 1))^0.5</f>
        <v>287.79729259951739</v>
      </c>
      <c r="P10" s="50">
        <f>661.4786*(5*((1 + ( (1-0.00068755856*P$4)^5.2558797)*((1 + 'LRC Mach'!P10^2/5)^3.5 - 1))^(2/7) - 1))^0.5</f>
        <v>286.79814782153585</v>
      </c>
      <c r="Q10" s="50">
        <f>661.4786*(5*((1 + ( (1-0.00068755856*Q$4)^5.2558797)*((1 + 'LRC Mach'!Q10^2/5)^3.5 - 1))^(2/7) - 1))^0.5</f>
        <v>286.16060116102562</v>
      </c>
      <c r="R10" s="50">
        <f>661.4786*(5*((1 + ( (1-0.00068755856*R$4)^5.2558797)*((1 + 'LRC Mach'!R10^2/5)^3.5 - 1))^(2/7) - 1))^0.5</f>
        <v>285.4061037798765</v>
      </c>
      <c r="S10" s="50">
        <f>661.4786*(5*((1 + ( (1-0.00068755856*S$4)^5.2558797)*((1 + 'LRC Mach'!S10^2/5)^3.5 - 1))^(2/7) - 1))^0.5</f>
        <v>284.98850962064819</v>
      </c>
      <c r="T10" s="50">
        <f>661.4786*(5*((1 + ( (1-0.00068755856*T$4)^5.2558797)*((1 + 'LRC Mach'!T10^2/5)^3.5 - 1))^(2/7) - 1))^0.5</f>
        <v>284.00080055350031</v>
      </c>
      <c r="U10" s="50">
        <f>661.4786*(5*((1 + ( (1-0.00068755856*U$4)^5.2558797)*((1 + 'LRC Mach'!U10^2/5)^3.5 - 1))^(2/7) - 1))^0.5</f>
        <v>283.3409420079484</v>
      </c>
      <c r="V10" s="50">
        <f>661.4786*(5*((1 + ( (1-0.00068755856*V$4)^5.2558797)*((1 + 'LRC Mach'!V10^2/5)^3.5 - 1))^(2/7) - 1))^0.5</f>
        <v>282.56057453331454</v>
      </c>
      <c r="W10" s="50">
        <f>661.4786*(5*((1 + ( (1-0.00068755856*W$4)^5.2558797)*((1 + 'LRC Mach'!W10^2/5)^3.5 - 1))^(2/7) - 1))^0.5</f>
        <v>281.66247714000457</v>
      </c>
      <c r="X10" s="50">
        <f>661.4786*(5*((1 + ( (1-0.00068755856*X$4)^5.2558797)*((1 + 'LRC Mach'!X10^2/5)^3.5 - 1))^(2/7) - 1))^0.5</f>
        <v>281.06559861434533</v>
      </c>
      <c r="Y10" s="50">
        <f>661.4786*(5*((1 + ( (1-0.00068755856*Y$4)^5.2558797)*((1 + 'LRC Mach'!Y10^2/5)^3.5 - 1))^(2/7) - 1))^0.5</f>
        <v>280.34306772848515</v>
      </c>
      <c r="Z10" s="50">
        <f>661.4786*(5*((1 + ( (1-0.00068755856*Z$4)^5.2558797)*((1 + 'LRC Mach'!Z10^2/5)^3.5 - 1))^(2/7) - 1))^0.5</f>
        <v>279.49778488843958</v>
      </c>
      <c r="AA10" s="50">
        <f>661.4786*(5*((1 + ( (1-0.00068755856*AA$4)^5.2558797)*((1 + 'LRC Mach'!AA10^2/5)^3.5 - 1))^(2/7) - 1))^0.5</f>
        <v>278.9293326890363</v>
      </c>
      <c r="AB10" s="50">
        <f>661.4786*(5*((1 + ( (1-0.00068755856*AB$4)^5.2558797)*((1 + 'LRC Mach'!AB10^2/5)^3.5 - 1))^(2/7) - 1))^0.5</f>
        <v>278.23116304158663</v>
      </c>
      <c r="AC10" s="50">
        <f>661.4786*(5*((1 + ( (1-0.00068755856*AC$4)^5.2558797)*((1 + 'LRC Mach'!AC10^2/5)^3.5 - 1))^(2/7) - 1))^0.5</f>
        <v>277.40626880398412</v>
      </c>
      <c r="AD10" s="50">
        <f>661.4786*(5*((1 + ( (1-0.00068755856*AD$4)^5.2558797)*((1 + 'LRC Mach'!AD10^2/5)^3.5 - 1))^(2/7) - 1))^0.5</f>
        <v>276.07939228089481</v>
      </c>
      <c r="AE10" s="50">
        <f>661.4786*(5*((1 + ( (1-0.00068755856*AE$4)^5.2558797)*((1 + 'LRC Mach'!AE10^2/5)^3.5 - 1))^(2/7) - 1))^0.5</f>
        <v>274.64382860921398</v>
      </c>
      <c r="AF10" s="50">
        <f>661.4786*(5*((1 + ( (1-0.00068755856*AF$4)^5.2558797)*((1 + 'LRC Mach'!AF10^2/5)^3.5 - 1))^(2/7) - 1))^0.5</f>
        <v>272.00524393623925</v>
      </c>
      <c r="AG10" s="50">
        <f>661.4786*(5*((1 + ( (1-0.00068755856*AG$4)^5.2558797)*((1 + 'LRC Mach'!AG10^2/5)^3.5 - 1))^(2/7) - 1))^0.5</f>
        <v>267.50735925077464</v>
      </c>
      <c r="AH10" s="50">
        <f>661.4786*(5*((1 + ( (1-0.00068755856*AH$4)^5.2558797)*((1 + 'LRC Mach'!AH10^2/5)^3.5 - 1))^(2/7) - 1))^0.5</f>
        <v>261.95979339075541</v>
      </c>
      <c r="AI10" s="50">
        <f>661.4786*(5*((1 + ( (1-0.00068755856*AI$4)^5.2558797)*((1 + 'LRC Mach'!AI10^2/5)^3.5 - 1))^(2/7) - 1))^0.5</f>
        <v>255.43064782929284</v>
      </c>
      <c r="AJ10" s="50">
        <f>661.4786*(5*((1 + ( (1-0.00068755856*AJ$4)^5.2558797)*((1 + 'LRC Mach'!AJ10^2/5)^3.5 - 1))^(2/7) - 1))^0.5</f>
        <v>248.99582923020878</v>
      </c>
      <c r="AK10" s="50">
        <f>661.4786*(5*((1 + ( (1-0.00068755856*AK$4)^5.2558797)*((1 + 'LRC Mach'!AK10^2/5)^3.5 - 1))^(2/7) - 1))^0.5</f>
        <v>242.98321743167784</v>
      </c>
      <c r="AL10" s="52">
        <f>661.4786*(5*((1 + ( (1-0.00068755856*AL$4)^5.2558797)*((1 + 'LRC Mach'!AL10^2/5)^3.5 - 1))^(2/7) - 1))^0.5</f>
        <v>236.73009536994434</v>
      </c>
    </row>
    <row r="11" spans="2:38" ht="24" customHeight="1" thickBot="1" x14ac:dyDescent="0.25">
      <c r="B11" s="917"/>
      <c r="C11" s="16">
        <v>200</v>
      </c>
      <c r="D11" s="50">
        <f>661.4786*(5*((1 + ( (1-0.00068755856*D$4)^5.2558797)*((1 + 'LRC Mach'!D11^2/5)^3.5 - 1))^(2/7) - 1))^0.5</f>
        <v>300.22123641092293</v>
      </c>
      <c r="E11" s="50">
        <f>661.4786*(5*((1 + ( (1-0.00068755856*E$4)^5.2558797)*((1 + 'LRC Mach'!E11^2/5)^3.5 - 1))^(2/7) - 1))^0.5</f>
        <v>299.46722327929319</v>
      </c>
      <c r="F11" s="50">
        <f>661.4786*(5*((1 + ( (1-0.00068755856*F$4)^5.2558797)*((1 + 'LRC Mach'!F11^2/5)^3.5 - 1))^(2/7) - 1))^0.5</f>
        <v>298.27371340897861</v>
      </c>
      <c r="G11" s="50">
        <f>661.4786*(5*((1 + ( (1-0.00068755856*G$4)^5.2558797)*((1 + 'LRC Mach'!G11^2/5)^3.5 - 1))^(2/7) - 1))^0.5</f>
        <v>297.75514952330781</v>
      </c>
      <c r="H11" s="50">
        <f>661.4786*(5*((1 + ( (1-0.00068755856*H$4)^5.2558797)*((1 + 'LRC Mach'!H11^2/5)^3.5 - 1))^(2/7) - 1))^0.5</f>
        <v>297.58750851623569</v>
      </c>
      <c r="I11" s="50">
        <f>661.4786*(5*((1 + ( (1-0.00068755856*I$4)^5.2558797)*((1 + 'LRC Mach'!I11^2/5)^3.5 - 1))^(2/7) - 1))^0.5</f>
        <v>297.29614334821292</v>
      </c>
      <c r="J11" s="50">
        <f>661.4786*(5*((1 + ( (1-0.00068755856*J$4)^5.2558797)*((1 + 'LRC Mach'!J11^2/5)^3.5 - 1))^(2/7) - 1))^0.5</f>
        <v>296.88374657915858</v>
      </c>
      <c r="K11" s="50">
        <f>661.4786*(5*((1 + ( (1-0.00068755856*K$4)^5.2558797)*((1 + 'LRC Mach'!K11^2/5)^3.5 - 1))^(2/7) - 1))^0.5</f>
        <v>296.35296664169692</v>
      </c>
      <c r="L11" s="50">
        <f>661.4786*(5*((1 + ( (1-0.00068755856*L$4)^5.2558797)*((1 + 'LRC Mach'!L11^2/5)^3.5 - 1))^(2/7) - 1))^0.5</f>
        <v>295.70640998386352</v>
      </c>
      <c r="M11" s="50">
        <f>661.4786*(5*((1 + ( (1-0.00068755856*M$4)^5.2558797)*((1 + 'LRC Mach'!M11^2/5)^3.5 - 1))^(2/7) - 1))^0.5</f>
        <v>294.94664316377816</v>
      </c>
      <c r="N11" s="50">
        <f>661.4786*(5*((1 + ( (1-0.00068755856*N$4)^5.2558797)*((1 + 'LRC Mach'!N11^2/5)^3.5 - 1))^(2/7) - 1))^0.5</f>
        <v>294.56644441617476</v>
      </c>
      <c r="O11" s="50">
        <f>661.4786*(5*((1 + ( (1-0.00068755856*O$4)^5.2558797)*((1 + 'LRC Mach'!O11^2/5)^3.5 - 1))^(2/7) - 1))^0.5</f>
        <v>294.0625076855556</v>
      </c>
      <c r="P11" s="50">
        <f>661.4786*(5*((1 + ( (1-0.00068755856*P$4)^5.2558797)*((1 + 'LRC Mach'!P11^2/5)^3.5 - 1))^(2/7) - 1))^0.5</f>
        <v>293.43758666726882</v>
      </c>
      <c r="Q11" s="50">
        <f>661.4786*(5*((1 + ( (1-0.00068755856*Q$4)^5.2558797)*((1 + 'LRC Mach'!Q11^2/5)^3.5 - 1))^(2/7) - 1))^0.5</f>
        <v>292.69439071249798</v>
      </c>
      <c r="R11" s="50">
        <f>661.4786*(5*((1 + ( (1-0.00068755856*R$4)^5.2558797)*((1 + 'LRC Mach'!R11^2/5)^3.5 - 1))^(2/7) - 1))^0.5</f>
        <v>291.83558717678397</v>
      </c>
      <c r="S11" s="50">
        <f>661.4786*(5*((1 + ( (1-0.00068755856*S$4)^5.2558797)*((1 + 'LRC Mach'!S11^2/5)^3.5 - 1))^(2/7) - 1))^0.5</f>
        <v>290.86380371149733</v>
      </c>
      <c r="T11" s="50">
        <f>661.4786*(5*((1 + ( (1-0.00068755856*T$4)^5.2558797)*((1 + 'LRC Mach'!T11^2/5)^3.5 - 1))^(2/7) - 1))^0.5</f>
        <v>290.22709499226738</v>
      </c>
      <c r="U11" s="50">
        <f>661.4786*(5*((1 + ( (1-0.00068755856*U$4)^5.2558797)*((1 + 'LRC Mach'!U11^2/5)^3.5 - 1))^(2/7) - 1))^0.5</f>
        <v>289.029924830727</v>
      </c>
      <c r="V11" s="50">
        <f>661.4786*(5*((1 + ( (1-0.00068755856*V$4)^5.2558797)*((1 + 'LRC Mach'!V11^2/5)^3.5 - 1))^(2/7) - 1))^0.5</f>
        <v>288.59032410993348</v>
      </c>
      <c r="W11" s="50">
        <f>661.4786*(5*((1 + ( (1-0.00068755856*W$4)^5.2558797)*((1 + 'LRC Mach'!W11^2/5)^3.5 - 1))^(2/7) - 1))^0.5</f>
        <v>288.02047966667925</v>
      </c>
      <c r="X11" s="50">
        <f>661.4786*(5*((1 + ( (1-0.00068755856*X$4)^5.2558797)*((1 + 'LRC Mach'!X11^2/5)^3.5 - 1))^(2/7) - 1))^0.5</f>
        <v>287.32334138261206</v>
      </c>
      <c r="Y11" s="50">
        <f>661.4786*(5*((1 + ( (1-0.00068755856*Y$4)^5.2558797)*((1 + 'LRC Mach'!Y11^2/5)^3.5 - 1))^(2/7) - 1))^0.5</f>
        <v>286.50180880362404</v>
      </c>
      <c r="Z11" s="50">
        <f>661.4786*(5*((1 + ( (1-0.00068755856*Z$4)^5.2558797)*((1 + 'LRC Mach'!Z11^2/5)^3.5 - 1))^(2/7) - 1))^0.5</f>
        <v>285.96380724039346</v>
      </c>
      <c r="AA11" s="50">
        <f>661.4786*(5*((1 + ( (1-0.00068755856*AA$4)^5.2558797)*((1 + 'LRC Mach'!AA11^2/5)^3.5 - 1))^(2/7) - 1))^0.5</f>
        <v>285.29434633468713</v>
      </c>
      <c r="AB11" s="50">
        <f>661.4786*(5*((1 + ( (1-0.00068755856*AB$4)^5.2558797)*((1 + 'LRC Mach'!AB11^2/5)^3.5 - 1))^(2/7) - 1))^0.5</f>
        <v>284.10386353859332</v>
      </c>
      <c r="AC11" s="50">
        <f>661.4786*(5*((1 + ( (1-0.00068755856*AC$4)^5.2558797)*((1 + 'LRC Mach'!AC11^2/5)^3.5 - 1))^(2/7) - 1))^0.5</f>
        <v>282.80027996654587</v>
      </c>
      <c r="AD11" s="50">
        <f>661.4786*(5*((1 + ( (1-0.00068755856*AD$4)^5.2558797)*((1 + 'LRC Mach'!AD11^2/5)^3.5 - 1))^(2/7) - 1))^0.5</f>
        <v>281.38628054071148</v>
      </c>
      <c r="AE11" s="50">
        <f>661.4786*(5*((1 + ( (1-0.00068755856*AE$4)^5.2558797)*((1 + 'LRC Mach'!AE11^2/5)^3.5 - 1))^(2/7) - 1))^0.5</f>
        <v>278.37020244293581</v>
      </c>
      <c r="AF11" s="50">
        <f>661.4786*(5*((1 + ( (1-0.00068755856*AF$4)^5.2558797)*((1 + 'LRC Mach'!AF11^2/5)^3.5 - 1))^(2/7) - 1))^0.5</f>
        <v>274.20043668687055</v>
      </c>
      <c r="AG11" s="50">
        <f>661.4786*(5*((1 + ( (1-0.00068755856*AG$4)^5.2558797)*((1 + 'LRC Mach'!AG11^2/5)^3.5 - 1))^(2/7) - 1))^0.5</f>
        <v>268.22430213764011</v>
      </c>
      <c r="AH11" s="50">
        <f>661.4786*(5*((1 + ( (1-0.00068755856*AH$4)^5.2558797)*((1 + 'LRC Mach'!AH11^2/5)^3.5 - 1))^(2/7) - 1))^0.5</f>
        <v>261.60900049601861</v>
      </c>
      <c r="AI11" s="50">
        <f>661.4786*(5*((1 + ( (1-0.00068755856*AI$4)^5.2558797)*((1 + 'LRC Mach'!AI11^2/5)^3.5 - 1))^(2/7) - 1))^0.5</f>
        <v>255.08767846443482</v>
      </c>
      <c r="AJ11" s="50">
        <f>661.4786*(5*((1 + ( (1-0.00068755856*AJ$4)^5.2558797)*((1 + 'LRC Mach'!AJ11^2/5)^3.5 - 1))^(2/7) - 1))^0.5</f>
        <v>248.99582923020878</v>
      </c>
      <c r="AK11" s="50">
        <f>661.4786*(5*((1 + ( (1-0.00068755856*AK$4)^5.2558797)*((1 + 'LRC Mach'!AK11^2/5)^3.5 - 1))^(2/7) - 1))^0.5</f>
        <v>242.65557910186928</v>
      </c>
      <c r="AL11" s="52">
        <f>661.4786*(5*((1 + ( (1-0.00068755856*AL$4)^5.2558797)*((1 + 'LRC Mach'!AL11^2/5)^3.5 - 1))^(2/7) - 1))^0.5</f>
        <v>236.73009536994434</v>
      </c>
    </row>
    <row r="12" spans="2:38" ht="24" customHeight="1" thickBot="1" x14ac:dyDescent="0.25">
      <c r="B12" s="917"/>
      <c r="C12" s="16">
        <v>210</v>
      </c>
      <c r="D12" s="50">
        <f>661.4786*(5*((1 + ( (1-0.00068755856*D$4)^5.2558797)*((1 + 'LRC Mach'!D12^2/5)^3.5 - 1))^(2/7) - 1))^0.5</f>
        <v>306.84897964285369</v>
      </c>
      <c r="E12" s="50">
        <f>661.4786*(5*((1 + ( (1-0.00068755856*E$4)^5.2558797)*((1 + 'LRC Mach'!E12^2/5)^3.5 - 1))^(2/7) - 1))^0.5</f>
        <v>305.89037020834087</v>
      </c>
      <c r="F12" s="50">
        <f>661.4786*(5*((1 + ( (1-0.00068755856*F$4)^5.2558797)*((1 + 'LRC Mach'!F12^2/5)^3.5 - 1))^(2/7) - 1))^0.5</f>
        <v>305.06368810942735</v>
      </c>
      <c r="G12" s="50">
        <f>661.4786*(5*((1 + ( (1-0.00068755856*G$4)^5.2558797)*((1 + 'LRC Mach'!G12^2/5)^3.5 - 1))^(2/7) - 1))^0.5</f>
        <v>304.33479164374387</v>
      </c>
      <c r="H12" s="50">
        <f>661.4786*(5*((1 + ( (1-0.00068755856*H$4)^5.2558797)*((1 + 'LRC Mach'!H12^2/5)^3.5 - 1))^(2/7) - 1))^0.5</f>
        <v>304.06452138633529</v>
      </c>
      <c r="I12" s="50">
        <f>661.4786*(5*((1 + ( (1-0.00068755856*I$4)^5.2558797)*((1 + 'LRC Mach'!I12^2/5)^3.5 - 1))^(2/7) - 1))^0.5</f>
        <v>303.6719295825755</v>
      </c>
      <c r="J12" s="50">
        <f>661.4786*(5*((1 + ( (1-0.00068755856*J$4)^5.2558797)*((1 + 'LRC Mach'!J12^2/5)^3.5 - 1))^(2/7) - 1))^0.5</f>
        <v>303.15966618478438</v>
      </c>
      <c r="K12" s="50">
        <f>661.4786*(5*((1 + ( (1-0.00068755856*K$4)^5.2558797)*((1 + 'LRC Mach'!K12^2/5)^3.5 - 1))^(2/7) - 1))^0.5</f>
        <v>302.53033824597259</v>
      </c>
      <c r="L12" s="50">
        <f>661.4786*(5*((1 + ( (1-0.00068755856*L$4)^5.2558797)*((1 + 'LRC Mach'!L12^2/5)^3.5 - 1))^(2/7) - 1))^0.5</f>
        <v>301.78651206267182</v>
      </c>
      <c r="M12" s="50">
        <f>661.4786*(5*((1 + ( (1-0.00068755856*M$4)^5.2558797)*((1 + 'LRC Mach'!M12^2/5)^3.5 - 1))^(2/7) - 1))^0.5</f>
        <v>301.42998311891034</v>
      </c>
      <c r="N12" s="50">
        <f>661.4786*(5*((1 + ( (1-0.00068755856*N$4)^5.2558797)*((1 + 'LRC Mach'!N12^2/5)^3.5 - 1))^(2/7) - 1))^0.5</f>
        <v>300.94831090470223</v>
      </c>
      <c r="O12" s="50">
        <f>661.4786*(5*((1 + ( (1-0.00068755856*O$4)^5.2558797)*((1 + 'LRC Mach'!O12^2/5)^3.5 - 1))^(2/7) - 1))^0.5</f>
        <v>299.86044759695142</v>
      </c>
      <c r="P12" s="50">
        <f>661.4786*(5*((1 + ( (1-0.00068755856*P$4)^5.2558797)*((1 + 'LRC Mach'!P12^2/5)^3.5 - 1))^(2/7) - 1))^0.5</f>
        <v>299.14428940136997</v>
      </c>
      <c r="Q12" s="50">
        <f>661.4786*(5*((1 + ( (1-0.00068755856*Q$4)^5.2558797)*((1 + 'LRC Mach'!Q12^2/5)^3.5 - 1))^(2/7) - 1))^0.5</f>
        <v>298.3110222362962</v>
      </c>
      <c r="R12" s="50">
        <f>661.4786*(5*((1 + ( (1-0.00068755856*R$4)^5.2558797)*((1 + 'LRC Mach'!R12^2/5)^3.5 - 1))^(2/7) - 1))^0.5</f>
        <v>297.82461759832006</v>
      </c>
      <c r="S12" s="50">
        <f>661.4786*(5*((1 + ( (1-0.00068755856*S$4)^5.2558797)*((1 + 'LRC Mach'!S12^2/5)^3.5 - 1))^(2/7) - 1))^0.5</f>
        <v>296.75767817467641</v>
      </c>
      <c r="T12" s="50">
        <f>661.4786*(5*((1 + ( (1-0.00068755856*T$4)^5.2558797)*((1 + 'LRC Mach'!T12^2/5)^3.5 - 1))^(2/7) - 1))^0.5</f>
        <v>296.02842836336231</v>
      </c>
      <c r="U12" s="50">
        <f>661.4786*(5*((1 + ( (1-0.00068755856*U$4)^5.2558797)*((1 + 'LRC Mach'!U12^2/5)^3.5 - 1))^(2/7) - 1))^0.5</f>
        <v>295.17830566213507</v>
      </c>
      <c r="V12" s="50">
        <f>661.4786*(5*((1 + ( (1-0.00068755856*V$4)^5.2558797)*((1 + 'LRC Mach'!V12^2/5)^3.5 - 1))^(2/7) - 1))^0.5</f>
        <v>294.64316389610332</v>
      </c>
      <c r="W12" s="50">
        <f>661.4786*(5*((1 + ( (1-0.00068755856*W$4)^5.2558797)*((1 + 'LRC Mach'!W12^2/5)^3.5 - 1))^(2/7) - 1))^0.5</f>
        <v>293.97901886114892</v>
      </c>
      <c r="X12" s="50">
        <f>661.4786*(5*((1 + ( (1-0.00068755856*X$4)^5.2558797)*((1 + 'LRC Mach'!X12^2/5)^3.5 - 1))^(2/7) - 1))^0.5</f>
        <v>293.18877250693004</v>
      </c>
      <c r="Y12" s="50">
        <f>661.4786*(5*((1 + ( (1-0.00068755856*Y$4)^5.2558797)*((1 + 'LRC Mach'!Y12^2/5)^3.5 - 1))^(2/7) - 1))^0.5</f>
        <v>292.68861198400526</v>
      </c>
      <c r="Z12" s="50">
        <f>661.4786*(5*((1 + ( (1-0.00068755856*Z$4)^5.2558797)*((1 + 'LRC Mach'!Z12^2/5)^3.5 - 1))^(2/7) - 1))^0.5</f>
        <v>291.64820198597863</v>
      </c>
      <c r="AA12" s="50">
        <f>661.4786*(5*((1 + ( (1-0.00068755856*AA$4)^5.2558797)*((1 + 'LRC Mach'!AA12^2/5)^3.5 - 1))^(2/7) - 1))^0.5</f>
        <v>290.89077946367053</v>
      </c>
      <c r="AB12" s="50">
        <f>661.4786*(5*((1 + ( (1-0.00068755856*AB$4)^5.2558797)*((1 + 'LRC Mach'!AB12^2/5)^3.5 - 1))^(2/7) - 1))^0.5</f>
        <v>289.61156032772067</v>
      </c>
      <c r="AC12" s="50">
        <f>661.4786*(5*((1 + ( (1-0.00068755856*AC$4)^5.2558797)*((1 + 'LRC Mach'!AC12^2/5)^3.5 - 1))^(2/7) - 1))^0.5</f>
        <v>287.83220897493942</v>
      </c>
      <c r="AD12" s="50">
        <f>661.4786*(5*((1 + ( (1-0.00068755856*AD$4)^5.2558797)*((1 + 'LRC Mach'!AD12^2/5)^3.5 - 1))^(2/7) - 1))^0.5</f>
        <v>284.81167589245092</v>
      </c>
      <c r="AE12" s="50">
        <f>661.4786*(5*((1 + ( (1-0.00068755856*AE$4)^5.2558797)*((1 + 'LRC Mach'!AE12^2/5)^3.5 - 1))^(2/7) - 1))^0.5</f>
        <v>280.61248397428835</v>
      </c>
      <c r="AF12" s="50">
        <f>661.4786*(5*((1 + ( (1-0.00068755856*AF$4)^5.2558797)*((1 + 'LRC Mach'!AF12^2/5)^3.5 - 1))^(2/7) - 1))^0.5</f>
        <v>274.56677440931304</v>
      </c>
      <c r="AG12" s="50">
        <f>661.4786*(5*((1 + ( (1-0.00068755856*AG$4)^5.2558797)*((1 + 'LRC Mach'!AG12^2/5)^3.5 - 1))^(2/7) - 1))^0.5</f>
        <v>267.86576332644057</v>
      </c>
      <c r="AH12" s="50">
        <f>661.4786*(5*((1 + ( (1-0.00068755856*AH$4)^5.2558797)*((1 + 'LRC Mach'!AH12^2/5)^3.5 - 1))^(2/7) - 1))^0.5</f>
        <v>261.25834179310709</v>
      </c>
      <c r="AI12" s="50">
        <f>661.4786*(5*((1 + ( (1-0.00068755856*AI$4)^5.2558797)*((1 + 'LRC Mach'!AI12^2/5)^3.5 - 1))^(2/7) - 1))^0.5</f>
        <v>254.74484247727187</v>
      </c>
      <c r="AJ12" s="50">
        <f>661.4786*(5*((1 + ( (1-0.00068755856*AJ$4)^5.2558797)*((1 + 'LRC Mach'!AJ12^2/5)^3.5 - 1))^(2/7) - 1))^0.5</f>
        <v>248.66062291090481</v>
      </c>
      <c r="AK12" s="50">
        <f>661.4786*(5*((1 + ( (1-0.00068755856*AK$4)^5.2558797)*((1 + 'LRC Mach'!AK12^2/5)^3.5 - 1))^(2/7) - 1))^0.5</f>
        <v>242.65557910186928</v>
      </c>
      <c r="AL12" s="52">
        <f>661.4786*(5*((1 + ( (1-0.00068755856*AL$4)^5.2558797)*((1 + 'LRC Mach'!AL12^2/5)^3.5 - 1))^(2/7) - 1))^0.5</f>
        <v>236.73009536994434</v>
      </c>
    </row>
    <row r="13" spans="2:38" ht="24" customHeight="1" thickBot="1" x14ac:dyDescent="0.25">
      <c r="B13" s="917"/>
      <c r="C13" s="16">
        <v>220</v>
      </c>
      <c r="D13" s="50">
        <f>661.4786*(5*((1 + ( (1-0.00068755856*D$4)^5.2558797)*((1 + 'LRC Mach'!D13^2/5)^3.5 - 1))^(2/7) - 1))^0.5</f>
        <v>312.87808031040333</v>
      </c>
      <c r="E13" s="50">
        <f>661.4786*(5*((1 + ( (1-0.00068755856*E$4)^5.2558797)*((1 + 'LRC Mach'!E13^2/5)^3.5 - 1))^(2/7) - 1))^0.5</f>
        <v>312.3192968162503</v>
      </c>
      <c r="F13" s="50">
        <f>661.4786*(5*((1 + ( (1-0.00068755856*F$4)^5.2558797)*((1 + 'LRC Mach'!F13^2/5)^3.5 - 1))^(2/7) - 1))^0.5</f>
        <v>311.29515129276905</v>
      </c>
      <c r="G13" s="50">
        <f>661.4786*(5*((1 + ( (1-0.00068755856*G$4)^5.2558797)*((1 + 'LRC Mach'!G13^2/5)^3.5 - 1))^(2/7) - 1))^0.5</f>
        <v>310.92413258014301</v>
      </c>
      <c r="H13" s="50">
        <f>661.4786*(5*((1 + ( (1-0.00068755856*H$4)^5.2558797)*((1 + 'LRC Mach'!H13^2/5)^3.5 - 1))^(2/7) - 1))^0.5</f>
        <v>310.01087075464886</v>
      </c>
      <c r="I13" s="50">
        <f>661.4786*(5*((1 + ( (1-0.00068755856*I$4)^5.2558797)*((1 + 'LRC Mach'!I13^2/5)^3.5 - 1))^(2/7) - 1))^0.5</f>
        <v>309.52603683977327</v>
      </c>
      <c r="J13" s="50">
        <f>661.4786*(5*((1 + ( (1-0.00068755856*J$4)^5.2558797)*((1 + 'LRC Mach'!J13^2/5)^3.5 - 1))^(2/7) - 1))^0.5</f>
        <v>309.44715998029824</v>
      </c>
      <c r="K13" s="50">
        <f>661.4786*(5*((1 + ( (1-0.00068755856*K$4)^5.2558797)*((1 + 'LRC Mach'!K13^2/5)^3.5 - 1))^(2/7) - 1))^0.5</f>
        <v>308.71986075480879</v>
      </c>
      <c r="L13" s="50">
        <f>661.4786*(5*((1 + ( (1-0.00068755856*L$4)^5.2558797)*((1 + 'LRC Mach'!L13^2/5)^3.5 - 1))^(2/7) - 1))^0.5</f>
        <v>307.87931783460431</v>
      </c>
      <c r="M13" s="50">
        <f>661.4786*(5*((1 + ( (1-0.00068755856*M$4)^5.2558797)*((1 + 'LRC Mach'!M13^2/5)^3.5 - 1))^(2/7) - 1))^0.5</f>
        <v>307.4283976503034</v>
      </c>
      <c r="N13" s="50">
        <f>661.4786*(5*((1 + ( (1-0.00068755856*N$4)^5.2558797)*((1 + 'LRC Mach'!N13^2/5)^3.5 - 1))^(2/7) - 1))^0.5</f>
        <v>306.85359825137709</v>
      </c>
      <c r="O13" s="50">
        <f>661.4786*(5*((1 + ( (1-0.00068755856*O$4)^5.2558797)*((1 + 'LRC Mach'!O13^2/5)^3.5 - 1))^(2/7) - 1))^0.5</f>
        <v>305.67263517923561</v>
      </c>
      <c r="P13" s="50">
        <f>661.4786*(5*((1 + ( (1-0.00068755856*P$4)^5.2558797)*((1 + 'LRC Mach'!P13^2/5)^3.5 - 1))^(2/7) - 1))^0.5</f>
        <v>304.86571345513175</v>
      </c>
      <c r="Q13" s="50">
        <f>661.4786*(5*((1 + ( (1-0.00068755856*Q$4)^5.2558797)*((1 + 'LRC Mach'!Q13^2/5)^3.5 - 1))^(2/7) - 1))^0.5</f>
        <v>304.41283358446253</v>
      </c>
      <c r="R13" s="50">
        <f>661.4786*(5*((1 + ( (1-0.00068755856*R$4)^5.2558797)*((1 + 'LRC Mach'!R13^2/5)^3.5 - 1))^(2/7) - 1))^0.5</f>
        <v>303.36921530103143</v>
      </c>
      <c r="S13" s="50">
        <f>661.4786*(5*((1 + ( (1-0.00068755856*S$4)^5.2558797)*((1 + 'LRC Mach'!S13^2/5)^3.5 - 1))^(2/7) - 1))^0.5</f>
        <v>302.67035834924735</v>
      </c>
      <c r="T13" s="50">
        <f>661.4786*(5*((1 + ( (1-0.00068755856*T$4)^5.2558797)*((1 + 'LRC Mach'!T13^2/5)^3.5 - 1))^(2/7) - 1))^0.5</f>
        <v>301.84903769443059</v>
      </c>
      <c r="U13" s="50">
        <f>661.4786*(5*((1 + ( (1-0.00068755856*U$4)^5.2558797)*((1 + 'LRC Mach'!U13^2/5)^3.5 - 1))^(2/7) - 1))^0.5</f>
        <v>301.34955864332312</v>
      </c>
      <c r="V13" s="50">
        <f>661.4786*(5*((1 + ( (1-0.00068755856*V$4)^5.2558797)*((1 + 'LRC Mach'!V13^2/5)^3.5 - 1))^(2/7) - 1))^0.5</f>
        <v>300.28458739630111</v>
      </c>
      <c r="W13" s="50">
        <f>661.4786*(5*((1 + ( (1-0.00068755856*W$4)^5.2558797)*((1 + 'LRC Mach'!W13^2/5)^3.5 - 1))^(2/7) - 1))^0.5</f>
        <v>299.96141998371718</v>
      </c>
      <c r="X13" s="50">
        <f>661.4786*(5*((1 + ( (1-0.00068755856*X$4)^5.2558797)*((1 + 'LRC Mach'!X13^2/5)^3.5 - 1))^(2/7) - 1))^0.5</f>
        <v>299.07851906534694</v>
      </c>
      <c r="Y13" s="50">
        <f>661.4786*(5*((1 + ( (1-0.00068755856*Y$4)^5.2558797)*((1 + 'LRC Mach'!Y13^2/5)^3.5 - 1))^(2/7) - 1))^0.5</f>
        <v>298.48860128420472</v>
      </c>
      <c r="Z13" s="50">
        <f>661.4786*(5*((1 + ( (1-0.00068755856*Z$4)^5.2558797)*((1 + 'LRC Mach'!Z13^2/5)^3.5 - 1))^(2/7) - 1))^0.5</f>
        <v>297.35775868934292</v>
      </c>
      <c r="AA13" s="50">
        <f>661.4786*(5*((1 + ( (1-0.00068755856*AA$4)^5.2558797)*((1 + 'LRC Mach'!AA13^2/5)^3.5 - 1))^(2/7) - 1))^0.5</f>
        <v>296.11034393786036</v>
      </c>
      <c r="AB13" s="50">
        <f>661.4786*(5*((1 + ( (1-0.00068755856*AB$4)^5.2558797)*((1 + 'LRC Mach'!AB13^2/5)^3.5 - 1))^(2/7) - 1))^0.5</f>
        <v>294.35304817985337</v>
      </c>
      <c r="AC13" s="50">
        <f>661.4786*(5*((1 + ( (1-0.00068755856*AC$4)^5.2558797)*((1 + 'LRC Mach'!AC13^2/5)^3.5 - 1))^(2/7) - 1))^0.5</f>
        <v>291.32907231226392</v>
      </c>
      <c r="AD13" s="50">
        <f>661.4786*(5*((1 + ( (1-0.00068755856*AD$4)^5.2558797)*((1 + 'LRC Mach'!AD13^2/5)^3.5 - 1))^(2/7) - 1))^0.5</f>
        <v>287.1013315772521</v>
      </c>
      <c r="AE13" s="50">
        <f>661.4786*(5*((1 + ( (1-0.00068755856*AE$4)^5.2558797)*((1 + 'LRC Mach'!AE13^2/5)^3.5 - 1))^(2/7) - 1))^0.5</f>
        <v>280.98667062978581</v>
      </c>
      <c r="AF13" s="50">
        <f>661.4786*(5*((1 + ( (1-0.00068755856*AF$4)^5.2558797)*((1 + 'LRC Mach'!AF13^2/5)^3.5 - 1))^(2/7) - 1))^0.5</f>
        <v>274.20043668687055</v>
      </c>
      <c r="AG13" s="50">
        <f>661.4786*(5*((1 + ( (1-0.00068755856*AG$4)^5.2558797)*((1 + 'LRC Mach'!AG13^2/5)^3.5 - 1))^(2/7) - 1))^0.5</f>
        <v>267.50735925077464</v>
      </c>
      <c r="AH13" s="50">
        <f>661.4786*(5*((1 + ( (1-0.00068755856*AH$4)^5.2558797)*((1 + 'LRC Mach'!AH13^2/5)^3.5 - 1))^(2/7) - 1))^0.5</f>
        <v>261.25834179310709</v>
      </c>
      <c r="AI13" s="50">
        <f>661.4786*(5*((1 + ( (1-0.00068755856*AI$4)^5.2558797)*((1 + 'LRC Mach'!AI13^2/5)^3.5 - 1))^(2/7) - 1))^0.5</f>
        <v>254.74484247727187</v>
      </c>
      <c r="AJ13" s="50">
        <f>661.4786*(5*((1 + ( (1-0.00068755856*AJ$4)^5.2558797)*((1 + 'LRC Mach'!AJ13^2/5)^3.5 - 1))^(2/7) - 1))^0.5</f>
        <v>248.66062291090481</v>
      </c>
      <c r="AK13" s="50">
        <f>661.4786*(5*((1 + ( (1-0.00068755856*AK$4)^5.2558797)*((1 + 'LRC Mach'!AK13^2/5)^3.5 - 1))^(2/7) - 1))^0.5</f>
        <v>242.65557910186928</v>
      </c>
      <c r="AL13" s="52">
        <f>661.4786*(5*((1 + ( (1-0.00068755856*AL$4)^5.2558797)*((1 + 'LRC Mach'!AL13^2/5)^3.5 - 1))^(2/7) - 1))^0.5</f>
        <v>236.73009536994434</v>
      </c>
    </row>
    <row r="14" spans="2:38" ht="24" customHeight="1" thickBot="1" x14ac:dyDescent="0.25">
      <c r="B14" s="917"/>
      <c r="C14" s="16">
        <v>230</v>
      </c>
      <c r="D14" s="50">
        <f>661.4786*(5*((1 + ( (1-0.00068755856*D$4)^5.2558797)*((1 + 'LRC Mach'!D14^2/5)^3.5 - 1))^(2/7) - 1))^0.5</f>
        <v>318.91091862107561</v>
      </c>
      <c r="E14" s="50">
        <f>661.4786*(5*((1 + ( (1-0.00068755856*E$4)^5.2558797)*((1 + 'LRC Mach'!E14^2/5)^3.5 - 1))^(2/7) - 1))^0.5</f>
        <v>318.16884939816731</v>
      </c>
      <c r="F14" s="50">
        <f>661.4786*(5*((1 + ( (1-0.00068755856*F$4)^5.2558797)*((1 + 'LRC Mach'!F14^2/5)^3.5 - 1))^(2/7) - 1))^0.5</f>
        <v>317.53370038550867</v>
      </c>
      <c r="G14" s="50">
        <f>661.4786*(5*((1 + ( (1-0.00068755856*G$4)^5.2558797)*((1 + 'LRC Mach'!G14^2/5)^3.5 - 1))^(2/7) - 1))^0.5</f>
        <v>316.9729846599393</v>
      </c>
      <c r="H14" s="50">
        <f>661.4786*(5*((1 + ( (1-0.00068755856*H$4)^5.2558797)*((1 + 'LRC Mach'!H14^2/5)^3.5 - 1))^(2/7) - 1))^0.5</f>
        <v>316.50782902725899</v>
      </c>
      <c r="I14" s="50">
        <f>661.4786*(5*((1 + ( (1-0.00068755856*I$4)^5.2558797)*((1 + 'LRC Mach'!I14^2/5)^3.5 - 1))^(2/7) - 1))^0.5</f>
        <v>315.9229716745628</v>
      </c>
      <c r="J14" s="50">
        <f>661.4786*(5*((1 + ( (1-0.00068755856*J$4)^5.2558797)*((1 + 'LRC Mach'!J14^2/5)^3.5 - 1))^(2/7) - 1))^0.5</f>
        <v>315.22098129407038</v>
      </c>
      <c r="K14" s="50">
        <f>661.4786*(5*((1 + ( (1-0.00068755856*K$4)^5.2558797)*((1 + 'LRC Mach'!K14^2/5)^3.5 - 1))^(2/7) - 1))^0.5</f>
        <v>314.4043860917721</v>
      </c>
      <c r="L14" s="50">
        <f>661.4786*(5*((1 + ( (1-0.00068755856*L$4)^5.2558797)*((1 + 'LRC Mach'!L14^2/5)^3.5 - 1))^(2/7) - 1))^0.5</f>
        <v>313.98497505880152</v>
      </c>
      <c r="M14" s="50">
        <f>661.4786*(5*((1 + ( (1-0.00068755856*M$4)^5.2558797)*((1 + 'LRC Mach'!M14^2/5)^3.5 - 1))^(2/7) - 1))^0.5</f>
        <v>312.93871006300986</v>
      </c>
      <c r="N14" s="50">
        <f>661.4786*(5*((1 + ( (1-0.00068755856*N$4)^5.2558797)*((1 + 'LRC Mach'!N14^2/5)^3.5 - 1))^(2/7) - 1))^0.5</f>
        <v>312.27900341694647</v>
      </c>
      <c r="O14" s="50">
        <f>661.4786*(5*((1 + ( (1-0.00068755856*O$4)^5.2558797)*((1 + 'LRC Mach'!O14^2/5)^3.5 - 1))^(2/7) - 1))^0.5</f>
        <v>311.49923028383267</v>
      </c>
      <c r="P14" s="50">
        <f>661.4786*(5*((1 + ( (1-0.00068755856*P$4)^5.2558797)*((1 + 'LRC Mach'!P14^2/5)^3.5 - 1))^(2/7) - 1))^0.5</f>
        <v>310.60202208580637</v>
      </c>
      <c r="Q14" s="50">
        <f>661.4786*(5*((1 + ( (1-0.00068755856*Q$4)^5.2558797)*((1 + 'LRC Mach'!Q14^2/5)^3.5 - 1))^(2/7) - 1))^0.5</f>
        <v>309.58996975948673</v>
      </c>
      <c r="R14" s="50">
        <f>661.4786*(5*((1 + ( (1-0.00068755856*R$4)^5.2558797)*((1 + 'LRC Mach'!R14^2/5)^3.5 - 1))^(2/7) - 1))^0.5</f>
        <v>308.92959827474749</v>
      </c>
      <c r="S14" s="50">
        <f>661.4786*(5*((1 + ( (1-0.00068755856*S$4)^5.2558797)*((1 + 'LRC Mach'!S14^2/5)^3.5 - 1))^(2/7) - 1))^0.5</f>
        <v>308.14509724413136</v>
      </c>
      <c r="T14" s="50">
        <f>661.4786*(5*((1 + ( (1-0.00068755856*T$4)^5.2558797)*((1 + 'LRC Mach'!T14^2/5)^3.5 - 1))^(2/7) - 1))^0.5</f>
        <v>307.68914399011823</v>
      </c>
      <c r="U14" s="50">
        <f>661.4786*(5*((1 + ( (1-0.00068755856*U$4)^5.2558797)*((1 + 'LRC Mach'!U14^2/5)^3.5 - 1))^(2/7) - 1))^0.5</f>
        <v>306.65762013739391</v>
      </c>
      <c r="V14" s="50">
        <f>661.4786*(5*((1 + ( (1-0.00068755856*V$4)^5.2558797)*((1 + 'LRC Mach'!V14^2/5)^3.5 - 1))^(2/7) - 1))^0.5</f>
        <v>306.38277107097286</v>
      </c>
      <c r="W14" s="50">
        <f>661.4786*(5*((1 + ( (1-0.00068755856*W$4)^5.2558797)*((1 + 'LRC Mach'!W14^2/5)^3.5 - 1))^(2/7) - 1))^0.5</f>
        <v>305.53812087920926</v>
      </c>
      <c r="X14" s="50">
        <f>661.4786*(5*((1 + ( (1-0.00068755856*X$4)^5.2558797)*((1 + 'LRC Mach'!X14^2/5)^3.5 - 1))^(2/7) - 1))^0.5</f>
        <v>304.56959140404206</v>
      </c>
      <c r="Y14" s="50">
        <f>661.4786*(5*((1 + ( (1-0.00068755856*Y$4)^5.2558797)*((1 + 'LRC Mach'!Y14^2/5)^3.5 - 1))^(2/7) - 1))^0.5</f>
        <v>303.89672896937248</v>
      </c>
      <c r="Z14" s="50">
        <f>661.4786*(5*((1 + ( (1-0.00068755856*Z$4)^5.2558797)*((1 + 'LRC Mach'!Z14^2/5)^3.5 - 1))^(2/7) - 1))^0.5</f>
        <v>302.2719101677705</v>
      </c>
      <c r="AA14" s="50">
        <f>661.4786*(5*((1 + ( (1-0.00068755856*AA$4)^5.2558797)*((1 + 'LRC Mach'!AA14^2/5)^3.5 - 1))^(2/7) - 1))^0.5</f>
        <v>300.54428158419972</v>
      </c>
      <c r="AB14" s="50">
        <f>661.4786*(5*((1 + ( (1-0.00068755856*AB$4)^5.2558797)*((1 + 'LRC Mach'!AB14^2/5)^3.5 - 1))^(2/7) - 1))^0.5</f>
        <v>297.92176326257749</v>
      </c>
      <c r="AC14" s="50">
        <f>661.4786*(5*((1 + ( (1-0.00068755856*AC$4)^5.2558797)*((1 + 'LRC Mach'!AC14^2/5)^3.5 - 1))^(2/7) - 1))^0.5</f>
        <v>293.27648187683616</v>
      </c>
      <c r="AD14" s="50">
        <f>661.4786*(5*((1 + ( (1-0.00068755856*AD$4)^5.2558797)*((1 + 'LRC Mach'!AD14^2/5)^3.5 - 1))^(2/7) - 1))^0.5</f>
        <v>287.48341413579459</v>
      </c>
      <c r="AE14" s="50">
        <f>661.4786*(5*((1 + ( (1-0.00068755856*AE$4)^5.2558797)*((1 + 'LRC Mach'!AE14^2/5)^3.5 - 1))^(2/7) - 1))^0.5</f>
        <v>280.61248397428835</v>
      </c>
      <c r="AF14" s="50">
        <f>661.4786*(5*((1 + ( (1-0.00068755856*AF$4)^5.2558797)*((1 + 'LRC Mach'!AF14^2/5)^3.5 - 1))^(2/7) - 1))^0.5</f>
        <v>273.83423408756983</v>
      </c>
      <c r="AG14" s="50">
        <f>661.4786*(5*((1 + ( (1-0.00068755856*AG$4)^5.2558797)*((1 + 'LRC Mach'!AG14^2/5)^3.5 - 1))^(2/7) - 1))^0.5</f>
        <v>267.50735925077464</v>
      </c>
      <c r="AH14" s="50">
        <f>661.4786*(5*((1 + ( (1-0.00068755856*AH$4)^5.2558797)*((1 + 'LRC Mach'!AH14^2/5)^3.5 - 1))^(2/7) - 1))^0.5</f>
        <v>260.90781716294043</v>
      </c>
      <c r="AI14" s="50">
        <f>661.4786*(5*((1 + ( (1-0.00068755856*AI$4)^5.2558797)*((1 + 'LRC Mach'!AI14^2/5)^3.5 - 1))^(2/7) - 1))^0.5</f>
        <v>254.74484247727187</v>
      </c>
      <c r="AJ14" s="50">
        <f>661.4786*(5*((1 + ( (1-0.00068755856*AJ$4)^5.2558797)*((1 + 'LRC Mach'!AJ14^2/5)^3.5 - 1))^(2/7) - 1))^0.5</f>
        <v>248.66062291090481</v>
      </c>
      <c r="AK14" s="50">
        <f>661.4786*(5*((1 + ( (1-0.00068755856*AK$4)^5.2558797)*((1 + 'LRC Mach'!AK14^2/5)^3.5 - 1))^(2/7) - 1))^0.5</f>
        <v>242.65557910186928</v>
      </c>
      <c r="AL14" s="52">
        <f>661.4786*(5*((1 + ( (1-0.00068755856*AL$4)^5.2558797)*((1 + 'LRC Mach'!AL14^2/5)^3.5 - 1))^(2/7) - 1))^0.5</f>
        <v>236.73009536994434</v>
      </c>
    </row>
    <row r="15" spans="2:38" ht="24" customHeight="1" thickBot="1" x14ac:dyDescent="0.25">
      <c r="B15" s="917"/>
      <c r="C15" s="16">
        <v>240</v>
      </c>
      <c r="D15" s="51">
        <f>661.4786*(5*((1 + ( (1-0.00068755856*D$4)^5.2558797)*((1 + 'LRC Mach'!D15^2/5)^3.5 - 1))^(2/7) - 1))^0.5</f>
        <v>324.94753449826322</v>
      </c>
      <c r="E15" s="50">
        <f>661.4786*(5*((1 + ( (1-0.00068755856*E$4)^5.2558797)*((1 + 'LRC Mach'!E15^2/5)^3.5 - 1))^(2/7) - 1))^0.5</f>
        <v>324.60900033660442</v>
      </c>
      <c r="F15" s="50">
        <f>661.4786*(5*((1 + ( (1-0.00068755856*F$4)^5.2558797)*((1 + 'LRC Mach'!F15^2/5)^3.5 - 1))^(2/7) - 1))^0.5</f>
        <v>323.77941426795752</v>
      </c>
      <c r="G15" s="50">
        <f>661.4786*(5*((1 + ( (1-0.00068755856*G$4)^5.2558797)*((1 + 'LRC Mach'!G15^2/5)^3.5 - 1))^(2/7) - 1))^0.5</f>
        <v>322.47917592194841</v>
      </c>
      <c r="H15" s="50">
        <f>661.4786*(5*((1 + ( (1-0.00068755856*H$4)^5.2558797)*((1 + 'LRC Mach'!H15^2/5)^3.5 - 1))^(2/7) - 1))^0.5</f>
        <v>321.93004269554791</v>
      </c>
      <c r="I15" s="50">
        <f>661.4786*(5*((1 + ( (1-0.00068755856*I$4)^5.2558797)*((1 + 'LRC Mach'!I15^2/5)^3.5 - 1))^(2/7) - 1))^0.5</f>
        <v>321.2623181862171</v>
      </c>
      <c r="J15" s="50">
        <f>661.4786*(5*((1 + ( (1-0.00068755856*J$4)^5.2558797)*((1 + 'LRC Mach'!J15^2/5)^3.5 - 1))^(2/7) - 1))^0.5</f>
        <v>321.0047463004376</v>
      </c>
      <c r="K15" s="50">
        <f>661.4786*(5*((1 + ( (1-0.00068755856*K$4)^5.2558797)*((1 + 'LRC Mach'!K15^2/5)^3.5 - 1))^(2/7) - 1))^0.5</f>
        <v>320.09934796924875</v>
      </c>
      <c r="L15" s="50">
        <f>661.4786*(5*((1 + ( (1-0.00068755856*L$4)^5.2558797)*((1 + 'LRC Mach'!L15^2/5)^3.5 - 1))^(2/7) - 1))^0.5</f>
        <v>319.59323899615998</v>
      </c>
      <c r="M15" s="50">
        <f>661.4786*(5*((1 + ( (1-0.00068755856*M$4)^5.2558797)*((1 + 'LRC Mach'!M15^2/5)^3.5 - 1))^(2/7) - 1))^0.5</f>
        <v>318.46039331372776</v>
      </c>
      <c r="N15" s="50">
        <f>661.4786*(5*((1 + ( (1-0.00068755856*N$4)^5.2558797)*((1 + 'LRC Mach'!N15^2/5)^3.5 - 1))^(2/7) - 1))^0.5</f>
        <v>317.71622183901769</v>
      </c>
      <c r="O15" s="50">
        <f>661.4786*(5*((1 + ( (1-0.00068755856*O$4)^5.2558797)*((1 + 'LRC Mach'!O15^2/5)^3.5 - 1))^(2/7) - 1))^0.5</f>
        <v>316.85306448590774</v>
      </c>
      <c r="P15" s="50">
        <f>661.4786*(5*((1 + ( (1-0.00068755856*P$4)^5.2558797)*((1 + 'LRC Mach'!P15^2/5)^3.5 - 1))^(2/7) - 1))^0.5</f>
        <v>315.87351567087563</v>
      </c>
      <c r="Q15" s="50">
        <f>661.4786*(5*((1 + ( (1-0.00068755856*Q$4)^5.2558797)*((1 + 'LRC Mach'!Q15^2/5)^3.5 - 1))^(2/7) - 1))^0.5</f>
        <v>315.25261335293567</v>
      </c>
      <c r="R15" s="50">
        <f>661.4786*(5*((1 + ( (1-0.00068755856*R$4)^5.2558797)*((1 + 'LRC Mach'!R15^2/5)^3.5 - 1))^(2/7) - 1))^0.5</f>
        <v>314.50593023692846</v>
      </c>
      <c r="S15" s="50">
        <f>661.4786*(5*((1 + ( (1-0.00068755856*S$4)^5.2558797)*((1 + 'LRC Mach'!S15^2/5)^3.5 - 1))^(2/7) - 1))^0.5</f>
        <v>313.63621205345288</v>
      </c>
      <c r="T15" s="50">
        <f>661.4786*(5*((1 + ( (1-0.00068755856*T$4)^5.2558797)*((1 + 'LRC Mach'!T15^2/5)^3.5 - 1))^(2/7) - 1))^0.5</f>
        <v>313.09750135531294</v>
      </c>
      <c r="U15" s="50">
        <f>661.4786*(5*((1 + ( (1-0.00068755856*U$4)^5.2558797)*((1 + 'LRC Mach'!U15^2/5)^3.5 - 1))^(2/7) - 1))^0.5</f>
        <v>312.4274115322732</v>
      </c>
      <c r="V15" s="50">
        <f>661.4786*(5*((1 + ( (1-0.00068755856*V$4)^5.2558797)*((1 + 'LRC Mach'!V15^2/5)^3.5 - 1))^(2/7) - 1))^0.5</f>
        <v>311.62880994977701</v>
      </c>
      <c r="W15" s="50">
        <f>661.4786*(5*((1 + ( (1-0.00068755856*W$4)^5.2558797)*((1 + 'LRC Mach'!W15^2/5)^3.5 - 1))^(2/7) - 1))^0.5</f>
        <v>311.13586089492628</v>
      </c>
      <c r="X15" s="50">
        <f>661.4786*(5*((1 + ( (1-0.00068755856*X$4)^5.2558797)*((1 + 'LRC Mach'!X15^2/5)^3.5 - 1))^(2/7) - 1))^0.5</f>
        <v>310.08209731970243</v>
      </c>
      <c r="Y15" s="50">
        <f>661.4786*(5*((1 + ( (1-0.00068755856*Y$4)^5.2558797)*((1 + 'LRC Mach'!Y15^2/5)^3.5 - 1))^(2/7) - 1))^0.5</f>
        <v>308.90820976935385</v>
      </c>
      <c r="Z15" s="50">
        <f>661.4786*(5*((1 + ( (1-0.00068755856*Z$4)^5.2558797)*((1 + 'LRC Mach'!Z15^2/5)^3.5 - 1))^(2/7) - 1))^0.5</f>
        <v>306.79312572322362</v>
      </c>
      <c r="AA15" s="50">
        <f>661.4786*(5*((1 + ( (1-0.00068755856*AA$4)^5.2558797)*((1 + 'LRC Mach'!AA15^2/5)^3.5 - 1))^(2/7) - 1))^0.5</f>
        <v>304.18400284042951</v>
      </c>
      <c r="AB15" s="50">
        <f>661.4786*(5*((1 + ( (1-0.00068755856*AB$4)^5.2558797)*((1 + 'LRC Mach'!AB15^2/5)^3.5 - 1))^(2/7) - 1))^0.5</f>
        <v>299.90908073048286</v>
      </c>
      <c r="AC15" s="50">
        <f>661.4786*(5*((1 + ( (1-0.00068755856*AC$4)^5.2558797)*((1 + 'LRC Mach'!AC15^2/5)^3.5 - 1))^(2/7) - 1))^0.5</f>
        <v>294.05639120407898</v>
      </c>
      <c r="AD15" s="50">
        <f>661.4786*(5*((1 + ( (1-0.00068755856*AD$4)^5.2558797)*((1 + 'LRC Mach'!AD15^2/5)^3.5 - 1))^(2/7) - 1))^0.5</f>
        <v>287.1013315772521</v>
      </c>
      <c r="AE15" s="50">
        <f>661.4786*(5*((1 + ( (1-0.00068755856*AE$4)^5.2558797)*((1 + 'LRC Mach'!AE15^2/5)^3.5 - 1))^(2/7) - 1))^0.5</f>
        <v>280.23843266665455</v>
      </c>
      <c r="AF15" s="50">
        <f>661.4786*(5*((1 + ( (1-0.00068755856*AF$4)^5.2558797)*((1 + 'LRC Mach'!AF15^2/5)^3.5 - 1))^(2/7) - 1))^0.5</f>
        <v>273.83423408756983</v>
      </c>
      <c r="AG15" s="50">
        <f>661.4786*(5*((1 + ( (1-0.00068755856*AG$4)^5.2558797)*((1 + 'LRC Mach'!AG15^2/5)^3.5 - 1))^(2/7) - 1))^0.5</f>
        <v>267.50735925077464</v>
      </c>
      <c r="AH15" s="50">
        <f>661.4786*(5*((1 + ( (1-0.00068755856*AH$4)^5.2558797)*((1 + 'LRC Mach'!AH15^2/5)^3.5 - 1))^(2/7) - 1))^0.5</f>
        <v>260.90781716294043</v>
      </c>
      <c r="AI15" s="50">
        <f>661.4786*(5*((1 + ( (1-0.00068755856*AI$4)^5.2558797)*((1 + 'LRC Mach'!AI15^2/5)^3.5 - 1))^(2/7) - 1))^0.5</f>
        <v>254.74484247727187</v>
      </c>
      <c r="AJ15" s="50">
        <f>661.4786*(5*((1 + ( (1-0.00068755856*AJ$4)^5.2558797)*((1 + 'LRC Mach'!AJ15^2/5)^3.5 - 1))^(2/7) - 1))^0.5</f>
        <v>248.66062291090481</v>
      </c>
      <c r="AK15" s="50">
        <f>661.4786*(5*((1 + ( (1-0.00068755856*AK$4)^5.2558797)*((1 + 'LRC Mach'!AK15^2/5)^3.5 - 1))^(2/7) - 1))^0.5</f>
        <v>242.65557910186928</v>
      </c>
      <c r="AL15" s="52">
        <f>661.4786*(5*((1 + ( (1-0.00068755856*AL$4)^5.2558797)*((1 + 'LRC Mach'!AL15^2/5)^3.5 - 1))^(2/7) - 1))^0.5</f>
        <v>236.73009536994434</v>
      </c>
    </row>
    <row r="16" spans="2:38" ht="24" customHeight="1" thickBot="1" x14ac:dyDescent="0.25">
      <c r="B16" s="917"/>
      <c r="C16" s="16">
        <v>250</v>
      </c>
      <c r="D16" s="51">
        <f>661.4786*(5*((1 + ( (1-0.00068755856*D$4)^5.2558797)*((1 + 'LRC Mach'!D16^2/5)^3.5 - 1))^(2/7) - 1))^0.5</f>
        <v>324.94753449826322</v>
      </c>
      <c r="E16" s="51">
        <f>661.4786*(5*((1 + ( (1-0.00068755856*E$4)^5.2558797)*((1 + 'LRC Mach'!E16^2/5)^3.5 - 1))^(2/7) - 1))^0.5</f>
        <v>325.19476389515057</v>
      </c>
      <c r="F16" s="51">
        <f>661.4786*(5*((1 + ( (1-0.00068755856*F$4)^5.2558797)*((1 + 'LRC Mach'!F16^2/5)^3.5 - 1))^(2/7) - 1))^0.5</f>
        <v>324.91577435598521</v>
      </c>
      <c r="G16" s="51">
        <f>661.4786*(5*((1 + ( (1-0.00068755856*G$4)^5.2558797)*((1 + 'LRC Mach'!G16^2/5)^3.5 - 1))^(2/7) - 1))^0.5</f>
        <v>325.23487652435927</v>
      </c>
      <c r="H16" s="51">
        <f>661.4786*(5*((1 + ( (1-0.00068755856*H$4)^5.2558797)*((1 + 'LRC Mach'!H16^2/5)^3.5 - 1))^(2/7) - 1))^0.5</f>
        <v>325.18692812334132</v>
      </c>
      <c r="I16" s="51">
        <f>661.4786*(5*((1 + ( (1-0.00068755856*I$4)^5.2558797)*((1 + 'LRC Mach'!I16^2/5)^3.5 - 1))^(2/7) - 1))^0.5</f>
        <v>325.00453613620459</v>
      </c>
      <c r="J16" s="51">
        <f>661.4786*(5*((1 + ( (1-0.00068755856*J$4)^5.2558797)*((1 + 'LRC Mach'!J16^2/5)^3.5 - 1))^(2/7) - 1))^0.5</f>
        <v>325.21742300789668</v>
      </c>
      <c r="K16" s="51">
        <f>661.4786*(5*((1 + ( (1-0.00068755856*K$4)^5.2558797)*((1 + 'LRC Mach'!K16^2/5)^3.5 - 1))^(2/7) - 1))^0.5</f>
        <v>324.76669675980827</v>
      </c>
      <c r="L16" s="50">
        <f>661.4786*(5*((1 + ( (1-0.00068755856*L$4)^5.2558797)*((1 + 'LRC Mach'!L16^2/5)^3.5 - 1))^(2/7) - 1))^0.5</f>
        <v>324.70122479407604</v>
      </c>
      <c r="M16" s="50">
        <f>661.4786*(5*((1 + ( (1-0.00068755856*M$4)^5.2558797)*((1 + 'LRC Mach'!M16^2/5)^3.5 - 1))^(2/7) - 1))^0.5</f>
        <v>323.9935567698642</v>
      </c>
      <c r="N16" s="50">
        <f>661.4786*(5*((1 + ( (1-0.00068755856*N$4)^5.2558797)*((1 + 'LRC Mach'!N16^2/5)^3.5 - 1))^(2/7) - 1))^0.5</f>
        <v>323.16536581914147</v>
      </c>
      <c r="O16" s="50">
        <f>661.4786*(5*((1 + ( (1-0.00068755856*O$4)^5.2558797)*((1 + 'LRC Mach'!O16^2/5)^3.5 - 1))^(2/7) - 1))^0.5</f>
        <v>322.21924999292901</v>
      </c>
      <c r="P16" s="50">
        <f>661.4786*(5*((1 + ( (1-0.00068755856*P$4)^5.2558797)*((1 + 'LRC Mach'!P16^2/5)^3.5 - 1))^(2/7) - 1))^0.5</f>
        <v>321.63878994107347</v>
      </c>
      <c r="Q16" s="50">
        <f>661.4786*(5*((1 + ( (1-0.00068755856*Q$4)^5.2558797)*((1 + 'LRC Mach'!Q16^2/5)^3.5 - 1))^(2/7) - 1))^0.5</f>
        <v>320.93091298329324</v>
      </c>
      <c r="R16" s="50">
        <f>661.4786*(5*((1 + ( (1-0.00068755856*R$4)^5.2558797)*((1 + 'LRC Mach'!R16^2/5)^3.5 - 1))^(2/7) - 1))^0.5</f>
        <v>320.09836954428243</v>
      </c>
      <c r="S16" s="50">
        <f>661.4786*(5*((1 + ( (1-0.00068755856*S$4)^5.2558797)*((1 + 'LRC Mach'!S16^2/5)^3.5 - 1))^(2/7) - 1))^0.5</f>
        <v>319.14386356593849</v>
      </c>
      <c r="T16" s="50">
        <f>661.4786*(5*((1 + ( (1-0.00068755856*T$4)^5.2558797)*((1 + 'LRC Mach'!T16^2/5)^3.5 - 1))^(2/7) - 1))^0.5</f>
        <v>318.52281639831222</v>
      </c>
      <c r="U16" s="50">
        <f>661.4786*(5*((1 + ( (1-0.00068755856*U$4)^5.2558797)*((1 + 'LRC Mach'!U16^2/5)^3.5 - 1))^(2/7) - 1))^0.5</f>
        <v>317.77144880015351</v>
      </c>
      <c r="V16" s="50">
        <f>661.4786*(5*((1 + ( (1-0.00068755856*V$4)^5.2558797)*((1 + 'LRC Mach'!V16^2/5)^3.5 - 1))^(2/7) - 1))^0.5</f>
        <v>317.33203872032021</v>
      </c>
      <c r="W16" s="50">
        <f>661.4786*(5*((1 + ( (1-0.00068755856*W$4)^5.2558797)*((1 + 'LRC Mach'!W16^2/5)^3.5 - 1))^(2/7) - 1))^0.5</f>
        <v>316.32186328872274</v>
      </c>
      <c r="X16" s="50">
        <f>661.4786*(5*((1 + ( (1-0.00068755856*X$4)^5.2558797)*((1 + 'LRC Mach'!X16^2/5)^3.5 - 1))^(2/7) - 1))^0.5</f>
        <v>314.76342548882161</v>
      </c>
      <c r="Y16" s="50">
        <f>661.4786*(5*((1 + ( (1-0.00068755856*Y$4)^5.2558797)*((1 + 'LRC Mach'!Y16^2/5)^3.5 - 1))^(2/7) - 1))^0.5</f>
        <v>313.09876954023287</v>
      </c>
      <c r="Z16" s="50">
        <f>661.4786*(5*((1 + ( (1-0.00068755856*Z$4)^5.2558797)*((1 + 'LRC Mach'!Z16^2/5)^3.5 - 1))^(2/7) - 1))^0.5</f>
        <v>310.50419128169921</v>
      </c>
      <c r="AA16" s="50">
        <f>661.4786*(5*((1 + ( (1-0.00068755856*AA$4)^5.2558797)*((1 + 'LRC Mach'!AA16^2/5)^3.5 - 1))^(2/7) - 1))^0.5</f>
        <v>306.61650000597075</v>
      </c>
      <c r="AB16" s="50">
        <f>661.4786*(5*((1 + ( (1-0.00068755856*AB$4)^5.2558797)*((1 + 'LRC Mach'!AB16^2/5)^3.5 - 1))^(2/7) - 1))^0.5</f>
        <v>300.7049511436332</v>
      </c>
      <c r="AC16" s="50">
        <f>661.4786*(5*((1 + ( (1-0.00068755856*AC$4)^5.2558797)*((1 + 'LRC Mach'!AC16^2/5)^3.5 - 1))^(2/7) - 1))^0.5</f>
        <v>294.05639120407898</v>
      </c>
      <c r="AD16" s="50">
        <f>661.4786*(5*((1 + ( (1-0.00068755856*AD$4)^5.2558797)*((1 + 'LRC Mach'!AD16^2/5)^3.5 - 1))^(2/7) - 1))^0.5</f>
        <v>286.71938442173132</v>
      </c>
      <c r="AE16" s="50">
        <f>661.4786*(5*((1 + ( (1-0.00068755856*AE$4)^5.2558797)*((1 + 'LRC Mach'!AE16^2/5)^3.5 - 1))^(2/7) - 1))^0.5</f>
        <v>280.23843266665455</v>
      </c>
      <c r="AF16" s="50">
        <f>661.4786*(5*((1 + ( (1-0.00068755856*AF$4)^5.2558797)*((1 + 'LRC Mach'!AF16^2/5)^3.5 - 1))^(2/7) - 1))^0.5</f>
        <v>273.46816649726355</v>
      </c>
      <c r="AG16" s="50">
        <f>661.4786*(5*((1 + ( (1-0.00068755856*AG$4)^5.2558797)*((1 + 'LRC Mach'!AG16^2/5)^3.5 - 1))^(2/7) - 1))^0.5</f>
        <v>267.50735925077464</v>
      </c>
      <c r="AH16" s="50">
        <f>661.4786*(5*((1 + ( (1-0.00068755856*AH$4)^5.2558797)*((1 + 'LRC Mach'!AH16^2/5)^3.5 - 1))^(2/7) - 1))^0.5</f>
        <v>260.90781716294043</v>
      </c>
      <c r="AI16" s="50">
        <f>661.4786*(5*((1 + ( (1-0.00068755856*AI$4)^5.2558797)*((1 + 'LRC Mach'!AI16^2/5)^3.5 - 1))^(2/7) - 1))^0.5</f>
        <v>254.74484247727187</v>
      </c>
      <c r="AJ16" s="50">
        <f>661.4786*(5*((1 + ( (1-0.00068755856*AJ$4)^5.2558797)*((1 + 'LRC Mach'!AJ16^2/5)^3.5 - 1))^(2/7) - 1))^0.5</f>
        <v>248.66062291090481</v>
      </c>
      <c r="AK16" s="50">
        <f>661.4786*(5*((1 + ( (1-0.00068755856*AK$4)^5.2558797)*((1 + 'LRC Mach'!AK16^2/5)^3.5 - 1))^(2/7) - 1))^0.5</f>
        <v>242.65557910186928</v>
      </c>
      <c r="AL16" s="52">
        <f>661.4786*(5*((1 + ( (1-0.00068755856*AL$4)^5.2558797)*((1 + 'LRC Mach'!AL16^2/5)^3.5 - 1))^(2/7) - 1))^0.5</f>
        <v>236.73009536994434</v>
      </c>
    </row>
    <row r="17" spans="2:38" ht="24" customHeight="1" thickBot="1" x14ac:dyDescent="0.25">
      <c r="B17" s="917"/>
      <c r="C17" s="16">
        <v>260</v>
      </c>
      <c r="D17" s="51">
        <f>661.4786*(5*((1 + ( (1-0.00068755856*D$4)^5.2558797)*((1 + 'LRC Mach'!D17^2/5)^3.5 - 1))^(2/7) - 1))^0.5</f>
        <v>324.94753449826322</v>
      </c>
      <c r="E17" s="51">
        <f>661.4786*(5*((1 + ( (1-0.00068755856*E$4)^5.2558797)*((1 + 'LRC Mach'!E17^2/5)^3.5 - 1))^(2/7) - 1))^0.5</f>
        <v>325.19476389515057</v>
      </c>
      <c r="F17" s="51">
        <f>661.4786*(5*((1 + ( (1-0.00068755856*F$4)^5.2558797)*((1 + 'LRC Mach'!F17^2/5)^3.5 - 1))^(2/7) - 1))^0.5</f>
        <v>324.91577435598521</v>
      </c>
      <c r="G17" s="51">
        <f>661.4786*(5*((1 + ( (1-0.00068755856*G$4)^5.2558797)*((1 + 'LRC Mach'!G17^2/5)^3.5 - 1))^(2/7) - 1))^0.5</f>
        <v>325.23487652435927</v>
      </c>
      <c r="H17" s="51">
        <f>661.4786*(5*((1 + ( (1-0.00068755856*H$4)^5.2558797)*((1 + 'LRC Mach'!H17^2/5)^3.5 - 1))^(2/7) - 1))^0.5</f>
        <v>325.18692812334132</v>
      </c>
      <c r="I17" s="51">
        <f>661.4786*(5*((1 + ( (1-0.00068755856*I$4)^5.2558797)*((1 + 'LRC Mach'!I17^2/5)^3.5 - 1))^(2/7) - 1))^0.5</f>
        <v>325.00453613620459</v>
      </c>
      <c r="J17" s="51">
        <f>661.4786*(5*((1 + ( (1-0.00068755856*J$4)^5.2558797)*((1 + 'LRC Mach'!J17^2/5)^3.5 - 1))^(2/7) - 1))^0.5</f>
        <v>325.21742300789668</v>
      </c>
      <c r="K17" s="51">
        <f>661.4786*(5*((1 + ( (1-0.00068755856*K$4)^5.2558797)*((1 + 'LRC Mach'!K17^2/5)^3.5 - 1))^(2/7) - 1))^0.5</f>
        <v>324.76669675980827</v>
      </c>
      <c r="L17" s="51">
        <f>661.4786*(5*((1 + ( (1-0.00068755856*L$4)^5.2558797)*((1 + 'LRC Mach'!L17^2/5)^3.5 - 1))^(2/7) - 1))^0.5</f>
        <v>325.21252747430196</v>
      </c>
      <c r="M17" s="51">
        <f>661.4786*(5*((1 + ( (1-0.00068755856*M$4)^5.2558797)*((1 + 'LRC Mach'!M17^2/5)^3.5 - 1))^(2/7) - 1))^0.5</f>
        <v>325.00082821041394</v>
      </c>
      <c r="N17" s="51">
        <f>661.4786*(5*((1 + ( (1-0.00068755856*N$4)^5.2558797)*((1 + 'LRC Mach'!N17^2/5)^3.5 - 1))^(2/7) - 1))^0.5</f>
        <v>325.14985078262811</v>
      </c>
      <c r="O17" s="51">
        <f>661.4786*(5*((1 + ( (1-0.00068755856*O$4)^5.2558797)*((1 + 'LRC Mach'!O17^2/5)^3.5 - 1))^(2/7) - 1))^0.5</f>
        <v>325.1515061303719</v>
      </c>
      <c r="P17" s="51">
        <f>661.4786*(5*((1 + ( (1-0.00068755856*P$4)^5.2558797)*((1 + 'LRC Mach'!P17^2/5)^3.5 - 1))^(2/7) - 1))^0.5</f>
        <v>325.00893690589504</v>
      </c>
      <c r="Q17" s="51">
        <f>661.4786*(5*((1 + ( (1-0.00068755856*Q$4)^5.2558797)*((1 + 'LRC Mach'!Q17^2/5)^3.5 - 1))^(2/7) - 1))^0.5</f>
        <v>325.20000262127837</v>
      </c>
      <c r="R17" s="51">
        <f>661.4786*(5*((1 + ( (1-0.00068755856*R$4)^5.2558797)*((1 + 'LRC Mach'!R17^2/5)^3.5 - 1))^(2/7) - 1))^0.5</f>
        <v>324.77115035343354</v>
      </c>
      <c r="S17" s="50">
        <f>661.4786*(5*((1 + ( (1-0.00068755856*S$4)^5.2558797)*((1 + 'LRC Mach'!S17^2/5)^3.5 - 1))^(2/7) - 1))^0.5</f>
        <v>324.66820716777426</v>
      </c>
      <c r="T17" s="50">
        <f>661.4786*(5*((1 + ( (1-0.00068755856*T$4)^5.2558797)*((1 + 'LRC Mach'!T17^2/5)^3.5 - 1))^(2/7) - 1))^0.5</f>
        <v>323.96524637466121</v>
      </c>
      <c r="U17" s="50">
        <f>661.4786*(5*((1 + ( (1-0.00068755856*U$4)^5.2558797)*((1 + 'LRC Mach'!U17^2/5)^3.5 - 1))^(2/7) - 1))^0.5</f>
        <v>323.13300254777334</v>
      </c>
      <c r="V17" s="50">
        <f>661.4786*(5*((1 + ( (1-0.00068755856*V$4)^5.2558797)*((1 + 'LRC Mach'!V17^2/5)^3.5 - 1))^(2/7) - 1))^0.5</f>
        <v>322.17425723001628</v>
      </c>
      <c r="W17" s="50">
        <f>661.4786*(5*((1 + ( (1-0.00068755856*W$4)^5.2558797)*((1 + 'LRC Mach'!W17^2/5)^3.5 - 1))^(2/7) - 1))^0.5</f>
        <v>321.09174449049124</v>
      </c>
      <c r="X17" s="50">
        <f>661.4786*(5*((1 + ( (1-0.00068755856*X$4)^5.2558797)*((1 + 'LRC Mach'!X17^2/5)^3.5 - 1))^(2/7) - 1))^0.5</f>
        <v>319.46037909979628</v>
      </c>
      <c r="Y17" s="50">
        <f>661.4786*(5*((1 + ( (1-0.00068755856*Y$4)^5.2558797)*((1 + 'LRC Mach'!Y17^2/5)^3.5 - 1))^(2/7) - 1))^0.5</f>
        <v>316.88149290675551</v>
      </c>
      <c r="Z17" s="50">
        <f>661.4786*(5*((1 + ( (1-0.00068755856*Z$4)^5.2558797)*((1 + 'LRC Mach'!Z17^2/5)^3.5 - 1))^(2/7) - 1))^0.5</f>
        <v>312.98421748142016</v>
      </c>
      <c r="AA17" s="50">
        <f>661.4786*(5*((1 + ( (1-0.00068755856*AA$4)^5.2558797)*((1 + 'LRC Mach'!AA17^2/5)^3.5 - 1))^(2/7) - 1))^0.5</f>
        <v>307.42840645475212</v>
      </c>
      <c r="AB17" s="50">
        <f>661.4786*(5*((1 + ( (1-0.00068755856*AB$4)^5.2558797)*((1 + 'LRC Mach'!AB17^2/5)^3.5 - 1))^(2/7) - 1))^0.5</f>
        <v>300.7049511436332</v>
      </c>
      <c r="AC17" s="50">
        <f>661.4786*(5*((1 + ( (1-0.00068755856*AC$4)^5.2558797)*((1 + 'LRC Mach'!AC17^2/5)^3.5 - 1))^(2/7) - 1))^0.5</f>
        <v>293.66636889942305</v>
      </c>
      <c r="AD17" s="50">
        <f>661.4786*(5*((1 + ( (1-0.00068755856*AD$4)^5.2558797)*((1 + 'LRC Mach'!AD17^2/5)^3.5 - 1))^(2/7) - 1))^0.5</f>
        <v>286.71938442173132</v>
      </c>
      <c r="AE17" s="50">
        <f>661.4786*(5*((1 + ( (1-0.00068755856*AE$4)^5.2558797)*((1 + 'LRC Mach'!AE17^2/5)^3.5 - 1))^(2/7) - 1))^0.5</f>
        <v>279.86451659556133</v>
      </c>
      <c r="AF17" s="50">
        <f>661.4786*(5*((1 + ( (1-0.00068755856*AF$4)^5.2558797)*((1 + 'LRC Mach'!AF17^2/5)^3.5 - 1))^(2/7) - 1))^0.5</f>
        <v>273.83423408756983</v>
      </c>
      <c r="AG17" s="50">
        <f>661.4786*(5*((1 + ( (1-0.00068755856*AG$4)^5.2558797)*((1 + 'LRC Mach'!AG17^2/5)^3.5 - 1))^(2/7) - 1))^0.5</f>
        <v>267.14908979390952</v>
      </c>
      <c r="AH17" s="50">
        <f>661.4786*(5*((1 + ( (1-0.00068755856*AH$4)^5.2558797)*((1 + 'LRC Mach'!AH17^2/5)^3.5 - 1))^(2/7) - 1))^0.5</f>
        <v>260.90781716294043</v>
      </c>
      <c r="AI17" s="50">
        <f>661.4786*(5*((1 + ( (1-0.00068755856*AI$4)^5.2558797)*((1 + 'LRC Mach'!AI17^2/5)^3.5 - 1))^(2/7) - 1))^0.5</f>
        <v>254.74484247727187</v>
      </c>
      <c r="AJ17" s="50">
        <f>661.4786*(5*((1 + ( (1-0.00068755856*AJ$4)^5.2558797)*((1 + 'LRC Mach'!AJ17^2/5)^3.5 - 1))^(2/7) - 1))^0.5</f>
        <v>248.66062291090481</v>
      </c>
      <c r="AK17" s="50">
        <f>661.4786*(5*((1 + ( (1-0.00068755856*AK$4)^5.2558797)*((1 + 'LRC Mach'!AK17^2/5)^3.5 - 1))^(2/7) - 1))^0.5</f>
        <v>242.65557910186928</v>
      </c>
      <c r="AL17" s="52">
        <f>661.4786*(5*((1 + ( (1-0.00068755856*AL$4)^5.2558797)*((1 + 'LRC Mach'!AL17^2/5)^3.5 - 1))^(2/7) - 1))^0.5</f>
        <v>236.73009536994434</v>
      </c>
    </row>
    <row r="18" spans="2:38" ht="24" customHeight="1" thickBot="1" x14ac:dyDescent="0.25">
      <c r="B18" s="917"/>
      <c r="C18" s="16">
        <v>270</v>
      </c>
      <c r="D18" s="51">
        <f>661.4786*(5*((1 + ( (1-0.00068755856*D$4)^5.2558797)*((1 + 'LRC Mach'!D18^2/5)^3.5 - 1))^(2/7) - 1))^0.5</f>
        <v>324.94753449826322</v>
      </c>
      <c r="E18" s="51">
        <f>661.4786*(5*((1 + ( (1-0.00068755856*E$4)^5.2558797)*((1 + 'LRC Mach'!E18^2/5)^3.5 - 1))^(2/7) - 1))^0.5</f>
        <v>325.19476389515057</v>
      </c>
      <c r="F18" s="51">
        <f>661.4786*(5*((1 + ( (1-0.00068755856*F$4)^5.2558797)*((1 + 'LRC Mach'!F18^2/5)^3.5 - 1))^(2/7) - 1))^0.5</f>
        <v>324.91577435598521</v>
      </c>
      <c r="G18" s="51">
        <f>661.4786*(5*((1 + ( (1-0.00068755856*G$4)^5.2558797)*((1 + 'LRC Mach'!G18^2/5)^3.5 - 1))^(2/7) - 1))^0.5</f>
        <v>325.23487652435927</v>
      </c>
      <c r="H18" s="51">
        <f>661.4786*(5*((1 + ( (1-0.00068755856*H$4)^5.2558797)*((1 + 'LRC Mach'!H18^2/5)^3.5 - 1))^(2/7) - 1))^0.5</f>
        <v>325.18692812334132</v>
      </c>
      <c r="I18" s="51">
        <f>661.4786*(5*((1 + ( (1-0.00068755856*I$4)^5.2558797)*((1 + 'LRC Mach'!I18^2/5)^3.5 - 1))^(2/7) - 1))^0.5</f>
        <v>325.00453613620459</v>
      </c>
      <c r="J18" s="51">
        <f>661.4786*(5*((1 + ( (1-0.00068755856*J$4)^5.2558797)*((1 + 'LRC Mach'!J18^2/5)^3.5 - 1))^(2/7) - 1))^0.5</f>
        <v>325.21742300789668</v>
      </c>
      <c r="K18" s="51">
        <f>661.4786*(5*((1 + ( (1-0.00068755856*K$4)^5.2558797)*((1 + 'LRC Mach'!K18^2/5)^3.5 - 1))^(2/7) - 1))^0.5</f>
        <v>324.76669675980827</v>
      </c>
      <c r="L18" s="51">
        <f>661.4786*(5*((1 + ( (1-0.00068755856*L$4)^5.2558797)*((1 + 'LRC Mach'!L18^2/5)^3.5 - 1))^(2/7) - 1))^0.5</f>
        <v>325.21252747430196</v>
      </c>
      <c r="M18" s="51">
        <f>661.4786*(5*((1 + ( (1-0.00068755856*M$4)^5.2558797)*((1 + 'LRC Mach'!M18^2/5)^3.5 - 1))^(2/7) - 1))^0.5</f>
        <v>325.00082821041394</v>
      </c>
      <c r="N18" s="51">
        <f>661.4786*(5*((1 + ( (1-0.00068755856*N$4)^5.2558797)*((1 + 'LRC Mach'!N18^2/5)^3.5 - 1))^(2/7) - 1))^0.5</f>
        <v>325.14985078262811</v>
      </c>
      <c r="O18" s="51">
        <f>661.4786*(5*((1 + ( (1-0.00068755856*O$4)^5.2558797)*((1 + 'LRC Mach'!O18^2/5)^3.5 - 1))^(2/7) - 1))^0.5</f>
        <v>324.17367433389603</v>
      </c>
      <c r="P18" s="51">
        <f>661.4786*(5*((1 + ( (1-0.00068755856*P$4)^5.2558797)*((1 + 'LRC Mach'!P18^2/5)^3.5 - 1))^(2/7) - 1))^0.5</f>
        <v>325.00893690589504</v>
      </c>
      <c r="Q18" s="51">
        <f>661.4786*(5*((1 + ( (1-0.00068755856*Q$4)^5.2558797)*((1 + 'LRC Mach'!Q18^2/5)^3.5 - 1))^(2/7) - 1))^0.5</f>
        <v>325.20000262127837</v>
      </c>
      <c r="R18" s="51">
        <f>661.4786*(5*((1 + ( (1-0.00068755856*R$4)^5.2558797)*((1 + 'LRC Mach'!R18^2/5)^3.5 - 1))^(2/7) - 1))^0.5</f>
        <v>324.77115035343354</v>
      </c>
      <c r="S18" s="51">
        <f>661.4786*(5*((1 + ( (1-0.00068755856*S$4)^5.2558797)*((1 + 'LRC Mach'!S18^2/5)^3.5 - 1))^(2/7) - 1))^0.5</f>
        <v>325.12932733596648</v>
      </c>
      <c r="T18" s="51">
        <f>661.4786*(5*((1 + ( (1-0.00068755856*T$4)^5.2558797)*((1 + 'LRC Mach'!T18^2/5)^3.5 - 1))^(2/7) - 1))^0.5</f>
        <v>324.87399272920896</v>
      </c>
      <c r="U18" s="51">
        <f>661.4786*(5*((1 + ( (1-0.00068755856*U$4)^5.2558797)*((1 + 'LRC Mach'!U18^2/5)^3.5 - 1))^(2/7) - 1))^0.5</f>
        <v>324.92410638642167</v>
      </c>
      <c r="V18" s="51">
        <f>661.4786*(5*((1 + ( (1-0.00068755856*V$4)^5.2558797)*((1 + 'LRC Mach'!V18^2/5)^3.5 - 1))^(2/7) - 1))^0.5</f>
        <v>324.82185337709689</v>
      </c>
      <c r="W18" s="51">
        <f>661.4786*(5*((1 + ( (1-0.00068755856*W$4)^5.2558797)*((1 + 'LRC Mach'!W18^2/5)^3.5 - 1))^(2/7) - 1))^0.5</f>
        <v>325.00587767909758</v>
      </c>
      <c r="X18" s="50">
        <f>661.4786*(5*((1 + ( (1-0.00068755856*X$4)^5.2558797)*((1 + 'LRC Mach'!X18^2/5)^3.5 - 1))^(2/7) - 1))^0.5</f>
        <v>322.88622959793253</v>
      </c>
      <c r="Y18" s="50">
        <f>661.4786*(5*((1 + ( (1-0.00068755856*Y$4)^5.2558797)*((1 + 'LRC Mach'!Y18^2/5)^3.5 - 1))^(2/7) - 1))^0.5</f>
        <v>319.4092485401199</v>
      </c>
      <c r="Z18" s="50">
        <f>661.4786*(5*((1 + ( (1-0.00068755856*Z$4)^5.2558797)*((1 + 'LRC Mach'!Z18^2/5)^3.5 - 1))^(2/7) - 1))^0.5</f>
        <v>313.81196076317684</v>
      </c>
      <c r="AA18" s="50">
        <f>661.4786*(5*((1 + ( (1-0.00068755856*AA$4)^5.2558797)*((1 + 'LRC Mach'!AA18^2/5)^3.5 - 1))^(2/7) - 1))^0.5</f>
        <v>307.42840645475212</v>
      </c>
      <c r="AB18" s="50">
        <f>661.4786*(5*((1 + ( (1-0.00068755856*AB$4)^5.2558797)*((1 + 'LRC Mach'!AB18^2/5)^3.5 - 1))^(2/7) - 1))^0.5</f>
        <v>300.30694844775132</v>
      </c>
      <c r="AC18" s="50">
        <f>661.4786*(5*((1 + ( (1-0.00068755856*AC$4)^5.2558797)*((1 + 'LRC Mach'!AC18^2/5)^3.5 - 1))^(2/7) - 1))^0.5</f>
        <v>293.27648187683616</v>
      </c>
      <c r="AD18" s="50">
        <f>661.4786*(5*((1 + ( (1-0.00068755856*AD$4)^5.2558797)*((1 + 'LRC Mach'!AD18^2/5)^3.5 - 1))^(2/7) - 1))^0.5</f>
        <v>286.33757256096084</v>
      </c>
      <c r="AE18" s="50">
        <f>661.4786*(5*((1 + ( (1-0.00068755856*AE$4)^5.2558797)*((1 + 'LRC Mach'!AE18^2/5)^3.5 - 1))^(2/7) - 1))^0.5</f>
        <v>280.23843266665455</v>
      </c>
      <c r="AF18" s="50">
        <f>661.4786*(5*((1 + ( (1-0.00068755856*AF$4)^5.2558797)*((1 + 'LRC Mach'!AF18^2/5)^3.5 - 1))^(2/7) - 1))^0.5</f>
        <v>273.46816649726355</v>
      </c>
      <c r="AG18" s="50">
        <f>661.4786*(5*((1 + ( (1-0.00068755856*AG$4)^5.2558797)*((1 + 'LRC Mach'!AG18^2/5)^3.5 - 1))^(2/7) - 1))^0.5</f>
        <v>267.14908979390952</v>
      </c>
      <c r="AH18" s="50">
        <f>661.4786*(5*((1 + ( (1-0.00068755856*AH$4)^5.2558797)*((1 + 'LRC Mach'!AH18^2/5)^3.5 - 1))^(2/7) - 1))^0.5</f>
        <v>260.90781716294043</v>
      </c>
      <c r="AI18" s="50">
        <f>661.4786*(5*((1 + ( (1-0.00068755856*AI$4)^5.2558797)*((1 + 'LRC Mach'!AI18^2/5)^3.5 - 1))^(2/7) - 1))^0.5</f>
        <v>254.74484247727187</v>
      </c>
      <c r="AJ18" s="50">
        <f>661.4786*(5*((1 + ( (1-0.00068755856*AJ$4)^5.2558797)*((1 + 'LRC Mach'!AJ18^2/5)^3.5 - 1))^(2/7) - 1))^0.5</f>
        <v>248.66062291090481</v>
      </c>
      <c r="AK18" s="50">
        <f>661.4786*(5*((1 + ( (1-0.00068755856*AK$4)^5.2558797)*((1 + 'LRC Mach'!AK18^2/5)^3.5 - 1))^(2/7) - 1))^0.5</f>
        <v>242.65557910186928</v>
      </c>
      <c r="AL18" s="52">
        <f>661.4786*(5*((1 + ( (1-0.00068755856*AL$4)^5.2558797)*((1 + 'LRC Mach'!AL18^2/5)^3.5 - 1))^(2/7) - 1))^0.5</f>
        <v>236.73009536994434</v>
      </c>
    </row>
    <row r="19" spans="2:38" ht="24" customHeight="1" thickBot="1" x14ac:dyDescent="0.25">
      <c r="B19" s="917"/>
      <c r="C19" s="16">
        <v>280</v>
      </c>
      <c r="D19" s="51">
        <f>661.4786*(5*((1 + ( (1-0.00068755856*D$4)^5.2558797)*((1 + 'LRC Mach'!D19^2/5)^3.5 - 1))^(2/7) - 1))^0.5</f>
        <v>324.94753449826322</v>
      </c>
      <c r="E19" s="51">
        <f>661.4786*(5*((1 + ( (1-0.00068755856*E$4)^5.2558797)*((1 + 'LRC Mach'!E19^2/5)^3.5 - 1))^(2/7) - 1))^0.5</f>
        <v>325.19476389515057</v>
      </c>
      <c r="F19" s="51">
        <f>661.4786*(5*((1 + ( (1-0.00068755856*F$4)^5.2558797)*((1 + 'LRC Mach'!F19^2/5)^3.5 - 1))^(2/7) - 1))^0.5</f>
        <v>324.91577435598521</v>
      </c>
      <c r="G19" s="51">
        <f>661.4786*(5*((1 + ( (1-0.00068755856*G$4)^5.2558797)*((1 + 'LRC Mach'!G19^2/5)^3.5 - 1))^(2/7) - 1))^0.5</f>
        <v>325.23487652435927</v>
      </c>
      <c r="H19" s="51">
        <f>661.4786*(5*((1 + ( (1-0.00068755856*H$4)^5.2558797)*((1 + 'LRC Mach'!H19^2/5)^3.5 - 1))^(2/7) - 1))^0.5</f>
        <v>325.18692812334132</v>
      </c>
      <c r="I19" s="51">
        <f>661.4786*(5*((1 + ( (1-0.00068755856*I$4)^5.2558797)*((1 + 'LRC Mach'!I19^2/5)^3.5 - 1))^(2/7) - 1))^0.5</f>
        <v>325.00453613620459</v>
      </c>
      <c r="J19" s="51">
        <f>661.4786*(5*((1 + ( (1-0.00068755856*J$4)^5.2558797)*((1 + 'LRC Mach'!J19^2/5)^3.5 - 1))^(2/7) - 1))^0.5</f>
        <v>325.21742300789668</v>
      </c>
      <c r="K19" s="51">
        <f>661.4786*(5*((1 + ( (1-0.00068755856*K$4)^5.2558797)*((1 + 'LRC Mach'!K19^2/5)^3.5 - 1))^(2/7) - 1))^0.5</f>
        <v>324.76669675980827</v>
      </c>
      <c r="L19" s="51">
        <f>661.4786*(5*((1 + ( (1-0.00068755856*L$4)^5.2558797)*((1 + 'LRC Mach'!L19^2/5)^3.5 - 1))^(2/7) - 1))^0.5</f>
        <v>325.21252747430196</v>
      </c>
      <c r="M19" s="51">
        <f>661.4786*(5*((1 + ( (1-0.00068755856*M$4)^5.2558797)*((1 + 'LRC Mach'!M19^2/5)^3.5 - 1))^(2/7) - 1))^0.5</f>
        <v>325.00082821041394</v>
      </c>
      <c r="N19" s="51">
        <f>661.4786*(5*((1 + ( (1-0.00068755856*N$4)^5.2558797)*((1 + 'LRC Mach'!N19^2/5)^3.5 - 1))^(2/7) - 1))^0.5</f>
        <v>325.14985078262811</v>
      </c>
      <c r="O19" s="51">
        <f>661.4786*(5*((1 + ( (1-0.00068755856*O$4)^5.2558797)*((1 + 'LRC Mach'!O19^2/5)^3.5 - 1))^(2/7) - 1))^0.5</f>
        <v>325.1515061303719</v>
      </c>
      <c r="P19" s="51">
        <f>661.4786*(5*((1 + ( (1-0.00068755856*P$4)^5.2558797)*((1 + 'LRC Mach'!P19^2/5)^3.5 - 1))^(2/7) - 1))^0.5</f>
        <v>325.00893690589504</v>
      </c>
      <c r="Q19" s="51">
        <f>661.4786*(5*((1 + ( (1-0.00068755856*Q$4)^5.2558797)*((1 + 'LRC Mach'!Q19^2/5)^3.5 - 1))^(2/7) - 1))^0.5</f>
        <v>325.20000262127837</v>
      </c>
      <c r="R19" s="51">
        <f>661.4786*(5*((1 + ( (1-0.00068755856*R$4)^5.2558797)*((1 + 'LRC Mach'!R19^2/5)^3.5 - 1))^(2/7) - 1))^0.5</f>
        <v>324.77115035343354</v>
      </c>
      <c r="S19" s="51">
        <f>661.4786*(5*((1 + ( (1-0.00068755856*S$4)^5.2558797)*((1 + 'LRC Mach'!S19^2/5)^3.5 - 1))^(2/7) - 1))^0.5</f>
        <v>325.12932733596648</v>
      </c>
      <c r="T19" s="51">
        <f>661.4786*(5*((1 + ( (1-0.00068755856*T$4)^5.2558797)*((1 + 'LRC Mach'!T19^2/5)^3.5 - 1))^(2/7) - 1))^0.5</f>
        <v>324.87399272920896</v>
      </c>
      <c r="U19" s="51">
        <f>661.4786*(5*((1 + ( (1-0.00068755856*U$4)^5.2558797)*((1 + 'LRC Mach'!U19^2/5)^3.5 - 1))^(2/7) - 1))^0.5</f>
        <v>324.92410638642167</v>
      </c>
      <c r="V19" s="51">
        <f>661.4786*(5*((1 + ( (1-0.00068755856*V$4)^5.2558797)*((1 + 'LRC Mach'!V19^2/5)^3.5 - 1))^(2/7) - 1))^0.5</f>
        <v>324.82185337709689</v>
      </c>
      <c r="W19" s="51">
        <f>661.4786*(5*((1 + ( (1-0.00068755856*W$4)^5.2558797)*((1 + 'LRC Mach'!W19^2/5)^3.5 - 1))^(2/7) - 1))^0.5</f>
        <v>325.00587767909758</v>
      </c>
      <c r="X19" s="51">
        <f>661.4786*(5*((1 + ( (1-0.00068755856*X$4)^5.2558797)*((1 + 'LRC Mach'!X19^2/5)^3.5 - 1))^(2/7) - 1))^0.5</f>
        <v>325.03163630406493</v>
      </c>
      <c r="Y19" s="50">
        <f>661.4786*(5*((1 + ( (1-0.00068755856*Y$4)^5.2558797)*((1 + 'LRC Mach'!Y19^2/5)^3.5 - 1))^(2/7) - 1))^0.5</f>
        <v>320.67491579433147</v>
      </c>
      <c r="Z19" s="50">
        <f>661.4786*(5*((1 + ( (1-0.00068755856*Z$4)^5.2558797)*((1 + 'LRC Mach'!Z19^2/5)^3.5 - 1))^(2/7) - 1))^0.5</f>
        <v>314.22603305645828</v>
      </c>
      <c r="AA19" s="50">
        <f>661.4786*(5*((1 + ( (1-0.00068755856*AA$4)^5.2558797)*((1 + 'LRC Mach'!AA19^2/5)^3.5 - 1))^(2/7) - 1))^0.5</f>
        <v>307.02238598713757</v>
      </c>
      <c r="AB19" s="50">
        <f>661.4786*(5*((1 + ( (1-0.00068755856*AB$4)^5.2558797)*((1 + 'LRC Mach'!AB19^2/5)^3.5 - 1))^(2/7) - 1))^0.5</f>
        <v>299.90908073048286</v>
      </c>
      <c r="AC19" s="50">
        <f>661.4786*(5*((1 + ( (1-0.00068755856*AC$4)^5.2558797)*((1 + 'LRC Mach'!AC19^2/5)^3.5 - 1))^(2/7) - 1))^0.5</f>
        <v>292.88673003132141</v>
      </c>
      <c r="AD19" s="50">
        <f>661.4786*(5*((1 + ( (1-0.00068755856*AD$4)^5.2558797)*((1 + 'LRC Mach'!AD19^2/5)^3.5 - 1))^(2/7) - 1))^0.5</f>
        <v>286.33757256096084</v>
      </c>
      <c r="AE19" s="50">
        <f>661.4786*(5*((1 + ( (1-0.00068755856*AE$4)^5.2558797)*((1 + 'LRC Mach'!AE19^2/5)^3.5 - 1))^(2/7) - 1))^0.5</f>
        <v>279.86451659556133</v>
      </c>
      <c r="AF19" s="50">
        <f>661.4786*(5*((1 + ( (1-0.00068755856*AF$4)^5.2558797)*((1 + 'LRC Mach'!AF19^2/5)^3.5 - 1))^(2/7) - 1))^0.5</f>
        <v>273.46816649726355</v>
      </c>
      <c r="AG19" s="50">
        <f>661.4786*(5*((1 + ( (1-0.00068755856*AG$4)^5.2558797)*((1 + 'LRC Mach'!AG19^2/5)^3.5 - 1))^(2/7) - 1))^0.5</f>
        <v>267.14908979390952</v>
      </c>
      <c r="AH19" s="50">
        <f>661.4786*(5*((1 + ( (1-0.00068755856*AH$4)^5.2558797)*((1 + 'LRC Mach'!AH19^2/5)^3.5 - 1))^(2/7) - 1))^0.5</f>
        <v>260.90781716294043</v>
      </c>
      <c r="AI19" s="50">
        <f>661.4786*(5*((1 + ( (1-0.00068755856*AI$4)^5.2558797)*((1 + 'LRC Mach'!AI19^2/5)^3.5 - 1))^(2/7) - 1))^0.5</f>
        <v>254.74484247727187</v>
      </c>
      <c r="AJ19" s="50">
        <f>661.4786*(5*((1 + ( (1-0.00068755856*AJ$4)^5.2558797)*((1 + 'LRC Mach'!AJ19^2/5)^3.5 - 1))^(2/7) - 1))^0.5</f>
        <v>248.66062291090481</v>
      </c>
      <c r="AK19" s="50">
        <f>661.4786*(5*((1 + ( (1-0.00068755856*AK$4)^5.2558797)*((1 + 'LRC Mach'!AK19^2/5)^3.5 - 1))^(2/7) - 1))^0.5</f>
        <v>242.65557910186928</v>
      </c>
      <c r="AL19" s="52">
        <f>661.4786*(5*((1 + ( (1-0.00068755856*AL$4)^5.2558797)*((1 + 'LRC Mach'!AL19^2/5)^3.5 - 1))^(2/7) - 1))^0.5</f>
        <v>236.73009536994434</v>
      </c>
    </row>
    <row r="20" spans="2:38" ht="24" customHeight="1" thickBot="1" x14ac:dyDescent="0.25">
      <c r="B20" s="917"/>
      <c r="C20" s="29">
        <v>290</v>
      </c>
      <c r="D20" s="51">
        <f>661.4786*(5*((1 + ( (1-0.00068755856*D$4)^5.2558797)*((1 + 'LRC Mach'!D20^2/5)^3.5 - 1))^(2/7) - 1))^0.5</f>
        <v>324.94753449826322</v>
      </c>
      <c r="E20" s="51">
        <f>661.4786*(5*((1 + ( (1-0.00068755856*E$4)^5.2558797)*((1 + 'LRC Mach'!E20^2/5)^3.5 - 1))^(2/7) - 1))^0.5</f>
        <v>325.19476389515057</v>
      </c>
      <c r="F20" s="51">
        <f>661.4786*(5*((1 + ( (1-0.00068755856*F$4)^5.2558797)*((1 + 'LRC Mach'!F20^2/5)^3.5 - 1))^(2/7) - 1))^0.5</f>
        <v>324.91577435598521</v>
      </c>
      <c r="G20" s="51">
        <f>661.4786*(5*((1 + ( (1-0.00068755856*G$4)^5.2558797)*((1 + 'LRC Mach'!G20^2/5)^3.5 - 1))^(2/7) - 1))^0.5</f>
        <v>325.23487652435927</v>
      </c>
      <c r="H20" s="51">
        <f>661.4786*(5*((1 + ( (1-0.00068755856*H$4)^5.2558797)*((1 + 'LRC Mach'!H20^2/5)^3.5 - 1))^(2/7) - 1))^0.5</f>
        <v>325.18692812334132</v>
      </c>
      <c r="I20" s="51">
        <f>661.4786*(5*((1 + ( (1-0.00068755856*I$4)^5.2558797)*((1 + 'LRC Mach'!I20^2/5)^3.5 - 1))^(2/7) - 1))^0.5</f>
        <v>325.00453613620459</v>
      </c>
      <c r="J20" s="51">
        <f>661.4786*(5*((1 + ( (1-0.00068755856*J$4)^5.2558797)*((1 + 'LRC Mach'!J20^2/5)^3.5 - 1))^(2/7) - 1))^0.5</f>
        <v>325.21742300789668</v>
      </c>
      <c r="K20" s="51">
        <f>661.4786*(5*((1 + ( (1-0.00068755856*K$4)^5.2558797)*((1 + 'LRC Mach'!K20^2/5)^3.5 - 1))^(2/7) - 1))^0.5</f>
        <v>324.76669675980827</v>
      </c>
      <c r="L20" s="51">
        <f>661.4786*(5*((1 + ( (1-0.00068755856*L$4)^5.2558797)*((1 + 'LRC Mach'!L20^2/5)^3.5 - 1))^(2/7) - 1))^0.5</f>
        <v>325.21252747430196</v>
      </c>
      <c r="M20" s="51">
        <f>661.4786*(5*((1 + ( (1-0.00068755856*M$4)^5.2558797)*((1 + 'LRC Mach'!M20^2/5)^3.5 - 1))^(2/7) - 1))^0.5</f>
        <v>325.00082821041394</v>
      </c>
      <c r="N20" s="51">
        <f>661.4786*(5*((1 + ( (1-0.00068755856*N$4)^5.2558797)*((1 + 'LRC Mach'!N20^2/5)^3.5 - 1))^(2/7) - 1))^0.5</f>
        <v>325.14985078262811</v>
      </c>
      <c r="O20" s="51">
        <f>661.4786*(5*((1 + ( (1-0.00068755856*O$4)^5.2558797)*((1 + 'LRC Mach'!O20^2/5)^3.5 - 1))^(2/7) - 1))^0.5</f>
        <v>325.1515061303719</v>
      </c>
      <c r="P20" s="51">
        <f>661.4786*(5*((1 + ( (1-0.00068755856*P$4)^5.2558797)*((1 + 'LRC Mach'!P20^2/5)^3.5 - 1))^(2/7) - 1))^0.5</f>
        <v>325.00893690589504</v>
      </c>
      <c r="Q20" s="51">
        <f>661.4786*(5*((1 + ( (1-0.00068755856*Q$4)^5.2558797)*((1 + 'LRC Mach'!Q20^2/5)^3.5 - 1))^(2/7) - 1))^0.5</f>
        <v>325.20000262127837</v>
      </c>
      <c r="R20" s="51">
        <f>661.4786*(5*((1 + ( (1-0.00068755856*R$4)^5.2558797)*((1 + 'LRC Mach'!R20^2/5)^3.5 - 1))^(2/7) - 1))^0.5</f>
        <v>324.77115035343354</v>
      </c>
      <c r="S20" s="51">
        <f>661.4786*(5*((1 + ( (1-0.00068755856*S$4)^5.2558797)*((1 + 'LRC Mach'!S20^2/5)^3.5 - 1))^(2/7) - 1))^0.5</f>
        <v>325.12932733596648</v>
      </c>
      <c r="T20" s="51">
        <f>661.4786*(5*((1 + ( (1-0.00068755856*T$4)^5.2558797)*((1 + 'LRC Mach'!T20^2/5)^3.5 - 1))^(2/7) - 1))^0.5</f>
        <v>324.87399272920896</v>
      </c>
      <c r="U20" s="51">
        <f>661.4786*(5*((1 + ( (1-0.00068755856*U$4)^5.2558797)*((1 + 'LRC Mach'!U20^2/5)^3.5 - 1))^(2/7) - 1))^0.5</f>
        <v>324.92410638642167</v>
      </c>
      <c r="V20" s="51">
        <f>661.4786*(5*((1 + ( (1-0.00068755856*V$4)^5.2558797)*((1 + 'LRC Mach'!V20^2/5)^3.5 - 1))^(2/7) - 1))^0.5</f>
        <v>324.82185337709689</v>
      </c>
      <c r="W20" s="51">
        <f>661.4786*(5*((1 + ( (1-0.00068755856*W$4)^5.2558797)*((1 + 'LRC Mach'!W20^2/5)^3.5 - 1))^(2/7) - 1))^0.5</f>
        <v>325.00587767909758</v>
      </c>
      <c r="X20" s="51">
        <f>661.4786*(5*((1 + ( (1-0.00068755856*X$4)^5.2558797)*((1 + 'LRC Mach'!X20^2/5)^3.5 - 1))^(2/7) - 1))^0.5</f>
        <v>325.03163630406493</v>
      </c>
      <c r="Y20" s="50">
        <f>661.4786*(5*((1 + ( (1-0.00068755856*Y$4)^5.2558797)*((1 + 'LRC Mach'!Y20^2/5)^3.5 - 1))^(2/7) - 1))^0.5</f>
        <v>321.0970705836549</v>
      </c>
      <c r="Z20" s="50">
        <f>661.4786*(5*((1 + ( (1-0.00068755856*Z$4)^5.2558797)*((1 + 'LRC Mach'!Z20^2/5)^3.5 - 1))^(2/7) - 1))^0.5</f>
        <v>313.81196076317684</v>
      </c>
      <c r="AA20" s="50">
        <f>661.4786*(5*((1 + ( (1-0.00068755856*AA$4)^5.2558797)*((1 + 'LRC Mach'!AA20^2/5)^3.5 - 1))^(2/7) - 1))^0.5</f>
        <v>306.61650000597075</v>
      </c>
      <c r="AB20" s="50">
        <f>661.4786*(5*((1 + ( (1-0.00068755856*AB$4)^5.2558797)*((1 + 'LRC Mach'!AB20^2/5)^3.5 - 1))^(2/7) - 1))^0.5</f>
        <v>299.90908073048286</v>
      </c>
      <c r="AC20" s="50">
        <f>661.4786*(5*((1 + ( (1-0.00068755856*AC$4)^5.2558797)*((1 + 'LRC Mach'!AC20^2/5)^3.5 - 1))^(2/7) - 1))^0.5</f>
        <v>292.88673003132141</v>
      </c>
      <c r="AD20" s="50">
        <f>661.4786*(5*((1 + ( (1-0.00068755856*AD$4)^5.2558797)*((1 + 'LRC Mach'!AD20^2/5)^3.5 - 1))^(2/7) - 1))^0.5</f>
        <v>286.33757256096084</v>
      </c>
      <c r="AE20" s="50">
        <f>661.4786*(5*((1 + ( (1-0.00068755856*AE$4)^5.2558797)*((1 + 'LRC Mach'!AE20^2/5)^3.5 - 1))^(2/7) - 1))^0.5</f>
        <v>279.86451659556133</v>
      </c>
      <c r="AF20" s="50">
        <f>661.4786*(5*((1 + ( (1-0.00068755856*AF$4)^5.2558797)*((1 + 'LRC Mach'!AF20^2/5)^3.5 - 1))^(2/7) - 1))^0.5</f>
        <v>273.46816649726355</v>
      </c>
      <c r="AG20" s="50">
        <f>661.4786*(5*((1 + ( (1-0.00068755856*AG$4)^5.2558797)*((1 + 'LRC Mach'!AG20^2/5)^3.5 - 1))^(2/7) - 1))^0.5</f>
        <v>267.14908979390952</v>
      </c>
      <c r="AH20" s="50">
        <f>661.4786*(5*((1 + ( (1-0.00068755856*AH$4)^5.2558797)*((1 + 'LRC Mach'!AH20^2/5)^3.5 - 1))^(2/7) - 1))^0.5</f>
        <v>260.90781716294043</v>
      </c>
      <c r="AI20" s="50">
        <f>661.4786*(5*((1 + ( (1-0.00068755856*AI$4)^5.2558797)*((1 + 'LRC Mach'!AI20^2/5)^3.5 - 1))^(2/7) - 1))^0.5</f>
        <v>254.74484247727187</v>
      </c>
      <c r="AJ20" s="50">
        <f>661.4786*(5*((1 + ( (1-0.00068755856*AJ$4)^5.2558797)*((1 + 'LRC Mach'!AJ20^2/5)^3.5 - 1))^(2/7) - 1))^0.5</f>
        <v>248.66062291090481</v>
      </c>
      <c r="AK20" s="50">
        <f>661.4786*(5*((1 + ( (1-0.00068755856*AK$4)^5.2558797)*((1 + 'LRC Mach'!AK20^2/5)^3.5 - 1))^(2/7) - 1))^0.5</f>
        <v>242.65557910186928</v>
      </c>
      <c r="AL20" s="52">
        <f>661.4786*(5*((1 + ( (1-0.00068755856*AL$4)^5.2558797)*((1 + 'LRC Mach'!AL20^2/5)^3.5 - 1))^(2/7) - 1))^0.5</f>
        <v>236.73009536994434</v>
      </c>
    </row>
    <row r="21" spans="2:38" ht="24" customHeight="1" thickBot="1" x14ac:dyDescent="0.25">
      <c r="B21" s="918"/>
      <c r="C21" s="17">
        <v>300</v>
      </c>
      <c r="D21" s="53">
        <f>661.4786*(5*((1 + ( (1-0.00068755856*D$4)^5.2558797)*((1 + 'LRC Mach'!D21^2/5)^3.5 - 1))^(2/7) - 1))^0.5</f>
        <v>324.94753449826322</v>
      </c>
      <c r="E21" s="53">
        <f>661.4786*(5*((1 + ( (1-0.00068755856*E$4)^5.2558797)*((1 + 'LRC Mach'!E21^2/5)^3.5 - 1))^(2/7) - 1))^0.5</f>
        <v>325.19476389515057</v>
      </c>
      <c r="F21" s="53">
        <f>661.4786*(5*((1 + ( (1-0.00068755856*F$4)^5.2558797)*((1 + 'LRC Mach'!F21^2/5)^3.5 - 1))^(2/7) - 1))^0.5</f>
        <v>324.91577435598521</v>
      </c>
      <c r="G21" s="53">
        <f>661.4786*(5*((1 + ( (1-0.00068755856*G$4)^5.2558797)*((1 + 'LRC Mach'!G21^2/5)^3.5 - 1))^(2/7) - 1))^0.5</f>
        <v>325.23487652435927</v>
      </c>
      <c r="H21" s="53">
        <f>661.4786*(5*((1 + ( (1-0.00068755856*H$4)^5.2558797)*((1 + 'LRC Mach'!H21^2/5)^3.5 - 1))^(2/7) - 1))^0.5</f>
        <v>325.18692812334132</v>
      </c>
      <c r="I21" s="53">
        <f>661.4786*(5*((1 + ( (1-0.00068755856*I$4)^5.2558797)*((1 + 'LRC Mach'!I21^2/5)^3.5 - 1))^(2/7) - 1))^0.5</f>
        <v>325.00453613620459</v>
      </c>
      <c r="J21" s="53">
        <f>661.4786*(5*((1 + ( (1-0.00068755856*J$4)^5.2558797)*((1 + 'LRC Mach'!J21^2/5)^3.5 - 1))^(2/7) - 1))^0.5</f>
        <v>325.21742300789668</v>
      </c>
      <c r="K21" s="53">
        <f>661.4786*(5*((1 + ( (1-0.00068755856*K$4)^5.2558797)*((1 + 'LRC Mach'!K21^2/5)^3.5 - 1))^(2/7) - 1))^0.5</f>
        <v>324.76669675980827</v>
      </c>
      <c r="L21" s="53">
        <f>661.4786*(5*((1 + ( (1-0.00068755856*L$4)^5.2558797)*((1 + 'LRC Mach'!L21^2/5)^3.5 - 1))^(2/7) - 1))^0.5</f>
        <v>325.21252747430196</v>
      </c>
      <c r="M21" s="53">
        <f>661.4786*(5*((1 + ( (1-0.00068755856*M$4)^5.2558797)*((1 + 'LRC Mach'!M21^2/5)^3.5 - 1))^(2/7) - 1))^0.5</f>
        <v>325.00082821041394</v>
      </c>
      <c r="N21" s="53">
        <f>661.4786*(5*((1 + ( (1-0.00068755856*N$4)^5.2558797)*((1 + 'LRC Mach'!N21^2/5)^3.5 - 1))^(2/7) - 1))^0.5</f>
        <v>325.14985078262811</v>
      </c>
      <c r="O21" s="53">
        <f>661.4786*(5*((1 + ( (1-0.00068755856*O$4)^5.2558797)*((1 + 'LRC Mach'!O21^2/5)^3.5 - 1))^(2/7) - 1))^0.5</f>
        <v>325.1515061303719</v>
      </c>
      <c r="P21" s="53">
        <f>661.4786*(5*((1 + ( (1-0.00068755856*P$4)^5.2558797)*((1 + 'LRC Mach'!P21^2/5)^3.5 - 1))^(2/7) - 1))^0.5</f>
        <v>325.00893690589504</v>
      </c>
      <c r="Q21" s="53">
        <f>661.4786*(5*((1 + ( (1-0.00068755856*Q$4)^5.2558797)*((1 + 'LRC Mach'!Q21^2/5)^3.5 - 1))^(2/7) - 1))^0.5</f>
        <v>325.20000262127837</v>
      </c>
      <c r="R21" s="53">
        <f>661.4786*(5*((1 + ( (1-0.00068755856*R$4)^5.2558797)*((1 + 'LRC Mach'!R21^2/5)^3.5 - 1))^(2/7) - 1))^0.5</f>
        <v>324.77115035343354</v>
      </c>
      <c r="S21" s="53">
        <f>661.4786*(5*((1 + ( (1-0.00068755856*S$4)^5.2558797)*((1 + 'LRC Mach'!S21^2/5)^3.5 - 1))^(2/7) - 1))^0.5</f>
        <v>325.12932733596648</v>
      </c>
      <c r="T21" s="53">
        <f>661.4786*(5*((1 + ( (1-0.00068755856*T$4)^5.2558797)*((1 + 'LRC Mach'!T21^2/5)^3.5 - 1))^(2/7) - 1))^0.5</f>
        <v>324.87399272920896</v>
      </c>
      <c r="U21" s="53">
        <f>661.4786*(5*((1 + ( (1-0.00068755856*U$4)^5.2558797)*((1 + 'LRC Mach'!U21^2/5)^3.5 - 1))^(2/7) - 1))^0.5</f>
        <v>324.92410638642167</v>
      </c>
      <c r="V21" s="53">
        <f>661.4786*(5*((1 + ( (1-0.00068755856*V$4)^5.2558797)*((1 + 'LRC Mach'!V21^2/5)^3.5 - 1))^(2/7) - 1))^0.5</f>
        <v>324.82185337709689</v>
      </c>
      <c r="W21" s="53">
        <f>661.4786*(5*((1 + ( (1-0.00068755856*W$4)^5.2558797)*((1 + 'LRC Mach'!W21^2/5)^3.5 - 1))^(2/7) - 1))^0.5</f>
        <v>325.00587767909758</v>
      </c>
      <c r="X21" s="53">
        <f>661.4786*(5*((1 + ( (1-0.00068755856*X$4)^5.2558797)*((1 + 'LRC Mach'!X21^2/5)^3.5 - 1))^(2/7) - 1))^0.5</f>
        <v>325.03163630406493</v>
      </c>
      <c r="Y21" s="54">
        <f>661.4786*(5*((1 + ( (1-0.00068755856*Y$4)^5.2558797)*((1 + 'LRC Mach'!Y21^2/5)^3.5 - 1))^(2/7) - 1))^0.5</f>
        <v>321.0970705836549</v>
      </c>
      <c r="Z21" s="54">
        <f>661.4786*(5*((1 + ( (1-0.00068755856*Z$4)^5.2558797)*((1 + 'LRC Mach'!Z21^2/5)^3.5 - 1))^(2/7) - 1))^0.5</f>
        <v>313.81196076317684</v>
      </c>
      <c r="AA21" s="54">
        <f>661.4786*(5*((1 + ( (1-0.00068755856*AA$4)^5.2558797)*((1 + 'LRC Mach'!AA21^2/5)^3.5 - 1))^(2/7) - 1))^0.5</f>
        <v>306.61650000597075</v>
      </c>
      <c r="AB21" s="54">
        <f>661.4786*(5*((1 + ( (1-0.00068755856*AB$4)^5.2558797)*((1 + 'LRC Mach'!AB21^2/5)^3.5 - 1))^(2/7) - 1))^0.5</f>
        <v>299.51134789032307</v>
      </c>
      <c r="AC21" s="54">
        <f>661.4786*(5*((1 + ( (1-0.00068755856*AC$4)^5.2558797)*((1 + 'LRC Mach'!AC21^2/5)^3.5 - 1))^(2/7) - 1))^0.5</f>
        <v>292.88673003132141</v>
      </c>
      <c r="AD21" s="54">
        <f>661.4786*(5*((1 + ( (1-0.00068755856*AD$4)^5.2558797)*((1 + 'LRC Mach'!AD21^2/5)^3.5 - 1))^(2/7) - 1))^0.5</f>
        <v>286.33757256096084</v>
      </c>
      <c r="AE21" s="54">
        <f>661.4786*(5*((1 + ( (1-0.00068755856*AE$4)^5.2558797)*((1 + 'LRC Mach'!AE21^2/5)^3.5 - 1))^(2/7) - 1))^0.5</f>
        <v>279.86451659556133</v>
      </c>
      <c r="AF21" s="54">
        <f>661.4786*(5*((1 + ( (1-0.00068755856*AF$4)^5.2558797)*((1 + 'LRC Mach'!AF21^2/5)^3.5 - 1))^(2/7) - 1))^0.5</f>
        <v>273.46816649726355</v>
      </c>
      <c r="AG21" s="54">
        <f>661.4786*(5*((1 + ( (1-0.00068755856*AG$4)^5.2558797)*((1 + 'LRC Mach'!AG21^2/5)^3.5 - 1))^(2/7) - 1))^0.5</f>
        <v>267.14908979390952</v>
      </c>
      <c r="AH21" s="54">
        <f>661.4786*(5*((1 + ( (1-0.00068755856*AH$4)^5.2558797)*((1 + 'LRC Mach'!AH21^2/5)^3.5 - 1))^(2/7) - 1))^0.5</f>
        <v>260.90781716294043</v>
      </c>
      <c r="AI21" s="54">
        <f>661.4786*(5*((1 + ( (1-0.00068755856*AI$4)^5.2558797)*((1 + 'LRC Mach'!AI21^2/5)^3.5 - 1))^(2/7) - 1))^0.5</f>
        <v>254.74484247727187</v>
      </c>
      <c r="AJ21" s="54">
        <f>661.4786*(5*((1 + ( (1-0.00068755856*AJ$4)^5.2558797)*((1 + 'LRC Mach'!AJ21^2/5)^3.5 - 1))^(2/7) - 1))^0.5</f>
        <v>248.66062291090481</v>
      </c>
      <c r="AK21" s="54">
        <f>661.4786*(5*((1 + ( (1-0.00068755856*AK$4)^5.2558797)*((1 + 'LRC Mach'!AK21^2/5)^3.5 - 1))^(2/7) - 1))^0.5</f>
        <v>242.65557910186928</v>
      </c>
      <c r="AL21" s="55">
        <f>661.4786*(5*((1 + ( (1-0.00068755856*AL$4)^5.2558797)*((1 + 'LRC Mach'!AL21^2/5)^3.5 - 1))^(2/7) - 1))^0.5</f>
        <v>236.73009536994434</v>
      </c>
    </row>
    <row r="22" spans="2:38" ht="22.5" customHeight="1" thickBot="1" x14ac:dyDescent="0.25"/>
    <row r="23" spans="2:38" ht="22.5" customHeight="1" x14ac:dyDescent="0.2">
      <c r="B23" s="919" t="s">
        <v>11</v>
      </c>
      <c r="C23" s="920"/>
      <c r="D23" s="5"/>
      <c r="E23" s="5"/>
      <c r="F23" s="5"/>
      <c r="G23" s="5"/>
      <c r="H23" s="18"/>
      <c r="I23" s="18"/>
      <c r="J23" s="18"/>
      <c r="K23" s="18"/>
      <c r="L23" s="18"/>
      <c r="M23" s="19"/>
    </row>
    <row r="24" spans="2:38" ht="23.25" customHeight="1" x14ac:dyDescent="0.2">
      <c r="B24" s="26" t="s">
        <v>12</v>
      </c>
      <c r="C24" s="22">
        <v>360</v>
      </c>
      <c r="D24" s="27" t="s">
        <v>13</v>
      </c>
      <c r="E24" s="6" t="s">
        <v>23</v>
      </c>
      <c r="F24" s="7"/>
      <c r="G24" s="7"/>
      <c r="H24" s="20"/>
      <c r="I24" s="20"/>
      <c r="J24" s="20"/>
      <c r="K24" s="20"/>
      <c r="L24" s="20"/>
      <c r="M24" s="21"/>
    </row>
    <row r="25" spans="2:38" ht="23.25" customHeight="1" x14ac:dyDescent="0.2">
      <c r="B25" s="26" t="s">
        <v>14</v>
      </c>
      <c r="C25" s="22">
        <v>207.64</v>
      </c>
      <c r="D25" s="27" t="s">
        <v>15</v>
      </c>
      <c r="E25" s="6" t="s">
        <v>24</v>
      </c>
      <c r="F25" s="7"/>
      <c r="G25" s="7"/>
      <c r="H25" s="20"/>
      <c r="I25" s="20"/>
      <c r="J25" s="20"/>
      <c r="K25" s="20"/>
      <c r="L25" s="20"/>
      <c r="M25" s="21"/>
    </row>
    <row r="26" spans="2:38" ht="14.25" customHeight="1" x14ac:dyDescent="0.2">
      <c r="B26" s="8"/>
      <c r="C26" s="9"/>
      <c r="D26" s="9"/>
      <c r="E26" s="9"/>
      <c r="F26" s="7"/>
      <c r="G26" s="7"/>
      <c r="H26" s="20"/>
      <c r="I26" s="20"/>
      <c r="J26" s="20"/>
      <c r="K26" s="20"/>
      <c r="L26" s="20"/>
      <c r="M26" s="21"/>
    </row>
    <row r="27" spans="2:38" ht="24" customHeight="1" x14ac:dyDescent="0.2">
      <c r="B27" s="26" t="s">
        <v>27</v>
      </c>
      <c r="C27" s="43" t="e">
        <f ca="1">BicubicInterpolation(C4:AL21,C24,C25)</f>
        <v>#NAME?</v>
      </c>
      <c r="D27" s="27" t="s">
        <v>29</v>
      </c>
      <c r="E27" s="7"/>
      <c r="F27" s="7"/>
      <c r="G27" s="7"/>
      <c r="H27" s="20"/>
      <c r="I27" s="20"/>
      <c r="J27" s="20"/>
      <c r="K27" s="20"/>
      <c r="L27" s="20"/>
      <c r="M27" s="21"/>
    </row>
    <row r="28" spans="2:38" ht="13.5" customHeight="1" thickBot="1" x14ac:dyDescent="0.25">
      <c r="B28" s="37"/>
      <c r="C28" s="38"/>
      <c r="D28" s="39"/>
      <c r="E28" s="40"/>
      <c r="F28" s="40"/>
      <c r="G28" s="40"/>
      <c r="H28" s="41"/>
      <c r="I28" s="41"/>
      <c r="J28" s="41"/>
      <c r="K28" s="41"/>
      <c r="L28" s="41"/>
      <c r="M28" s="42"/>
    </row>
    <row r="29" spans="2:38" ht="24" customHeight="1" x14ac:dyDescent="0.2">
      <c r="B29" s="44" t="s">
        <v>20</v>
      </c>
      <c r="C29" s="35" t="s">
        <v>119</v>
      </c>
      <c r="D29" s="35"/>
      <c r="E29" s="35"/>
      <c r="F29" s="35"/>
      <c r="G29" s="35"/>
      <c r="H29" s="35"/>
      <c r="I29" s="35"/>
      <c r="J29" s="35"/>
      <c r="K29" s="35"/>
      <c r="L29" s="35"/>
      <c r="M29" s="36"/>
    </row>
    <row r="30" spans="2:38" ht="18" customHeight="1" x14ac:dyDescent="0.2">
      <c r="B30" s="24"/>
      <c r="C30" s="35"/>
      <c r="D30" s="35" t="s">
        <v>38</v>
      </c>
      <c r="E30" s="35"/>
      <c r="F30" s="35"/>
      <c r="G30" s="35"/>
      <c r="H30" s="35"/>
      <c r="I30" s="35"/>
      <c r="J30" s="35"/>
      <c r="K30" s="35"/>
      <c r="L30" s="35"/>
      <c r="M30" s="36"/>
    </row>
    <row r="31" spans="2:38" ht="18" customHeight="1" x14ac:dyDescent="0.2">
      <c r="B31" s="24"/>
      <c r="C31" s="35"/>
      <c r="D31" s="35" t="s">
        <v>39</v>
      </c>
      <c r="E31" s="35"/>
      <c r="F31" s="35"/>
      <c r="G31" s="35"/>
      <c r="H31" s="35"/>
      <c r="I31" s="35"/>
      <c r="J31" s="35"/>
      <c r="K31" s="35"/>
      <c r="L31" s="35"/>
      <c r="M31" s="36"/>
      <c r="N31"/>
      <c r="O31"/>
      <c r="P31"/>
      <c r="Q31"/>
    </row>
    <row r="32" spans="2:38" ht="21.75" customHeight="1" thickBot="1" x14ac:dyDescent="0.25">
      <c r="B32" s="25"/>
      <c r="C32" s="927" t="s">
        <v>153</v>
      </c>
      <c r="D32" s="927"/>
      <c r="E32" s="927"/>
      <c r="F32" s="927"/>
      <c r="G32" s="927"/>
      <c r="H32" s="927"/>
      <c r="I32" s="927"/>
      <c r="J32" s="927"/>
      <c r="K32" s="927"/>
      <c r="L32" s="927"/>
      <c r="M32" s="928"/>
    </row>
  </sheetData>
  <mergeCells count="5">
    <mergeCell ref="C32:M32"/>
    <mergeCell ref="B2:AL2"/>
    <mergeCell ref="D3:AL3"/>
    <mergeCell ref="B5:B21"/>
    <mergeCell ref="B23:C23"/>
  </mergeCell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1"/>
  <dimension ref="B1:AL360"/>
  <sheetViews>
    <sheetView zoomScale="80" zoomScaleNormal="80" workbookViewId="0">
      <selection activeCell="U25" sqref="U25"/>
    </sheetView>
  </sheetViews>
  <sheetFormatPr baseColWidth="10" defaultColWidth="8.83203125" defaultRowHeight="15" x14ac:dyDescent="0.2"/>
  <cols>
    <col min="1" max="1" width="4.6640625" customWidth="1"/>
    <col min="2" max="2" width="16.83203125" customWidth="1"/>
    <col min="4" max="38" width="7.1640625" style="3" customWidth="1"/>
    <col min="39" max="39" width="16" customWidth="1"/>
    <col min="40" max="42" width="14.83203125" customWidth="1"/>
    <col min="43" max="43" width="12.5" customWidth="1"/>
    <col min="44" max="44" width="21.33203125" customWidth="1"/>
    <col min="45" max="45" width="16.33203125" customWidth="1"/>
    <col min="46" max="46" width="32.1640625" customWidth="1"/>
    <col min="47" max="52" width="17.33203125" customWidth="1"/>
    <col min="53" max="53" width="20.33203125" customWidth="1"/>
    <col min="54" max="56" width="17.33203125" customWidth="1"/>
    <col min="58" max="58" width="14.6640625" customWidth="1"/>
    <col min="59" max="59" width="11.1640625" customWidth="1"/>
    <col min="60" max="60" width="11.5" customWidth="1"/>
    <col min="61" max="75" width="9" bestFit="1" customWidth="1"/>
    <col min="76" max="94" width="9.6640625" bestFit="1" customWidth="1"/>
    <col min="95" max="95" width="12" bestFit="1" customWidth="1"/>
  </cols>
  <sheetData>
    <row r="1" spans="2:38" ht="16" thickBot="1" x14ac:dyDescent="0.25"/>
    <row r="2" spans="2:38" ht="105" customHeight="1" thickBot="1" x14ac:dyDescent="0.25">
      <c r="B2" s="921" t="s">
        <v>40</v>
      </c>
      <c r="C2" s="922"/>
      <c r="D2" s="922"/>
      <c r="E2" s="922"/>
      <c r="F2" s="922"/>
      <c r="G2" s="922"/>
      <c r="H2" s="922"/>
      <c r="I2" s="922"/>
      <c r="J2" s="922"/>
      <c r="K2" s="922"/>
      <c r="L2" s="922"/>
      <c r="M2" s="922"/>
      <c r="N2" s="922"/>
      <c r="O2" s="922"/>
      <c r="P2" s="922"/>
      <c r="Q2" s="922"/>
      <c r="R2" s="922"/>
      <c r="S2" s="922"/>
      <c r="T2" s="922"/>
      <c r="U2" s="922"/>
      <c r="V2" s="922"/>
      <c r="W2" s="922"/>
      <c r="X2" s="922"/>
      <c r="Y2" s="922"/>
      <c r="Z2" s="922"/>
      <c r="AA2" s="922"/>
      <c r="AB2" s="922"/>
      <c r="AC2" s="922"/>
      <c r="AD2" s="922"/>
      <c r="AE2" s="922"/>
      <c r="AF2" s="922"/>
      <c r="AG2" s="922"/>
      <c r="AH2" s="922"/>
      <c r="AI2" s="922"/>
      <c r="AJ2" s="922"/>
      <c r="AK2" s="922"/>
      <c r="AL2" s="923"/>
    </row>
    <row r="3" spans="2:38" ht="30" customHeight="1" thickBot="1" x14ac:dyDescent="0.25">
      <c r="B3" s="10"/>
      <c r="C3" s="11"/>
      <c r="D3" s="924" t="s">
        <v>10</v>
      </c>
      <c r="E3" s="925"/>
      <c r="F3" s="925"/>
      <c r="G3" s="925"/>
      <c r="H3" s="925"/>
      <c r="I3" s="925"/>
      <c r="J3" s="925"/>
      <c r="K3" s="925"/>
      <c r="L3" s="925"/>
      <c r="M3" s="925"/>
      <c r="N3" s="925"/>
      <c r="O3" s="925"/>
      <c r="P3" s="925"/>
      <c r="Q3" s="925"/>
      <c r="R3" s="925"/>
      <c r="S3" s="925"/>
      <c r="T3" s="925"/>
      <c r="U3" s="925"/>
      <c r="V3" s="925"/>
      <c r="W3" s="925"/>
      <c r="X3" s="925"/>
      <c r="Y3" s="925"/>
      <c r="Z3" s="925"/>
      <c r="AA3" s="925"/>
      <c r="AB3" s="925"/>
      <c r="AC3" s="925"/>
      <c r="AD3" s="925"/>
      <c r="AE3" s="925"/>
      <c r="AF3" s="925"/>
      <c r="AG3" s="925"/>
      <c r="AH3" s="925"/>
      <c r="AI3" s="925"/>
      <c r="AJ3" s="925"/>
      <c r="AK3" s="925"/>
      <c r="AL3" s="926"/>
    </row>
    <row r="4" spans="2:38" ht="27" customHeight="1" thickBot="1" x14ac:dyDescent="0.25">
      <c r="B4" s="4"/>
      <c r="C4" s="2"/>
      <c r="D4" s="12">
        <v>60</v>
      </c>
      <c r="E4" s="13">
        <v>80</v>
      </c>
      <c r="F4" s="13">
        <v>100</v>
      </c>
      <c r="G4" s="13">
        <v>120</v>
      </c>
      <c r="H4" s="13">
        <v>130</v>
      </c>
      <c r="I4" s="13">
        <v>140</v>
      </c>
      <c r="J4" s="13">
        <v>150</v>
      </c>
      <c r="K4" s="13">
        <v>160</v>
      </c>
      <c r="L4" s="13">
        <v>170</v>
      </c>
      <c r="M4" s="30">
        <f>L4+10</f>
        <v>180</v>
      </c>
      <c r="N4" s="30">
        <f t="shared" ref="N4:AL4" si="0">M4+10</f>
        <v>190</v>
      </c>
      <c r="O4" s="30">
        <f t="shared" si="0"/>
        <v>200</v>
      </c>
      <c r="P4" s="30">
        <f t="shared" si="0"/>
        <v>210</v>
      </c>
      <c r="Q4" s="30">
        <f t="shared" si="0"/>
        <v>220</v>
      </c>
      <c r="R4" s="30">
        <f t="shared" si="0"/>
        <v>230</v>
      </c>
      <c r="S4" s="30">
        <f t="shared" si="0"/>
        <v>240</v>
      </c>
      <c r="T4" s="30">
        <f t="shared" si="0"/>
        <v>250</v>
      </c>
      <c r="U4" s="30">
        <f t="shared" si="0"/>
        <v>260</v>
      </c>
      <c r="V4" s="30">
        <f t="shared" si="0"/>
        <v>270</v>
      </c>
      <c r="W4" s="30">
        <f t="shared" si="0"/>
        <v>280</v>
      </c>
      <c r="X4" s="30">
        <f t="shared" si="0"/>
        <v>290</v>
      </c>
      <c r="Y4" s="30">
        <f t="shared" si="0"/>
        <v>300</v>
      </c>
      <c r="Z4" s="30">
        <f t="shared" si="0"/>
        <v>310</v>
      </c>
      <c r="AA4" s="30">
        <f t="shared" si="0"/>
        <v>320</v>
      </c>
      <c r="AB4" s="30">
        <f t="shared" si="0"/>
        <v>330</v>
      </c>
      <c r="AC4" s="30">
        <f t="shared" si="0"/>
        <v>340</v>
      </c>
      <c r="AD4" s="30">
        <f t="shared" si="0"/>
        <v>350</v>
      </c>
      <c r="AE4" s="30">
        <f t="shared" si="0"/>
        <v>360</v>
      </c>
      <c r="AF4" s="30">
        <f t="shared" si="0"/>
        <v>370</v>
      </c>
      <c r="AG4" s="30">
        <f t="shared" si="0"/>
        <v>380</v>
      </c>
      <c r="AH4" s="30">
        <f t="shared" si="0"/>
        <v>390</v>
      </c>
      <c r="AI4" s="30">
        <f t="shared" si="0"/>
        <v>400</v>
      </c>
      <c r="AJ4" s="30">
        <f t="shared" si="0"/>
        <v>410</v>
      </c>
      <c r="AK4" s="30">
        <f t="shared" si="0"/>
        <v>420</v>
      </c>
      <c r="AL4" s="14">
        <f t="shared" si="0"/>
        <v>430</v>
      </c>
    </row>
    <row r="5" spans="2:38" ht="24" customHeight="1" x14ac:dyDescent="0.2">
      <c r="B5" s="916" t="s">
        <v>28</v>
      </c>
      <c r="C5" s="15">
        <v>140</v>
      </c>
      <c r="D5" s="747">
        <v>2726</v>
      </c>
      <c r="E5" s="731">
        <v>2666</v>
      </c>
      <c r="F5" s="731">
        <v>2613</v>
      </c>
      <c r="G5" s="731">
        <v>2565</v>
      </c>
      <c r="H5" s="731">
        <v>2544</v>
      </c>
      <c r="I5" s="731">
        <v>2524</v>
      </c>
      <c r="J5" s="731">
        <v>2505</v>
      </c>
      <c r="K5" s="731">
        <v>2488</v>
      </c>
      <c r="L5" s="731">
        <v>2472</v>
      </c>
      <c r="M5" s="731">
        <v>2456</v>
      </c>
      <c r="N5" s="731">
        <v>2441</v>
      </c>
      <c r="O5" s="731">
        <v>2427</v>
      </c>
      <c r="P5" s="731">
        <v>2414</v>
      </c>
      <c r="Q5" s="731">
        <v>2401</v>
      </c>
      <c r="R5" s="731">
        <v>2387</v>
      </c>
      <c r="S5" s="731">
        <v>2372</v>
      </c>
      <c r="T5" s="731">
        <v>2357</v>
      </c>
      <c r="U5" s="731">
        <v>2285</v>
      </c>
      <c r="V5" s="731">
        <v>2271</v>
      </c>
      <c r="W5" s="731">
        <v>2257</v>
      </c>
      <c r="X5" s="731">
        <v>2243</v>
      </c>
      <c r="Y5" s="731">
        <v>2230</v>
      </c>
      <c r="Z5" s="731">
        <v>2217</v>
      </c>
      <c r="AA5" s="731">
        <v>2206</v>
      </c>
      <c r="AB5" s="731">
        <v>2196</v>
      </c>
      <c r="AC5" s="731">
        <v>2188</v>
      </c>
      <c r="AD5" s="731">
        <v>2183</v>
      </c>
      <c r="AE5" s="731">
        <v>2178</v>
      </c>
      <c r="AF5" s="731">
        <v>2190</v>
      </c>
      <c r="AG5" s="731">
        <v>2203</v>
      </c>
      <c r="AH5" s="731">
        <v>2217</v>
      </c>
      <c r="AI5" s="731">
        <v>2230</v>
      </c>
      <c r="AJ5" s="731">
        <v>2242</v>
      </c>
      <c r="AK5" s="731">
        <v>2255</v>
      </c>
      <c r="AL5" s="732">
        <v>2263</v>
      </c>
    </row>
    <row r="6" spans="2:38" ht="24" customHeight="1" x14ac:dyDescent="0.2">
      <c r="B6" s="917"/>
      <c r="C6" s="28">
        <v>150</v>
      </c>
      <c r="D6" s="748">
        <v>2867</v>
      </c>
      <c r="E6" s="733">
        <v>2809</v>
      </c>
      <c r="F6" s="733">
        <v>2758</v>
      </c>
      <c r="G6" s="733">
        <v>2713</v>
      </c>
      <c r="H6" s="733">
        <v>2693</v>
      </c>
      <c r="I6" s="733">
        <v>2674</v>
      </c>
      <c r="J6" s="733">
        <v>2657</v>
      </c>
      <c r="K6" s="733">
        <v>2640</v>
      </c>
      <c r="L6" s="733">
        <v>2624</v>
      </c>
      <c r="M6" s="733">
        <v>2609</v>
      </c>
      <c r="N6" s="733">
        <v>2594</v>
      </c>
      <c r="O6" s="733">
        <v>2580</v>
      </c>
      <c r="P6" s="733">
        <v>2566</v>
      </c>
      <c r="Q6" s="733">
        <v>2551</v>
      </c>
      <c r="R6" s="733">
        <v>2536</v>
      </c>
      <c r="S6" s="733">
        <v>2459</v>
      </c>
      <c r="T6" s="733">
        <v>2444</v>
      </c>
      <c r="U6" s="733">
        <v>2429</v>
      </c>
      <c r="V6" s="733">
        <v>2414</v>
      </c>
      <c r="W6" s="733">
        <v>2400</v>
      </c>
      <c r="X6" s="733">
        <v>2386</v>
      </c>
      <c r="Y6" s="733">
        <v>2373</v>
      </c>
      <c r="Z6" s="733">
        <v>2362</v>
      </c>
      <c r="AA6" s="733">
        <v>2352</v>
      </c>
      <c r="AB6" s="733">
        <v>2346</v>
      </c>
      <c r="AC6" s="733">
        <v>2340</v>
      </c>
      <c r="AD6" s="733">
        <v>2336</v>
      </c>
      <c r="AE6" s="733">
        <v>2334</v>
      </c>
      <c r="AF6" s="733">
        <v>2347</v>
      </c>
      <c r="AG6" s="733">
        <v>2361</v>
      </c>
      <c r="AH6" s="733">
        <v>2375</v>
      </c>
      <c r="AI6" s="733">
        <v>2388</v>
      </c>
      <c r="AJ6" s="733">
        <v>2401</v>
      </c>
      <c r="AK6" s="733">
        <v>2407</v>
      </c>
      <c r="AL6" s="734">
        <v>2404</v>
      </c>
    </row>
    <row r="7" spans="2:38" ht="24" customHeight="1" x14ac:dyDescent="0.2">
      <c r="B7" s="917"/>
      <c r="C7" s="16">
        <v>160</v>
      </c>
      <c r="D7" s="748">
        <v>3010</v>
      </c>
      <c r="E7" s="733">
        <v>2954</v>
      </c>
      <c r="F7" s="733">
        <v>2906</v>
      </c>
      <c r="G7" s="733">
        <v>2864</v>
      </c>
      <c r="H7" s="733">
        <v>2845</v>
      </c>
      <c r="I7" s="733">
        <v>2827</v>
      </c>
      <c r="J7" s="733">
        <v>2809</v>
      </c>
      <c r="K7" s="733">
        <v>2793</v>
      </c>
      <c r="L7" s="733">
        <v>2778</v>
      </c>
      <c r="M7" s="733">
        <v>2763</v>
      </c>
      <c r="N7" s="733">
        <v>2747</v>
      </c>
      <c r="O7" s="733">
        <v>2732</v>
      </c>
      <c r="P7" s="733">
        <v>2650</v>
      </c>
      <c r="Q7" s="733">
        <v>2635</v>
      </c>
      <c r="R7" s="733">
        <v>2620</v>
      </c>
      <c r="S7" s="733">
        <v>2604</v>
      </c>
      <c r="T7" s="735">
        <v>2589</v>
      </c>
      <c r="U7" s="733">
        <v>2574</v>
      </c>
      <c r="V7" s="735">
        <v>2558</v>
      </c>
      <c r="W7" s="733">
        <v>2544</v>
      </c>
      <c r="X7" s="735">
        <v>2532</v>
      </c>
      <c r="Y7" s="733">
        <v>2471</v>
      </c>
      <c r="Z7" s="735">
        <v>2463</v>
      </c>
      <c r="AA7" s="733">
        <v>2458</v>
      </c>
      <c r="AB7" s="735">
        <v>2454</v>
      </c>
      <c r="AC7" s="733">
        <v>2451</v>
      </c>
      <c r="AD7" s="735">
        <v>2449</v>
      </c>
      <c r="AE7" s="733">
        <v>2449</v>
      </c>
      <c r="AF7" s="735">
        <v>2464</v>
      </c>
      <c r="AG7" s="733">
        <v>2480</v>
      </c>
      <c r="AH7" s="735">
        <v>2494</v>
      </c>
      <c r="AI7" s="733">
        <v>2502</v>
      </c>
      <c r="AJ7" s="735">
        <v>2505</v>
      </c>
      <c r="AK7" s="733">
        <v>2504</v>
      </c>
      <c r="AL7" s="736">
        <v>2500</v>
      </c>
    </row>
    <row r="8" spans="2:38" ht="24" customHeight="1" x14ac:dyDescent="0.2">
      <c r="B8" s="917"/>
      <c r="C8" s="16">
        <v>170</v>
      </c>
      <c r="D8" s="748">
        <v>3156</v>
      </c>
      <c r="E8" s="733">
        <v>3103</v>
      </c>
      <c r="F8" s="733">
        <v>3057</v>
      </c>
      <c r="G8" s="733">
        <v>3017</v>
      </c>
      <c r="H8" s="733">
        <v>2998</v>
      </c>
      <c r="I8" s="733">
        <v>2980</v>
      </c>
      <c r="J8" s="733">
        <v>2963</v>
      </c>
      <c r="K8" s="733">
        <v>2947</v>
      </c>
      <c r="L8" s="733">
        <v>2932</v>
      </c>
      <c r="M8" s="733">
        <v>2916</v>
      </c>
      <c r="N8" s="733">
        <v>2829</v>
      </c>
      <c r="O8" s="733">
        <v>2812</v>
      </c>
      <c r="P8" s="733">
        <v>2797</v>
      </c>
      <c r="Q8" s="733">
        <v>2782</v>
      </c>
      <c r="R8" s="733">
        <v>2766</v>
      </c>
      <c r="S8" s="733">
        <v>2750</v>
      </c>
      <c r="T8" s="733">
        <v>2734</v>
      </c>
      <c r="U8" s="733">
        <v>2719</v>
      </c>
      <c r="V8" s="733">
        <v>2704</v>
      </c>
      <c r="W8" s="733">
        <v>2692</v>
      </c>
      <c r="X8" s="733">
        <v>2680</v>
      </c>
      <c r="Y8" s="733">
        <v>2622</v>
      </c>
      <c r="Z8" s="733">
        <v>2618</v>
      </c>
      <c r="AA8" s="733">
        <v>2614</v>
      </c>
      <c r="AB8" s="733">
        <v>2611</v>
      </c>
      <c r="AC8" s="733">
        <v>2609</v>
      </c>
      <c r="AD8" s="733">
        <v>2609</v>
      </c>
      <c r="AE8" s="733">
        <v>2608</v>
      </c>
      <c r="AF8" s="733">
        <v>2622</v>
      </c>
      <c r="AG8" s="733">
        <v>2637</v>
      </c>
      <c r="AH8" s="733">
        <v>2644</v>
      </c>
      <c r="AI8" s="733">
        <v>2644</v>
      </c>
      <c r="AJ8" s="733">
        <v>2646</v>
      </c>
      <c r="AK8" s="737">
        <v>2635</v>
      </c>
      <c r="AL8" s="736">
        <v>2645</v>
      </c>
    </row>
    <row r="9" spans="2:38" ht="24" customHeight="1" x14ac:dyDescent="0.2">
      <c r="B9" s="917"/>
      <c r="C9" s="16">
        <v>180</v>
      </c>
      <c r="D9" s="748">
        <v>3304</v>
      </c>
      <c r="E9" s="733">
        <v>3255</v>
      </c>
      <c r="F9" s="733">
        <v>3211</v>
      </c>
      <c r="G9" s="733">
        <v>3171</v>
      </c>
      <c r="H9" s="733">
        <v>3152</v>
      </c>
      <c r="I9" s="733">
        <v>3135</v>
      </c>
      <c r="J9" s="733">
        <v>3119</v>
      </c>
      <c r="K9" s="733">
        <v>3102</v>
      </c>
      <c r="L9" s="733">
        <v>3010</v>
      </c>
      <c r="M9" s="733">
        <v>2994</v>
      </c>
      <c r="N9" s="733">
        <v>2976</v>
      </c>
      <c r="O9" s="733">
        <v>2960</v>
      </c>
      <c r="P9" s="733">
        <v>2944</v>
      </c>
      <c r="Q9" s="733">
        <v>2928</v>
      </c>
      <c r="R9" s="733">
        <v>2912</v>
      </c>
      <c r="S9" s="733">
        <v>2896</v>
      </c>
      <c r="T9" s="735">
        <v>2881</v>
      </c>
      <c r="U9" s="733">
        <v>2866</v>
      </c>
      <c r="V9" s="735">
        <v>2853</v>
      </c>
      <c r="W9" s="733">
        <v>2842</v>
      </c>
      <c r="X9" s="735">
        <v>2834</v>
      </c>
      <c r="Y9" s="733">
        <v>2779</v>
      </c>
      <c r="Z9" s="735">
        <v>2775</v>
      </c>
      <c r="AA9" s="733">
        <v>2772</v>
      </c>
      <c r="AB9" s="735">
        <v>2772</v>
      </c>
      <c r="AC9" s="733">
        <v>2771</v>
      </c>
      <c r="AD9" s="735">
        <v>2770</v>
      </c>
      <c r="AE9" s="733">
        <v>2767</v>
      </c>
      <c r="AF9" s="735">
        <v>2779</v>
      </c>
      <c r="AG9" s="733">
        <v>2786</v>
      </c>
      <c r="AH9" s="735">
        <v>2784</v>
      </c>
      <c r="AI9" s="733">
        <v>2787</v>
      </c>
      <c r="AJ9" s="737">
        <v>2773</v>
      </c>
      <c r="AK9" s="737">
        <v>2789</v>
      </c>
      <c r="AL9" s="738">
        <v>2826</v>
      </c>
    </row>
    <row r="10" spans="2:38" ht="24" customHeight="1" x14ac:dyDescent="0.2">
      <c r="B10" s="917"/>
      <c r="C10" s="16">
        <v>190</v>
      </c>
      <c r="D10" s="748">
        <v>3390</v>
      </c>
      <c r="E10" s="733">
        <v>3342</v>
      </c>
      <c r="F10" s="733">
        <v>3301</v>
      </c>
      <c r="G10" s="733">
        <v>3326</v>
      </c>
      <c r="H10" s="733">
        <v>3308</v>
      </c>
      <c r="I10" s="733">
        <v>3291</v>
      </c>
      <c r="J10" s="733">
        <v>3194</v>
      </c>
      <c r="K10" s="733">
        <v>3177</v>
      </c>
      <c r="L10" s="733">
        <v>3160</v>
      </c>
      <c r="M10" s="733">
        <v>3142</v>
      </c>
      <c r="N10" s="733">
        <v>3125</v>
      </c>
      <c r="O10" s="733">
        <v>3108</v>
      </c>
      <c r="P10" s="733">
        <v>3092</v>
      </c>
      <c r="Q10" s="733">
        <v>3076</v>
      </c>
      <c r="R10" s="733">
        <v>3059</v>
      </c>
      <c r="S10" s="733">
        <v>3043</v>
      </c>
      <c r="T10" s="733">
        <v>3029</v>
      </c>
      <c r="U10" s="733">
        <v>3016</v>
      </c>
      <c r="V10" s="733">
        <v>2951</v>
      </c>
      <c r="W10" s="733">
        <v>2945</v>
      </c>
      <c r="X10" s="733">
        <v>2941</v>
      </c>
      <c r="Y10" s="733">
        <v>2937</v>
      </c>
      <c r="Z10" s="733">
        <v>2935</v>
      </c>
      <c r="AA10" s="733">
        <v>2934</v>
      </c>
      <c r="AB10" s="733">
        <v>2934</v>
      </c>
      <c r="AC10" s="733">
        <v>2932</v>
      </c>
      <c r="AD10" s="733">
        <v>2929</v>
      </c>
      <c r="AE10" s="733">
        <v>2923</v>
      </c>
      <c r="AF10" s="733">
        <v>2927</v>
      </c>
      <c r="AG10" s="733">
        <v>2924</v>
      </c>
      <c r="AH10" s="733">
        <v>2928</v>
      </c>
      <c r="AI10" s="737">
        <v>2913</v>
      </c>
      <c r="AJ10" s="733">
        <v>2932</v>
      </c>
      <c r="AK10" s="733">
        <v>2978</v>
      </c>
      <c r="AL10" s="734">
        <v>3078</v>
      </c>
    </row>
    <row r="11" spans="2:38" ht="24" customHeight="1" x14ac:dyDescent="0.2">
      <c r="B11" s="917"/>
      <c r="C11" s="16">
        <v>200</v>
      </c>
      <c r="D11" s="748">
        <v>3543</v>
      </c>
      <c r="E11" s="733">
        <v>3498</v>
      </c>
      <c r="F11" s="733">
        <v>3456</v>
      </c>
      <c r="G11" s="733">
        <v>3419</v>
      </c>
      <c r="H11" s="733">
        <v>3400</v>
      </c>
      <c r="I11" s="733">
        <v>3300</v>
      </c>
      <c r="J11" s="733">
        <v>3281</v>
      </c>
      <c r="K11" s="733">
        <v>3327</v>
      </c>
      <c r="L11" s="733">
        <v>3309</v>
      </c>
      <c r="M11" s="733">
        <v>3291</v>
      </c>
      <c r="N11" s="733">
        <v>3274</v>
      </c>
      <c r="O11" s="733">
        <v>3257</v>
      </c>
      <c r="P11" s="733">
        <v>3240</v>
      </c>
      <c r="Q11" s="733">
        <v>3223</v>
      </c>
      <c r="R11" s="733">
        <v>3207</v>
      </c>
      <c r="S11" s="733">
        <v>3135</v>
      </c>
      <c r="T11" s="735">
        <v>3123</v>
      </c>
      <c r="U11" s="733">
        <v>3114</v>
      </c>
      <c r="V11" s="735">
        <v>3108</v>
      </c>
      <c r="W11" s="733">
        <v>3104</v>
      </c>
      <c r="X11" s="735">
        <v>3100</v>
      </c>
      <c r="Y11" s="733">
        <v>3098</v>
      </c>
      <c r="Z11" s="735">
        <v>3098</v>
      </c>
      <c r="AA11" s="733">
        <v>3097</v>
      </c>
      <c r="AB11" s="735">
        <v>3095</v>
      </c>
      <c r="AC11" s="733">
        <v>3092</v>
      </c>
      <c r="AD11" s="735">
        <v>3085</v>
      </c>
      <c r="AE11" s="733">
        <v>3070</v>
      </c>
      <c r="AF11" s="735">
        <v>3065</v>
      </c>
      <c r="AG11" s="737">
        <v>3069</v>
      </c>
      <c r="AH11" s="737">
        <v>3054</v>
      </c>
      <c r="AI11" s="733">
        <v>3075</v>
      </c>
      <c r="AJ11" s="735">
        <v>3127</v>
      </c>
      <c r="AK11" s="733">
        <v>3238</v>
      </c>
      <c r="AL11" s="739">
        <v>3238</v>
      </c>
    </row>
    <row r="12" spans="2:38" ht="24" customHeight="1" x14ac:dyDescent="0.2">
      <c r="B12" s="917"/>
      <c r="C12" s="16">
        <v>210</v>
      </c>
      <c r="D12" s="748">
        <v>3699</v>
      </c>
      <c r="E12" s="733">
        <v>3654</v>
      </c>
      <c r="F12" s="733">
        <v>3613</v>
      </c>
      <c r="G12" s="733">
        <v>3575</v>
      </c>
      <c r="H12" s="733">
        <v>3469</v>
      </c>
      <c r="I12" s="733">
        <v>3450</v>
      </c>
      <c r="J12" s="733">
        <v>3431</v>
      </c>
      <c r="K12" s="733">
        <v>3413</v>
      </c>
      <c r="L12" s="733">
        <v>3395</v>
      </c>
      <c r="M12" s="733">
        <v>3377</v>
      </c>
      <c r="N12" s="733">
        <v>3422</v>
      </c>
      <c r="O12" s="733">
        <v>3405</v>
      </c>
      <c r="P12" s="733">
        <v>3388</v>
      </c>
      <c r="Q12" s="733">
        <v>3372</v>
      </c>
      <c r="R12" s="733">
        <v>3299</v>
      </c>
      <c r="S12" s="733">
        <v>3287</v>
      </c>
      <c r="T12" s="733">
        <v>3278</v>
      </c>
      <c r="U12" s="733">
        <v>3272</v>
      </c>
      <c r="V12" s="733">
        <v>3268</v>
      </c>
      <c r="W12" s="733">
        <v>3265</v>
      </c>
      <c r="X12" s="733">
        <v>3262</v>
      </c>
      <c r="Y12" s="733">
        <v>3262</v>
      </c>
      <c r="Z12" s="733">
        <v>3261</v>
      </c>
      <c r="AA12" s="733">
        <v>3260</v>
      </c>
      <c r="AB12" s="733">
        <v>3256</v>
      </c>
      <c r="AC12" s="733">
        <v>3248</v>
      </c>
      <c r="AD12" s="733">
        <v>3233</v>
      </c>
      <c r="AE12" s="733">
        <v>3208</v>
      </c>
      <c r="AF12" s="737">
        <v>3211</v>
      </c>
      <c r="AG12" s="737">
        <v>3196</v>
      </c>
      <c r="AH12" s="733">
        <v>3218</v>
      </c>
      <c r="AI12" s="733">
        <v>3273</v>
      </c>
      <c r="AJ12" s="733">
        <v>3390</v>
      </c>
      <c r="AK12" s="740">
        <v>3390</v>
      </c>
      <c r="AL12" s="739">
        <v>3390</v>
      </c>
    </row>
    <row r="13" spans="2:38" ht="24" customHeight="1" x14ac:dyDescent="0.2">
      <c r="B13" s="917"/>
      <c r="C13" s="16">
        <v>220</v>
      </c>
      <c r="D13" s="748">
        <v>3856</v>
      </c>
      <c r="E13" s="733">
        <v>3811</v>
      </c>
      <c r="F13" s="733">
        <v>3771</v>
      </c>
      <c r="G13" s="733">
        <v>3640</v>
      </c>
      <c r="H13" s="733">
        <v>3620</v>
      </c>
      <c r="I13" s="733">
        <v>3600</v>
      </c>
      <c r="J13" s="733">
        <v>3581</v>
      </c>
      <c r="K13" s="733">
        <v>3562</v>
      </c>
      <c r="L13" s="733">
        <v>3544</v>
      </c>
      <c r="M13" s="733">
        <v>3527</v>
      </c>
      <c r="N13" s="733">
        <v>3510</v>
      </c>
      <c r="O13" s="733">
        <v>3493</v>
      </c>
      <c r="P13" s="733">
        <v>3478</v>
      </c>
      <c r="Q13" s="733">
        <v>3464</v>
      </c>
      <c r="R13" s="733">
        <v>3452</v>
      </c>
      <c r="S13" s="733">
        <v>3442</v>
      </c>
      <c r="T13" s="735">
        <v>3437</v>
      </c>
      <c r="U13" s="733">
        <v>3433</v>
      </c>
      <c r="V13" s="735">
        <v>3429</v>
      </c>
      <c r="W13" s="733">
        <v>3427</v>
      </c>
      <c r="X13" s="735">
        <v>3427</v>
      </c>
      <c r="Y13" s="733">
        <v>3426</v>
      </c>
      <c r="Z13" s="735">
        <v>3425</v>
      </c>
      <c r="AA13" s="733">
        <v>3421</v>
      </c>
      <c r="AB13" s="735">
        <v>3413</v>
      </c>
      <c r="AC13" s="733">
        <v>3398</v>
      </c>
      <c r="AD13" s="735">
        <v>3372</v>
      </c>
      <c r="AE13" s="737">
        <v>3355</v>
      </c>
      <c r="AF13" s="737">
        <v>3337</v>
      </c>
      <c r="AG13" s="733">
        <v>3359</v>
      </c>
      <c r="AH13" s="735">
        <v>3416</v>
      </c>
      <c r="AI13" s="733">
        <v>3536</v>
      </c>
      <c r="AJ13" s="740">
        <v>3536</v>
      </c>
      <c r="AK13" s="740">
        <v>3536</v>
      </c>
      <c r="AL13" s="739">
        <v>3536</v>
      </c>
    </row>
    <row r="14" spans="2:38" ht="24" customHeight="1" x14ac:dyDescent="0.2">
      <c r="B14" s="917"/>
      <c r="C14" s="16">
        <v>230</v>
      </c>
      <c r="D14" s="748">
        <v>4014</v>
      </c>
      <c r="E14" s="733">
        <v>3970</v>
      </c>
      <c r="F14" s="733">
        <v>3929</v>
      </c>
      <c r="G14" s="733">
        <v>3791</v>
      </c>
      <c r="H14" s="733">
        <v>3771</v>
      </c>
      <c r="I14" s="733">
        <v>3751</v>
      </c>
      <c r="J14" s="733">
        <v>3732</v>
      </c>
      <c r="K14" s="733">
        <v>3713</v>
      </c>
      <c r="L14" s="733">
        <v>3694</v>
      </c>
      <c r="M14" s="733">
        <v>3677</v>
      </c>
      <c r="N14" s="733">
        <v>3660</v>
      </c>
      <c r="O14" s="733">
        <v>3644</v>
      </c>
      <c r="P14" s="733">
        <v>3630</v>
      </c>
      <c r="Q14" s="733">
        <v>3617</v>
      </c>
      <c r="R14" s="733">
        <v>3608</v>
      </c>
      <c r="S14" s="733">
        <v>3602</v>
      </c>
      <c r="T14" s="733">
        <v>3598</v>
      </c>
      <c r="U14" s="733">
        <v>3595</v>
      </c>
      <c r="V14" s="733">
        <v>3593</v>
      </c>
      <c r="W14" s="733">
        <v>3593</v>
      </c>
      <c r="X14" s="733">
        <v>3592</v>
      </c>
      <c r="Y14" s="733">
        <v>3591</v>
      </c>
      <c r="Z14" s="733">
        <v>3587</v>
      </c>
      <c r="AA14" s="733">
        <v>3580</v>
      </c>
      <c r="AB14" s="733">
        <v>3564</v>
      </c>
      <c r="AC14" s="733">
        <v>3537</v>
      </c>
      <c r="AD14" s="733">
        <v>3520</v>
      </c>
      <c r="AE14" s="737">
        <v>3479</v>
      </c>
      <c r="AF14" s="733">
        <v>3500</v>
      </c>
      <c r="AG14" s="733">
        <v>3555</v>
      </c>
      <c r="AH14" s="733">
        <v>3674</v>
      </c>
      <c r="AI14" s="740">
        <v>3674</v>
      </c>
      <c r="AJ14" s="740">
        <v>3674</v>
      </c>
      <c r="AK14" s="740">
        <v>3674</v>
      </c>
      <c r="AL14" s="739">
        <v>3674</v>
      </c>
    </row>
    <row r="15" spans="2:38" ht="24" customHeight="1" x14ac:dyDescent="0.2">
      <c r="B15" s="917"/>
      <c r="C15" s="16">
        <v>240</v>
      </c>
      <c r="D15" s="748">
        <v>4170</v>
      </c>
      <c r="E15" s="733">
        <v>4129</v>
      </c>
      <c r="F15" s="733">
        <v>3987</v>
      </c>
      <c r="G15" s="733">
        <v>3943</v>
      </c>
      <c r="H15" s="733">
        <v>3922</v>
      </c>
      <c r="I15" s="733">
        <v>3902</v>
      </c>
      <c r="J15" s="733">
        <v>3883</v>
      </c>
      <c r="K15" s="733">
        <v>3864</v>
      </c>
      <c r="L15" s="733">
        <v>3845</v>
      </c>
      <c r="M15" s="733">
        <v>3828</v>
      </c>
      <c r="N15" s="733">
        <v>3811</v>
      </c>
      <c r="O15" s="733">
        <v>3797</v>
      </c>
      <c r="P15" s="733">
        <v>3784</v>
      </c>
      <c r="Q15" s="733">
        <v>3775</v>
      </c>
      <c r="R15" s="733">
        <v>3769</v>
      </c>
      <c r="S15" s="733">
        <v>3765</v>
      </c>
      <c r="T15" s="735">
        <v>3762</v>
      </c>
      <c r="U15" s="733">
        <v>3759</v>
      </c>
      <c r="V15" s="735">
        <v>3759</v>
      </c>
      <c r="W15" s="733">
        <v>3759</v>
      </c>
      <c r="X15" s="735">
        <v>3758</v>
      </c>
      <c r="Y15" s="733">
        <v>3754</v>
      </c>
      <c r="Z15" s="735">
        <v>3747</v>
      </c>
      <c r="AA15" s="733">
        <v>3732</v>
      </c>
      <c r="AB15" s="735">
        <v>3705</v>
      </c>
      <c r="AC15" s="733">
        <v>3687</v>
      </c>
      <c r="AD15" s="737">
        <v>3645</v>
      </c>
      <c r="AE15" s="737">
        <v>3642</v>
      </c>
      <c r="AF15" s="735">
        <v>3691</v>
      </c>
      <c r="AG15" s="733">
        <v>3806</v>
      </c>
      <c r="AH15" s="740">
        <v>3806</v>
      </c>
      <c r="AI15" s="740">
        <v>3806</v>
      </c>
      <c r="AJ15" s="740">
        <v>3806</v>
      </c>
      <c r="AK15" s="740">
        <v>3806</v>
      </c>
      <c r="AL15" s="739">
        <v>3806</v>
      </c>
    </row>
    <row r="16" spans="2:38" ht="24" customHeight="1" x14ac:dyDescent="0.2">
      <c r="B16" s="917"/>
      <c r="C16" s="16">
        <v>250</v>
      </c>
      <c r="D16" s="748">
        <v>4236</v>
      </c>
      <c r="E16" s="733">
        <v>4204</v>
      </c>
      <c r="F16" s="733">
        <v>4071</v>
      </c>
      <c r="G16" s="733">
        <v>4044</v>
      </c>
      <c r="H16" s="733">
        <v>4032</v>
      </c>
      <c r="I16" s="733">
        <v>4022</v>
      </c>
      <c r="J16" s="733">
        <v>4013</v>
      </c>
      <c r="K16" s="733">
        <v>4005</v>
      </c>
      <c r="L16" s="733">
        <v>3997</v>
      </c>
      <c r="M16" s="733">
        <v>3980</v>
      </c>
      <c r="N16" s="733">
        <v>3965</v>
      </c>
      <c r="O16" s="733">
        <v>3952</v>
      </c>
      <c r="P16" s="733">
        <v>3942</v>
      </c>
      <c r="Q16" s="733">
        <v>3936</v>
      </c>
      <c r="R16" s="733">
        <v>3932</v>
      </c>
      <c r="S16" s="733">
        <v>3929</v>
      </c>
      <c r="T16" s="733">
        <v>3927</v>
      </c>
      <c r="U16" s="733">
        <v>3927</v>
      </c>
      <c r="V16" s="733">
        <v>3927</v>
      </c>
      <c r="W16" s="733">
        <v>3926</v>
      </c>
      <c r="X16" s="733">
        <v>3922</v>
      </c>
      <c r="Y16" s="733">
        <v>3916</v>
      </c>
      <c r="Z16" s="733">
        <v>3901</v>
      </c>
      <c r="AA16" s="733">
        <v>3874</v>
      </c>
      <c r="AB16" s="733">
        <v>3855</v>
      </c>
      <c r="AC16" s="737">
        <v>3814</v>
      </c>
      <c r="AD16" s="737">
        <v>3807</v>
      </c>
      <c r="AE16" s="733">
        <v>3827</v>
      </c>
      <c r="AF16" s="733">
        <v>3942</v>
      </c>
      <c r="AG16" s="733">
        <v>4161</v>
      </c>
      <c r="AH16" s="740">
        <v>4161</v>
      </c>
      <c r="AI16" s="740">
        <v>4161</v>
      </c>
      <c r="AJ16" s="740">
        <v>4161</v>
      </c>
      <c r="AK16" s="740">
        <v>4161</v>
      </c>
      <c r="AL16" s="739">
        <v>4161</v>
      </c>
    </row>
    <row r="17" spans="2:38" ht="24" customHeight="1" x14ac:dyDescent="0.2">
      <c r="B17" s="917"/>
      <c r="C17" s="16">
        <v>260</v>
      </c>
      <c r="D17" s="748">
        <v>4306</v>
      </c>
      <c r="E17" s="733">
        <v>4169</v>
      </c>
      <c r="F17" s="733">
        <v>4139</v>
      </c>
      <c r="G17" s="733">
        <v>4113</v>
      </c>
      <c r="H17" s="733">
        <v>4102</v>
      </c>
      <c r="I17" s="733">
        <v>4092</v>
      </c>
      <c r="J17" s="733">
        <v>4083</v>
      </c>
      <c r="K17" s="733">
        <v>4076</v>
      </c>
      <c r="L17" s="733">
        <v>4071</v>
      </c>
      <c r="M17" s="733">
        <v>4068</v>
      </c>
      <c r="N17" s="733">
        <v>4068</v>
      </c>
      <c r="O17" s="733">
        <v>4071</v>
      </c>
      <c r="P17" s="733">
        <v>4076</v>
      </c>
      <c r="Q17" s="733">
        <v>4084</v>
      </c>
      <c r="R17" s="733">
        <v>4092</v>
      </c>
      <c r="S17" s="733">
        <v>4095</v>
      </c>
      <c r="T17" s="735">
        <v>4095</v>
      </c>
      <c r="U17" s="733">
        <v>4095</v>
      </c>
      <c r="V17" s="735">
        <v>4094</v>
      </c>
      <c r="W17" s="733">
        <v>4091</v>
      </c>
      <c r="X17" s="735">
        <v>4085</v>
      </c>
      <c r="Y17" s="733">
        <v>4071</v>
      </c>
      <c r="Z17" s="735">
        <v>4045</v>
      </c>
      <c r="AA17" s="733">
        <v>4023</v>
      </c>
      <c r="AB17" s="737">
        <v>3988</v>
      </c>
      <c r="AC17" s="737">
        <v>3973</v>
      </c>
      <c r="AD17" s="735">
        <v>3985</v>
      </c>
      <c r="AE17" s="733">
        <v>4056</v>
      </c>
      <c r="AF17" s="735">
        <v>4261</v>
      </c>
      <c r="AG17" s="740">
        <v>4261</v>
      </c>
      <c r="AH17" s="740">
        <v>4261</v>
      </c>
      <c r="AI17" s="740">
        <v>4261</v>
      </c>
      <c r="AJ17" s="740">
        <v>4261</v>
      </c>
      <c r="AK17" s="740">
        <v>4261</v>
      </c>
      <c r="AL17" s="739">
        <v>4261</v>
      </c>
    </row>
    <row r="18" spans="2:38" ht="24" customHeight="1" x14ac:dyDescent="0.2">
      <c r="B18" s="917"/>
      <c r="C18" s="16">
        <v>270</v>
      </c>
      <c r="D18" s="748">
        <v>4379</v>
      </c>
      <c r="E18" s="733">
        <v>4241</v>
      </c>
      <c r="F18" s="733">
        <v>4211</v>
      </c>
      <c r="G18" s="733">
        <v>4186</v>
      </c>
      <c r="H18" s="733">
        <v>4176</v>
      </c>
      <c r="I18" s="733">
        <v>4166</v>
      </c>
      <c r="J18" s="733">
        <v>4158</v>
      </c>
      <c r="K18" s="733">
        <v>4152</v>
      </c>
      <c r="L18" s="733">
        <v>4148</v>
      </c>
      <c r="M18" s="733">
        <v>4147</v>
      </c>
      <c r="N18" s="733">
        <v>4148</v>
      </c>
      <c r="O18" s="733">
        <v>4152</v>
      </c>
      <c r="P18" s="733">
        <v>4159</v>
      </c>
      <c r="Q18" s="733">
        <v>4167</v>
      </c>
      <c r="R18" s="733">
        <v>4176</v>
      </c>
      <c r="S18" s="733">
        <v>4186</v>
      </c>
      <c r="T18" s="733">
        <v>4198</v>
      </c>
      <c r="U18" s="733">
        <v>4211</v>
      </c>
      <c r="V18" s="733">
        <v>4228</v>
      </c>
      <c r="W18" s="733">
        <v>4248</v>
      </c>
      <c r="X18" s="733">
        <v>4242</v>
      </c>
      <c r="Y18" s="733">
        <v>4219</v>
      </c>
      <c r="Z18" s="733">
        <v>4193</v>
      </c>
      <c r="AA18" s="737">
        <v>4165</v>
      </c>
      <c r="AB18" s="737">
        <v>4137</v>
      </c>
      <c r="AC18" s="733">
        <v>4143</v>
      </c>
      <c r="AD18" s="733">
        <v>4205</v>
      </c>
      <c r="AE18" s="733">
        <v>4358</v>
      </c>
      <c r="AF18" s="740">
        <v>4358</v>
      </c>
      <c r="AG18" s="740">
        <v>4358</v>
      </c>
      <c r="AH18" s="740">
        <v>4358</v>
      </c>
      <c r="AI18" s="740">
        <v>4358</v>
      </c>
      <c r="AJ18" s="740">
        <v>4358</v>
      </c>
      <c r="AK18" s="740">
        <v>4358</v>
      </c>
      <c r="AL18" s="739">
        <v>4358</v>
      </c>
    </row>
    <row r="19" spans="2:38" ht="24" customHeight="1" x14ac:dyDescent="0.2">
      <c r="B19" s="917"/>
      <c r="C19" s="16">
        <v>280</v>
      </c>
      <c r="D19" s="748">
        <v>4456</v>
      </c>
      <c r="E19" s="733">
        <v>4316</v>
      </c>
      <c r="F19" s="733">
        <v>4288</v>
      </c>
      <c r="G19" s="733">
        <v>4264</v>
      </c>
      <c r="H19" s="733">
        <v>4255</v>
      </c>
      <c r="I19" s="733">
        <v>4246</v>
      </c>
      <c r="J19" s="733">
        <v>4239</v>
      </c>
      <c r="K19" s="733">
        <v>4234</v>
      </c>
      <c r="L19" s="733">
        <v>4232</v>
      </c>
      <c r="M19" s="733">
        <v>4232</v>
      </c>
      <c r="N19" s="733">
        <v>4235</v>
      </c>
      <c r="O19" s="733">
        <v>4241</v>
      </c>
      <c r="P19" s="733">
        <v>4249</v>
      </c>
      <c r="Q19" s="733">
        <v>4258</v>
      </c>
      <c r="R19" s="733">
        <v>4267</v>
      </c>
      <c r="S19" s="733">
        <v>4277</v>
      </c>
      <c r="T19" s="735">
        <v>4289</v>
      </c>
      <c r="U19" s="733">
        <v>4303</v>
      </c>
      <c r="V19" s="735">
        <v>4321</v>
      </c>
      <c r="W19" s="733">
        <v>4339</v>
      </c>
      <c r="X19" s="735">
        <v>4375</v>
      </c>
      <c r="Y19" s="733">
        <v>4364</v>
      </c>
      <c r="Z19" s="737">
        <v>4343</v>
      </c>
      <c r="AA19" s="737">
        <v>4301</v>
      </c>
      <c r="AB19" s="735">
        <v>4305</v>
      </c>
      <c r="AC19" s="733">
        <v>4354</v>
      </c>
      <c r="AD19" s="735">
        <v>4482</v>
      </c>
      <c r="AE19" s="740">
        <v>4482</v>
      </c>
      <c r="AF19" s="740">
        <v>4482</v>
      </c>
      <c r="AG19" s="740">
        <v>4482</v>
      </c>
      <c r="AH19" s="740">
        <v>4482</v>
      </c>
      <c r="AI19" s="740">
        <v>4482</v>
      </c>
      <c r="AJ19" s="740">
        <v>4482</v>
      </c>
      <c r="AK19" s="740">
        <v>4482</v>
      </c>
      <c r="AL19" s="739">
        <v>4482</v>
      </c>
    </row>
    <row r="20" spans="2:38" ht="24" customHeight="1" x14ac:dyDescent="0.2">
      <c r="B20" s="917"/>
      <c r="C20" s="29">
        <v>290</v>
      </c>
      <c r="D20" s="748">
        <v>4537</v>
      </c>
      <c r="E20" s="733">
        <v>4396</v>
      </c>
      <c r="F20" s="733">
        <v>4369</v>
      </c>
      <c r="G20" s="733">
        <v>4348</v>
      </c>
      <c r="H20" s="733">
        <v>4339</v>
      </c>
      <c r="I20" s="733">
        <v>4332</v>
      </c>
      <c r="J20" s="733">
        <v>4326</v>
      </c>
      <c r="K20" s="733">
        <v>4323</v>
      </c>
      <c r="L20" s="733">
        <v>4323</v>
      </c>
      <c r="M20" s="733">
        <v>4325</v>
      </c>
      <c r="N20" s="733">
        <v>4331</v>
      </c>
      <c r="O20" s="733">
        <v>4339</v>
      </c>
      <c r="P20" s="733">
        <v>4347</v>
      </c>
      <c r="Q20" s="733">
        <v>4356</v>
      </c>
      <c r="R20" s="733">
        <v>4366</v>
      </c>
      <c r="S20" s="733">
        <v>4377</v>
      </c>
      <c r="T20" s="733">
        <v>4388</v>
      </c>
      <c r="U20" s="733">
        <v>4404</v>
      </c>
      <c r="V20" s="733">
        <v>4422</v>
      </c>
      <c r="W20" s="733">
        <v>4441</v>
      </c>
      <c r="X20" s="733">
        <v>4488</v>
      </c>
      <c r="Y20" s="733">
        <v>4520</v>
      </c>
      <c r="Z20" s="737">
        <v>4471</v>
      </c>
      <c r="AA20" s="737">
        <v>4471</v>
      </c>
      <c r="AB20" s="733">
        <v>4506</v>
      </c>
      <c r="AC20" s="733">
        <v>4611</v>
      </c>
      <c r="AD20" s="740">
        <v>4611</v>
      </c>
      <c r="AE20" s="740">
        <v>4611</v>
      </c>
      <c r="AF20" s="740">
        <v>4611</v>
      </c>
      <c r="AG20" s="740">
        <v>4611</v>
      </c>
      <c r="AH20" s="740">
        <v>4611</v>
      </c>
      <c r="AI20" s="740">
        <v>4611</v>
      </c>
      <c r="AJ20" s="740">
        <v>4611</v>
      </c>
      <c r="AK20" s="740">
        <v>4611</v>
      </c>
      <c r="AL20" s="739">
        <v>4611</v>
      </c>
    </row>
    <row r="21" spans="2:38" ht="24" customHeight="1" thickBot="1" x14ac:dyDescent="0.25">
      <c r="B21" s="918"/>
      <c r="C21" s="17">
        <v>300</v>
      </c>
      <c r="D21" s="749">
        <v>4508</v>
      </c>
      <c r="E21" s="743">
        <v>4479</v>
      </c>
      <c r="F21" s="743">
        <v>4454</v>
      </c>
      <c r="G21" s="743">
        <v>4437</v>
      </c>
      <c r="H21" s="743">
        <v>4430</v>
      </c>
      <c r="I21" s="743">
        <v>4424</v>
      </c>
      <c r="J21" s="743">
        <v>4421</v>
      </c>
      <c r="K21" s="743">
        <v>4419</v>
      </c>
      <c r="L21" s="743">
        <v>4421</v>
      </c>
      <c r="M21" s="743">
        <v>4426</v>
      </c>
      <c r="N21" s="743">
        <v>4434</v>
      </c>
      <c r="O21" s="743">
        <v>4443</v>
      </c>
      <c r="P21" s="743">
        <v>4452</v>
      </c>
      <c r="Q21" s="743">
        <v>4462</v>
      </c>
      <c r="R21" s="743">
        <v>4474</v>
      </c>
      <c r="S21" s="743">
        <v>4485</v>
      </c>
      <c r="T21" s="744">
        <v>4499</v>
      </c>
      <c r="U21" s="743">
        <v>4517</v>
      </c>
      <c r="V21" s="744">
        <v>4533</v>
      </c>
      <c r="W21" s="743">
        <v>4557</v>
      </c>
      <c r="X21" s="742">
        <v>4621</v>
      </c>
      <c r="Y21" s="742">
        <v>4650</v>
      </c>
      <c r="Z21" s="742">
        <v>4641</v>
      </c>
      <c r="AA21" s="743">
        <v>4660</v>
      </c>
      <c r="AB21" s="744">
        <v>4746</v>
      </c>
      <c r="AC21" s="745">
        <v>4746</v>
      </c>
      <c r="AD21" s="745">
        <v>4746</v>
      </c>
      <c r="AE21" s="745">
        <v>4746</v>
      </c>
      <c r="AF21" s="745">
        <v>4746</v>
      </c>
      <c r="AG21" s="745">
        <v>4746</v>
      </c>
      <c r="AH21" s="745">
        <v>4746</v>
      </c>
      <c r="AI21" s="745">
        <v>4746</v>
      </c>
      <c r="AJ21" s="745">
        <v>4746</v>
      </c>
      <c r="AK21" s="745">
        <v>4746</v>
      </c>
      <c r="AL21" s="746">
        <v>4746</v>
      </c>
    </row>
    <row r="22" spans="2:38" ht="22.5" customHeight="1" thickBot="1" x14ac:dyDescent="0.25"/>
    <row r="23" spans="2:38" ht="22.5" customHeight="1" x14ac:dyDescent="0.2">
      <c r="B23" s="919" t="s">
        <v>11</v>
      </c>
      <c r="C23" s="920"/>
      <c r="D23" s="5"/>
      <c r="E23" s="5"/>
      <c r="F23" s="5"/>
      <c r="G23" s="5"/>
      <c r="H23" s="18"/>
      <c r="I23" s="18"/>
      <c r="J23" s="18"/>
      <c r="K23" s="18"/>
      <c r="L23" s="18"/>
      <c r="M23" s="19"/>
    </row>
    <row r="24" spans="2:38" ht="23.25" customHeight="1" x14ac:dyDescent="0.2">
      <c r="B24" s="26" t="s">
        <v>12</v>
      </c>
      <c r="C24" s="22">
        <v>350</v>
      </c>
      <c r="D24" s="27" t="s">
        <v>13</v>
      </c>
      <c r="E24" s="6" t="s">
        <v>23</v>
      </c>
      <c r="F24" s="7"/>
      <c r="G24" s="7"/>
      <c r="H24" s="20"/>
      <c r="I24" s="20"/>
      <c r="J24" s="20"/>
      <c r="K24" s="20"/>
      <c r="L24" s="20"/>
      <c r="M24" s="21"/>
    </row>
    <row r="25" spans="2:38" ht="23.25" customHeight="1" x14ac:dyDescent="0.2">
      <c r="B25" s="26" t="s">
        <v>14</v>
      </c>
      <c r="C25" s="22">
        <v>240</v>
      </c>
      <c r="D25" s="27" t="s">
        <v>15</v>
      </c>
      <c r="E25" s="6" t="s">
        <v>24</v>
      </c>
      <c r="F25" s="7"/>
      <c r="G25" s="7"/>
      <c r="H25" s="20"/>
      <c r="I25" s="20"/>
      <c r="J25" s="20"/>
      <c r="K25" s="20"/>
      <c r="L25" s="20"/>
      <c r="M25" s="21"/>
      <c r="V25"/>
      <c r="W25"/>
      <c r="X25"/>
      <c r="Y25"/>
      <c r="Z25"/>
      <c r="AA25"/>
      <c r="AB25"/>
      <c r="AC25"/>
      <c r="AD25"/>
      <c r="AE25"/>
      <c r="AF25"/>
      <c r="AG25"/>
      <c r="AH25"/>
      <c r="AI25"/>
      <c r="AJ25"/>
      <c r="AK25"/>
      <c r="AL25"/>
    </row>
    <row r="26" spans="2:38" ht="14.25" customHeight="1" x14ac:dyDescent="0.2">
      <c r="B26" s="8"/>
      <c r="C26" s="9"/>
      <c r="D26" s="9"/>
      <c r="E26" s="9"/>
      <c r="F26" s="7"/>
      <c r="G26" s="7"/>
      <c r="H26" s="20"/>
      <c r="I26" s="20"/>
      <c r="J26" s="20"/>
      <c r="K26" s="20"/>
      <c r="L26" s="20"/>
      <c r="M26" s="21"/>
      <c r="V26"/>
      <c r="W26"/>
      <c r="X26"/>
      <c r="Y26"/>
      <c r="Z26"/>
      <c r="AA26"/>
      <c r="AB26"/>
      <c r="AC26"/>
      <c r="AD26"/>
      <c r="AE26"/>
      <c r="AF26"/>
      <c r="AG26"/>
      <c r="AH26"/>
      <c r="AI26"/>
      <c r="AJ26"/>
      <c r="AK26"/>
      <c r="AL26"/>
    </row>
    <row r="27" spans="2:38" ht="24" customHeight="1" x14ac:dyDescent="0.2">
      <c r="B27" s="26" t="s">
        <v>25</v>
      </c>
      <c r="C27" s="32" t="e">
        <f ca="1">BicubicInterpolation(C4:AL21,C24,C25)</f>
        <v>#NAME?</v>
      </c>
      <c r="D27" s="27" t="s">
        <v>29</v>
      </c>
      <c r="E27" s="7"/>
      <c r="F27" s="7"/>
      <c r="G27" s="7"/>
      <c r="H27" s="20"/>
      <c r="I27" s="20"/>
      <c r="J27" s="20"/>
      <c r="K27" s="20"/>
      <c r="L27" s="20"/>
      <c r="M27" s="21"/>
      <c r="U27"/>
      <c r="V27"/>
      <c r="W27"/>
      <c r="X27"/>
      <c r="Y27"/>
      <c r="Z27"/>
      <c r="AA27"/>
      <c r="AB27"/>
      <c r="AC27"/>
      <c r="AD27"/>
      <c r="AE27"/>
      <c r="AF27"/>
      <c r="AG27"/>
      <c r="AH27"/>
      <c r="AI27"/>
      <c r="AJ27"/>
      <c r="AK27"/>
      <c r="AL27"/>
    </row>
    <row r="28" spans="2:38" ht="18" customHeight="1" thickBot="1" x14ac:dyDescent="0.25">
      <c r="B28" s="37"/>
      <c r="C28" s="38"/>
      <c r="D28" s="39"/>
      <c r="E28" s="40"/>
      <c r="F28" s="40"/>
      <c r="G28" s="40"/>
      <c r="H28" s="41"/>
      <c r="I28" s="41"/>
      <c r="J28" s="41"/>
      <c r="K28" s="41"/>
      <c r="L28" s="41"/>
      <c r="M28" s="42"/>
      <c r="U28"/>
      <c r="V28"/>
      <c r="W28"/>
      <c r="X28"/>
      <c r="Y28"/>
      <c r="Z28"/>
      <c r="AA28"/>
      <c r="AB28"/>
      <c r="AC28"/>
      <c r="AD28"/>
      <c r="AE28"/>
      <c r="AF28"/>
      <c r="AG28"/>
      <c r="AH28"/>
      <c r="AI28"/>
      <c r="AJ28"/>
      <c r="AK28"/>
      <c r="AL28"/>
    </row>
    <row r="29" spans="2:38" ht="16" x14ac:dyDescent="0.2">
      <c r="B29" s="34" t="s">
        <v>20</v>
      </c>
      <c r="C29" s="934" t="s">
        <v>37</v>
      </c>
      <c r="D29" s="934"/>
      <c r="E29" s="934"/>
      <c r="F29" s="934"/>
      <c r="G29" s="934"/>
      <c r="H29" s="934"/>
      <c r="I29" s="934"/>
      <c r="J29" s="934"/>
      <c r="K29" s="934"/>
      <c r="L29" s="934"/>
      <c r="M29" s="935"/>
      <c r="U29"/>
      <c r="V29"/>
      <c r="W29"/>
      <c r="X29"/>
      <c r="Y29"/>
      <c r="Z29"/>
      <c r="AA29"/>
      <c r="AB29"/>
      <c r="AC29"/>
      <c r="AD29"/>
      <c r="AE29"/>
      <c r="AF29"/>
      <c r="AG29"/>
      <c r="AH29"/>
      <c r="AI29"/>
      <c r="AJ29"/>
      <c r="AK29"/>
      <c r="AL29"/>
    </row>
    <row r="30" spans="2:38" ht="16" x14ac:dyDescent="0.2">
      <c r="B30" s="24"/>
      <c r="C30" s="932" t="s">
        <v>41</v>
      </c>
      <c r="D30" s="932"/>
      <c r="E30" s="932"/>
      <c r="F30" s="932"/>
      <c r="G30" s="932"/>
      <c r="H30" s="932"/>
      <c r="I30" s="932"/>
      <c r="J30" s="932"/>
      <c r="K30" s="932"/>
      <c r="L30" s="932"/>
      <c r="M30" s="933"/>
      <c r="U30"/>
      <c r="V30"/>
      <c r="W30"/>
      <c r="X30"/>
      <c r="Y30"/>
      <c r="Z30"/>
      <c r="AA30"/>
      <c r="AB30"/>
      <c r="AC30"/>
      <c r="AD30"/>
      <c r="AE30"/>
      <c r="AF30"/>
      <c r="AG30"/>
      <c r="AH30"/>
      <c r="AI30"/>
      <c r="AJ30"/>
      <c r="AK30"/>
      <c r="AL30"/>
    </row>
    <row r="31" spans="2:38" ht="18" customHeight="1" x14ac:dyDescent="0.2">
      <c r="B31" s="24"/>
      <c r="C31" s="932" t="s">
        <v>36</v>
      </c>
      <c r="D31" s="932"/>
      <c r="E31" s="932"/>
      <c r="F31" s="932"/>
      <c r="G31" s="932"/>
      <c r="H31" s="932"/>
      <c r="I31" s="932"/>
      <c r="J31" s="932"/>
      <c r="K31" s="932"/>
      <c r="L31" s="932"/>
      <c r="M31" s="933"/>
      <c r="N31"/>
      <c r="O31"/>
      <c r="P31"/>
      <c r="Q31"/>
      <c r="U31"/>
      <c r="V31"/>
      <c r="W31"/>
      <c r="X31"/>
      <c r="Y31"/>
      <c r="Z31"/>
      <c r="AA31"/>
      <c r="AB31"/>
      <c r="AC31"/>
      <c r="AD31"/>
      <c r="AE31"/>
      <c r="AF31"/>
      <c r="AG31"/>
      <c r="AH31"/>
      <c r="AI31"/>
      <c r="AJ31"/>
      <c r="AK31"/>
      <c r="AL31"/>
    </row>
    <row r="32" spans="2:38" ht="18" customHeight="1" x14ac:dyDescent="0.2">
      <c r="B32" s="24"/>
      <c r="C32" s="35"/>
      <c r="D32" s="35" t="s">
        <v>38</v>
      </c>
      <c r="E32" s="35"/>
      <c r="F32" s="35"/>
      <c r="G32" s="35"/>
      <c r="H32" s="35"/>
      <c r="I32" s="35"/>
      <c r="J32" s="35"/>
      <c r="K32" s="35"/>
      <c r="L32" s="35"/>
      <c r="M32" s="36"/>
      <c r="U32"/>
      <c r="V32"/>
      <c r="W32"/>
      <c r="X32"/>
      <c r="Y32"/>
      <c r="Z32"/>
      <c r="AA32"/>
      <c r="AB32"/>
      <c r="AC32"/>
      <c r="AD32"/>
      <c r="AE32"/>
      <c r="AF32"/>
      <c r="AG32"/>
      <c r="AH32"/>
      <c r="AI32"/>
      <c r="AJ32"/>
      <c r="AK32"/>
      <c r="AL32"/>
    </row>
    <row r="33" spans="2:38" ht="22.5" customHeight="1" x14ac:dyDescent="0.2">
      <c r="B33" s="24"/>
      <c r="C33" s="35"/>
      <c r="D33" s="35" t="s">
        <v>39</v>
      </c>
      <c r="E33" s="35"/>
      <c r="F33" s="35"/>
      <c r="G33" s="35"/>
      <c r="H33" s="35"/>
      <c r="I33" s="35"/>
      <c r="J33" s="35"/>
      <c r="K33" s="35"/>
      <c r="L33" s="35"/>
      <c r="M33" s="36"/>
      <c r="U33"/>
      <c r="V33"/>
      <c r="W33"/>
      <c r="X33"/>
      <c r="Y33"/>
      <c r="Z33"/>
      <c r="AA33"/>
      <c r="AB33"/>
      <c r="AC33"/>
      <c r="AD33"/>
      <c r="AE33"/>
      <c r="AF33"/>
      <c r="AG33"/>
      <c r="AH33"/>
      <c r="AI33"/>
      <c r="AJ33"/>
      <c r="AK33"/>
      <c r="AL33"/>
    </row>
    <row r="34" spans="2:38" ht="17" thickBot="1" x14ac:dyDescent="0.25">
      <c r="B34" s="25"/>
      <c r="C34" s="927" t="s">
        <v>35</v>
      </c>
      <c r="D34" s="927"/>
      <c r="E34" s="927"/>
      <c r="F34" s="927"/>
      <c r="G34" s="927"/>
      <c r="H34" s="927"/>
      <c r="I34" s="927"/>
      <c r="J34" s="927"/>
      <c r="K34" s="927"/>
      <c r="L34" s="927"/>
      <c r="M34" s="928"/>
      <c r="U34"/>
      <c r="V34"/>
      <c r="W34"/>
      <c r="X34"/>
      <c r="Y34"/>
      <c r="Z34"/>
      <c r="AA34"/>
      <c r="AB34"/>
      <c r="AC34"/>
      <c r="AD34"/>
      <c r="AE34"/>
      <c r="AF34"/>
      <c r="AG34"/>
      <c r="AH34"/>
      <c r="AI34"/>
      <c r="AJ34"/>
    </row>
    <row r="35" spans="2:38" x14ac:dyDescent="0.2">
      <c r="D35"/>
      <c r="E35"/>
      <c r="F35"/>
      <c r="G35"/>
      <c r="H35"/>
      <c r="I35"/>
      <c r="J35"/>
      <c r="K35"/>
      <c r="L35"/>
      <c r="M35"/>
      <c r="N35"/>
      <c r="O35"/>
      <c r="P35"/>
      <c r="Q35"/>
      <c r="R35"/>
      <c r="S35"/>
      <c r="T35"/>
      <c r="U35"/>
      <c r="V35"/>
      <c r="W35"/>
      <c r="X35"/>
      <c r="Y35"/>
      <c r="Z35"/>
      <c r="AA35"/>
      <c r="AB35"/>
      <c r="AC35"/>
      <c r="AD35"/>
      <c r="AE35"/>
      <c r="AF35"/>
      <c r="AG35"/>
      <c r="AH35"/>
      <c r="AI35"/>
      <c r="AJ35"/>
      <c r="AK35"/>
      <c r="AL35"/>
    </row>
    <row r="36" spans="2:38" ht="63.5" customHeight="1" x14ac:dyDescent="0.2">
      <c r="D36"/>
      <c r="E36"/>
      <c r="F36"/>
      <c r="G36"/>
      <c r="H36"/>
      <c r="I36"/>
      <c r="J36"/>
      <c r="K36"/>
      <c r="L36"/>
      <c r="M36"/>
      <c r="N36"/>
      <c r="O36"/>
      <c r="P36"/>
      <c r="Q36"/>
      <c r="R36"/>
      <c r="S36"/>
      <c r="T36"/>
      <c r="U36"/>
      <c r="V36"/>
      <c r="W36"/>
      <c r="X36"/>
      <c r="Y36"/>
      <c r="Z36"/>
      <c r="AA36"/>
      <c r="AB36"/>
      <c r="AC36"/>
      <c r="AD36"/>
      <c r="AE36"/>
      <c r="AF36"/>
      <c r="AG36"/>
      <c r="AH36"/>
      <c r="AI36"/>
      <c r="AJ36"/>
      <c r="AK36"/>
      <c r="AL36"/>
    </row>
    <row r="37" spans="2:38" ht="55.5" customHeight="1" x14ac:dyDescent="0.2">
      <c r="D37"/>
      <c r="E37"/>
      <c r="F37"/>
      <c r="G37"/>
      <c r="H37"/>
      <c r="I37"/>
      <c r="J37"/>
      <c r="K37"/>
      <c r="L37"/>
      <c r="M37"/>
      <c r="N37"/>
      <c r="O37"/>
      <c r="P37"/>
      <c r="Q37"/>
      <c r="R37"/>
      <c r="S37"/>
      <c r="T37"/>
      <c r="U37"/>
      <c r="V37"/>
      <c r="W37"/>
      <c r="X37"/>
      <c r="Y37"/>
      <c r="Z37"/>
      <c r="AA37"/>
      <c r="AB37"/>
      <c r="AC37"/>
      <c r="AD37"/>
      <c r="AE37"/>
      <c r="AF37"/>
      <c r="AG37"/>
      <c r="AH37"/>
      <c r="AI37"/>
      <c r="AJ37"/>
      <c r="AK37"/>
      <c r="AL37"/>
    </row>
    <row r="38" spans="2:38" ht="31.5" customHeight="1" x14ac:dyDescent="0.2">
      <c r="D38"/>
      <c r="E38"/>
      <c r="F38"/>
      <c r="G38"/>
      <c r="H38"/>
      <c r="I38"/>
      <c r="J38"/>
      <c r="K38"/>
      <c r="L38"/>
      <c r="M38"/>
      <c r="N38"/>
      <c r="O38"/>
      <c r="P38"/>
      <c r="Q38"/>
      <c r="R38"/>
      <c r="S38"/>
      <c r="T38"/>
      <c r="U38"/>
      <c r="V38"/>
      <c r="W38"/>
      <c r="X38"/>
      <c r="Y38"/>
      <c r="Z38"/>
      <c r="AA38"/>
      <c r="AB38"/>
      <c r="AC38"/>
      <c r="AD38"/>
      <c r="AE38"/>
      <c r="AF38"/>
      <c r="AG38"/>
      <c r="AH38"/>
      <c r="AI38"/>
      <c r="AJ38"/>
      <c r="AK38"/>
      <c r="AL38"/>
    </row>
    <row r="39" spans="2:38" ht="27" customHeight="1" x14ac:dyDescent="0.2">
      <c r="D39"/>
      <c r="E39"/>
      <c r="F39"/>
      <c r="G39"/>
      <c r="H39"/>
      <c r="I39"/>
      <c r="J39"/>
      <c r="K39"/>
      <c r="L39"/>
      <c r="M39"/>
      <c r="N39"/>
      <c r="O39"/>
      <c r="P39"/>
      <c r="Q39"/>
      <c r="R39"/>
      <c r="S39"/>
      <c r="T39"/>
      <c r="U39"/>
      <c r="V39"/>
      <c r="W39"/>
      <c r="X39"/>
      <c r="Y39"/>
      <c r="Z39"/>
      <c r="AA39"/>
      <c r="AB39"/>
      <c r="AC39"/>
      <c r="AD39"/>
      <c r="AE39"/>
      <c r="AF39"/>
      <c r="AG39"/>
      <c r="AH39"/>
      <c r="AI39"/>
      <c r="AJ39"/>
      <c r="AK39"/>
      <c r="AL39"/>
    </row>
    <row r="40" spans="2:38" ht="27" customHeight="1" x14ac:dyDescent="0.2">
      <c r="D40"/>
      <c r="E40"/>
      <c r="F40"/>
      <c r="G40"/>
      <c r="H40"/>
      <c r="I40"/>
      <c r="J40"/>
      <c r="K40"/>
      <c r="L40"/>
      <c r="M40"/>
      <c r="N40"/>
      <c r="O40"/>
      <c r="P40"/>
      <c r="Q40"/>
      <c r="R40"/>
      <c r="S40"/>
      <c r="T40"/>
      <c r="U40"/>
      <c r="V40"/>
      <c r="W40"/>
      <c r="X40"/>
      <c r="Y40"/>
      <c r="Z40"/>
      <c r="AA40"/>
      <c r="AB40"/>
      <c r="AC40"/>
      <c r="AD40"/>
      <c r="AE40"/>
      <c r="AF40"/>
      <c r="AG40"/>
      <c r="AH40"/>
      <c r="AI40"/>
      <c r="AJ40"/>
      <c r="AK40"/>
      <c r="AL40"/>
    </row>
    <row r="41" spans="2:38" ht="27" customHeight="1" x14ac:dyDescent="0.2">
      <c r="D41"/>
      <c r="E41"/>
      <c r="F41"/>
      <c r="G41"/>
      <c r="H41"/>
      <c r="I41"/>
      <c r="J41"/>
      <c r="K41"/>
      <c r="L41"/>
      <c r="M41"/>
      <c r="N41"/>
      <c r="O41"/>
      <c r="P41"/>
      <c r="Q41"/>
      <c r="R41"/>
      <c r="S41"/>
      <c r="T41"/>
      <c r="U41"/>
      <c r="V41"/>
      <c r="W41"/>
      <c r="X41"/>
      <c r="Y41"/>
      <c r="Z41"/>
      <c r="AA41"/>
      <c r="AB41"/>
      <c r="AC41"/>
      <c r="AD41"/>
      <c r="AE41"/>
      <c r="AF41"/>
      <c r="AG41"/>
      <c r="AH41"/>
      <c r="AI41"/>
      <c r="AJ41"/>
      <c r="AK41"/>
      <c r="AL41"/>
    </row>
    <row r="42" spans="2:38" ht="27" customHeight="1" x14ac:dyDescent="0.2">
      <c r="D42"/>
      <c r="E42"/>
      <c r="F42"/>
      <c r="G42"/>
      <c r="H42"/>
      <c r="I42"/>
      <c r="J42"/>
      <c r="K42"/>
      <c r="L42"/>
      <c r="M42"/>
      <c r="N42"/>
      <c r="O42"/>
      <c r="P42"/>
      <c r="Q42"/>
      <c r="R42"/>
      <c r="S42"/>
      <c r="T42"/>
      <c r="U42"/>
      <c r="V42"/>
      <c r="W42"/>
      <c r="X42"/>
      <c r="Y42"/>
      <c r="Z42"/>
      <c r="AA42"/>
      <c r="AB42"/>
      <c r="AC42"/>
      <c r="AD42"/>
      <c r="AE42"/>
      <c r="AF42"/>
      <c r="AG42"/>
      <c r="AH42"/>
      <c r="AI42"/>
      <c r="AJ42"/>
      <c r="AK42"/>
      <c r="AL42"/>
    </row>
    <row r="43" spans="2:38" ht="27" customHeight="1" x14ac:dyDescent="0.2">
      <c r="D43"/>
      <c r="E43"/>
      <c r="F43"/>
      <c r="G43"/>
      <c r="H43"/>
      <c r="I43"/>
      <c r="J43"/>
      <c r="K43"/>
      <c r="L43"/>
      <c r="M43"/>
      <c r="N43"/>
      <c r="O43"/>
      <c r="P43"/>
      <c r="Q43"/>
      <c r="R43"/>
      <c r="S43"/>
      <c r="T43"/>
      <c r="U43"/>
      <c r="V43"/>
      <c r="W43"/>
      <c r="X43"/>
      <c r="Y43"/>
      <c r="Z43"/>
      <c r="AA43"/>
      <c r="AB43"/>
      <c r="AC43"/>
      <c r="AD43"/>
      <c r="AE43"/>
      <c r="AF43"/>
      <c r="AG43"/>
      <c r="AH43"/>
      <c r="AI43"/>
      <c r="AJ43"/>
      <c r="AK43"/>
      <c r="AL43"/>
    </row>
    <row r="44" spans="2:38" ht="27" customHeight="1" x14ac:dyDescent="0.2">
      <c r="D44"/>
      <c r="E44"/>
      <c r="F44"/>
      <c r="G44"/>
      <c r="H44"/>
      <c r="I44"/>
      <c r="J44"/>
      <c r="K44"/>
      <c r="L44"/>
      <c r="M44"/>
      <c r="N44"/>
      <c r="O44"/>
      <c r="P44"/>
      <c r="Q44"/>
      <c r="R44"/>
      <c r="S44"/>
      <c r="T44"/>
      <c r="U44"/>
      <c r="V44"/>
      <c r="W44"/>
      <c r="X44"/>
      <c r="Y44"/>
      <c r="Z44"/>
      <c r="AA44"/>
      <c r="AB44"/>
      <c r="AC44"/>
      <c r="AD44"/>
      <c r="AE44"/>
      <c r="AF44"/>
      <c r="AG44"/>
      <c r="AH44"/>
      <c r="AI44"/>
      <c r="AJ44"/>
      <c r="AK44"/>
      <c r="AL44"/>
    </row>
    <row r="45" spans="2:38" ht="27" customHeight="1" x14ac:dyDescent="0.2">
      <c r="D45"/>
      <c r="E45"/>
      <c r="F45"/>
      <c r="G45"/>
      <c r="H45"/>
      <c r="I45"/>
      <c r="J45"/>
      <c r="K45"/>
      <c r="L45"/>
      <c r="M45"/>
      <c r="N45"/>
      <c r="O45"/>
      <c r="P45"/>
      <c r="Q45"/>
      <c r="R45"/>
      <c r="S45"/>
      <c r="T45"/>
      <c r="U45"/>
      <c r="V45"/>
      <c r="W45"/>
      <c r="X45"/>
      <c r="Y45"/>
      <c r="Z45"/>
      <c r="AA45"/>
      <c r="AB45"/>
      <c r="AC45"/>
      <c r="AD45"/>
      <c r="AE45"/>
      <c r="AF45"/>
      <c r="AG45"/>
      <c r="AH45"/>
      <c r="AI45"/>
      <c r="AJ45"/>
      <c r="AK45"/>
      <c r="AL45"/>
    </row>
    <row r="46" spans="2:38" ht="27" customHeight="1" x14ac:dyDescent="0.2">
      <c r="D46"/>
      <c r="E46"/>
      <c r="F46"/>
      <c r="G46"/>
      <c r="H46"/>
      <c r="I46"/>
      <c r="J46"/>
      <c r="K46"/>
      <c r="L46"/>
      <c r="M46"/>
      <c r="N46"/>
      <c r="O46"/>
      <c r="P46"/>
      <c r="Q46"/>
      <c r="R46"/>
      <c r="S46"/>
      <c r="T46"/>
      <c r="U46"/>
      <c r="V46"/>
      <c r="W46"/>
      <c r="X46"/>
      <c r="Y46"/>
      <c r="Z46"/>
      <c r="AA46"/>
      <c r="AB46"/>
      <c r="AC46"/>
      <c r="AD46"/>
      <c r="AE46"/>
      <c r="AF46"/>
      <c r="AG46"/>
      <c r="AH46"/>
      <c r="AI46"/>
      <c r="AJ46"/>
      <c r="AK46"/>
      <c r="AL46"/>
    </row>
    <row r="47" spans="2:38" ht="27" customHeight="1" x14ac:dyDescent="0.2">
      <c r="D47"/>
      <c r="E47"/>
      <c r="F47"/>
      <c r="G47"/>
      <c r="H47"/>
      <c r="I47"/>
      <c r="J47"/>
      <c r="K47"/>
      <c r="L47"/>
      <c r="M47"/>
      <c r="N47"/>
      <c r="O47"/>
      <c r="P47"/>
      <c r="Q47"/>
      <c r="R47"/>
      <c r="S47"/>
      <c r="T47"/>
      <c r="U47"/>
      <c r="V47"/>
      <c r="W47"/>
      <c r="X47"/>
      <c r="Y47"/>
      <c r="Z47"/>
      <c r="AA47"/>
      <c r="AB47"/>
      <c r="AC47"/>
      <c r="AD47"/>
      <c r="AE47"/>
      <c r="AF47"/>
      <c r="AG47"/>
      <c r="AH47"/>
      <c r="AI47"/>
      <c r="AJ47"/>
      <c r="AK47"/>
      <c r="AL47"/>
    </row>
    <row r="48" spans="2:38" ht="27" customHeight="1" x14ac:dyDescent="0.2">
      <c r="D48"/>
      <c r="E48"/>
      <c r="F48"/>
      <c r="G48"/>
      <c r="H48"/>
      <c r="I48"/>
      <c r="J48"/>
      <c r="K48"/>
      <c r="L48"/>
      <c r="M48"/>
      <c r="N48"/>
      <c r="O48"/>
      <c r="P48"/>
      <c r="Q48"/>
      <c r="R48"/>
      <c r="S48"/>
      <c r="T48"/>
      <c r="U48"/>
      <c r="V48"/>
      <c r="W48"/>
      <c r="X48"/>
      <c r="Y48"/>
      <c r="Z48"/>
      <c r="AA48"/>
      <c r="AB48"/>
      <c r="AC48"/>
      <c r="AD48"/>
      <c r="AE48"/>
      <c r="AF48"/>
      <c r="AG48"/>
      <c r="AH48"/>
      <c r="AI48"/>
      <c r="AJ48"/>
      <c r="AK48"/>
      <c r="AL48"/>
    </row>
    <row r="49" customFormat="1" ht="27" customHeight="1" x14ac:dyDescent="0.2"/>
    <row r="50" customFormat="1" ht="27" customHeight="1" x14ac:dyDescent="0.2"/>
    <row r="51" customFormat="1" ht="27" customHeight="1" x14ac:dyDescent="0.2"/>
    <row r="52" customFormat="1" ht="27" customHeight="1" x14ac:dyDescent="0.2"/>
    <row r="53" customFormat="1" ht="27" customHeight="1" x14ac:dyDescent="0.2"/>
    <row r="54" customFormat="1" ht="27" customHeight="1" x14ac:dyDescent="0.2"/>
    <row r="55" customFormat="1" ht="27" customHeight="1" x14ac:dyDescent="0.2"/>
    <row r="56" customFormat="1" x14ac:dyDescent="0.2"/>
    <row r="57" customFormat="1" x14ac:dyDescent="0.2"/>
    <row r="58" customFormat="1" x14ac:dyDescent="0.2"/>
    <row r="59" customFormat="1" x14ac:dyDescent="0.2"/>
    <row r="60" customFormat="1" x14ac:dyDescent="0.2"/>
    <row r="61" customFormat="1" ht="21" customHeigh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ht="26.5" customHeight="1" x14ac:dyDescent="0.2"/>
    <row r="80" customFormat="1" x14ac:dyDescent="0.2"/>
    <row r="81" customFormat="1" x14ac:dyDescent="0.2"/>
    <row r="82" customFormat="1" x14ac:dyDescent="0.2"/>
    <row r="83" customFormat="1" ht="21" customHeigh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ht="21.5" customHeigh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sheetData>
  <mergeCells count="8">
    <mergeCell ref="C30:M30"/>
    <mergeCell ref="C31:M31"/>
    <mergeCell ref="C34:M34"/>
    <mergeCell ref="B2:AL2"/>
    <mergeCell ref="D3:AL3"/>
    <mergeCell ref="B5:B21"/>
    <mergeCell ref="B23:C23"/>
    <mergeCell ref="C29:M29"/>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BC439"/>
  <sheetViews>
    <sheetView zoomScale="50" zoomScaleNormal="50" workbookViewId="0">
      <selection activeCell="AD40" sqref="AD40"/>
    </sheetView>
  </sheetViews>
  <sheetFormatPr baseColWidth="10" defaultColWidth="8.83203125" defaultRowHeight="37" x14ac:dyDescent="0.45"/>
  <cols>
    <col min="1" max="1" width="5.33203125" customWidth="1"/>
    <col min="2" max="2" width="30.33203125" customWidth="1"/>
    <col min="3" max="3" width="9.6640625" style="129" customWidth="1"/>
    <col min="4" max="4" width="18.5" customWidth="1"/>
    <col min="6" max="24" width="10.6640625" customWidth="1"/>
    <col min="26" max="30" width="16.5" customWidth="1"/>
    <col min="41" max="41" width="20" customWidth="1"/>
    <col min="42" max="47" width="23.83203125" customWidth="1"/>
  </cols>
  <sheetData>
    <row r="1" spans="2:24" ht="20.5" customHeight="1" thickBot="1" x14ac:dyDescent="0.5"/>
    <row r="2" spans="2:24" ht="47" customHeight="1" thickTop="1" thickBot="1" x14ac:dyDescent="0.25">
      <c r="B2" s="955" t="s">
        <v>63</v>
      </c>
      <c r="C2" s="950" t="s">
        <v>47</v>
      </c>
      <c r="D2" s="938" t="s">
        <v>61</v>
      </c>
      <c r="E2" s="939"/>
      <c r="F2" s="939"/>
      <c r="G2" s="939"/>
      <c r="H2" s="939"/>
      <c r="I2" s="939"/>
      <c r="J2" s="939"/>
      <c r="K2" s="939"/>
      <c r="L2" s="939"/>
      <c r="M2" s="939"/>
      <c r="N2" s="939"/>
      <c r="O2" s="939"/>
      <c r="P2" s="939"/>
      <c r="Q2" s="939"/>
      <c r="R2" s="939"/>
      <c r="S2" s="939"/>
      <c r="T2" s="939"/>
      <c r="U2" s="939"/>
      <c r="V2" s="939"/>
      <c r="W2" s="939"/>
      <c r="X2" s="940"/>
    </row>
    <row r="3" spans="2:24" ht="28.5" customHeight="1" x14ac:dyDescent="0.2">
      <c r="B3" s="944"/>
      <c r="C3" s="951"/>
      <c r="D3" s="941" t="s">
        <v>54</v>
      </c>
      <c r="E3" s="942"/>
      <c r="F3" s="92">
        <f t="shared" ref="F3:X3" si="0">IF(F5&lt;360.8924, 1013.25*(1-0.0000068755856*100*F5)^5.2558797, 0.01*0.2233609*101325*EXP(-0.004806346*(F5-360.8924)))/1013.25</f>
        <v>0.37109194465083423</v>
      </c>
      <c r="G3" s="92">
        <f t="shared" si="0"/>
        <v>0.35518169924862825</v>
      </c>
      <c r="H3" s="92">
        <f t="shared" si="0"/>
        <v>0.3398283685668293</v>
      </c>
      <c r="I3" s="92">
        <f t="shared" si="0"/>
        <v>0.32501691489128937</v>
      </c>
      <c r="J3" s="92">
        <f t="shared" si="0"/>
        <v>0.31073258420509658</v>
      </c>
      <c r="K3" s="92">
        <f t="shared" si="0"/>
        <v>0.29696090318371676</v>
      </c>
      <c r="L3" s="92">
        <f t="shared" si="0"/>
        <v>0.2836876761966769</v>
      </c>
      <c r="M3" s="92">
        <f t="shared" si="0"/>
        <v>0.27089898231582921</v>
      </c>
      <c r="N3" s="92">
        <f t="shared" si="0"/>
        <v>0.25858117233024014</v>
      </c>
      <c r="O3" s="92">
        <f t="shared" si="0"/>
        <v>0.24672086576774621</v>
      </c>
      <c r="P3" s="92">
        <f t="shared" si="0"/>
        <v>0.23530494792321976</v>
      </c>
      <c r="Q3" s="92">
        <f t="shared" si="0"/>
        <v>0.22432056689359178</v>
      </c>
      <c r="R3" s="92">
        <f t="shared" si="0"/>
        <v>0.21379435009215503</v>
      </c>
      <c r="S3" s="92">
        <f t="shared" si="0"/>
        <v>0.20376168743212486</v>
      </c>
      <c r="T3" s="92">
        <f t="shared" si="0"/>
        <v>0.19419982449157544</v>
      </c>
      <c r="U3" s="92">
        <f t="shared" si="0"/>
        <v>0.18508666819478264</v>
      </c>
      <c r="V3" s="92">
        <f t="shared" si="0"/>
        <v>0.17640116222108979</v>
      </c>
      <c r="W3" s="92">
        <f t="shared" si="0"/>
        <v>0.16812323835341697</v>
      </c>
      <c r="X3" s="126">
        <f t="shared" si="0"/>
        <v>0.16023377010982384</v>
      </c>
    </row>
    <row r="4" spans="2:24" ht="28.5" customHeight="1" thickBot="1" x14ac:dyDescent="0.25">
      <c r="B4" s="944"/>
      <c r="C4" s="951"/>
      <c r="D4" s="936" t="s">
        <v>53</v>
      </c>
      <c r="E4" s="937"/>
      <c r="F4" s="91">
        <f t="shared" ref="F4:X4" si="1">IF(F5&lt;360.8924,288.15-1.9812*F5/10,216.65)</f>
        <v>238.61999999999998</v>
      </c>
      <c r="G4" s="91">
        <f t="shared" si="1"/>
        <v>236.63879999999997</v>
      </c>
      <c r="H4" s="91">
        <f t="shared" si="1"/>
        <v>234.65759999999997</v>
      </c>
      <c r="I4" s="91">
        <f t="shared" si="1"/>
        <v>232.67639999999997</v>
      </c>
      <c r="J4" s="91">
        <f t="shared" si="1"/>
        <v>230.69519999999997</v>
      </c>
      <c r="K4" s="91">
        <f t="shared" si="1"/>
        <v>228.71399999999997</v>
      </c>
      <c r="L4" s="91">
        <f t="shared" si="1"/>
        <v>226.73279999999997</v>
      </c>
      <c r="M4" s="91">
        <f t="shared" si="1"/>
        <v>224.75159999999997</v>
      </c>
      <c r="N4" s="91">
        <f t="shared" si="1"/>
        <v>222.77039999999997</v>
      </c>
      <c r="O4" s="91">
        <f t="shared" si="1"/>
        <v>220.78919999999997</v>
      </c>
      <c r="P4" s="91">
        <f t="shared" si="1"/>
        <v>218.80799999999996</v>
      </c>
      <c r="Q4" s="91">
        <f t="shared" si="1"/>
        <v>216.82679999999999</v>
      </c>
      <c r="R4" s="91">
        <f t="shared" si="1"/>
        <v>216.65</v>
      </c>
      <c r="S4" s="91">
        <f t="shared" si="1"/>
        <v>216.65</v>
      </c>
      <c r="T4" s="91">
        <f t="shared" si="1"/>
        <v>216.65</v>
      </c>
      <c r="U4" s="91">
        <f t="shared" si="1"/>
        <v>216.65</v>
      </c>
      <c r="V4" s="91">
        <f t="shared" si="1"/>
        <v>216.65</v>
      </c>
      <c r="W4" s="91">
        <f t="shared" si="1"/>
        <v>216.65</v>
      </c>
      <c r="X4" s="93">
        <f t="shared" si="1"/>
        <v>216.65</v>
      </c>
    </row>
    <row r="5" spans="2:24" ht="28.5" customHeight="1" thickBot="1" x14ac:dyDescent="0.25">
      <c r="B5" s="944"/>
      <c r="C5" s="951"/>
      <c r="D5" s="948" t="s">
        <v>10</v>
      </c>
      <c r="E5" s="949"/>
      <c r="F5" s="79">
        <v>250</v>
      </c>
      <c r="G5" s="79">
        <v>260</v>
      </c>
      <c r="H5" s="79">
        <v>270</v>
      </c>
      <c r="I5" s="79">
        <v>280</v>
      </c>
      <c r="J5" s="79">
        <v>290</v>
      </c>
      <c r="K5" s="79">
        <v>300</v>
      </c>
      <c r="L5" s="79">
        <v>310</v>
      </c>
      <c r="M5" s="79">
        <v>320</v>
      </c>
      <c r="N5" s="79">
        <v>330</v>
      </c>
      <c r="O5" s="79">
        <v>340</v>
      </c>
      <c r="P5" s="79">
        <v>350</v>
      </c>
      <c r="Q5" s="79">
        <v>360</v>
      </c>
      <c r="R5" s="79">
        <v>370</v>
      </c>
      <c r="S5" s="79">
        <v>380</v>
      </c>
      <c r="T5" s="79">
        <v>390</v>
      </c>
      <c r="U5" s="79">
        <v>400</v>
      </c>
      <c r="V5" s="79">
        <v>410</v>
      </c>
      <c r="W5" s="79">
        <v>420</v>
      </c>
      <c r="X5" s="94">
        <v>430</v>
      </c>
    </row>
    <row r="6" spans="2:24" ht="20.5" customHeight="1" x14ac:dyDescent="0.2">
      <c r="B6" s="944"/>
      <c r="C6" s="951"/>
      <c r="D6" s="946" t="s">
        <v>52</v>
      </c>
      <c r="E6" s="85">
        <v>140</v>
      </c>
      <c r="F6" s="80">
        <v>377.26499326663645</v>
      </c>
      <c r="G6" s="81">
        <v>394.16445243705977</v>
      </c>
      <c r="H6" s="81">
        <v>411.97266899884539</v>
      </c>
      <c r="I6" s="81">
        <v>430.74681219845667</v>
      </c>
      <c r="J6" s="81">
        <v>450.54817909792848</v>
      </c>
      <c r="K6" s="81">
        <v>471.44253165672825</v>
      </c>
      <c r="L6" s="81">
        <v>493.50046458465067</v>
      </c>
      <c r="M6" s="81">
        <v>516.7978070762191</v>
      </c>
      <c r="N6" s="81">
        <v>541.41606188250501</v>
      </c>
      <c r="O6" s="81">
        <v>567.44288556360186</v>
      </c>
      <c r="P6" s="81">
        <v>594.97261419969004</v>
      </c>
      <c r="Q6" s="81">
        <v>624.10683932699806</v>
      </c>
      <c r="R6" s="81">
        <v>654.83489128526401</v>
      </c>
      <c r="S6" s="81">
        <v>687.07715255173014</v>
      </c>
      <c r="T6" s="81">
        <v>720.90693370360555</v>
      </c>
      <c r="U6" s="81">
        <v>756.40239983501101</v>
      </c>
      <c r="V6" s="81">
        <v>793.64556467339526</v>
      </c>
      <c r="W6" s="81">
        <v>832.72248007560825</v>
      </c>
      <c r="X6" s="95">
        <v>873.72343485424039</v>
      </c>
    </row>
    <row r="7" spans="2:24" ht="20.5" customHeight="1" x14ac:dyDescent="0.2">
      <c r="B7" s="944"/>
      <c r="C7" s="951"/>
      <c r="D7" s="946"/>
      <c r="E7" s="85">
        <v>150</v>
      </c>
      <c r="F7" s="82">
        <v>404.21249278568189</v>
      </c>
      <c r="G7" s="83">
        <v>422.31905618256405</v>
      </c>
      <c r="H7" s="83">
        <v>441.39928821304864</v>
      </c>
      <c r="I7" s="83">
        <v>461.51444164120358</v>
      </c>
      <c r="J7" s="83">
        <v>482.73019189063768</v>
      </c>
      <c r="K7" s="83">
        <v>505.11699820363742</v>
      </c>
      <c r="L7" s="83">
        <v>528.75049776926858</v>
      </c>
      <c r="M7" s="83">
        <v>553.71193615309187</v>
      </c>
      <c r="N7" s="83">
        <v>580.0886377312554</v>
      </c>
      <c r="O7" s="83">
        <v>607.97452024671634</v>
      </c>
      <c r="P7" s="83">
        <v>637.47065807109652</v>
      </c>
      <c r="Q7" s="83">
        <v>668.68589927892651</v>
      </c>
      <c r="R7" s="83">
        <v>701.60881209135425</v>
      </c>
      <c r="S7" s="83">
        <v>736.15409201971079</v>
      </c>
      <c r="T7" s="83">
        <v>772.40028611100593</v>
      </c>
      <c r="U7" s="83">
        <v>810.43114268036891</v>
      </c>
      <c r="V7" s="83">
        <v>850.33453357863777</v>
      </c>
      <c r="W7" s="83">
        <v>892.20265722386603</v>
      </c>
      <c r="X7" s="96">
        <v>936.13225162954325</v>
      </c>
    </row>
    <row r="8" spans="2:24" ht="20.5" customHeight="1" x14ac:dyDescent="0.2">
      <c r="B8" s="944"/>
      <c r="C8" s="951"/>
      <c r="D8" s="946"/>
      <c r="E8" s="86">
        <v>160</v>
      </c>
      <c r="F8" s="82">
        <v>431.15999230472738</v>
      </c>
      <c r="G8" s="83">
        <v>450.47365992806834</v>
      </c>
      <c r="H8" s="83">
        <v>470.82590742725188</v>
      </c>
      <c r="I8" s="83">
        <v>492.28207108395048</v>
      </c>
      <c r="J8" s="83">
        <v>514.91220468334689</v>
      </c>
      <c r="K8" s="89">
        <v>538.79146475054654</v>
      </c>
      <c r="L8" s="89">
        <v>564.00053095388648</v>
      </c>
      <c r="M8" s="89">
        <v>590.62606522996475</v>
      </c>
      <c r="N8" s="89">
        <v>618.7612135800058</v>
      </c>
      <c r="O8" s="89">
        <v>648.5061549298307</v>
      </c>
      <c r="P8" s="89">
        <v>679.968701942503</v>
      </c>
      <c r="Q8" s="89">
        <v>713.26495923085486</v>
      </c>
      <c r="R8" s="89">
        <v>748.3827328974445</v>
      </c>
      <c r="S8" s="89">
        <v>785.23103148769155</v>
      </c>
      <c r="T8" s="89">
        <v>823.89363851840631</v>
      </c>
      <c r="U8" s="89">
        <v>864.45988552572692</v>
      </c>
      <c r="V8" s="89">
        <v>907.02350248388029</v>
      </c>
      <c r="W8" s="89">
        <v>951.68283437212369</v>
      </c>
      <c r="X8" s="97">
        <v>998.5410684048461</v>
      </c>
    </row>
    <row r="9" spans="2:24" ht="20.5" customHeight="1" x14ac:dyDescent="0.2">
      <c r="B9" s="944"/>
      <c r="C9" s="951"/>
      <c r="D9" s="946"/>
      <c r="E9" s="86">
        <v>170</v>
      </c>
      <c r="F9" s="82">
        <v>458.10749182377282</v>
      </c>
      <c r="G9" s="83">
        <v>478.62826367357258</v>
      </c>
      <c r="H9" s="83">
        <v>500.25252664145512</v>
      </c>
      <c r="I9" s="83">
        <v>523.04970052669739</v>
      </c>
      <c r="J9" s="83">
        <v>547.09421747605597</v>
      </c>
      <c r="K9" s="89">
        <v>572.46593129745577</v>
      </c>
      <c r="L9" s="89">
        <v>599.25056413850439</v>
      </c>
      <c r="M9" s="89">
        <v>627.54019430683752</v>
      </c>
      <c r="N9" s="89">
        <v>657.4337894287562</v>
      </c>
      <c r="O9" s="89">
        <v>689.03778961294518</v>
      </c>
      <c r="P9" s="89">
        <v>722.46674581390937</v>
      </c>
      <c r="Q9" s="89">
        <v>757.84401918278331</v>
      </c>
      <c r="R9" s="89">
        <v>795.15665370353486</v>
      </c>
      <c r="S9" s="89">
        <v>834.30797095567232</v>
      </c>
      <c r="T9" s="89">
        <v>875.38699092580669</v>
      </c>
      <c r="U9" s="89">
        <v>918.48862837108481</v>
      </c>
      <c r="V9" s="89">
        <v>963.71247138912281</v>
      </c>
      <c r="W9" s="88">
        <v>1011.1630115203815</v>
      </c>
      <c r="X9" s="97">
        <v>1060.9498851801491</v>
      </c>
    </row>
    <row r="10" spans="2:24" ht="20.5" customHeight="1" x14ac:dyDescent="0.2">
      <c r="B10" s="944"/>
      <c r="C10" s="951"/>
      <c r="D10" s="946"/>
      <c r="E10" s="86">
        <v>180</v>
      </c>
      <c r="F10" s="82">
        <v>485.05499134281831</v>
      </c>
      <c r="G10" s="83">
        <v>506.78286741907687</v>
      </c>
      <c r="H10" s="83">
        <v>529.67914585565836</v>
      </c>
      <c r="I10" s="83">
        <v>553.81732996944436</v>
      </c>
      <c r="J10" s="83">
        <v>579.27623026876518</v>
      </c>
      <c r="K10" s="89">
        <v>606.14039784436488</v>
      </c>
      <c r="L10" s="89">
        <v>634.50059732312229</v>
      </c>
      <c r="M10" s="89">
        <v>664.45432338371029</v>
      </c>
      <c r="N10" s="89">
        <v>696.10636527750648</v>
      </c>
      <c r="O10" s="89">
        <v>729.56942429605954</v>
      </c>
      <c r="P10" s="89">
        <v>764.96478968531585</v>
      </c>
      <c r="Q10" s="89">
        <v>802.42307913471177</v>
      </c>
      <c r="R10" s="89">
        <v>841.9305745096251</v>
      </c>
      <c r="S10" s="89">
        <v>883.38491042365297</v>
      </c>
      <c r="T10" s="89">
        <v>926.88034333320707</v>
      </c>
      <c r="U10" s="89">
        <v>972.51737121644271</v>
      </c>
      <c r="V10" s="88">
        <v>1020.4014402943653</v>
      </c>
      <c r="W10" s="88">
        <v>1070.6431886686391</v>
      </c>
      <c r="X10" s="98">
        <v>1123.3587019554518</v>
      </c>
    </row>
    <row r="11" spans="2:24" ht="20.5" customHeight="1" x14ac:dyDescent="0.2">
      <c r="B11" s="944"/>
      <c r="C11" s="951"/>
      <c r="D11" s="946"/>
      <c r="E11" s="86">
        <v>190</v>
      </c>
      <c r="F11" s="82">
        <v>512.00249086186375</v>
      </c>
      <c r="G11" s="83">
        <v>534.9374711645811</v>
      </c>
      <c r="H11" s="89">
        <v>559.1057650698616</v>
      </c>
      <c r="I11" s="89">
        <v>584.58495941219121</v>
      </c>
      <c r="J11" s="89">
        <v>611.45824306147438</v>
      </c>
      <c r="K11" s="89">
        <v>639.814864391274</v>
      </c>
      <c r="L11" s="89">
        <v>669.7506305077402</v>
      </c>
      <c r="M11" s="89">
        <v>701.36845246058306</v>
      </c>
      <c r="N11" s="89">
        <v>734.77894112625688</v>
      </c>
      <c r="O11" s="89">
        <v>770.10105897917401</v>
      </c>
      <c r="P11" s="89">
        <v>807.46283355672222</v>
      </c>
      <c r="Q11" s="89">
        <v>847.00213908664023</v>
      </c>
      <c r="R11" s="89">
        <v>888.70449531571535</v>
      </c>
      <c r="S11" s="89">
        <v>932.46184989163373</v>
      </c>
      <c r="T11" s="89">
        <v>978.37369574060745</v>
      </c>
      <c r="U11" s="88">
        <v>1026.5461140618006</v>
      </c>
      <c r="V11" s="89">
        <v>1077.0904091996078</v>
      </c>
      <c r="W11" s="89">
        <v>1130.1233658168969</v>
      </c>
      <c r="X11" s="98">
        <v>1185.7675187307548</v>
      </c>
    </row>
    <row r="12" spans="2:24" ht="20.5" customHeight="1" x14ac:dyDescent="0.2">
      <c r="B12" s="944"/>
      <c r="C12" s="951"/>
      <c r="D12" s="946"/>
      <c r="E12" s="86">
        <v>200</v>
      </c>
      <c r="F12" s="90">
        <v>538.94999038090918</v>
      </c>
      <c r="G12" s="89">
        <v>563.09207491008544</v>
      </c>
      <c r="H12" s="89">
        <v>588.53238428406485</v>
      </c>
      <c r="I12" s="89">
        <v>615.35258885493818</v>
      </c>
      <c r="J12" s="89">
        <v>643.64025585418358</v>
      </c>
      <c r="K12" s="89">
        <v>673.48933093818323</v>
      </c>
      <c r="L12" s="89">
        <v>705.0006636923581</v>
      </c>
      <c r="M12" s="89">
        <v>738.28258153745594</v>
      </c>
      <c r="N12" s="89">
        <v>773.45151697500728</v>
      </c>
      <c r="O12" s="89">
        <v>810.63269366228849</v>
      </c>
      <c r="P12" s="89">
        <v>849.9608774281287</v>
      </c>
      <c r="Q12" s="89">
        <v>891.58119903856857</v>
      </c>
      <c r="R12" s="89">
        <v>935.47841612180571</v>
      </c>
      <c r="S12" s="88">
        <v>981.53878935961438</v>
      </c>
      <c r="T12" s="88">
        <v>1029.8670481480078</v>
      </c>
      <c r="U12" s="89">
        <v>1080.5748569071586</v>
      </c>
      <c r="V12" s="89">
        <v>1133.7793781048504</v>
      </c>
      <c r="W12" s="89">
        <v>1189.6035429651547</v>
      </c>
      <c r="X12" s="99"/>
    </row>
    <row r="13" spans="2:24" ht="20.5" customHeight="1" x14ac:dyDescent="0.2">
      <c r="B13" s="944"/>
      <c r="C13" s="951"/>
      <c r="D13" s="946"/>
      <c r="E13" s="86">
        <v>210</v>
      </c>
      <c r="F13" s="90">
        <v>565.89748989995462</v>
      </c>
      <c r="G13" s="89">
        <v>591.24667865558968</v>
      </c>
      <c r="H13" s="89">
        <v>617.95900349826809</v>
      </c>
      <c r="I13" s="89">
        <v>646.12021829768503</v>
      </c>
      <c r="J13" s="89">
        <v>675.82226864689278</v>
      </c>
      <c r="K13" s="89">
        <v>707.16379748509235</v>
      </c>
      <c r="L13" s="89">
        <v>740.25069687697601</v>
      </c>
      <c r="M13" s="89">
        <v>775.19671061432871</v>
      </c>
      <c r="N13" s="89">
        <v>812.12409282375756</v>
      </c>
      <c r="O13" s="89">
        <v>851.16432834540285</v>
      </c>
      <c r="P13" s="89">
        <v>892.45892129953518</v>
      </c>
      <c r="Q13" s="89">
        <v>936.16025899049703</v>
      </c>
      <c r="R13" s="88">
        <v>982.25233692789595</v>
      </c>
      <c r="S13" s="88">
        <v>1030.6157288275951</v>
      </c>
      <c r="T13" s="89">
        <v>1081.3604005554082</v>
      </c>
      <c r="U13" s="89">
        <v>1134.6035997525166</v>
      </c>
      <c r="V13" s="89">
        <v>1190.4683470100929</v>
      </c>
      <c r="W13" s="84"/>
      <c r="X13" s="99"/>
    </row>
    <row r="14" spans="2:24" ht="20.5" customHeight="1" x14ac:dyDescent="0.2">
      <c r="B14" s="944"/>
      <c r="C14" s="951"/>
      <c r="D14" s="946"/>
      <c r="E14" s="86">
        <v>220</v>
      </c>
      <c r="F14" s="90">
        <v>592.84498941900017</v>
      </c>
      <c r="G14" s="89">
        <v>619.40128240109391</v>
      </c>
      <c r="H14" s="89">
        <v>647.38562271247133</v>
      </c>
      <c r="I14" s="89">
        <v>676.88784774043188</v>
      </c>
      <c r="J14" s="89">
        <v>708.00428143960187</v>
      </c>
      <c r="K14" s="89">
        <v>740.83826403200158</v>
      </c>
      <c r="L14" s="89">
        <v>775.50073006159391</v>
      </c>
      <c r="M14" s="89">
        <v>812.11083969120148</v>
      </c>
      <c r="N14" s="89">
        <v>850.79666867250796</v>
      </c>
      <c r="O14" s="89">
        <v>891.69596302851733</v>
      </c>
      <c r="P14" s="89">
        <v>934.95696517094154</v>
      </c>
      <c r="Q14" s="88">
        <v>980.73931894242548</v>
      </c>
      <c r="R14" s="88">
        <v>1029.0262577339863</v>
      </c>
      <c r="S14" s="89">
        <v>1079.6926682955759</v>
      </c>
      <c r="T14" s="89">
        <v>1132.8537529628086</v>
      </c>
      <c r="U14" s="89">
        <v>1188.6323425978744</v>
      </c>
      <c r="V14" s="84"/>
      <c r="W14" s="84"/>
      <c r="X14" s="99"/>
    </row>
    <row r="15" spans="2:24" ht="20.5" customHeight="1" x14ac:dyDescent="0.2">
      <c r="B15" s="944"/>
      <c r="C15" s="951"/>
      <c r="D15" s="946"/>
      <c r="E15" s="86">
        <v>230</v>
      </c>
      <c r="F15" s="90">
        <v>619.79248893804561</v>
      </c>
      <c r="G15" s="89">
        <v>647.55588614659825</v>
      </c>
      <c r="H15" s="89">
        <v>676.81224192667457</v>
      </c>
      <c r="I15" s="89">
        <v>707.65547718317885</v>
      </c>
      <c r="J15" s="89">
        <v>740.18629423231107</v>
      </c>
      <c r="K15" s="89">
        <v>774.51273057891069</v>
      </c>
      <c r="L15" s="89">
        <v>810.75076324621182</v>
      </c>
      <c r="M15" s="89">
        <v>849.02496876807425</v>
      </c>
      <c r="N15" s="89">
        <v>889.46924452125836</v>
      </c>
      <c r="O15" s="89">
        <v>932.22759771163169</v>
      </c>
      <c r="P15" s="89">
        <v>977.45500904234802</v>
      </c>
      <c r="Q15" s="88">
        <v>1025.3183788943538</v>
      </c>
      <c r="R15" s="89">
        <v>1075.8001785400766</v>
      </c>
      <c r="S15" s="89">
        <v>1128.7696077635567</v>
      </c>
      <c r="T15" s="89">
        <v>1184.347105370209</v>
      </c>
      <c r="U15" s="84"/>
      <c r="V15" s="84"/>
      <c r="W15" s="84"/>
      <c r="X15" s="99"/>
    </row>
    <row r="16" spans="2:24" ht="20.5" customHeight="1" x14ac:dyDescent="0.2">
      <c r="B16" s="944"/>
      <c r="C16" s="951"/>
      <c r="D16" s="946"/>
      <c r="E16" s="86">
        <v>240</v>
      </c>
      <c r="F16" s="90">
        <v>646.73998845709104</v>
      </c>
      <c r="G16" s="89">
        <v>675.71048989210249</v>
      </c>
      <c r="H16" s="89">
        <v>706.23886114087782</v>
      </c>
      <c r="I16" s="89">
        <v>738.4231066259257</v>
      </c>
      <c r="J16" s="89">
        <v>772.36830702502027</v>
      </c>
      <c r="K16" s="89">
        <v>808.18719712581981</v>
      </c>
      <c r="L16" s="89">
        <v>846.00079643082972</v>
      </c>
      <c r="M16" s="89">
        <v>885.93909784494713</v>
      </c>
      <c r="N16" s="89">
        <v>928.14182037000865</v>
      </c>
      <c r="O16" s="89">
        <v>972.75923239474616</v>
      </c>
      <c r="P16" s="127">
        <v>1019.9530529137544</v>
      </c>
      <c r="Q16" s="88">
        <v>1069.8974388462823</v>
      </c>
      <c r="R16" s="89">
        <v>1122.5740993461668</v>
      </c>
      <c r="S16" s="89">
        <v>1177.8465472315372</v>
      </c>
      <c r="T16" s="84"/>
      <c r="U16" s="84"/>
      <c r="V16" s="84"/>
      <c r="W16" s="84"/>
      <c r="X16" s="99"/>
    </row>
    <row r="17" spans="2:55" ht="20.5" customHeight="1" x14ac:dyDescent="0.2">
      <c r="B17" s="944"/>
      <c r="C17" s="951"/>
      <c r="D17" s="946"/>
      <c r="E17" s="86">
        <v>250</v>
      </c>
      <c r="F17" s="90">
        <v>673.68748797613648</v>
      </c>
      <c r="G17" s="89">
        <v>703.86509363760672</v>
      </c>
      <c r="H17" s="89">
        <v>735.66548035508106</v>
      </c>
      <c r="I17" s="89">
        <v>769.19073606867266</v>
      </c>
      <c r="J17" s="89">
        <v>804.55031981772947</v>
      </c>
      <c r="K17" s="89">
        <v>841.86166367272904</v>
      </c>
      <c r="L17" s="89">
        <v>881.25082961544763</v>
      </c>
      <c r="M17" s="89">
        <v>922.8532269218199</v>
      </c>
      <c r="N17" s="89">
        <v>966.81439621875904</v>
      </c>
      <c r="O17" s="88">
        <v>1013.2908670778605</v>
      </c>
      <c r="P17" s="88">
        <v>1062.4510967851609</v>
      </c>
      <c r="Q17" s="89">
        <v>1114.4764987982107</v>
      </c>
      <c r="R17" s="89">
        <v>1169.348020152257</v>
      </c>
      <c r="S17" s="89">
        <v>1226.923486699518</v>
      </c>
      <c r="T17" s="84"/>
      <c r="U17" s="84"/>
      <c r="V17" s="84"/>
      <c r="W17" s="84"/>
      <c r="X17" s="99"/>
    </row>
    <row r="18" spans="2:55" ht="20.5" customHeight="1" x14ac:dyDescent="0.2">
      <c r="B18" s="944"/>
      <c r="C18" s="951"/>
      <c r="D18" s="946"/>
      <c r="E18" s="86">
        <v>260</v>
      </c>
      <c r="F18" s="90">
        <v>700.63498749518203</v>
      </c>
      <c r="G18" s="89">
        <v>732.01969738311107</v>
      </c>
      <c r="H18" s="89">
        <v>765.0920995692843</v>
      </c>
      <c r="I18" s="89">
        <v>799.95836551141952</v>
      </c>
      <c r="J18" s="89">
        <v>836.73233261043856</v>
      </c>
      <c r="K18" s="89">
        <v>875.53613021963815</v>
      </c>
      <c r="L18" s="89">
        <v>916.50086280006553</v>
      </c>
      <c r="M18" s="89">
        <v>959.76735599869266</v>
      </c>
      <c r="N18" s="88">
        <v>1005.4869720675094</v>
      </c>
      <c r="O18" s="88">
        <v>1053.822501760975</v>
      </c>
      <c r="P18" s="89">
        <v>1104.9491406565674</v>
      </c>
      <c r="Q18" s="89">
        <v>1159.0555587501392</v>
      </c>
      <c r="R18" s="89">
        <v>1216.1219409583473</v>
      </c>
      <c r="S18" s="84"/>
      <c r="T18" s="84"/>
      <c r="U18" s="84"/>
      <c r="V18" s="84"/>
      <c r="W18" s="84"/>
      <c r="X18" s="99"/>
    </row>
    <row r="19" spans="2:55" ht="20.5" customHeight="1" x14ac:dyDescent="0.2">
      <c r="B19" s="944"/>
      <c r="C19" s="951"/>
      <c r="D19" s="946"/>
      <c r="E19" s="86">
        <v>270</v>
      </c>
      <c r="F19" s="82">
        <v>727.58248701422747</v>
      </c>
      <c r="G19" s="83">
        <v>760.1743011286153</v>
      </c>
      <c r="H19" s="83">
        <v>794.51871878348754</v>
      </c>
      <c r="I19" s="83">
        <v>830.72599495416648</v>
      </c>
      <c r="J19" s="89">
        <v>868.91434540314776</v>
      </c>
      <c r="K19" s="89">
        <v>909.21059676654727</v>
      </c>
      <c r="L19" s="89">
        <v>951.75089598468344</v>
      </c>
      <c r="M19" s="88">
        <v>996.68148507556543</v>
      </c>
      <c r="N19" s="88">
        <v>1044.1595479162597</v>
      </c>
      <c r="O19" s="89">
        <v>1094.3541364440894</v>
      </c>
      <c r="P19" s="89">
        <v>1147.4471845279738</v>
      </c>
      <c r="Q19" s="89">
        <v>1203.6346187020677</v>
      </c>
      <c r="R19" s="84"/>
      <c r="S19" s="84"/>
      <c r="T19" s="84"/>
      <c r="U19" s="84"/>
      <c r="V19" s="84"/>
      <c r="W19" s="84"/>
      <c r="X19" s="99"/>
    </row>
    <row r="20" spans="2:55" ht="20.5" customHeight="1" x14ac:dyDescent="0.2">
      <c r="B20" s="944"/>
      <c r="C20" s="951"/>
      <c r="D20" s="946"/>
      <c r="E20" s="86">
        <v>280</v>
      </c>
      <c r="F20" s="82">
        <v>754.5299865332729</v>
      </c>
      <c r="G20" s="83">
        <v>788.32890487411953</v>
      </c>
      <c r="H20" s="83">
        <v>823.94533799769079</v>
      </c>
      <c r="I20" s="83">
        <v>861.49362439691333</v>
      </c>
      <c r="J20" s="83">
        <v>901.09635819585696</v>
      </c>
      <c r="K20" s="89">
        <v>942.8850633134565</v>
      </c>
      <c r="L20" s="88">
        <v>987.00092916930134</v>
      </c>
      <c r="M20" s="88">
        <v>1033.5956141524382</v>
      </c>
      <c r="N20" s="89">
        <v>1082.83212376501</v>
      </c>
      <c r="O20" s="89">
        <v>1134.8857711272037</v>
      </c>
      <c r="P20" s="89">
        <v>1189.9452283993801</v>
      </c>
      <c r="Q20" s="84"/>
      <c r="R20" s="84"/>
      <c r="S20" s="84"/>
      <c r="T20" s="84"/>
      <c r="U20" s="84"/>
      <c r="V20" s="84"/>
      <c r="W20" s="84"/>
      <c r="X20" s="99"/>
    </row>
    <row r="21" spans="2:55" ht="20.5" customHeight="1" x14ac:dyDescent="0.2">
      <c r="B21" s="944"/>
      <c r="C21" s="951"/>
      <c r="D21" s="946"/>
      <c r="E21" s="87">
        <v>290</v>
      </c>
      <c r="F21" s="82">
        <v>781.47748605231834</v>
      </c>
      <c r="G21" s="83">
        <v>816.48350861962388</v>
      </c>
      <c r="H21" s="83">
        <v>853.37195721189403</v>
      </c>
      <c r="I21" s="83">
        <v>892.2612538396603</v>
      </c>
      <c r="J21" s="83">
        <v>933.27837098856617</v>
      </c>
      <c r="K21" s="89">
        <v>976.55952986036561</v>
      </c>
      <c r="L21" s="88">
        <v>1022.2509623539192</v>
      </c>
      <c r="M21" s="88">
        <v>1070.509743229311</v>
      </c>
      <c r="N21" s="89">
        <v>1121.5046996137605</v>
      </c>
      <c r="O21" s="89">
        <v>1175.4174058103183</v>
      </c>
      <c r="P21" s="84"/>
      <c r="Q21" s="84"/>
      <c r="R21" s="84"/>
      <c r="S21" s="84"/>
      <c r="T21" s="84"/>
      <c r="U21" s="84"/>
      <c r="V21" s="84"/>
      <c r="W21" s="84"/>
      <c r="X21" s="99"/>
    </row>
    <row r="22" spans="2:55" ht="20.5" customHeight="1" thickBot="1" x14ac:dyDescent="0.25">
      <c r="B22" s="945"/>
      <c r="C22" s="952"/>
      <c r="D22" s="947"/>
      <c r="E22" s="100">
        <v>300</v>
      </c>
      <c r="F22" s="101">
        <v>808.42498557136378</v>
      </c>
      <c r="G22" s="102">
        <v>844.63811236512811</v>
      </c>
      <c r="H22" s="102">
        <v>882.79857642609727</v>
      </c>
      <c r="I22" s="102">
        <v>923.02888328240715</v>
      </c>
      <c r="J22" s="102">
        <v>965.46038378127537</v>
      </c>
      <c r="K22" s="103">
        <v>1010.2339964072748</v>
      </c>
      <c r="L22" s="103">
        <v>1057.5009955385372</v>
      </c>
      <c r="M22" s="104">
        <v>1107.4238723061837</v>
      </c>
      <c r="N22" s="104">
        <v>1160.1772754625108</v>
      </c>
      <c r="O22" s="105"/>
      <c r="P22" s="105"/>
      <c r="Q22" s="105"/>
      <c r="R22" s="105"/>
      <c r="S22" s="105"/>
      <c r="T22" s="105"/>
      <c r="U22" s="105"/>
      <c r="V22" s="105"/>
      <c r="W22" s="105"/>
      <c r="X22" s="106"/>
    </row>
    <row r="23" spans="2:55" ht="20.5" customHeight="1" thickTop="1" thickBot="1" x14ac:dyDescent="0.5"/>
    <row r="24" spans="2:55" s="3" customFormat="1" ht="47.5" customHeight="1" thickTop="1" thickBot="1" x14ac:dyDescent="0.25">
      <c r="B24" s="955" t="s">
        <v>0</v>
      </c>
      <c r="C24" s="950" t="s">
        <v>47</v>
      </c>
      <c r="D24" s="938" t="s">
        <v>62</v>
      </c>
      <c r="E24" s="939"/>
      <c r="F24" s="939"/>
      <c r="G24" s="939"/>
      <c r="H24" s="939"/>
      <c r="I24" s="939"/>
      <c r="J24" s="939"/>
      <c r="K24" s="939"/>
      <c r="L24" s="939"/>
      <c r="M24" s="939"/>
      <c r="N24" s="939"/>
      <c r="O24" s="939"/>
      <c r="P24" s="939"/>
      <c r="Q24" s="939"/>
      <c r="R24" s="939"/>
      <c r="S24" s="939"/>
      <c r="T24" s="939"/>
      <c r="U24" s="939"/>
      <c r="V24" s="939"/>
      <c r="W24" s="939"/>
      <c r="X24" s="940"/>
      <c r="AN24"/>
      <c r="AO24"/>
      <c r="AP24"/>
      <c r="AQ24"/>
      <c r="AR24"/>
      <c r="AS24"/>
      <c r="AT24"/>
      <c r="AU24"/>
      <c r="AV24"/>
      <c r="AW24"/>
      <c r="AX24"/>
      <c r="AY24"/>
      <c r="AZ24"/>
      <c r="BA24"/>
      <c r="BB24"/>
      <c r="BC24"/>
    </row>
    <row r="25" spans="2:55" ht="32" customHeight="1" x14ac:dyDescent="0.2">
      <c r="B25" s="944"/>
      <c r="C25" s="951"/>
      <c r="D25" s="941" t="s">
        <v>54</v>
      </c>
      <c r="E25" s="942"/>
      <c r="F25" s="92">
        <f t="shared" ref="F25:X25" si="2">IF(F27&lt;360.8924, 1013.25*(1-0.0000068755856*100*F27)^5.2558797, 0.01*0.2233609*101325*EXP(-0.004806346*(F27-360.8924)))/1013.25</f>
        <v>0.37109194465083423</v>
      </c>
      <c r="G25" s="92">
        <f t="shared" si="2"/>
        <v>0.35518169924862825</v>
      </c>
      <c r="H25" s="92">
        <f t="shared" si="2"/>
        <v>0.3398283685668293</v>
      </c>
      <c r="I25" s="92">
        <f t="shared" si="2"/>
        <v>0.32501691489128937</v>
      </c>
      <c r="J25" s="92">
        <f t="shared" si="2"/>
        <v>0.31073258420509658</v>
      </c>
      <c r="K25" s="92">
        <f t="shared" si="2"/>
        <v>0.29696090318371676</v>
      </c>
      <c r="L25" s="92">
        <f t="shared" si="2"/>
        <v>0.2836876761966769</v>
      </c>
      <c r="M25" s="92">
        <f t="shared" si="2"/>
        <v>0.27089898231582921</v>
      </c>
      <c r="N25" s="92">
        <f t="shared" si="2"/>
        <v>0.25858117233024014</v>
      </c>
      <c r="O25" s="92">
        <f t="shared" si="2"/>
        <v>0.24672086576774621</v>
      </c>
      <c r="P25" s="92">
        <f t="shared" si="2"/>
        <v>0.23530494792321976</v>
      </c>
      <c r="Q25" s="92">
        <f t="shared" si="2"/>
        <v>0.22432056689359178</v>
      </c>
      <c r="R25" s="92">
        <f t="shared" si="2"/>
        <v>0.21379435009215503</v>
      </c>
      <c r="S25" s="92">
        <f t="shared" si="2"/>
        <v>0.20376168743212486</v>
      </c>
      <c r="T25" s="92">
        <f t="shared" si="2"/>
        <v>0.19419982449157544</v>
      </c>
      <c r="U25" s="92">
        <f t="shared" si="2"/>
        <v>0.18508666819478264</v>
      </c>
      <c r="V25" s="92">
        <f t="shared" si="2"/>
        <v>0.17640116222108979</v>
      </c>
      <c r="W25" s="92">
        <f t="shared" si="2"/>
        <v>0.16812323835341697</v>
      </c>
      <c r="X25" s="126">
        <f t="shared" si="2"/>
        <v>0.16023377010982384</v>
      </c>
    </row>
    <row r="26" spans="2:55" ht="32" customHeight="1" thickBot="1" x14ac:dyDescent="0.25">
      <c r="B26" s="944"/>
      <c r="C26" s="951"/>
      <c r="D26" s="936" t="s">
        <v>53</v>
      </c>
      <c r="E26" s="937"/>
      <c r="F26" s="91">
        <f t="shared" ref="F26:X26" si="3">IF(F27&lt;360.8924,288.15-1.9812*F27/10,216.65)</f>
        <v>238.61999999999998</v>
      </c>
      <c r="G26" s="91">
        <f t="shared" si="3"/>
        <v>236.63879999999997</v>
      </c>
      <c r="H26" s="91">
        <f t="shared" si="3"/>
        <v>234.65759999999997</v>
      </c>
      <c r="I26" s="91">
        <f t="shared" si="3"/>
        <v>232.67639999999997</v>
      </c>
      <c r="J26" s="91">
        <f t="shared" si="3"/>
        <v>230.69519999999997</v>
      </c>
      <c r="K26" s="91">
        <f t="shared" si="3"/>
        <v>228.71399999999997</v>
      </c>
      <c r="L26" s="91">
        <f t="shared" si="3"/>
        <v>226.73279999999997</v>
      </c>
      <c r="M26" s="91">
        <f t="shared" si="3"/>
        <v>224.75159999999997</v>
      </c>
      <c r="N26" s="91">
        <f t="shared" si="3"/>
        <v>222.77039999999997</v>
      </c>
      <c r="O26" s="91">
        <f t="shared" si="3"/>
        <v>220.78919999999997</v>
      </c>
      <c r="P26" s="91">
        <f t="shared" si="3"/>
        <v>218.80799999999996</v>
      </c>
      <c r="Q26" s="91">
        <f t="shared" si="3"/>
        <v>216.82679999999999</v>
      </c>
      <c r="R26" s="91">
        <f t="shared" si="3"/>
        <v>216.65</v>
      </c>
      <c r="S26" s="91">
        <f t="shared" si="3"/>
        <v>216.65</v>
      </c>
      <c r="T26" s="91">
        <f t="shared" si="3"/>
        <v>216.65</v>
      </c>
      <c r="U26" s="91">
        <f t="shared" si="3"/>
        <v>216.65</v>
      </c>
      <c r="V26" s="91">
        <f t="shared" si="3"/>
        <v>216.65</v>
      </c>
      <c r="W26" s="91">
        <f t="shared" si="3"/>
        <v>216.65</v>
      </c>
      <c r="X26" s="93">
        <f t="shared" si="3"/>
        <v>216.65</v>
      </c>
    </row>
    <row r="27" spans="2:55" ht="32" customHeight="1" thickBot="1" x14ac:dyDescent="0.25">
      <c r="B27" s="944"/>
      <c r="C27" s="951"/>
      <c r="D27" s="948" t="s">
        <v>10</v>
      </c>
      <c r="E27" s="949"/>
      <c r="F27" s="79">
        <v>250</v>
      </c>
      <c r="G27" s="79">
        <v>260</v>
      </c>
      <c r="H27" s="79">
        <v>270</v>
      </c>
      <c r="I27" s="79">
        <v>280</v>
      </c>
      <c r="J27" s="79">
        <v>290</v>
      </c>
      <c r="K27" s="79">
        <v>300</v>
      </c>
      <c r="L27" s="79">
        <v>310</v>
      </c>
      <c r="M27" s="79">
        <v>320</v>
      </c>
      <c r="N27" s="79">
        <v>330</v>
      </c>
      <c r="O27" s="79">
        <v>340</v>
      </c>
      <c r="P27" s="79">
        <v>350</v>
      </c>
      <c r="Q27" s="79">
        <v>360</v>
      </c>
      <c r="R27" s="79">
        <v>370</v>
      </c>
      <c r="S27" s="79">
        <v>380</v>
      </c>
      <c r="T27" s="79">
        <v>390</v>
      </c>
      <c r="U27" s="79">
        <v>400</v>
      </c>
      <c r="V27" s="79">
        <v>410</v>
      </c>
      <c r="W27" s="79">
        <v>420</v>
      </c>
      <c r="X27" s="94">
        <v>430</v>
      </c>
    </row>
    <row r="28" spans="2:55" ht="21" customHeight="1" x14ac:dyDescent="0.2">
      <c r="B28" s="944"/>
      <c r="C28" s="951"/>
      <c r="D28" s="953" t="s">
        <v>52</v>
      </c>
      <c r="E28" s="85">
        <v>140</v>
      </c>
      <c r="F28" s="107">
        <v>0.60199999999999998</v>
      </c>
      <c r="G28" s="108">
        <v>0.61299999999999999</v>
      </c>
      <c r="H28" s="108">
        <v>0.625</v>
      </c>
      <c r="I28" s="108">
        <v>0.63600000000000001</v>
      </c>
      <c r="J28" s="108">
        <v>0.64800000000000002</v>
      </c>
      <c r="K28" s="108">
        <v>0.65900000000000003</v>
      </c>
      <c r="L28" s="108">
        <v>0.67100000000000004</v>
      </c>
      <c r="M28" s="108">
        <v>0.68300000000000005</v>
      </c>
      <c r="N28" s="108">
        <v>0.69599999999999995</v>
      </c>
      <c r="O28" s="108">
        <v>0.70899999999999996</v>
      </c>
      <c r="P28" s="108">
        <v>0.72199999999999998</v>
      </c>
      <c r="Q28" s="108">
        <v>0.73599999999999999</v>
      </c>
      <c r="R28" s="108">
        <v>0.75</v>
      </c>
      <c r="S28" s="108">
        <v>0.76400000000000001</v>
      </c>
      <c r="T28" s="108">
        <v>0.77800000000000002</v>
      </c>
      <c r="U28" s="108">
        <v>0.79300000000000004</v>
      </c>
      <c r="V28" s="108">
        <v>0.80700000000000005</v>
      </c>
      <c r="W28" s="108">
        <v>0.82</v>
      </c>
      <c r="X28" s="109">
        <v>0.83099999999999996</v>
      </c>
    </row>
    <row r="29" spans="2:55" ht="21" customHeight="1" x14ac:dyDescent="0.2">
      <c r="B29" s="944"/>
      <c r="C29" s="951"/>
      <c r="D29" s="953"/>
      <c r="E29" s="85">
        <v>150</v>
      </c>
      <c r="F29" s="110">
        <v>0.62</v>
      </c>
      <c r="G29" s="111">
        <v>0.63100000000000001</v>
      </c>
      <c r="H29" s="111">
        <v>0.64200000000000002</v>
      </c>
      <c r="I29" s="111">
        <v>0.65400000000000003</v>
      </c>
      <c r="J29" s="111">
        <v>0.66600000000000004</v>
      </c>
      <c r="K29" s="111">
        <v>0.67700000000000005</v>
      </c>
      <c r="L29" s="111">
        <v>0.69</v>
      </c>
      <c r="M29" s="111">
        <v>0.70199999999999996</v>
      </c>
      <c r="N29" s="111">
        <v>0.71499999999999997</v>
      </c>
      <c r="O29" s="111">
        <v>0.72799999999999998</v>
      </c>
      <c r="P29" s="111">
        <v>0.74199999999999999</v>
      </c>
      <c r="Q29" s="111">
        <v>0.75600000000000001</v>
      </c>
      <c r="R29" s="111">
        <v>0.77</v>
      </c>
      <c r="S29" s="111">
        <v>0.78500000000000003</v>
      </c>
      <c r="T29" s="111">
        <v>0.79900000000000004</v>
      </c>
      <c r="U29" s="111">
        <v>0.81200000000000006</v>
      </c>
      <c r="V29" s="111">
        <v>0.82499999999999996</v>
      </c>
      <c r="W29" s="111">
        <v>0.83399999999999996</v>
      </c>
      <c r="X29" s="112">
        <v>0.84</v>
      </c>
    </row>
    <row r="30" spans="2:55" ht="21" customHeight="1" x14ac:dyDescent="0.2">
      <c r="B30" s="944"/>
      <c r="C30" s="951"/>
      <c r="D30" s="953"/>
      <c r="E30" s="86">
        <v>160</v>
      </c>
      <c r="F30" s="110">
        <v>0.63600000000000001</v>
      </c>
      <c r="G30" s="111">
        <v>0.64800000000000002</v>
      </c>
      <c r="H30" s="111">
        <v>0.65900000000000003</v>
      </c>
      <c r="I30" s="111">
        <v>0.67100000000000004</v>
      </c>
      <c r="J30" s="111">
        <v>0.68200000000000005</v>
      </c>
      <c r="K30" s="113">
        <v>0.69499999999999995</v>
      </c>
      <c r="L30" s="113">
        <v>0.70699999999999996</v>
      </c>
      <c r="M30" s="113">
        <v>0.72</v>
      </c>
      <c r="N30" s="113">
        <v>0.73299999999999998</v>
      </c>
      <c r="O30" s="113">
        <v>0.747</v>
      </c>
      <c r="P30" s="113">
        <v>0.76100000000000001</v>
      </c>
      <c r="Q30" s="113">
        <v>0.77500000000000002</v>
      </c>
      <c r="R30" s="113">
        <v>0.79</v>
      </c>
      <c r="S30" s="113">
        <v>0.80400000000000005</v>
      </c>
      <c r="T30" s="113">
        <v>0.81699999999999995</v>
      </c>
      <c r="U30" s="113">
        <v>0.82799999999999996</v>
      </c>
      <c r="V30" s="113">
        <v>0.83699999999999997</v>
      </c>
      <c r="W30" s="113">
        <v>0.84</v>
      </c>
      <c r="X30" s="114">
        <v>0.84099999999999997</v>
      </c>
    </row>
    <row r="31" spans="2:55" ht="21" customHeight="1" x14ac:dyDescent="0.2">
      <c r="B31" s="944"/>
      <c r="C31" s="951"/>
      <c r="D31" s="953"/>
      <c r="E31" s="86">
        <v>170</v>
      </c>
      <c r="F31" s="110">
        <v>0.65200000000000002</v>
      </c>
      <c r="G31" s="111">
        <v>0.66300000000000003</v>
      </c>
      <c r="H31" s="111">
        <v>0.67500000000000004</v>
      </c>
      <c r="I31" s="111">
        <v>0.68700000000000006</v>
      </c>
      <c r="J31" s="111">
        <v>0.69899999999999995</v>
      </c>
      <c r="K31" s="113">
        <v>0.71099999999999997</v>
      </c>
      <c r="L31" s="113">
        <v>0.72399999999999998</v>
      </c>
      <c r="M31" s="113">
        <v>0.73699999999999999</v>
      </c>
      <c r="N31" s="113">
        <v>0.751</v>
      </c>
      <c r="O31" s="113">
        <v>0.76500000000000001</v>
      </c>
      <c r="P31" s="113">
        <v>0.77900000000000003</v>
      </c>
      <c r="Q31" s="113">
        <v>0.79300000000000004</v>
      </c>
      <c r="R31" s="113">
        <v>0.80700000000000005</v>
      </c>
      <c r="S31" s="113">
        <v>0.82</v>
      </c>
      <c r="T31" s="113">
        <v>0.83099999999999996</v>
      </c>
      <c r="U31" s="113">
        <v>0.83799999999999997</v>
      </c>
      <c r="V31" s="113">
        <v>0.84099999999999997</v>
      </c>
      <c r="W31" s="115">
        <v>0.84099999999999997</v>
      </c>
      <c r="X31" s="114">
        <v>0.83899999999999997</v>
      </c>
    </row>
    <row r="32" spans="2:55" ht="21" customHeight="1" x14ac:dyDescent="0.2">
      <c r="B32" s="944"/>
      <c r="C32" s="951"/>
      <c r="D32" s="953"/>
      <c r="E32" s="86">
        <v>180</v>
      </c>
      <c r="F32" s="110">
        <v>0.66700000000000004</v>
      </c>
      <c r="G32" s="111">
        <v>0.67800000000000005</v>
      </c>
      <c r="H32" s="111">
        <v>0.69</v>
      </c>
      <c r="I32" s="111">
        <v>0.70199999999999996</v>
      </c>
      <c r="J32" s="111">
        <v>0.71399999999999997</v>
      </c>
      <c r="K32" s="113">
        <v>0.72699999999999998</v>
      </c>
      <c r="L32" s="113">
        <v>0.74</v>
      </c>
      <c r="M32" s="113">
        <v>0.754</v>
      </c>
      <c r="N32" s="113">
        <v>0.76800000000000002</v>
      </c>
      <c r="O32" s="113">
        <v>0.78200000000000003</v>
      </c>
      <c r="P32" s="113">
        <v>0.79600000000000004</v>
      </c>
      <c r="Q32" s="113">
        <v>0.81</v>
      </c>
      <c r="R32" s="113">
        <v>0.82199999999999995</v>
      </c>
      <c r="S32" s="113">
        <v>0.83299999999999996</v>
      </c>
      <c r="T32" s="113">
        <v>0.83899999999999997</v>
      </c>
      <c r="U32" s="113">
        <v>0.84099999999999997</v>
      </c>
      <c r="V32" s="115">
        <v>0.84</v>
      </c>
      <c r="W32" s="115">
        <v>0.83899999999999997</v>
      </c>
      <c r="X32" s="116">
        <v>0.83899999999999997</v>
      </c>
    </row>
    <row r="33" spans="2:26" ht="21" customHeight="1" x14ac:dyDescent="0.2">
      <c r="B33" s="944"/>
      <c r="C33" s="951"/>
      <c r="D33" s="953"/>
      <c r="E33" s="86">
        <v>190</v>
      </c>
      <c r="F33" s="110">
        <v>0.68100000000000005</v>
      </c>
      <c r="G33" s="111">
        <v>0.69299999999999995</v>
      </c>
      <c r="H33" s="113">
        <v>0.70499999999999996</v>
      </c>
      <c r="I33" s="113">
        <v>0.71699999999999997</v>
      </c>
      <c r="J33" s="113">
        <v>0.73</v>
      </c>
      <c r="K33" s="113">
        <v>0.74299999999999999</v>
      </c>
      <c r="L33" s="113">
        <v>0.75600000000000001</v>
      </c>
      <c r="M33" s="113">
        <v>0.77</v>
      </c>
      <c r="N33" s="113">
        <v>0.78400000000000003</v>
      </c>
      <c r="O33" s="113">
        <v>0.79800000000000004</v>
      </c>
      <c r="P33" s="113">
        <v>0.81100000000000005</v>
      </c>
      <c r="Q33" s="113">
        <v>0.82399999999999995</v>
      </c>
      <c r="R33" s="113">
        <v>0.83399999999999996</v>
      </c>
      <c r="S33" s="113">
        <v>0.83899999999999997</v>
      </c>
      <c r="T33" s="113">
        <v>0.84099999999999997</v>
      </c>
      <c r="U33" s="115">
        <v>0.84</v>
      </c>
      <c r="V33" s="113">
        <v>0.83899999999999997</v>
      </c>
      <c r="W33" s="113">
        <v>0.83899999999999997</v>
      </c>
      <c r="X33" s="116">
        <v>0.83799999999999997</v>
      </c>
    </row>
    <row r="34" spans="2:26" ht="21" customHeight="1" x14ac:dyDescent="0.2">
      <c r="B34" s="944"/>
      <c r="C34" s="951"/>
      <c r="D34" s="953"/>
      <c r="E34" s="86">
        <v>200</v>
      </c>
      <c r="F34" s="117">
        <v>0.69499999999999995</v>
      </c>
      <c r="G34" s="113">
        <v>0.70599999999999996</v>
      </c>
      <c r="H34" s="113">
        <v>0.71899999999999997</v>
      </c>
      <c r="I34" s="113">
        <v>0.73199999999999998</v>
      </c>
      <c r="J34" s="113">
        <v>0.745</v>
      </c>
      <c r="K34" s="113">
        <v>0.75800000000000001</v>
      </c>
      <c r="L34" s="113">
        <v>0.77200000000000002</v>
      </c>
      <c r="M34" s="113">
        <v>0.78600000000000003</v>
      </c>
      <c r="N34" s="113">
        <v>0.79900000000000004</v>
      </c>
      <c r="O34" s="113">
        <v>0.81200000000000006</v>
      </c>
      <c r="P34" s="113">
        <v>0.82499999999999996</v>
      </c>
      <c r="Q34" s="113">
        <v>0.83399999999999996</v>
      </c>
      <c r="R34" s="113">
        <v>0.84</v>
      </c>
      <c r="S34" s="115">
        <v>0.84099999999999997</v>
      </c>
      <c r="T34" s="115">
        <v>0.84</v>
      </c>
      <c r="U34" s="113">
        <v>0.83899999999999997</v>
      </c>
      <c r="V34" s="113">
        <v>0.83899999999999997</v>
      </c>
      <c r="W34" s="113">
        <v>0.83799999999999997</v>
      </c>
      <c r="X34" s="118"/>
    </row>
    <row r="35" spans="2:26" ht="21" customHeight="1" x14ac:dyDescent="0.2">
      <c r="B35" s="944"/>
      <c r="C35" s="951"/>
      <c r="D35" s="953"/>
      <c r="E35" s="86">
        <v>210</v>
      </c>
      <c r="F35" s="117">
        <v>0.70799999999999996</v>
      </c>
      <c r="G35" s="113">
        <v>0.72</v>
      </c>
      <c r="H35" s="113">
        <v>0.73299999999999998</v>
      </c>
      <c r="I35" s="113">
        <v>0.746</v>
      </c>
      <c r="J35" s="113">
        <v>0.75900000000000001</v>
      </c>
      <c r="K35" s="113">
        <v>0.77300000000000002</v>
      </c>
      <c r="L35" s="113">
        <v>0.78600000000000003</v>
      </c>
      <c r="M35" s="113">
        <v>0.8</v>
      </c>
      <c r="N35" s="113">
        <v>0.81299999999999994</v>
      </c>
      <c r="O35" s="113">
        <v>0.82499999999999996</v>
      </c>
      <c r="P35" s="113">
        <v>0.83399999999999996</v>
      </c>
      <c r="Q35" s="113">
        <v>0.84</v>
      </c>
      <c r="R35" s="115">
        <v>0.84099999999999997</v>
      </c>
      <c r="S35" s="115">
        <v>0.84</v>
      </c>
      <c r="T35" s="113">
        <v>0.83899999999999997</v>
      </c>
      <c r="U35" s="113">
        <v>0.83799999999999997</v>
      </c>
      <c r="V35" s="113">
        <v>0.83799999999999997</v>
      </c>
      <c r="W35" s="119"/>
      <c r="X35" s="118"/>
    </row>
    <row r="36" spans="2:26" ht="21" customHeight="1" x14ac:dyDescent="0.2">
      <c r="B36" s="944"/>
      <c r="C36" s="951"/>
      <c r="D36" s="953"/>
      <c r="E36" s="86">
        <v>220</v>
      </c>
      <c r="F36" s="117">
        <v>0.72099999999999997</v>
      </c>
      <c r="G36" s="113">
        <v>0.73399999999999999</v>
      </c>
      <c r="H36" s="113">
        <v>0.746</v>
      </c>
      <c r="I36" s="113">
        <v>0.76</v>
      </c>
      <c r="J36" s="113">
        <v>0.77300000000000002</v>
      </c>
      <c r="K36" s="113">
        <v>0.78700000000000003</v>
      </c>
      <c r="L36" s="113">
        <v>0.8</v>
      </c>
      <c r="M36" s="113">
        <v>0.81299999999999994</v>
      </c>
      <c r="N36" s="113">
        <v>0.82499999999999996</v>
      </c>
      <c r="O36" s="113">
        <v>0.83399999999999996</v>
      </c>
      <c r="P36" s="113">
        <v>0.84</v>
      </c>
      <c r="Q36" s="115">
        <v>0.84099999999999997</v>
      </c>
      <c r="R36" s="115">
        <v>0.84</v>
      </c>
      <c r="S36" s="113">
        <v>0.83899999999999997</v>
      </c>
      <c r="T36" s="113">
        <v>0.83899999999999997</v>
      </c>
      <c r="U36" s="113">
        <v>0.83799999999999997</v>
      </c>
      <c r="V36" s="119"/>
      <c r="W36" s="119"/>
      <c r="X36" s="118"/>
    </row>
    <row r="37" spans="2:26" ht="21" customHeight="1" x14ac:dyDescent="0.2">
      <c r="B37" s="944"/>
      <c r="C37" s="951"/>
      <c r="D37" s="953"/>
      <c r="E37" s="86">
        <v>230</v>
      </c>
      <c r="F37" s="117">
        <v>0.73399999999999999</v>
      </c>
      <c r="G37" s="113">
        <v>0.746</v>
      </c>
      <c r="H37" s="113">
        <v>0.76</v>
      </c>
      <c r="I37" s="113">
        <v>0.77300000000000002</v>
      </c>
      <c r="J37" s="113">
        <v>0.78600000000000003</v>
      </c>
      <c r="K37" s="113">
        <v>0.8</v>
      </c>
      <c r="L37" s="113">
        <v>0.81200000000000006</v>
      </c>
      <c r="M37" s="113">
        <v>0.82399999999999995</v>
      </c>
      <c r="N37" s="113">
        <v>0.83399999999999996</v>
      </c>
      <c r="O37" s="113">
        <v>0.83899999999999997</v>
      </c>
      <c r="P37" s="113">
        <v>0.84099999999999997</v>
      </c>
      <c r="Q37" s="115">
        <v>0.84</v>
      </c>
      <c r="R37" s="113">
        <v>0.83899999999999997</v>
      </c>
      <c r="S37" s="113">
        <v>0.83899999999999997</v>
      </c>
      <c r="T37" s="113">
        <v>0.83799999999999997</v>
      </c>
      <c r="U37" s="119"/>
      <c r="V37" s="119"/>
      <c r="W37" s="119"/>
      <c r="X37" s="118"/>
    </row>
    <row r="38" spans="2:26" ht="21" customHeight="1" x14ac:dyDescent="0.2">
      <c r="B38" s="944"/>
      <c r="C38" s="951"/>
      <c r="D38" s="953"/>
      <c r="E38" s="86">
        <v>240</v>
      </c>
      <c r="F38" s="117">
        <v>0.746</v>
      </c>
      <c r="G38" s="113">
        <v>0.75900000000000001</v>
      </c>
      <c r="H38" s="113">
        <v>0.77200000000000002</v>
      </c>
      <c r="I38" s="113">
        <v>0.78600000000000003</v>
      </c>
      <c r="J38" s="113">
        <v>0.79900000000000004</v>
      </c>
      <c r="K38" s="113">
        <v>0.81200000000000006</v>
      </c>
      <c r="L38" s="113">
        <v>0.82299999999999995</v>
      </c>
      <c r="M38" s="113">
        <v>0.83299999999999996</v>
      </c>
      <c r="N38" s="113">
        <v>0.83899999999999997</v>
      </c>
      <c r="O38" s="113">
        <v>0.84099999999999997</v>
      </c>
      <c r="P38" s="128">
        <v>0.84</v>
      </c>
      <c r="Q38" s="115">
        <v>0.83899999999999997</v>
      </c>
      <c r="R38" s="113">
        <v>0.83899999999999997</v>
      </c>
      <c r="S38" s="113">
        <v>0.83899999999999997</v>
      </c>
      <c r="T38" s="119"/>
      <c r="U38" s="119"/>
      <c r="V38" s="119"/>
      <c r="W38" s="119"/>
      <c r="X38" s="118"/>
    </row>
    <row r="39" spans="2:26" ht="21" customHeight="1" x14ac:dyDescent="0.2">
      <c r="B39" s="944"/>
      <c r="C39" s="951"/>
      <c r="D39" s="953"/>
      <c r="E39" s="86">
        <v>250</v>
      </c>
      <c r="F39" s="117">
        <v>0.75800000000000001</v>
      </c>
      <c r="G39" s="113">
        <v>0.77100000000000002</v>
      </c>
      <c r="H39" s="113">
        <v>0.78500000000000003</v>
      </c>
      <c r="I39" s="113">
        <v>0.79800000000000004</v>
      </c>
      <c r="J39" s="113">
        <v>0.81</v>
      </c>
      <c r="K39" s="113">
        <v>0.82199999999999995</v>
      </c>
      <c r="L39" s="113">
        <v>0.83199999999999996</v>
      </c>
      <c r="M39" s="113">
        <v>0.83899999999999997</v>
      </c>
      <c r="N39" s="113">
        <v>0.84099999999999997</v>
      </c>
      <c r="O39" s="115">
        <v>0.84099999999999997</v>
      </c>
      <c r="P39" s="115">
        <v>0.83899999999999997</v>
      </c>
      <c r="Q39" s="113">
        <v>0.83899999999999997</v>
      </c>
      <c r="R39" s="113">
        <v>0.83799999999999997</v>
      </c>
      <c r="S39" s="113">
        <v>0.83899999999999997</v>
      </c>
      <c r="T39" s="119"/>
      <c r="U39" s="119"/>
      <c r="V39" s="119"/>
      <c r="W39" s="119"/>
      <c r="X39" s="118"/>
    </row>
    <row r="40" spans="2:26" ht="21" customHeight="1" x14ac:dyDescent="0.2">
      <c r="B40" s="944"/>
      <c r="C40" s="951"/>
      <c r="D40" s="953"/>
      <c r="E40" s="86">
        <v>260</v>
      </c>
      <c r="F40" s="117">
        <v>0.77</v>
      </c>
      <c r="G40" s="113">
        <v>0.78300000000000003</v>
      </c>
      <c r="H40" s="113">
        <v>0.79600000000000004</v>
      </c>
      <c r="I40" s="113">
        <v>0.80900000000000005</v>
      </c>
      <c r="J40" s="113">
        <v>0.82099999999999995</v>
      </c>
      <c r="K40" s="113">
        <v>0.83099999999999996</v>
      </c>
      <c r="L40" s="113">
        <v>0.83799999999999997</v>
      </c>
      <c r="M40" s="113">
        <v>0.84099999999999997</v>
      </c>
      <c r="N40" s="115">
        <v>0.84099999999999997</v>
      </c>
      <c r="O40" s="115">
        <v>0.84</v>
      </c>
      <c r="P40" s="113">
        <v>0.83899999999999997</v>
      </c>
      <c r="Q40" s="113">
        <v>0.83799999999999997</v>
      </c>
      <c r="R40" s="113">
        <v>0.83899999999999997</v>
      </c>
      <c r="S40" s="119"/>
      <c r="T40" s="119"/>
      <c r="U40" s="119"/>
      <c r="V40" s="119"/>
      <c r="W40" s="119"/>
      <c r="X40" s="118"/>
    </row>
    <row r="41" spans="2:26" ht="21" customHeight="1" x14ac:dyDescent="0.2">
      <c r="B41" s="944"/>
      <c r="C41" s="951"/>
      <c r="D41" s="953"/>
      <c r="E41" s="86">
        <v>270</v>
      </c>
      <c r="F41" s="110">
        <v>0.77200000000000002</v>
      </c>
      <c r="G41" s="111">
        <v>0.78700000000000003</v>
      </c>
      <c r="H41" s="111">
        <v>0.80200000000000005</v>
      </c>
      <c r="I41" s="111">
        <v>0.81799999999999995</v>
      </c>
      <c r="J41" s="113">
        <v>0.82899999999999996</v>
      </c>
      <c r="K41" s="113">
        <v>0.83699999999999997</v>
      </c>
      <c r="L41" s="113">
        <v>0.84</v>
      </c>
      <c r="M41" s="115">
        <v>0.84099999999999997</v>
      </c>
      <c r="N41" s="115">
        <v>0.84</v>
      </c>
      <c r="O41" s="113">
        <v>0.83899999999999997</v>
      </c>
      <c r="P41" s="113">
        <v>0.83799999999999997</v>
      </c>
      <c r="Q41" s="113">
        <v>0.83899999999999997</v>
      </c>
      <c r="R41" s="119"/>
      <c r="S41" s="119"/>
      <c r="T41" s="119"/>
      <c r="U41" s="119"/>
      <c r="V41" s="119"/>
      <c r="W41" s="119"/>
      <c r="X41" s="118"/>
    </row>
    <row r="42" spans="2:26" ht="21" customHeight="1" x14ac:dyDescent="0.2">
      <c r="B42" s="944"/>
      <c r="C42" s="951"/>
      <c r="D42" s="953"/>
      <c r="E42" s="86">
        <v>280</v>
      </c>
      <c r="F42" s="110">
        <v>0.77200000000000002</v>
      </c>
      <c r="G42" s="111">
        <v>0.78700000000000003</v>
      </c>
      <c r="H42" s="111">
        <v>0.80200000000000005</v>
      </c>
      <c r="I42" s="111">
        <v>0.81799999999999995</v>
      </c>
      <c r="J42" s="111">
        <v>0.83399999999999996</v>
      </c>
      <c r="K42" s="113">
        <v>0.84</v>
      </c>
      <c r="L42" s="115">
        <v>0.84099999999999997</v>
      </c>
      <c r="M42" s="115">
        <v>0.84</v>
      </c>
      <c r="N42" s="113">
        <v>0.83899999999999997</v>
      </c>
      <c r="O42" s="113">
        <v>0.83799999999999997</v>
      </c>
      <c r="P42" s="113">
        <v>0.83799999999999997</v>
      </c>
      <c r="Q42" s="119"/>
      <c r="R42" s="119"/>
      <c r="S42" s="119"/>
      <c r="T42" s="119"/>
      <c r="U42" s="119"/>
      <c r="V42" s="119"/>
      <c r="W42" s="119"/>
      <c r="X42" s="118"/>
    </row>
    <row r="43" spans="2:26" ht="21" customHeight="1" x14ac:dyDescent="0.2">
      <c r="B43" s="944"/>
      <c r="C43" s="951"/>
      <c r="D43" s="953"/>
      <c r="E43" s="87">
        <v>290</v>
      </c>
      <c r="F43" s="110">
        <v>0.77200000000000002</v>
      </c>
      <c r="G43" s="111">
        <v>0.78700000000000003</v>
      </c>
      <c r="H43" s="111">
        <v>0.80200000000000005</v>
      </c>
      <c r="I43" s="111">
        <v>0.81799999999999995</v>
      </c>
      <c r="J43" s="111">
        <v>0.83399999999999996</v>
      </c>
      <c r="K43" s="113">
        <v>0.84099999999999997</v>
      </c>
      <c r="L43" s="115">
        <v>0.84</v>
      </c>
      <c r="M43" s="115">
        <v>0.83899999999999997</v>
      </c>
      <c r="N43" s="113">
        <v>0.83899999999999997</v>
      </c>
      <c r="O43" s="113">
        <v>0.83799999999999997</v>
      </c>
      <c r="P43" s="119"/>
      <c r="Q43" s="119"/>
      <c r="R43" s="119"/>
      <c r="S43" s="119"/>
      <c r="T43" s="119"/>
      <c r="U43" s="119"/>
      <c r="V43" s="119"/>
      <c r="W43" s="119"/>
      <c r="X43" s="118"/>
    </row>
    <row r="44" spans="2:26" ht="21" customHeight="1" thickBot="1" x14ac:dyDescent="0.25">
      <c r="B44" s="945"/>
      <c r="C44" s="952"/>
      <c r="D44" s="954"/>
      <c r="E44" s="100">
        <v>300</v>
      </c>
      <c r="F44" s="120">
        <v>0.77200000000000002</v>
      </c>
      <c r="G44" s="121">
        <v>0.78700000000000003</v>
      </c>
      <c r="H44" s="121">
        <v>0.80200000000000005</v>
      </c>
      <c r="I44" s="121">
        <v>0.81799999999999995</v>
      </c>
      <c r="J44" s="121">
        <v>0.83399999999999996</v>
      </c>
      <c r="K44" s="122">
        <v>0.84099999999999997</v>
      </c>
      <c r="L44" s="122">
        <v>0.84</v>
      </c>
      <c r="M44" s="123">
        <v>0.83899999999999997</v>
      </c>
      <c r="N44" s="123">
        <v>0.83799999999999997</v>
      </c>
      <c r="O44" s="124"/>
      <c r="P44" s="124"/>
      <c r="Q44" s="124"/>
      <c r="R44" s="124"/>
      <c r="S44" s="124"/>
      <c r="T44" s="124"/>
      <c r="U44" s="124"/>
      <c r="V44" s="124"/>
      <c r="W44" s="124"/>
      <c r="X44" s="125"/>
      <c r="Z44" s="78"/>
    </row>
    <row r="45" spans="2:26" ht="20.5" customHeight="1" thickTop="1" thickBot="1" x14ac:dyDescent="0.5">
      <c r="Z45" s="78"/>
    </row>
    <row r="46" spans="2:26" ht="43" customHeight="1" thickTop="1" thickBot="1" x14ac:dyDescent="0.25">
      <c r="B46" s="943" t="s">
        <v>17</v>
      </c>
      <c r="C46" s="950" t="s">
        <v>47</v>
      </c>
      <c r="D46" s="938" t="s">
        <v>64</v>
      </c>
      <c r="E46" s="939"/>
      <c r="F46" s="939"/>
      <c r="G46" s="939"/>
      <c r="H46" s="939"/>
      <c r="I46" s="939"/>
      <c r="J46" s="939"/>
      <c r="K46" s="939"/>
      <c r="L46" s="939"/>
      <c r="M46" s="939"/>
      <c r="N46" s="939"/>
      <c r="O46" s="939"/>
      <c r="P46" s="939"/>
      <c r="Q46" s="939"/>
      <c r="R46" s="939"/>
      <c r="S46" s="939"/>
      <c r="T46" s="939"/>
      <c r="U46" s="939"/>
      <c r="V46" s="939"/>
      <c r="W46" s="939"/>
      <c r="X46" s="940"/>
      <c r="Z46" s="78"/>
    </row>
    <row r="47" spans="2:26" ht="33" customHeight="1" x14ac:dyDescent="0.2">
      <c r="B47" s="944"/>
      <c r="C47" s="951"/>
      <c r="D47" s="941" t="s">
        <v>54</v>
      </c>
      <c r="E47" s="942"/>
      <c r="F47" s="92">
        <f t="shared" ref="F47:X47" si="4">IF(F49&lt;360.8924, 1013.25*(1-0.0000068755856*100*F49)^5.2558797, 0.01*0.2233609*101325*EXP(-0.004806346*(F49-360.8924)))/1013.25</f>
        <v>0.37109194465083423</v>
      </c>
      <c r="G47" s="92">
        <f t="shared" si="4"/>
        <v>0.35518169924862825</v>
      </c>
      <c r="H47" s="92">
        <f t="shared" si="4"/>
        <v>0.3398283685668293</v>
      </c>
      <c r="I47" s="92">
        <f t="shared" si="4"/>
        <v>0.32501691489128937</v>
      </c>
      <c r="J47" s="92">
        <f t="shared" si="4"/>
        <v>0.31073258420509658</v>
      </c>
      <c r="K47" s="92">
        <f t="shared" si="4"/>
        <v>0.29696090318371676</v>
      </c>
      <c r="L47" s="92">
        <f t="shared" si="4"/>
        <v>0.2836876761966769</v>
      </c>
      <c r="M47" s="92">
        <f t="shared" si="4"/>
        <v>0.27089898231582921</v>
      </c>
      <c r="N47" s="92">
        <f t="shared" si="4"/>
        <v>0.25858117233024014</v>
      </c>
      <c r="O47" s="92">
        <f t="shared" si="4"/>
        <v>0.24672086576774621</v>
      </c>
      <c r="P47" s="92">
        <f t="shared" si="4"/>
        <v>0.23530494792321976</v>
      </c>
      <c r="Q47" s="92">
        <f t="shared" si="4"/>
        <v>0.22432056689359178</v>
      </c>
      <c r="R47" s="92">
        <f t="shared" si="4"/>
        <v>0.21379435009215503</v>
      </c>
      <c r="S47" s="92">
        <f t="shared" si="4"/>
        <v>0.20376168743212486</v>
      </c>
      <c r="T47" s="92">
        <f t="shared" si="4"/>
        <v>0.19419982449157544</v>
      </c>
      <c r="U47" s="92">
        <f t="shared" si="4"/>
        <v>0.18508666819478264</v>
      </c>
      <c r="V47" s="92">
        <f t="shared" si="4"/>
        <v>0.17640116222108979</v>
      </c>
      <c r="W47" s="92">
        <f t="shared" si="4"/>
        <v>0.16812323835341697</v>
      </c>
      <c r="X47" s="126">
        <f t="shared" si="4"/>
        <v>0.16023377010982384</v>
      </c>
      <c r="Z47" s="78"/>
    </row>
    <row r="48" spans="2:26" ht="33" customHeight="1" thickBot="1" x14ac:dyDescent="0.25">
      <c r="B48" s="944"/>
      <c r="C48" s="951"/>
      <c r="D48" s="936" t="s">
        <v>53</v>
      </c>
      <c r="E48" s="937"/>
      <c r="F48" s="91">
        <f t="shared" ref="F48:X48" si="5">IF(F49&lt;360.8924,288.15-1.9812*F49/10,216.65)</f>
        <v>238.61999999999998</v>
      </c>
      <c r="G48" s="91">
        <f t="shared" si="5"/>
        <v>236.63879999999997</v>
      </c>
      <c r="H48" s="91">
        <f t="shared" si="5"/>
        <v>234.65759999999997</v>
      </c>
      <c r="I48" s="91">
        <f t="shared" si="5"/>
        <v>232.67639999999997</v>
      </c>
      <c r="J48" s="91">
        <f t="shared" si="5"/>
        <v>230.69519999999997</v>
      </c>
      <c r="K48" s="91">
        <f t="shared" si="5"/>
        <v>228.71399999999997</v>
      </c>
      <c r="L48" s="91">
        <f t="shared" si="5"/>
        <v>226.73279999999997</v>
      </c>
      <c r="M48" s="91">
        <f t="shared" si="5"/>
        <v>224.75159999999997</v>
      </c>
      <c r="N48" s="91">
        <f t="shared" si="5"/>
        <v>222.77039999999997</v>
      </c>
      <c r="O48" s="91">
        <f t="shared" si="5"/>
        <v>220.78919999999997</v>
      </c>
      <c r="P48" s="91">
        <f t="shared" si="5"/>
        <v>218.80799999999996</v>
      </c>
      <c r="Q48" s="91">
        <f t="shared" si="5"/>
        <v>216.82679999999999</v>
      </c>
      <c r="R48" s="91">
        <f t="shared" si="5"/>
        <v>216.65</v>
      </c>
      <c r="S48" s="91">
        <f t="shared" si="5"/>
        <v>216.65</v>
      </c>
      <c r="T48" s="91">
        <f t="shared" si="5"/>
        <v>216.65</v>
      </c>
      <c r="U48" s="91">
        <f t="shared" si="5"/>
        <v>216.65</v>
      </c>
      <c r="V48" s="91">
        <f t="shared" si="5"/>
        <v>216.65</v>
      </c>
      <c r="W48" s="91">
        <f t="shared" si="5"/>
        <v>216.65</v>
      </c>
      <c r="X48" s="93">
        <f t="shared" si="5"/>
        <v>216.65</v>
      </c>
      <c r="Z48" s="78"/>
    </row>
    <row r="49" spans="2:26" ht="33" customHeight="1" thickBot="1" x14ac:dyDescent="0.25">
      <c r="B49" s="944"/>
      <c r="C49" s="951"/>
      <c r="D49" s="948" t="s">
        <v>10</v>
      </c>
      <c r="E49" s="949"/>
      <c r="F49" s="79">
        <v>250</v>
      </c>
      <c r="G49" s="79">
        <v>260</v>
      </c>
      <c r="H49" s="79">
        <v>270</v>
      </c>
      <c r="I49" s="79">
        <v>280</v>
      </c>
      <c r="J49" s="79">
        <v>290</v>
      </c>
      <c r="K49" s="79">
        <v>300</v>
      </c>
      <c r="L49" s="79">
        <v>310</v>
      </c>
      <c r="M49" s="79">
        <v>320</v>
      </c>
      <c r="N49" s="79">
        <v>330</v>
      </c>
      <c r="O49" s="79">
        <v>340</v>
      </c>
      <c r="P49" s="79">
        <v>350</v>
      </c>
      <c r="Q49" s="79">
        <v>360</v>
      </c>
      <c r="R49" s="79">
        <v>370</v>
      </c>
      <c r="S49" s="79">
        <v>380</v>
      </c>
      <c r="T49" s="79">
        <v>390</v>
      </c>
      <c r="U49" s="79">
        <v>400</v>
      </c>
      <c r="V49" s="79">
        <v>410</v>
      </c>
      <c r="W49" s="79">
        <v>420</v>
      </c>
      <c r="X49" s="94">
        <v>430</v>
      </c>
      <c r="Z49" s="78"/>
    </row>
    <row r="50" spans="2:26" ht="20.5" customHeight="1" x14ac:dyDescent="0.2">
      <c r="B50" s="944"/>
      <c r="C50" s="951"/>
      <c r="D50" s="946" t="s">
        <v>52</v>
      </c>
      <c r="E50" s="85">
        <v>140</v>
      </c>
      <c r="F50" s="80">
        <f t="shared" ref="F50:X50" si="6">IF(F6="","",F28*38.967854*SQRT(F$48)  )</f>
        <v>362.37347554303341</v>
      </c>
      <c r="G50" s="81">
        <f t="shared" si="6"/>
        <v>367.45989034026525</v>
      </c>
      <c r="H50" s="81">
        <f t="shared" si="6"/>
        <v>373.08159004006967</v>
      </c>
      <c r="I50" s="81">
        <f t="shared" si="6"/>
        <v>378.04175697503473</v>
      </c>
      <c r="J50" s="81">
        <f t="shared" si="6"/>
        <v>383.53126640222843</v>
      </c>
      <c r="K50" s="81">
        <f t="shared" si="6"/>
        <v>388.36338581973109</v>
      </c>
      <c r="L50" s="81">
        <f t="shared" si="6"/>
        <v>393.71882942818894</v>
      </c>
      <c r="M50" s="81">
        <f t="shared" si="6"/>
        <v>399.00523080691926</v>
      </c>
      <c r="N50" s="81">
        <f t="shared" si="6"/>
        <v>404.80369808221309</v>
      </c>
      <c r="O50" s="81">
        <f t="shared" si="6"/>
        <v>410.52691678140428</v>
      </c>
      <c r="P50" s="81">
        <f t="shared" si="6"/>
        <v>416.17432635441321</v>
      </c>
      <c r="Q50" s="81">
        <f t="shared" si="6"/>
        <v>422.31915880087485</v>
      </c>
      <c r="R50" s="81">
        <f t="shared" si="6"/>
        <v>430.17691378196088</v>
      </c>
      <c r="S50" s="81">
        <f t="shared" si="6"/>
        <v>438.20688283922419</v>
      </c>
      <c r="T50" s="81">
        <f t="shared" si="6"/>
        <v>446.23685189648745</v>
      </c>
      <c r="U50" s="81">
        <f t="shared" si="6"/>
        <v>454.84039017212666</v>
      </c>
      <c r="V50" s="81">
        <f t="shared" si="6"/>
        <v>462.87035922938992</v>
      </c>
      <c r="W50" s="81">
        <f t="shared" si="6"/>
        <v>470.32675906827723</v>
      </c>
      <c r="X50" s="95">
        <f t="shared" si="6"/>
        <v>476.63602047041263</v>
      </c>
      <c r="Z50" s="78"/>
    </row>
    <row r="51" spans="2:26" ht="20.5" customHeight="1" x14ac:dyDescent="0.2">
      <c r="B51" s="944"/>
      <c r="C51" s="951"/>
      <c r="D51" s="946"/>
      <c r="E51" s="85">
        <v>150</v>
      </c>
      <c r="F51" s="82">
        <f t="shared" ref="F51:X51" si="7">IF(F7="","",F29*38.967854*SQRT(F$48)  )</f>
        <v>373.20856285162904</v>
      </c>
      <c r="G51" s="83">
        <f t="shared" si="7"/>
        <v>378.24990343345416</v>
      </c>
      <c r="H51" s="83">
        <f t="shared" si="7"/>
        <v>383.22940928915961</v>
      </c>
      <c r="I51" s="83">
        <f t="shared" si="7"/>
        <v>388.74105198376213</v>
      </c>
      <c r="J51" s="83">
        <f t="shared" si="7"/>
        <v>394.18491269117925</v>
      </c>
      <c r="K51" s="83">
        <f t="shared" si="7"/>
        <v>398.97118694986034</v>
      </c>
      <c r="L51" s="83">
        <f t="shared" si="7"/>
        <v>404.86735067876356</v>
      </c>
      <c r="M51" s="83">
        <f t="shared" si="7"/>
        <v>410.10493708119662</v>
      </c>
      <c r="N51" s="83">
        <f t="shared" si="7"/>
        <v>415.85437374825057</v>
      </c>
      <c r="O51" s="83">
        <f t="shared" si="7"/>
        <v>421.52834332420633</v>
      </c>
      <c r="P51" s="83">
        <f t="shared" si="7"/>
        <v>427.70270104567118</v>
      </c>
      <c r="Q51" s="83">
        <f t="shared" si="7"/>
        <v>433.79522289872477</v>
      </c>
      <c r="R51" s="83">
        <f t="shared" si="7"/>
        <v>441.64829814947984</v>
      </c>
      <c r="S51" s="83">
        <f t="shared" si="7"/>
        <v>450.25183642511905</v>
      </c>
      <c r="T51" s="83">
        <f t="shared" si="7"/>
        <v>458.28180548238231</v>
      </c>
      <c r="U51" s="83">
        <f t="shared" si="7"/>
        <v>465.73820532126967</v>
      </c>
      <c r="V51" s="83">
        <f t="shared" si="7"/>
        <v>473.19460516015687</v>
      </c>
      <c r="W51" s="83">
        <f t="shared" si="7"/>
        <v>478.35672812554054</v>
      </c>
      <c r="X51" s="96">
        <f t="shared" si="7"/>
        <v>481.79814343579613</v>
      </c>
      <c r="Z51" s="78"/>
    </row>
    <row r="52" spans="2:26" ht="20.5" customHeight="1" x14ac:dyDescent="0.2">
      <c r="B52" s="944"/>
      <c r="C52" s="951"/>
      <c r="D52" s="946"/>
      <c r="E52" s="86">
        <v>160</v>
      </c>
      <c r="F52" s="82">
        <f t="shared" ref="F52:X52" si="8">IF(F8="","",F30*38.967854*SQRT(F$48)  )</f>
        <v>382.83975157038077</v>
      </c>
      <c r="G52" s="83">
        <f t="shared" si="8"/>
        <v>388.44047135479917</v>
      </c>
      <c r="H52" s="83">
        <f t="shared" si="8"/>
        <v>393.37722853824954</v>
      </c>
      <c r="I52" s="83">
        <f t="shared" si="8"/>
        <v>398.84594171422691</v>
      </c>
      <c r="J52" s="83">
        <f t="shared" si="8"/>
        <v>403.65482050357997</v>
      </c>
      <c r="K52" s="89">
        <f t="shared" si="8"/>
        <v>409.57898807998947</v>
      </c>
      <c r="L52" s="89">
        <f t="shared" si="8"/>
        <v>414.84234337664611</v>
      </c>
      <c r="M52" s="89">
        <f t="shared" si="8"/>
        <v>420.62044828840681</v>
      </c>
      <c r="N52" s="89">
        <f t="shared" si="8"/>
        <v>426.32343490554916</v>
      </c>
      <c r="O52" s="89">
        <f t="shared" si="8"/>
        <v>432.52976986700844</v>
      </c>
      <c r="P52" s="89">
        <f t="shared" si="8"/>
        <v>438.65465700236626</v>
      </c>
      <c r="Q52" s="89">
        <f t="shared" si="8"/>
        <v>444.69748379168209</v>
      </c>
      <c r="R52" s="89">
        <f t="shared" si="8"/>
        <v>453.11968251699881</v>
      </c>
      <c r="S52" s="89">
        <f t="shared" si="8"/>
        <v>461.14965157426212</v>
      </c>
      <c r="T52" s="89">
        <f t="shared" si="8"/>
        <v>468.60605141314937</v>
      </c>
      <c r="U52" s="89">
        <f t="shared" si="8"/>
        <v>474.91531281528478</v>
      </c>
      <c r="V52" s="89">
        <f t="shared" si="8"/>
        <v>480.07743578066834</v>
      </c>
      <c r="W52" s="89">
        <f t="shared" si="8"/>
        <v>481.79814343579613</v>
      </c>
      <c r="X52" s="97">
        <f t="shared" si="8"/>
        <v>482.37171265417209</v>
      </c>
      <c r="Z52" s="78"/>
    </row>
    <row r="53" spans="2:26" ht="20.5" customHeight="1" x14ac:dyDescent="0.2">
      <c r="B53" s="944"/>
      <c r="C53" s="951"/>
      <c r="D53" s="946"/>
      <c r="E53" s="86">
        <v>170</v>
      </c>
      <c r="F53" s="82">
        <f t="shared" ref="F53:X53" si="9">IF(F9="","",F31*38.967854*SQRT(F$48)  )</f>
        <v>392.4709402891325</v>
      </c>
      <c r="G53" s="83">
        <f t="shared" si="9"/>
        <v>397.43214893245658</v>
      </c>
      <c r="H53" s="83">
        <f t="shared" si="9"/>
        <v>402.92811724327532</v>
      </c>
      <c r="I53" s="83">
        <f t="shared" si="9"/>
        <v>408.35642616642906</v>
      </c>
      <c r="J53" s="83">
        <f t="shared" si="9"/>
        <v>413.7165975542556</v>
      </c>
      <c r="K53" s="89">
        <f t="shared" si="9"/>
        <v>419.00814464010438</v>
      </c>
      <c r="L53" s="89">
        <f t="shared" si="9"/>
        <v>424.81733607452867</v>
      </c>
      <c r="M53" s="89">
        <f t="shared" si="9"/>
        <v>430.5517644285498</v>
      </c>
      <c r="N53" s="89">
        <f t="shared" si="9"/>
        <v>436.79249606284776</v>
      </c>
      <c r="O53" s="89">
        <f t="shared" si="9"/>
        <v>442.95217396018944</v>
      </c>
      <c r="P53" s="89">
        <f t="shared" si="9"/>
        <v>449.03019422449847</v>
      </c>
      <c r="Q53" s="89">
        <f t="shared" si="9"/>
        <v>455.02594147974702</v>
      </c>
      <c r="R53" s="89">
        <f t="shared" si="9"/>
        <v>462.87035922938992</v>
      </c>
      <c r="S53" s="89">
        <f t="shared" si="9"/>
        <v>470.32675906827723</v>
      </c>
      <c r="T53" s="89">
        <f t="shared" si="9"/>
        <v>476.63602047041263</v>
      </c>
      <c r="U53" s="89">
        <f t="shared" si="9"/>
        <v>480.65100499904423</v>
      </c>
      <c r="V53" s="89">
        <f t="shared" si="9"/>
        <v>482.37171265417209</v>
      </c>
      <c r="W53" s="88">
        <f t="shared" si="9"/>
        <v>482.37171265417209</v>
      </c>
      <c r="X53" s="97">
        <f t="shared" si="9"/>
        <v>481.22457421742018</v>
      </c>
      <c r="Z53" s="78"/>
    </row>
    <row r="54" spans="2:26" ht="20.5" customHeight="1" x14ac:dyDescent="0.2">
      <c r="B54" s="944"/>
      <c r="C54" s="951"/>
      <c r="D54" s="946"/>
      <c r="E54" s="86">
        <v>180</v>
      </c>
      <c r="F54" s="82">
        <f t="shared" ref="F54:X54" si="10">IF(F10="","",F32*38.967854*SQRT(F$48)  )</f>
        <v>401.50017971296228</v>
      </c>
      <c r="G54" s="83">
        <f t="shared" si="10"/>
        <v>406.423826510114</v>
      </c>
      <c r="H54" s="83">
        <f t="shared" si="10"/>
        <v>411.88207540423696</v>
      </c>
      <c r="I54" s="83">
        <f t="shared" si="10"/>
        <v>417.27250534036853</v>
      </c>
      <c r="J54" s="83">
        <f t="shared" si="10"/>
        <v>422.5946361283813</v>
      </c>
      <c r="K54" s="89">
        <f t="shared" si="10"/>
        <v>428.43730120021922</v>
      </c>
      <c r="L54" s="89">
        <f t="shared" si="10"/>
        <v>434.20556449606522</v>
      </c>
      <c r="M54" s="89">
        <f t="shared" si="10"/>
        <v>440.48308056869269</v>
      </c>
      <c r="N54" s="89">
        <f t="shared" si="10"/>
        <v>446.67994271140765</v>
      </c>
      <c r="O54" s="89">
        <f t="shared" si="10"/>
        <v>452.79555560374916</v>
      </c>
      <c r="P54" s="89">
        <f t="shared" si="10"/>
        <v>458.8293127120678</v>
      </c>
      <c r="Q54" s="89">
        <f t="shared" si="10"/>
        <v>464.78059596291939</v>
      </c>
      <c r="R54" s="89">
        <f t="shared" si="10"/>
        <v>471.47389750502907</v>
      </c>
      <c r="S54" s="89">
        <f t="shared" si="10"/>
        <v>477.78315890716448</v>
      </c>
      <c r="T54" s="89">
        <f t="shared" si="10"/>
        <v>481.22457421742018</v>
      </c>
      <c r="U54" s="89">
        <f t="shared" si="10"/>
        <v>482.37171265417209</v>
      </c>
      <c r="V54" s="88">
        <f t="shared" si="10"/>
        <v>481.79814343579613</v>
      </c>
      <c r="W54" s="88">
        <f t="shared" si="10"/>
        <v>481.22457421742018</v>
      </c>
      <c r="X54" s="98">
        <f t="shared" si="10"/>
        <v>481.22457421742018</v>
      </c>
      <c r="Z54" s="78"/>
    </row>
    <row r="55" spans="2:26" ht="20.5" customHeight="1" x14ac:dyDescent="0.2">
      <c r="B55" s="944"/>
      <c r="C55" s="951"/>
      <c r="D55" s="946"/>
      <c r="E55" s="86">
        <v>190</v>
      </c>
      <c r="F55" s="82">
        <f t="shared" ref="F55:X55" si="11">IF(F11="","",F33*38.967854*SQRT(F$48)  )</f>
        <v>409.92746984187005</v>
      </c>
      <c r="G55" s="83">
        <f t="shared" si="11"/>
        <v>415.41550408777135</v>
      </c>
      <c r="H55" s="89">
        <f t="shared" si="11"/>
        <v>420.83603356519865</v>
      </c>
      <c r="I55" s="89">
        <f t="shared" si="11"/>
        <v>426.18858451430805</v>
      </c>
      <c r="J55" s="89">
        <f t="shared" si="11"/>
        <v>432.06454394078202</v>
      </c>
      <c r="K55" s="89">
        <f t="shared" si="11"/>
        <v>437.86645776033413</v>
      </c>
      <c r="L55" s="89">
        <f t="shared" si="11"/>
        <v>443.59379291760183</v>
      </c>
      <c r="M55" s="89">
        <f t="shared" si="11"/>
        <v>449.83020164176844</v>
      </c>
      <c r="N55" s="89">
        <f t="shared" si="11"/>
        <v>455.98577485122865</v>
      </c>
      <c r="O55" s="89">
        <f t="shared" si="11"/>
        <v>462.05991479768778</v>
      </c>
      <c r="P55" s="89">
        <f t="shared" si="11"/>
        <v>467.47559373051126</v>
      </c>
      <c r="Q55" s="89">
        <f t="shared" si="11"/>
        <v>472.81384083141421</v>
      </c>
      <c r="R55" s="89">
        <f t="shared" si="11"/>
        <v>478.35672812554054</v>
      </c>
      <c r="S55" s="89">
        <f t="shared" si="11"/>
        <v>481.22457421742018</v>
      </c>
      <c r="T55" s="89">
        <f t="shared" si="11"/>
        <v>482.37171265417209</v>
      </c>
      <c r="U55" s="88">
        <f t="shared" si="11"/>
        <v>481.79814343579613</v>
      </c>
      <c r="V55" s="89">
        <f t="shared" si="11"/>
        <v>481.22457421742018</v>
      </c>
      <c r="W55" s="89">
        <f t="shared" si="11"/>
        <v>481.22457421742018</v>
      </c>
      <c r="X55" s="98">
        <f t="shared" si="11"/>
        <v>480.65100499904423</v>
      </c>
      <c r="Z55" s="78"/>
    </row>
    <row r="56" spans="2:26" ht="20.5" customHeight="1" x14ac:dyDescent="0.2">
      <c r="B56" s="944"/>
      <c r="C56" s="951"/>
      <c r="D56" s="946"/>
      <c r="E56" s="86">
        <v>200</v>
      </c>
      <c r="F56" s="90">
        <f t="shared" ref="F56:X56" si="12">IF(F12="","",F34*38.967854*SQRT(F$48)  )</f>
        <v>418.35475997077771</v>
      </c>
      <c r="G56" s="89">
        <f t="shared" si="12"/>
        <v>423.20829132174106</v>
      </c>
      <c r="H56" s="89">
        <f t="shared" si="12"/>
        <v>429.19306118209619</v>
      </c>
      <c r="I56" s="89">
        <f t="shared" si="12"/>
        <v>435.10466368824751</v>
      </c>
      <c r="J56" s="89">
        <f t="shared" si="12"/>
        <v>440.94258251490771</v>
      </c>
      <c r="K56" s="89">
        <f t="shared" si="12"/>
        <v>446.70629203544183</v>
      </c>
      <c r="L56" s="89">
        <f t="shared" si="12"/>
        <v>452.98202133913838</v>
      </c>
      <c r="M56" s="89">
        <f t="shared" si="12"/>
        <v>459.17732271484414</v>
      </c>
      <c r="N56" s="89">
        <f t="shared" si="12"/>
        <v>464.70999248231078</v>
      </c>
      <c r="O56" s="89">
        <f t="shared" si="12"/>
        <v>470.16622909238407</v>
      </c>
      <c r="P56" s="89">
        <f t="shared" si="12"/>
        <v>475.54545601439173</v>
      </c>
      <c r="Q56" s="89">
        <f t="shared" si="12"/>
        <v>478.5518728803392</v>
      </c>
      <c r="R56" s="89">
        <f t="shared" si="12"/>
        <v>481.79814343579613</v>
      </c>
      <c r="S56" s="88">
        <f t="shared" si="12"/>
        <v>482.37171265417209</v>
      </c>
      <c r="T56" s="88">
        <f t="shared" si="12"/>
        <v>481.79814343579613</v>
      </c>
      <c r="U56" s="89">
        <f t="shared" si="12"/>
        <v>481.22457421742018</v>
      </c>
      <c r="V56" s="89">
        <f t="shared" si="12"/>
        <v>481.22457421742018</v>
      </c>
      <c r="W56" s="89">
        <f t="shared" si="12"/>
        <v>480.65100499904423</v>
      </c>
      <c r="X56" s="99" t="str">
        <f t="shared" si="12"/>
        <v/>
      </c>
      <c r="Z56" s="78"/>
    </row>
    <row r="57" spans="2:26" ht="20.5" customHeight="1" x14ac:dyDescent="0.2">
      <c r="B57" s="944"/>
      <c r="C57" s="951"/>
      <c r="D57" s="946"/>
      <c r="E57" s="86">
        <v>210</v>
      </c>
      <c r="F57" s="90">
        <f t="shared" ref="F57:X57" si="13">IF(F13="","",F35*38.967854*SQRT(F$48)  )</f>
        <v>426.18010080476347</v>
      </c>
      <c r="G57" s="89">
        <f t="shared" si="13"/>
        <v>431.60052372755462</v>
      </c>
      <c r="H57" s="89">
        <f t="shared" si="13"/>
        <v>437.55008879899378</v>
      </c>
      <c r="I57" s="89">
        <f t="shared" si="13"/>
        <v>443.42633758392441</v>
      </c>
      <c r="J57" s="89">
        <f t="shared" si="13"/>
        <v>449.22875185075827</v>
      </c>
      <c r="K57" s="89">
        <f t="shared" si="13"/>
        <v>455.54612631054954</v>
      </c>
      <c r="L57" s="89">
        <f t="shared" si="13"/>
        <v>461.19672120798288</v>
      </c>
      <c r="M57" s="89">
        <f t="shared" si="13"/>
        <v>467.35605365378541</v>
      </c>
      <c r="N57" s="89">
        <f t="shared" si="13"/>
        <v>472.85259560465414</v>
      </c>
      <c r="O57" s="89">
        <f t="shared" si="13"/>
        <v>477.69352093745908</v>
      </c>
      <c r="P57" s="89">
        <f t="shared" si="13"/>
        <v>480.73322462545792</v>
      </c>
      <c r="Q57" s="89">
        <f t="shared" si="13"/>
        <v>481.99469210969409</v>
      </c>
      <c r="R57" s="88">
        <f t="shared" si="13"/>
        <v>482.37171265417209</v>
      </c>
      <c r="S57" s="88">
        <f t="shared" si="13"/>
        <v>481.79814343579613</v>
      </c>
      <c r="T57" s="89">
        <f t="shared" si="13"/>
        <v>481.22457421742018</v>
      </c>
      <c r="U57" s="89">
        <f t="shared" si="13"/>
        <v>480.65100499904423</v>
      </c>
      <c r="V57" s="89">
        <f t="shared" si="13"/>
        <v>480.65100499904423</v>
      </c>
      <c r="W57" s="84" t="str">
        <f t="shared" si="13"/>
        <v/>
      </c>
      <c r="X57" s="99" t="str">
        <f t="shared" si="13"/>
        <v/>
      </c>
      <c r="Z57" s="78"/>
    </row>
    <row r="58" spans="2:26" ht="20.5" customHeight="1" x14ac:dyDescent="0.2">
      <c r="B58" s="944"/>
      <c r="C58" s="951"/>
      <c r="D58" s="946"/>
      <c r="E58" s="86">
        <v>220</v>
      </c>
      <c r="F58" s="90">
        <f t="shared" ref="F58:X58" si="14">IF(F14="","",F36*38.967854*SQRT(F$48)  )</f>
        <v>434.00544163874929</v>
      </c>
      <c r="G58" s="89">
        <f t="shared" si="14"/>
        <v>439.99275613336823</v>
      </c>
      <c r="H58" s="89">
        <f t="shared" si="14"/>
        <v>445.31018587182723</v>
      </c>
      <c r="I58" s="89">
        <f t="shared" si="14"/>
        <v>451.7480114796013</v>
      </c>
      <c r="J58" s="89">
        <f t="shared" si="14"/>
        <v>457.51492118660894</v>
      </c>
      <c r="K58" s="89">
        <f t="shared" si="14"/>
        <v>463.79663830064999</v>
      </c>
      <c r="L58" s="89">
        <f t="shared" si="14"/>
        <v>469.41142107682737</v>
      </c>
      <c r="M58" s="89">
        <f t="shared" si="14"/>
        <v>474.95058952565938</v>
      </c>
      <c r="N58" s="89">
        <f t="shared" si="14"/>
        <v>479.8319697095198</v>
      </c>
      <c r="O58" s="89">
        <f t="shared" si="14"/>
        <v>482.90472298404967</v>
      </c>
      <c r="P58" s="89">
        <f t="shared" si="14"/>
        <v>484.19173703283525</v>
      </c>
      <c r="Q58" s="88">
        <f t="shared" si="14"/>
        <v>482.56849531458658</v>
      </c>
      <c r="R58" s="88">
        <f t="shared" si="14"/>
        <v>481.79814343579613</v>
      </c>
      <c r="S58" s="89">
        <f t="shared" si="14"/>
        <v>481.22457421742018</v>
      </c>
      <c r="T58" s="89">
        <f t="shared" si="14"/>
        <v>481.22457421742018</v>
      </c>
      <c r="U58" s="89">
        <f t="shared" si="14"/>
        <v>480.65100499904423</v>
      </c>
      <c r="V58" s="84" t="str">
        <f t="shared" si="14"/>
        <v/>
      </c>
      <c r="W58" s="84" t="str">
        <f t="shared" si="14"/>
        <v/>
      </c>
      <c r="X58" s="99" t="str">
        <f t="shared" si="14"/>
        <v/>
      </c>
      <c r="Z58" s="78"/>
    </row>
    <row r="59" spans="2:26" ht="20.5" customHeight="1" x14ac:dyDescent="0.2">
      <c r="B59" s="944"/>
      <c r="C59" s="951"/>
      <c r="D59" s="946"/>
      <c r="E59" s="86">
        <v>230</v>
      </c>
      <c r="F59" s="90">
        <f t="shared" ref="F59:X59" si="15">IF(F15="","",F37*38.967854*SQRT(F$48)  )</f>
        <v>441.83078247273505</v>
      </c>
      <c r="G59" s="89">
        <f t="shared" si="15"/>
        <v>447.18609819549414</v>
      </c>
      <c r="H59" s="89">
        <f t="shared" si="15"/>
        <v>453.66721348872483</v>
      </c>
      <c r="I59" s="89">
        <f t="shared" si="15"/>
        <v>459.47528009701551</v>
      </c>
      <c r="J59" s="89">
        <f t="shared" si="15"/>
        <v>465.20922128418448</v>
      </c>
      <c r="K59" s="89">
        <f t="shared" si="15"/>
        <v>471.45782800574335</v>
      </c>
      <c r="L59" s="89">
        <f t="shared" si="15"/>
        <v>476.4525923929798</v>
      </c>
      <c r="M59" s="89">
        <f t="shared" si="15"/>
        <v>481.37673526339887</v>
      </c>
      <c r="N59" s="89">
        <f t="shared" si="15"/>
        <v>485.06650028816921</v>
      </c>
      <c r="O59" s="89">
        <f t="shared" si="15"/>
        <v>485.79983523215537</v>
      </c>
      <c r="P59" s="89">
        <f t="shared" si="15"/>
        <v>484.76815576739813</v>
      </c>
      <c r="Q59" s="88">
        <f t="shared" si="15"/>
        <v>481.99469210969409</v>
      </c>
      <c r="R59" s="89">
        <f t="shared" si="15"/>
        <v>481.22457421742018</v>
      </c>
      <c r="S59" s="89">
        <f t="shared" si="15"/>
        <v>481.22457421742018</v>
      </c>
      <c r="T59" s="89">
        <f t="shared" si="15"/>
        <v>480.65100499904423</v>
      </c>
      <c r="U59" s="84" t="str">
        <f t="shared" si="15"/>
        <v/>
      </c>
      <c r="V59" s="84" t="str">
        <f t="shared" si="15"/>
        <v/>
      </c>
      <c r="W59" s="84" t="str">
        <f t="shared" si="15"/>
        <v/>
      </c>
      <c r="X59" s="99" t="str">
        <f t="shared" si="15"/>
        <v/>
      </c>
      <c r="Z59" s="78"/>
    </row>
    <row r="60" spans="2:26" ht="20.5" customHeight="1" x14ac:dyDescent="0.2">
      <c r="B60" s="944"/>
      <c r="C60" s="951"/>
      <c r="D60" s="946"/>
      <c r="E60" s="86">
        <v>240</v>
      </c>
      <c r="F60" s="90">
        <f t="shared" ref="F60:X60" si="16">IF(F16="","",F38*38.967854*SQRT(F$48)  )</f>
        <v>449.05417401179886</v>
      </c>
      <c r="G60" s="89">
        <f t="shared" si="16"/>
        <v>454.97888542946384</v>
      </c>
      <c r="H60" s="89">
        <f t="shared" si="16"/>
        <v>460.83038001749412</v>
      </c>
      <c r="I60" s="89">
        <f t="shared" si="16"/>
        <v>467.20254871442972</v>
      </c>
      <c r="J60" s="89">
        <f t="shared" si="16"/>
        <v>472.90352138176007</v>
      </c>
      <c r="K60" s="89">
        <f t="shared" si="16"/>
        <v>478.52969542582952</v>
      </c>
      <c r="L60" s="89">
        <f t="shared" si="16"/>
        <v>482.90699943278605</v>
      </c>
      <c r="M60" s="89">
        <f t="shared" si="16"/>
        <v>486.63449086700393</v>
      </c>
      <c r="N60" s="89">
        <f t="shared" si="16"/>
        <v>487.97457283186321</v>
      </c>
      <c r="O60" s="89">
        <f t="shared" si="16"/>
        <v>486.9578801313977</v>
      </c>
      <c r="P60" s="127">
        <f t="shared" si="16"/>
        <v>484.19173703283525</v>
      </c>
      <c r="Q60" s="88">
        <f t="shared" si="16"/>
        <v>481.42088890480164</v>
      </c>
      <c r="R60" s="89">
        <f t="shared" si="16"/>
        <v>481.22457421742018</v>
      </c>
      <c r="S60" s="89">
        <f t="shared" si="16"/>
        <v>481.22457421742018</v>
      </c>
      <c r="T60" s="84" t="str">
        <f t="shared" si="16"/>
        <v/>
      </c>
      <c r="U60" s="84" t="str">
        <f t="shared" si="16"/>
        <v/>
      </c>
      <c r="V60" s="84" t="str">
        <f t="shared" si="16"/>
        <v/>
      </c>
      <c r="W60" s="84" t="str">
        <f t="shared" si="16"/>
        <v/>
      </c>
      <c r="X60" s="99" t="str">
        <f t="shared" si="16"/>
        <v/>
      </c>
      <c r="Z60" s="78"/>
    </row>
    <row r="61" spans="2:26" ht="20.5" customHeight="1" x14ac:dyDescent="0.2">
      <c r="B61" s="944"/>
      <c r="C61" s="951"/>
      <c r="D61" s="946"/>
      <c r="E61" s="86">
        <v>250</v>
      </c>
      <c r="F61" s="90">
        <f t="shared" ref="F61:X61" si="17">IF(F17="","",F39*38.967854*SQRT(F$48)  )</f>
        <v>456.27756555086262</v>
      </c>
      <c r="G61" s="89">
        <f t="shared" si="17"/>
        <v>462.17222749158975</v>
      </c>
      <c r="H61" s="89">
        <f t="shared" si="17"/>
        <v>468.59047709032757</v>
      </c>
      <c r="I61" s="89">
        <f t="shared" si="17"/>
        <v>474.33541205358131</v>
      </c>
      <c r="J61" s="89">
        <f t="shared" si="17"/>
        <v>479.41408300278556</v>
      </c>
      <c r="K61" s="89">
        <f t="shared" si="17"/>
        <v>484.42291827590122</v>
      </c>
      <c r="L61" s="89">
        <f t="shared" si="17"/>
        <v>488.18787791990036</v>
      </c>
      <c r="M61" s="89">
        <f t="shared" si="17"/>
        <v>490.13966126940738</v>
      </c>
      <c r="N61" s="89">
        <f t="shared" si="17"/>
        <v>489.1378018493408</v>
      </c>
      <c r="O61" s="88">
        <f t="shared" si="17"/>
        <v>486.9578801313977</v>
      </c>
      <c r="P61" s="88">
        <f t="shared" si="17"/>
        <v>483.61531829827237</v>
      </c>
      <c r="Q61" s="89">
        <f t="shared" si="17"/>
        <v>481.42088890480164</v>
      </c>
      <c r="R61" s="89">
        <f t="shared" si="17"/>
        <v>480.65100499904423</v>
      </c>
      <c r="S61" s="89">
        <f t="shared" si="17"/>
        <v>481.22457421742018</v>
      </c>
      <c r="T61" s="84" t="str">
        <f t="shared" si="17"/>
        <v/>
      </c>
      <c r="U61" s="84" t="str">
        <f t="shared" si="17"/>
        <v/>
      </c>
      <c r="V61" s="84" t="str">
        <f t="shared" si="17"/>
        <v/>
      </c>
      <c r="W61" s="84" t="str">
        <f t="shared" si="17"/>
        <v/>
      </c>
      <c r="X61" s="99" t="str">
        <f t="shared" si="17"/>
        <v/>
      </c>
      <c r="Z61" s="78"/>
    </row>
    <row r="62" spans="2:26" ht="20.5" customHeight="1" x14ac:dyDescent="0.2">
      <c r="B62" s="944"/>
      <c r="C62" s="951"/>
      <c r="D62" s="946"/>
      <c r="E62" s="86">
        <v>260</v>
      </c>
      <c r="F62" s="90">
        <f t="shared" ref="F62:X62" si="18">IF(F18="","",F40*38.967854*SQRT(F$48)  )</f>
        <v>463.50095708992643</v>
      </c>
      <c r="G62" s="89">
        <f t="shared" si="18"/>
        <v>469.36556955371566</v>
      </c>
      <c r="H62" s="89">
        <f t="shared" si="18"/>
        <v>475.15671307503283</v>
      </c>
      <c r="I62" s="89">
        <f t="shared" si="18"/>
        <v>480.87387011447032</v>
      </c>
      <c r="J62" s="89">
        <f t="shared" si="18"/>
        <v>485.92464462381099</v>
      </c>
      <c r="K62" s="89">
        <f t="shared" si="18"/>
        <v>489.72681884096585</v>
      </c>
      <c r="L62" s="89">
        <f t="shared" si="18"/>
        <v>491.7084635779766</v>
      </c>
      <c r="M62" s="89">
        <f t="shared" si="18"/>
        <v>491.30805140354181</v>
      </c>
      <c r="N62" s="88">
        <f t="shared" si="18"/>
        <v>489.1378018493408</v>
      </c>
      <c r="O62" s="88">
        <f t="shared" si="18"/>
        <v>486.37885768177654</v>
      </c>
      <c r="P62" s="89">
        <f t="shared" si="18"/>
        <v>483.61531829827237</v>
      </c>
      <c r="Q62" s="89">
        <f t="shared" si="18"/>
        <v>480.84708569990914</v>
      </c>
      <c r="R62" s="89">
        <f t="shared" si="18"/>
        <v>481.22457421742018</v>
      </c>
      <c r="S62" s="84" t="str">
        <f t="shared" si="18"/>
        <v/>
      </c>
      <c r="T62" s="84" t="str">
        <f t="shared" si="18"/>
        <v/>
      </c>
      <c r="U62" s="84" t="str">
        <f t="shared" si="18"/>
        <v/>
      </c>
      <c r="V62" s="84" t="str">
        <f t="shared" si="18"/>
        <v/>
      </c>
      <c r="W62" s="84" t="str">
        <f t="shared" si="18"/>
        <v/>
      </c>
      <c r="X62" s="99" t="str">
        <f t="shared" si="18"/>
        <v/>
      </c>
      <c r="Z62" s="78"/>
    </row>
    <row r="63" spans="2:26" ht="20.5" customHeight="1" x14ac:dyDescent="0.2">
      <c r="B63" s="944"/>
      <c r="C63" s="951"/>
      <c r="D63" s="946"/>
      <c r="E63" s="86">
        <v>270</v>
      </c>
      <c r="F63" s="82">
        <f t="shared" ref="F63:X63" si="19">IF(F19="","",F41*38.967854*SQRT(F$48)  )</f>
        <v>464.70485567977045</v>
      </c>
      <c r="G63" s="83">
        <f t="shared" si="19"/>
        <v>471.76335024109096</v>
      </c>
      <c r="H63" s="83">
        <f t="shared" si="19"/>
        <v>478.73829633941745</v>
      </c>
      <c r="I63" s="83">
        <f t="shared" si="19"/>
        <v>486.22351761883397</v>
      </c>
      <c r="J63" s="89">
        <f t="shared" si="19"/>
        <v>490.65959853001135</v>
      </c>
      <c r="K63" s="89">
        <f t="shared" si="19"/>
        <v>493.26275255100893</v>
      </c>
      <c r="L63" s="89">
        <f t="shared" si="19"/>
        <v>492.88199213066866</v>
      </c>
      <c r="M63" s="88">
        <f t="shared" si="19"/>
        <v>491.30805140354181</v>
      </c>
      <c r="N63" s="88">
        <f t="shared" si="19"/>
        <v>488.55618734060204</v>
      </c>
      <c r="O63" s="89">
        <f t="shared" si="19"/>
        <v>485.79983523215537</v>
      </c>
      <c r="P63" s="89">
        <f t="shared" si="19"/>
        <v>483.03889956370949</v>
      </c>
      <c r="Q63" s="89">
        <f t="shared" si="19"/>
        <v>481.42088890480164</v>
      </c>
      <c r="R63" s="84" t="str">
        <f t="shared" si="19"/>
        <v/>
      </c>
      <c r="S63" s="84" t="str">
        <f t="shared" si="19"/>
        <v/>
      </c>
      <c r="T63" s="84" t="str">
        <f t="shared" si="19"/>
        <v/>
      </c>
      <c r="U63" s="84" t="str">
        <f t="shared" si="19"/>
        <v/>
      </c>
      <c r="V63" s="84" t="str">
        <f t="shared" si="19"/>
        <v/>
      </c>
      <c r="W63" s="84" t="str">
        <f t="shared" si="19"/>
        <v/>
      </c>
      <c r="X63" s="99" t="str">
        <f t="shared" si="19"/>
        <v/>
      </c>
      <c r="Z63" s="78"/>
    </row>
    <row r="64" spans="2:26" ht="20.5" customHeight="1" x14ac:dyDescent="0.2">
      <c r="B64" s="944"/>
      <c r="C64" s="951"/>
      <c r="D64" s="946"/>
      <c r="E64" s="86">
        <v>280</v>
      </c>
      <c r="F64" s="82">
        <f t="shared" ref="F64:X64" si="20">IF(F20="","",F42*38.967854*SQRT(F$48)  )</f>
        <v>464.70485567977045</v>
      </c>
      <c r="G64" s="83">
        <f t="shared" si="20"/>
        <v>471.76335024109096</v>
      </c>
      <c r="H64" s="83">
        <f t="shared" si="20"/>
        <v>478.73829633941745</v>
      </c>
      <c r="I64" s="83">
        <f t="shared" si="20"/>
        <v>486.22351761883397</v>
      </c>
      <c r="J64" s="83">
        <f t="shared" si="20"/>
        <v>493.61894472138658</v>
      </c>
      <c r="K64" s="89">
        <f t="shared" si="20"/>
        <v>495.03071940603047</v>
      </c>
      <c r="L64" s="88">
        <f t="shared" si="20"/>
        <v>493.46875640701467</v>
      </c>
      <c r="M64" s="88">
        <f t="shared" si="20"/>
        <v>490.72385633647457</v>
      </c>
      <c r="N64" s="89">
        <f t="shared" si="20"/>
        <v>487.97457283186321</v>
      </c>
      <c r="O64" s="89">
        <f t="shared" si="20"/>
        <v>485.22081278253427</v>
      </c>
      <c r="P64" s="89">
        <f t="shared" si="20"/>
        <v>483.03889956370949</v>
      </c>
      <c r="Q64" s="84" t="str">
        <f t="shared" si="20"/>
        <v/>
      </c>
      <c r="R64" s="84" t="str">
        <f t="shared" si="20"/>
        <v/>
      </c>
      <c r="S64" s="84" t="str">
        <f t="shared" si="20"/>
        <v/>
      </c>
      <c r="T64" s="84" t="str">
        <f t="shared" si="20"/>
        <v/>
      </c>
      <c r="U64" s="84" t="str">
        <f t="shared" si="20"/>
        <v/>
      </c>
      <c r="V64" s="84" t="str">
        <f t="shared" si="20"/>
        <v/>
      </c>
      <c r="W64" s="84" t="str">
        <f t="shared" si="20"/>
        <v/>
      </c>
      <c r="X64" s="99" t="str">
        <f t="shared" si="20"/>
        <v/>
      </c>
      <c r="Z64" s="78"/>
    </row>
    <row r="65" spans="2:26" ht="20.5" customHeight="1" x14ac:dyDescent="0.2">
      <c r="B65" s="944"/>
      <c r="C65" s="951"/>
      <c r="D65" s="946"/>
      <c r="E65" s="87">
        <v>290</v>
      </c>
      <c r="F65" s="82">
        <f t="shared" ref="F65:X65" si="21">IF(F21="","",F43*38.967854*SQRT(F$48)  )</f>
        <v>464.70485567977045</v>
      </c>
      <c r="G65" s="83">
        <f t="shared" si="21"/>
        <v>471.76335024109096</v>
      </c>
      <c r="H65" s="83">
        <f t="shared" si="21"/>
        <v>478.73829633941745</v>
      </c>
      <c r="I65" s="83">
        <f t="shared" si="21"/>
        <v>486.22351761883397</v>
      </c>
      <c r="J65" s="83">
        <f t="shared" si="21"/>
        <v>493.61894472138658</v>
      </c>
      <c r="K65" s="89">
        <f t="shared" si="21"/>
        <v>495.62004169103761</v>
      </c>
      <c r="L65" s="88">
        <f t="shared" si="21"/>
        <v>492.88199213066866</v>
      </c>
      <c r="M65" s="88">
        <f t="shared" si="21"/>
        <v>490.13966126940738</v>
      </c>
      <c r="N65" s="89">
        <f t="shared" si="21"/>
        <v>487.97457283186321</v>
      </c>
      <c r="O65" s="89">
        <f t="shared" si="21"/>
        <v>485.22081278253427</v>
      </c>
      <c r="P65" s="84" t="str">
        <f t="shared" si="21"/>
        <v/>
      </c>
      <c r="Q65" s="84" t="str">
        <f t="shared" si="21"/>
        <v/>
      </c>
      <c r="R65" s="84" t="str">
        <f t="shared" si="21"/>
        <v/>
      </c>
      <c r="S65" s="84" t="str">
        <f t="shared" si="21"/>
        <v/>
      </c>
      <c r="T65" s="84" t="str">
        <f t="shared" si="21"/>
        <v/>
      </c>
      <c r="U65" s="84" t="str">
        <f t="shared" si="21"/>
        <v/>
      </c>
      <c r="V65" s="84" t="str">
        <f t="shared" si="21"/>
        <v/>
      </c>
      <c r="W65" s="84" t="str">
        <f t="shared" si="21"/>
        <v/>
      </c>
      <c r="X65" s="99" t="str">
        <f t="shared" si="21"/>
        <v/>
      </c>
      <c r="Z65" s="78"/>
    </row>
    <row r="66" spans="2:26" ht="20.5" customHeight="1" thickBot="1" x14ac:dyDescent="0.25">
      <c r="B66" s="945"/>
      <c r="C66" s="952"/>
      <c r="D66" s="947"/>
      <c r="E66" s="100">
        <v>300</v>
      </c>
      <c r="F66" s="101">
        <f t="shared" ref="F66:X66" si="22">IF(F22="","",F44*38.967854*SQRT(F$48)  )</f>
        <v>464.70485567977045</v>
      </c>
      <c r="G66" s="102">
        <f t="shared" si="22"/>
        <v>471.76335024109096</v>
      </c>
      <c r="H66" s="102">
        <f t="shared" si="22"/>
        <v>478.73829633941745</v>
      </c>
      <c r="I66" s="102">
        <f t="shared" si="22"/>
        <v>486.22351761883397</v>
      </c>
      <c r="J66" s="102">
        <f t="shared" si="22"/>
        <v>493.61894472138658</v>
      </c>
      <c r="K66" s="103">
        <f t="shared" si="22"/>
        <v>495.62004169103761</v>
      </c>
      <c r="L66" s="103">
        <f t="shared" si="22"/>
        <v>492.88199213066866</v>
      </c>
      <c r="M66" s="104">
        <f t="shared" si="22"/>
        <v>490.13966126940738</v>
      </c>
      <c r="N66" s="104">
        <f t="shared" si="22"/>
        <v>487.39295832312439</v>
      </c>
      <c r="O66" s="105" t="str">
        <f t="shared" si="22"/>
        <v/>
      </c>
      <c r="P66" s="105" t="str">
        <f t="shared" si="22"/>
        <v/>
      </c>
      <c r="Q66" s="105" t="str">
        <f t="shared" si="22"/>
        <v/>
      </c>
      <c r="R66" s="105" t="str">
        <f t="shared" si="22"/>
        <v/>
      </c>
      <c r="S66" s="105" t="str">
        <f t="shared" si="22"/>
        <v/>
      </c>
      <c r="T66" s="105" t="str">
        <f t="shared" si="22"/>
        <v/>
      </c>
      <c r="U66" s="105" t="str">
        <f t="shared" si="22"/>
        <v/>
      </c>
      <c r="V66" s="105" t="str">
        <f t="shared" si="22"/>
        <v/>
      </c>
      <c r="W66" s="105" t="str">
        <f t="shared" si="22"/>
        <v/>
      </c>
      <c r="X66" s="106" t="str">
        <f t="shared" si="22"/>
        <v/>
      </c>
      <c r="Z66" s="78"/>
    </row>
    <row r="67" spans="2:26" ht="20.5" customHeight="1" thickTop="1" x14ac:dyDescent="0.45">
      <c r="Z67" s="78"/>
    </row>
    <row r="68" spans="2:26" ht="20.5" customHeight="1" x14ac:dyDescent="0.2">
      <c r="C68"/>
      <c r="Z68" s="78"/>
    </row>
    <row r="69" spans="2:26" ht="20.5" customHeight="1" x14ac:dyDescent="0.2">
      <c r="C69"/>
      <c r="Z69" s="78"/>
    </row>
    <row r="70" spans="2:26" ht="20.5" customHeight="1" x14ac:dyDescent="0.2">
      <c r="C70"/>
      <c r="Z70" s="78"/>
    </row>
    <row r="71" spans="2:26" ht="20.5" customHeight="1" x14ac:dyDescent="0.2">
      <c r="C71"/>
      <c r="Z71" s="78"/>
    </row>
    <row r="72" spans="2:26" ht="20.5" customHeight="1" x14ac:dyDescent="0.2">
      <c r="C72"/>
      <c r="Z72" s="78"/>
    </row>
    <row r="73" spans="2:26" ht="20.5" customHeight="1" x14ac:dyDescent="0.2">
      <c r="C73"/>
      <c r="Z73" s="78"/>
    </row>
    <row r="74" spans="2:26" ht="20.5" customHeight="1" x14ac:dyDescent="0.2">
      <c r="C74"/>
      <c r="Z74" s="78"/>
    </row>
    <row r="75" spans="2:26" ht="20.5" customHeight="1" x14ac:dyDescent="0.2">
      <c r="C75"/>
      <c r="Z75" s="78"/>
    </row>
    <row r="76" spans="2:26" ht="20.5" customHeight="1" x14ac:dyDescent="0.2">
      <c r="C76"/>
      <c r="Z76" s="78"/>
    </row>
    <row r="77" spans="2:26" ht="20.5" customHeight="1" x14ac:dyDescent="0.2">
      <c r="C77"/>
      <c r="Z77" s="78"/>
    </row>
    <row r="78" spans="2:26" ht="20.5" customHeight="1" x14ac:dyDescent="0.2">
      <c r="C78"/>
      <c r="Z78" s="78"/>
    </row>
    <row r="79" spans="2:26" ht="20.5" customHeight="1" x14ac:dyDescent="0.2">
      <c r="C79"/>
      <c r="Z79" s="78"/>
    </row>
    <row r="80" spans="2:26" ht="20.5" customHeight="1" x14ac:dyDescent="0.2">
      <c r="C80"/>
      <c r="Z80" s="78"/>
    </row>
    <row r="81" spans="3:26" ht="20.5" customHeight="1" x14ac:dyDescent="0.2">
      <c r="C81"/>
      <c r="Z81" s="78"/>
    </row>
    <row r="82" spans="3:26" ht="20.5" customHeight="1" x14ac:dyDescent="0.2">
      <c r="C82"/>
      <c r="Z82" s="78"/>
    </row>
    <row r="83" spans="3:26" ht="20.5" customHeight="1" x14ac:dyDescent="0.2">
      <c r="C83"/>
      <c r="Z83" s="78"/>
    </row>
    <row r="84" spans="3:26" ht="22.5" customHeight="1" x14ac:dyDescent="0.2">
      <c r="C84"/>
      <c r="Z84" s="78"/>
    </row>
    <row r="85" spans="3:26" ht="22.5" customHeight="1" x14ac:dyDescent="0.2">
      <c r="C85"/>
      <c r="Z85" s="78"/>
    </row>
    <row r="86" spans="3:26" ht="22.5" customHeight="1" x14ac:dyDescent="0.2">
      <c r="C86"/>
      <c r="Z86" s="78"/>
    </row>
    <row r="87" spans="3:26" ht="22.5" customHeight="1" x14ac:dyDescent="0.2">
      <c r="C87"/>
      <c r="Z87" s="78"/>
    </row>
    <row r="88" spans="3:26" ht="22.5" customHeight="1" x14ac:dyDescent="0.2">
      <c r="C88"/>
      <c r="Z88" s="78"/>
    </row>
    <row r="89" spans="3:26" ht="22.5" customHeight="1" x14ac:dyDescent="0.2">
      <c r="C89"/>
      <c r="Z89" s="78"/>
    </row>
    <row r="90" spans="3:26" ht="22.5" customHeight="1" x14ac:dyDescent="0.2">
      <c r="C90"/>
      <c r="Z90" s="78"/>
    </row>
    <row r="91" spans="3:26" ht="22.5" customHeight="1" x14ac:dyDescent="0.2">
      <c r="C91"/>
      <c r="Z91" s="78"/>
    </row>
    <row r="92" spans="3:26" ht="22.5" customHeight="1" x14ac:dyDescent="0.2">
      <c r="C92"/>
      <c r="Z92" s="78"/>
    </row>
    <row r="93" spans="3:26" ht="22.5" customHeight="1" x14ac:dyDescent="0.2">
      <c r="C93"/>
      <c r="Z93" s="78"/>
    </row>
    <row r="94" spans="3:26" ht="22.5" customHeight="1" x14ac:dyDescent="0.2">
      <c r="C94"/>
      <c r="Z94" s="78"/>
    </row>
    <row r="95" spans="3:26" ht="22.5" customHeight="1" x14ac:dyDescent="0.2">
      <c r="C95"/>
      <c r="Z95" s="78"/>
    </row>
    <row r="96" spans="3:26" ht="22.5" customHeight="1" x14ac:dyDescent="0.2">
      <c r="C96"/>
      <c r="Z96" s="78"/>
    </row>
    <row r="97" spans="3:26" ht="22.5" customHeight="1" x14ac:dyDescent="0.2">
      <c r="C97"/>
      <c r="Z97" s="78"/>
    </row>
    <row r="98" spans="3:26" ht="22.5" customHeight="1" x14ac:dyDescent="0.2">
      <c r="C98"/>
      <c r="Z98" s="78"/>
    </row>
    <row r="99" spans="3:26" ht="22.5" customHeight="1" x14ac:dyDescent="0.2">
      <c r="C99"/>
      <c r="Z99" s="78"/>
    </row>
    <row r="100" spans="3:26" ht="22.5" customHeight="1" x14ac:dyDescent="0.2">
      <c r="C100"/>
      <c r="Z100" s="78"/>
    </row>
    <row r="101" spans="3:26" ht="22.5" customHeight="1" x14ac:dyDescent="0.2">
      <c r="C101"/>
      <c r="Z101" s="78"/>
    </row>
    <row r="102" spans="3:26" ht="22.5" customHeight="1" x14ac:dyDescent="0.2">
      <c r="C102"/>
      <c r="Z102" s="78"/>
    </row>
    <row r="103" spans="3:26" ht="22.5" customHeight="1" x14ac:dyDescent="0.2">
      <c r="C103"/>
      <c r="Z103" s="78"/>
    </row>
    <row r="104" spans="3:26" ht="22.5" customHeight="1" x14ac:dyDescent="0.2">
      <c r="C104"/>
      <c r="Z104" s="78"/>
    </row>
    <row r="105" spans="3:26" ht="22.5" customHeight="1" x14ac:dyDescent="0.2">
      <c r="C105"/>
      <c r="Z105" s="78"/>
    </row>
    <row r="106" spans="3:26" ht="22.5" customHeight="1" x14ac:dyDescent="0.2">
      <c r="C106"/>
      <c r="Z106" s="78"/>
    </row>
    <row r="107" spans="3:26" ht="22.5" customHeight="1" x14ac:dyDescent="0.2">
      <c r="C107"/>
      <c r="Z107" s="78"/>
    </row>
    <row r="108" spans="3:26" ht="22.5" customHeight="1" x14ac:dyDescent="0.2">
      <c r="C108"/>
      <c r="Z108" s="78"/>
    </row>
    <row r="109" spans="3:26" ht="22.5" customHeight="1" x14ac:dyDescent="0.2">
      <c r="C109"/>
      <c r="Z109" s="78"/>
    </row>
    <row r="110" spans="3:26" ht="22.5" customHeight="1" x14ac:dyDescent="0.2">
      <c r="C110"/>
      <c r="Z110" s="78"/>
    </row>
    <row r="111" spans="3:26" ht="22.5" customHeight="1" x14ac:dyDescent="0.2">
      <c r="C111"/>
      <c r="Z111" s="78"/>
    </row>
    <row r="112" spans="3:26" ht="22.5" customHeight="1" x14ac:dyDescent="0.2">
      <c r="C112"/>
      <c r="Z112" s="78"/>
    </row>
    <row r="113" spans="26:26" customFormat="1" ht="22.5" customHeight="1" x14ac:dyDescent="0.2">
      <c r="Z113" s="78"/>
    </row>
    <row r="114" spans="26:26" customFormat="1" ht="22.5" customHeight="1" x14ac:dyDescent="0.2">
      <c r="Z114" s="78"/>
    </row>
    <row r="115" spans="26:26" customFormat="1" ht="22.5" customHeight="1" x14ac:dyDescent="0.2">
      <c r="Z115" s="78"/>
    </row>
    <row r="116" spans="26:26" customFormat="1" ht="22.5" customHeight="1" x14ac:dyDescent="0.2">
      <c r="Z116" s="78"/>
    </row>
    <row r="117" spans="26:26" customFormat="1" ht="22.5" customHeight="1" x14ac:dyDescent="0.2">
      <c r="Z117" s="78"/>
    </row>
    <row r="118" spans="26:26" customFormat="1" ht="22.5" customHeight="1" x14ac:dyDescent="0.2">
      <c r="Z118" s="78"/>
    </row>
    <row r="119" spans="26:26" customFormat="1" ht="22.5" customHeight="1" x14ac:dyDescent="0.2">
      <c r="Z119" s="78"/>
    </row>
    <row r="120" spans="26:26" customFormat="1" ht="22.5" customHeight="1" x14ac:dyDescent="0.2">
      <c r="Z120" s="78"/>
    </row>
    <row r="121" spans="26:26" customFormat="1" ht="22.5" customHeight="1" x14ac:dyDescent="0.2">
      <c r="Z121" s="78"/>
    </row>
    <row r="122" spans="26:26" customFormat="1" ht="22.5" customHeight="1" x14ac:dyDescent="0.2">
      <c r="Z122" s="78"/>
    </row>
    <row r="123" spans="26:26" customFormat="1" ht="22.5" customHeight="1" x14ac:dyDescent="0.2">
      <c r="Z123" s="78"/>
    </row>
    <row r="124" spans="26:26" customFormat="1" ht="22.5" customHeight="1" x14ac:dyDescent="0.2">
      <c r="Z124" s="78"/>
    </row>
    <row r="125" spans="26:26" customFormat="1" ht="22.5" customHeight="1" x14ac:dyDescent="0.2">
      <c r="Z125" s="78"/>
    </row>
    <row r="126" spans="26:26" customFormat="1" ht="22.5" customHeight="1" x14ac:dyDescent="0.2">
      <c r="Z126" s="78"/>
    </row>
    <row r="127" spans="26:26" customFormat="1" ht="22.5" customHeight="1" x14ac:dyDescent="0.2">
      <c r="Z127" s="78"/>
    </row>
    <row r="128" spans="26:26" customFormat="1" ht="22.5" customHeight="1" x14ac:dyDescent="0.2">
      <c r="Z128" s="78"/>
    </row>
    <row r="129" spans="3:26" ht="22.5" customHeight="1" x14ac:dyDescent="0.2">
      <c r="C129"/>
      <c r="Z129" s="78"/>
    </row>
    <row r="130" spans="3:26" ht="22.5" customHeight="1" x14ac:dyDescent="0.2">
      <c r="C130"/>
      <c r="Z130" s="78"/>
    </row>
    <row r="131" spans="3:26" ht="22.5" customHeight="1" x14ac:dyDescent="0.2">
      <c r="C131"/>
      <c r="Z131" s="78"/>
    </row>
    <row r="132" spans="3:26" ht="22.5" customHeight="1" x14ac:dyDescent="0.2">
      <c r="C132"/>
      <c r="Z132" s="78"/>
    </row>
    <row r="133" spans="3:26" ht="22.5" customHeight="1" x14ac:dyDescent="0.45">
      <c r="F133" s="77" t="s">
        <v>3</v>
      </c>
      <c r="Z133" s="78"/>
    </row>
    <row r="134" spans="3:26" ht="22.5" customHeight="1" x14ac:dyDescent="0.2">
      <c r="C134"/>
      <c r="Z134" s="78"/>
    </row>
    <row r="135" spans="3:26" ht="22.5" customHeight="1" x14ac:dyDescent="0.2">
      <c r="C135"/>
      <c r="Z135" s="78"/>
    </row>
    <row r="136" spans="3:26" ht="22.5" customHeight="1" x14ac:dyDescent="0.2">
      <c r="C136"/>
    </row>
    <row r="137" spans="3:26" ht="22.5" customHeight="1" x14ac:dyDescent="0.2">
      <c r="C137"/>
    </row>
    <row r="138" spans="3:26" ht="22.5" customHeight="1" x14ac:dyDescent="0.2">
      <c r="C138"/>
    </row>
    <row r="139" spans="3:26" ht="22.5" customHeight="1" x14ac:dyDescent="0.2">
      <c r="C139"/>
    </row>
    <row r="140" spans="3:26" ht="22.5" customHeight="1" x14ac:dyDescent="0.2">
      <c r="C140"/>
    </row>
    <row r="141" spans="3:26" ht="22.5" customHeight="1" x14ac:dyDescent="0.2">
      <c r="C141"/>
    </row>
    <row r="142" spans="3:26" ht="22.5" customHeight="1" x14ac:dyDescent="0.2">
      <c r="C142"/>
    </row>
    <row r="143" spans="3:26" ht="22.5" customHeight="1" x14ac:dyDescent="0.2">
      <c r="C143"/>
    </row>
    <row r="144" spans="3:26" ht="22.5" customHeight="1" x14ac:dyDescent="0.2">
      <c r="C144"/>
    </row>
    <row r="145" spans="3:3" ht="22.5" customHeight="1" x14ac:dyDescent="0.2">
      <c r="C145"/>
    </row>
    <row r="146" spans="3:3" ht="22.5" customHeight="1" x14ac:dyDescent="0.2">
      <c r="C146"/>
    </row>
    <row r="147" spans="3:3" ht="22.5" customHeight="1" x14ac:dyDescent="0.2">
      <c r="C147"/>
    </row>
    <row r="148" spans="3:3" ht="22.5" customHeight="1" x14ac:dyDescent="0.2">
      <c r="C148"/>
    </row>
    <row r="149" spans="3:3" ht="22.5" customHeight="1" x14ac:dyDescent="0.2">
      <c r="C149"/>
    </row>
    <row r="150" spans="3:3" ht="22.5" customHeight="1" x14ac:dyDescent="0.2">
      <c r="C150"/>
    </row>
    <row r="151" spans="3:3" ht="22.5" customHeight="1" x14ac:dyDescent="0.2">
      <c r="C151"/>
    </row>
    <row r="152" spans="3:3" ht="22.5" customHeight="1" x14ac:dyDescent="0.2">
      <c r="C152"/>
    </row>
    <row r="153" spans="3:3" ht="22.5" customHeight="1" x14ac:dyDescent="0.2">
      <c r="C153"/>
    </row>
    <row r="154" spans="3:3" ht="22.5" customHeight="1" x14ac:dyDescent="0.2">
      <c r="C154"/>
    </row>
    <row r="155" spans="3:3" ht="22.5" customHeight="1" x14ac:dyDescent="0.2">
      <c r="C155"/>
    </row>
    <row r="156" spans="3:3" ht="22.5" customHeight="1" x14ac:dyDescent="0.2">
      <c r="C156"/>
    </row>
    <row r="157" spans="3:3" ht="22.5" customHeight="1" x14ac:dyDescent="0.2">
      <c r="C157"/>
    </row>
    <row r="158" spans="3:3" ht="22.5" customHeight="1" x14ac:dyDescent="0.2">
      <c r="C158"/>
    </row>
    <row r="159" spans="3:3" ht="22.5" customHeight="1" x14ac:dyDescent="0.2">
      <c r="C159"/>
    </row>
    <row r="160" spans="3:3" ht="22.5" customHeight="1" x14ac:dyDescent="0.2">
      <c r="C160"/>
    </row>
    <row r="161" spans="3:3" ht="22.5" customHeight="1" x14ac:dyDescent="0.2">
      <c r="C161"/>
    </row>
    <row r="162" spans="3:3" ht="22.5" customHeight="1" x14ac:dyDescent="0.2">
      <c r="C162"/>
    </row>
    <row r="163" spans="3:3" ht="22.5" customHeight="1" x14ac:dyDescent="0.2">
      <c r="C163"/>
    </row>
    <row r="164" spans="3:3" ht="22.5" customHeight="1" x14ac:dyDescent="0.2">
      <c r="C164"/>
    </row>
    <row r="165" spans="3:3" ht="22.5" customHeight="1" x14ac:dyDescent="0.2">
      <c r="C165"/>
    </row>
    <row r="166" spans="3:3" ht="22.5" customHeight="1" x14ac:dyDescent="0.2">
      <c r="C166"/>
    </row>
    <row r="167" spans="3:3" ht="22.5" customHeight="1" x14ac:dyDescent="0.2">
      <c r="C167"/>
    </row>
    <row r="168" spans="3:3" ht="22.5" customHeight="1" x14ac:dyDescent="0.2">
      <c r="C168"/>
    </row>
    <row r="169" spans="3:3" ht="22.5" customHeight="1" x14ac:dyDescent="0.2">
      <c r="C169"/>
    </row>
    <row r="170" spans="3:3" ht="22.5" customHeight="1" x14ac:dyDescent="0.2">
      <c r="C170"/>
    </row>
    <row r="171" spans="3:3" ht="22.5" customHeight="1" x14ac:dyDescent="0.2">
      <c r="C171"/>
    </row>
    <row r="172" spans="3:3" ht="22.5" customHeight="1" x14ac:dyDescent="0.2">
      <c r="C172"/>
    </row>
    <row r="173" spans="3:3" ht="22.5" customHeight="1" x14ac:dyDescent="0.2">
      <c r="C173"/>
    </row>
    <row r="174" spans="3:3" ht="22.5" customHeight="1" x14ac:dyDescent="0.2">
      <c r="C174"/>
    </row>
    <row r="175" spans="3:3" ht="22.5" customHeight="1" x14ac:dyDescent="0.2">
      <c r="C175"/>
    </row>
    <row r="176" spans="3:3" ht="22.5" customHeight="1" x14ac:dyDescent="0.2">
      <c r="C176"/>
    </row>
    <row r="177" spans="3:3" ht="22.5" customHeight="1" x14ac:dyDescent="0.2">
      <c r="C177"/>
    </row>
    <row r="178" spans="3:3" ht="22.5" customHeight="1" x14ac:dyDescent="0.2">
      <c r="C178"/>
    </row>
    <row r="179" spans="3:3" ht="22.5" customHeight="1" x14ac:dyDescent="0.2">
      <c r="C179"/>
    </row>
    <row r="180" spans="3:3" ht="22.5" customHeight="1" x14ac:dyDescent="0.2">
      <c r="C180"/>
    </row>
    <row r="181" spans="3:3" ht="22.5" customHeight="1" x14ac:dyDescent="0.2">
      <c r="C181"/>
    </row>
    <row r="182" spans="3:3" ht="22.5" customHeight="1" x14ac:dyDescent="0.2">
      <c r="C182"/>
    </row>
    <row r="183" spans="3:3" ht="22.5" customHeight="1" x14ac:dyDescent="0.2">
      <c r="C183"/>
    </row>
    <row r="184" spans="3:3" ht="22.5" customHeight="1" x14ac:dyDescent="0.2">
      <c r="C184"/>
    </row>
    <row r="185" spans="3:3" ht="22.5" customHeight="1" x14ac:dyDescent="0.2">
      <c r="C185"/>
    </row>
    <row r="186" spans="3:3" ht="22.5" customHeight="1" x14ac:dyDescent="0.2">
      <c r="C186"/>
    </row>
    <row r="187" spans="3:3" ht="22.5" customHeight="1" x14ac:dyDescent="0.2">
      <c r="C187"/>
    </row>
    <row r="188" spans="3:3" ht="22.5" customHeight="1" x14ac:dyDescent="0.2">
      <c r="C188"/>
    </row>
    <row r="189" spans="3:3" ht="22.5" customHeight="1" x14ac:dyDescent="0.2">
      <c r="C189"/>
    </row>
    <row r="190" spans="3:3" ht="22.5" customHeight="1" x14ac:dyDescent="0.2">
      <c r="C190"/>
    </row>
    <row r="191" spans="3:3" ht="22.5" customHeight="1" x14ac:dyDescent="0.2">
      <c r="C191"/>
    </row>
    <row r="192" spans="3:3" ht="22.5" customHeight="1" x14ac:dyDescent="0.2">
      <c r="C192"/>
    </row>
    <row r="193" spans="1:25" ht="22.5" customHeight="1" x14ac:dyDescent="0.2">
      <c r="C193"/>
    </row>
    <row r="194" spans="1:25" ht="22.5" customHeight="1" x14ac:dyDescent="0.2">
      <c r="C194"/>
    </row>
    <row r="195" spans="1:25" ht="22.5" customHeight="1" x14ac:dyDescent="0.2">
      <c r="C195"/>
    </row>
    <row r="196" spans="1:25" ht="22.5" customHeight="1" x14ac:dyDescent="0.2">
      <c r="C196"/>
    </row>
    <row r="197" spans="1:25" ht="22.5" customHeight="1" x14ac:dyDescent="0.2">
      <c r="C197"/>
    </row>
    <row r="198" spans="1:25" ht="22.5" customHeight="1" x14ac:dyDescent="0.2">
      <c r="C198"/>
    </row>
    <row r="199" spans="1:25" ht="22.5" customHeight="1" x14ac:dyDescent="0.2">
      <c r="C199"/>
    </row>
    <row r="200" spans="1:25" s="1" customFormat="1" ht="22.5" customHeight="1" x14ac:dyDescent="0.25">
      <c r="A200"/>
      <c r="B200"/>
      <c r="C200"/>
      <c r="D200"/>
      <c r="E200"/>
      <c r="F200"/>
      <c r="G200"/>
      <c r="H200"/>
      <c r="I200"/>
      <c r="J200"/>
      <c r="K200"/>
      <c r="L200"/>
      <c r="M200"/>
      <c r="N200"/>
      <c r="O200"/>
      <c r="P200"/>
      <c r="Q200"/>
      <c r="R200"/>
      <c r="S200"/>
      <c r="T200"/>
      <c r="U200"/>
      <c r="V200"/>
      <c r="W200"/>
      <c r="X200"/>
      <c r="Y200"/>
    </row>
    <row r="201" spans="1:25" ht="22.5" customHeight="1" x14ac:dyDescent="0.2">
      <c r="C201"/>
    </row>
    <row r="202" spans="1:25" ht="22.5" customHeight="1" x14ac:dyDescent="0.2">
      <c r="C202"/>
    </row>
    <row r="203" spans="1:25" ht="22.5" customHeight="1" x14ac:dyDescent="0.2">
      <c r="C203"/>
    </row>
    <row r="204" spans="1:25" ht="22.5" customHeight="1" x14ac:dyDescent="0.2">
      <c r="C204"/>
    </row>
    <row r="205" spans="1:25" ht="22.5" customHeight="1" x14ac:dyDescent="0.2">
      <c r="C205"/>
    </row>
    <row r="206" spans="1:25" ht="22.5" customHeight="1" x14ac:dyDescent="0.2">
      <c r="C206"/>
    </row>
    <row r="207" spans="1:25" ht="22.5" customHeight="1" x14ac:dyDescent="0.2">
      <c r="C207"/>
    </row>
    <row r="208" spans="1:25" ht="22.5" customHeight="1" x14ac:dyDescent="0.2">
      <c r="C208"/>
    </row>
    <row r="209" spans="3:3" ht="22.5" customHeight="1" x14ac:dyDescent="0.2">
      <c r="C209"/>
    </row>
    <row r="210" spans="3:3" ht="22.5" customHeight="1" x14ac:dyDescent="0.2">
      <c r="C210"/>
    </row>
    <row r="211" spans="3:3" ht="22.5" customHeight="1" x14ac:dyDescent="0.2">
      <c r="C211"/>
    </row>
    <row r="212" spans="3:3" ht="22.5" customHeight="1" x14ac:dyDescent="0.2">
      <c r="C212"/>
    </row>
    <row r="213" spans="3:3" ht="22.5" customHeight="1" x14ac:dyDescent="0.2">
      <c r="C213"/>
    </row>
    <row r="214" spans="3:3" ht="22.5" customHeight="1" x14ac:dyDescent="0.2">
      <c r="C214"/>
    </row>
    <row r="215" spans="3:3" ht="22.5" customHeight="1" x14ac:dyDescent="0.2">
      <c r="C215"/>
    </row>
    <row r="216" spans="3:3" ht="22.5" customHeight="1" x14ac:dyDescent="0.2">
      <c r="C216"/>
    </row>
    <row r="217" spans="3:3" ht="22.5" customHeight="1" x14ac:dyDescent="0.2">
      <c r="C217"/>
    </row>
    <row r="218" spans="3:3" ht="22.5" customHeight="1" x14ac:dyDescent="0.2">
      <c r="C218"/>
    </row>
    <row r="219" spans="3:3" ht="22.5" customHeight="1" x14ac:dyDescent="0.2">
      <c r="C219"/>
    </row>
    <row r="220" spans="3:3" ht="22.5" customHeight="1" x14ac:dyDescent="0.2">
      <c r="C220"/>
    </row>
    <row r="221" spans="3:3" ht="22.5" customHeight="1" x14ac:dyDescent="0.2">
      <c r="C221"/>
    </row>
    <row r="222" spans="3:3" ht="22.5" customHeight="1" x14ac:dyDescent="0.2">
      <c r="C222"/>
    </row>
    <row r="223" spans="3:3" ht="22.5" customHeight="1" x14ac:dyDescent="0.2">
      <c r="C223"/>
    </row>
    <row r="224" spans="3:3" ht="22.5" customHeight="1" x14ac:dyDescent="0.2">
      <c r="C224"/>
    </row>
    <row r="225" spans="3:3" ht="22.5" customHeight="1" x14ac:dyDescent="0.2">
      <c r="C225"/>
    </row>
    <row r="226" spans="3:3" ht="22.5" customHeight="1" x14ac:dyDescent="0.2">
      <c r="C226"/>
    </row>
    <row r="227" spans="3:3" ht="22.5" customHeight="1" x14ac:dyDescent="0.2">
      <c r="C227"/>
    </row>
    <row r="228" spans="3:3" ht="22.5" customHeight="1" x14ac:dyDescent="0.2">
      <c r="C228"/>
    </row>
    <row r="229" spans="3:3" ht="22.5" customHeight="1" x14ac:dyDescent="0.2">
      <c r="C229"/>
    </row>
    <row r="230" spans="3:3" ht="22.5" customHeight="1" x14ac:dyDescent="0.2">
      <c r="C230"/>
    </row>
    <row r="231" spans="3:3" ht="22.5" customHeight="1" x14ac:dyDescent="0.2">
      <c r="C231"/>
    </row>
    <row r="232" spans="3:3" ht="22.5" customHeight="1" x14ac:dyDescent="0.2">
      <c r="C232"/>
    </row>
    <row r="233" spans="3:3" ht="22.5" customHeight="1" x14ac:dyDescent="0.2">
      <c r="C233"/>
    </row>
    <row r="234" spans="3:3" ht="22.5" customHeight="1" x14ac:dyDescent="0.2">
      <c r="C234"/>
    </row>
    <row r="235" spans="3:3" ht="22.5" customHeight="1" x14ac:dyDescent="0.2">
      <c r="C235"/>
    </row>
    <row r="236" spans="3:3" ht="22.5" customHeight="1" x14ac:dyDescent="0.2">
      <c r="C236"/>
    </row>
    <row r="237" spans="3:3" ht="22.5" customHeight="1" x14ac:dyDescent="0.2">
      <c r="C237"/>
    </row>
    <row r="238" spans="3:3" ht="22.5" customHeight="1" x14ac:dyDescent="0.2">
      <c r="C238"/>
    </row>
    <row r="239" spans="3:3" ht="22.5" customHeight="1" x14ac:dyDescent="0.2">
      <c r="C239"/>
    </row>
    <row r="240" spans="3:3" ht="22.5" customHeight="1" x14ac:dyDescent="0.2">
      <c r="C240"/>
    </row>
    <row r="241" spans="3:3" ht="22.5" customHeight="1" x14ac:dyDescent="0.2">
      <c r="C241"/>
    </row>
    <row r="242" spans="3:3" ht="22.5" customHeight="1" x14ac:dyDescent="0.2">
      <c r="C242"/>
    </row>
    <row r="243" spans="3:3" ht="22.5" customHeight="1" x14ac:dyDescent="0.2">
      <c r="C243"/>
    </row>
    <row r="244" spans="3:3" ht="22.5" customHeight="1" x14ac:dyDescent="0.2">
      <c r="C244"/>
    </row>
    <row r="245" spans="3:3" ht="22.5" customHeight="1" x14ac:dyDescent="0.2">
      <c r="C245"/>
    </row>
    <row r="246" spans="3:3" ht="22.5" customHeight="1" x14ac:dyDescent="0.2">
      <c r="C246"/>
    </row>
    <row r="247" spans="3:3" ht="22.5" customHeight="1" x14ac:dyDescent="0.2">
      <c r="C247"/>
    </row>
    <row r="248" spans="3:3" ht="22.5" customHeight="1" x14ac:dyDescent="0.2">
      <c r="C248"/>
    </row>
    <row r="249" spans="3:3" ht="22.5" customHeight="1" x14ac:dyDescent="0.2">
      <c r="C249"/>
    </row>
    <row r="250" spans="3:3" ht="22.5" customHeight="1" x14ac:dyDescent="0.2">
      <c r="C250"/>
    </row>
    <row r="251" spans="3:3" ht="22.5" customHeight="1" x14ac:dyDescent="0.2">
      <c r="C251"/>
    </row>
    <row r="252" spans="3:3" ht="22.5" customHeight="1" x14ac:dyDescent="0.2">
      <c r="C252"/>
    </row>
    <row r="253" spans="3:3" ht="22.5" customHeight="1" x14ac:dyDescent="0.2">
      <c r="C253"/>
    </row>
    <row r="254" spans="3:3" ht="22.5" customHeight="1" x14ac:dyDescent="0.2">
      <c r="C254"/>
    </row>
    <row r="255" spans="3:3" ht="22.5" customHeight="1" x14ac:dyDescent="0.2">
      <c r="C255"/>
    </row>
    <row r="256" spans="3:3" ht="22.5" customHeight="1" x14ac:dyDescent="0.2">
      <c r="C256"/>
    </row>
    <row r="257" spans="3:3" ht="22.5" customHeight="1" x14ac:dyDescent="0.2">
      <c r="C257"/>
    </row>
    <row r="258" spans="3:3" ht="22.5" customHeight="1" x14ac:dyDescent="0.2">
      <c r="C258"/>
    </row>
    <row r="259" spans="3:3" ht="22.5" customHeight="1" x14ac:dyDescent="0.2">
      <c r="C259"/>
    </row>
    <row r="260" spans="3:3" ht="22.5" customHeight="1" x14ac:dyDescent="0.2">
      <c r="C260"/>
    </row>
    <row r="261" spans="3:3" ht="22.5" customHeight="1" x14ac:dyDescent="0.2">
      <c r="C261"/>
    </row>
    <row r="262" spans="3:3" ht="22.5" customHeight="1" x14ac:dyDescent="0.2">
      <c r="C262"/>
    </row>
    <row r="263" spans="3:3" ht="22.5" customHeight="1" x14ac:dyDescent="0.2">
      <c r="C263"/>
    </row>
    <row r="264" spans="3:3" ht="22.5" customHeight="1" x14ac:dyDescent="0.2">
      <c r="C264"/>
    </row>
    <row r="265" spans="3:3" ht="22.5" customHeight="1" x14ac:dyDescent="0.2">
      <c r="C265"/>
    </row>
    <row r="266" spans="3:3" ht="22.5" customHeight="1" x14ac:dyDescent="0.2">
      <c r="C266"/>
    </row>
    <row r="267" spans="3:3" ht="22.5" customHeight="1" x14ac:dyDescent="0.2">
      <c r="C267"/>
    </row>
    <row r="268" spans="3:3" ht="22.5" customHeight="1" x14ac:dyDescent="0.2">
      <c r="C268"/>
    </row>
    <row r="269" spans="3:3" ht="22.5" customHeight="1" x14ac:dyDescent="0.2">
      <c r="C269"/>
    </row>
    <row r="270" spans="3:3" ht="22.5" customHeight="1" x14ac:dyDescent="0.2">
      <c r="C270"/>
    </row>
    <row r="271" spans="3:3" ht="22.5" customHeight="1" x14ac:dyDescent="0.2">
      <c r="C271"/>
    </row>
    <row r="272" spans="3:3" ht="22.5" customHeight="1" x14ac:dyDescent="0.2">
      <c r="C272"/>
    </row>
    <row r="273" spans="3:3" ht="22.5" customHeight="1" x14ac:dyDescent="0.2">
      <c r="C273"/>
    </row>
    <row r="274" spans="3:3" ht="22.5" customHeight="1" x14ac:dyDescent="0.2">
      <c r="C274"/>
    </row>
    <row r="275" spans="3:3" ht="22.5" customHeight="1" x14ac:dyDescent="0.2">
      <c r="C275"/>
    </row>
    <row r="276" spans="3:3" ht="22.5" customHeight="1" x14ac:dyDescent="0.2">
      <c r="C276"/>
    </row>
    <row r="277" spans="3:3" ht="22.5" customHeight="1" x14ac:dyDescent="0.2">
      <c r="C277"/>
    </row>
    <row r="278" spans="3:3" ht="22.5" customHeight="1" x14ac:dyDescent="0.2">
      <c r="C278"/>
    </row>
    <row r="279" spans="3:3" ht="22.5" customHeight="1" x14ac:dyDescent="0.2">
      <c r="C279"/>
    </row>
    <row r="280" spans="3:3" ht="22.5" customHeight="1" x14ac:dyDescent="0.2">
      <c r="C280"/>
    </row>
    <row r="281" spans="3:3" ht="22.5" customHeight="1" x14ac:dyDescent="0.2">
      <c r="C281"/>
    </row>
    <row r="282" spans="3:3" ht="22.5" customHeight="1" x14ac:dyDescent="0.2">
      <c r="C282"/>
    </row>
    <row r="283" spans="3:3" ht="22.5" customHeight="1" x14ac:dyDescent="0.2">
      <c r="C283"/>
    </row>
    <row r="284" spans="3:3" ht="22.5" customHeight="1" x14ac:dyDescent="0.2">
      <c r="C284"/>
    </row>
    <row r="285" spans="3:3" ht="22.5" customHeight="1" x14ac:dyDescent="0.2">
      <c r="C285"/>
    </row>
    <row r="286" spans="3:3" ht="22.5" customHeight="1" x14ac:dyDescent="0.2">
      <c r="C286"/>
    </row>
    <row r="287" spans="3:3" ht="22.5" customHeight="1" x14ac:dyDescent="0.2">
      <c r="C287"/>
    </row>
    <row r="288" spans="3:3" ht="22.5" customHeight="1" x14ac:dyDescent="0.2">
      <c r="C288"/>
    </row>
    <row r="289" spans="3:3" ht="22.5" customHeight="1" x14ac:dyDescent="0.2">
      <c r="C289"/>
    </row>
    <row r="290" spans="3:3" ht="22.5" customHeight="1" x14ac:dyDescent="0.2">
      <c r="C290"/>
    </row>
    <row r="291" spans="3:3" ht="22.5" customHeight="1" x14ac:dyDescent="0.2">
      <c r="C291"/>
    </row>
    <row r="292" spans="3:3" ht="22.5" customHeight="1" x14ac:dyDescent="0.2">
      <c r="C292"/>
    </row>
    <row r="293" spans="3:3" ht="22.5" customHeight="1" x14ac:dyDescent="0.2">
      <c r="C293"/>
    </row>
    <row r="294" spans="3:3" ht="22.5" customHeight="1" x14ac:dyDescent="0.2">
      <c r="C294"/>
    </row>
    <row r="295" spans="3:3" ht="22.5" customHeight="1" x14ac:dyDescent="0.2">
      <c r="C295"/>
    </row>
    <row r="296" spans="3:3" ht="22.5" customHeight="1" x14ac:dyDescent="0.2">
      <c r="C296"/>
    </row>
    <row r="297" spans="3:3" ht="22.5" customHeight="1" x14ac:dyDescent="0.2">
      <c r="C297"/>
    </row>
    <row r="298" spans="3:3" ht="22.5" customHeight="1" x14ac:dyDescent="0.2">
      <c r="C298"/>
    </row>
    <row r="299" spans="3:3" ht="22.5" customHeight="1" x14ac:dyDescent="0.2">
      <c r="C299"/>
    </row>
    <row r="300" spans="3:3" ht="22.5" customHeight="1" x14ac:dyDescent="0.2">
      <c r="C300"/>
    </row>
    <row r="301" spans="3:3" ht="22.5" customHeight="1" x14ac:dyDescent="0.2">
      <c r="C301"/>
    </row>
    <row r="302" spans="3:3" ht="22.5" customHeight="1" x14ac:dyDescent="0.2">
      <c r="C302"/>
    </row>
    <row r="303" spans="3:3" ht="22.5" customHeight="1" x14ac:dyDescent="0.2">
      <c r="C303"/>
    </row>
    <row r="304" spans="3:3" ht="22.5" customHeight="1" x14ac:dyDescent="0.2">
      <c r="C304"/>
    </row>
    <row r="305" spans="3:3" ht="22.5" customHeight="1" x14ac:dyDescent="0.2">
      <c r="C305"/>
    </row>
    <row r="306" spans="3:3" ht="22.5" customHeight="1" x14ac:dyDescent="0.2">
      <c r="C306"/>
    </row>
    <row r="307" spans="3:3" ht="22.5" customHeight="1" x14ac:dyDescent="0.2">
      <c r="C307"/>
    </row>
    <row r="308" spans="3:3" ht="22.5" customHeight="1" x14ac:dyDescent="0.2">
      <c r="C308"/>
    </row>
    <row r="309" spans="3:3" ht="22.5" customHeight="1" x14ac:dyDescent="0.2">
      <c r="C309"/>
    </row>
    <row r="310" spans="3:3" ht="22.5" customHeight="1" x14ac:dyDescent="0.2">
      <c r="C310"/>
    </row>
    <row r="311" spans="3:3" ht="22.5" customHeight="1" x14ac:dyDescent="0.2">
      <c r="C311"/>
    </row>
    <row r="312" spans="3:3" ht="22.5" customHeight="1" x14ac:dyDescent="0.2">
      <c r="C312"/>
    </row>
    <row r="313" spans="3:3" ht="22.5" customHeight="1" x14ac:dyDescent="0.2">
      <c r="C313"/>
    </row>
    <row r="314" spans="3:3" ht="22.5" customHeight="1" x14ac:dyDescent="0.2">
      <c r="C314"/>
    </row>
    <row r="315" spans="3:3" ht="22.5" customHeight="1" x14ac:dyDescent="0.2">
      <c r="C315"/>
    </row>
    <row r="316" spans="3:3" ht="22.5" customHeight="1" x14ac:dyDescent="0.2">
      <c r="C316"/>
    </row>
    <row r="317" spans="3:3" ht="22.5" customHeight="1" x14ac:dyDescent="0.2">
      <c r="C317"/>
    </row>
    <row r="318" spans="3:3" ht="22.5" customHeight="1" x14ac:dyDescent="0.2">
      <c r="C318"/>
    </row>
    <row r="319" spans="3:3" ht="22.5" customHeight="1" x14ac:dyDescent="0.2">
      <c r="C319"/>
    </row>
    <row r="320" spans="3:3" ht="22.5" customHeight="1" x14ac:dyDescent="0.2">
      <c r="C320"/>
    </row>
    <row r="321" spans="3:3" ht="22.5" customHeight="1" x14ac:dyDescent="0.2">
      <c r="C321"/>
    </row>
    <row r="322" spans="3:3" ht="22.5" customHeight="1" x14ac:dyDescent="0.2">
      <c r="C322"/>
    </row>
    <row r="323" spans="3:3" ht="22.5" customHeight="1" x14ac:dyDescent="0.2">
      <c r="C323"/>
    </row>
    <row r="324" spans="3:3" ht="22.5" customHeight="1" x14ac:dyDescent="0.2">
      <c r="C324"/>
    </row>
    <row r="325" spans="3:3" ht="22.5" customHeight="1" x14ac:dyDescent="0.2">
      <c r="C325"/>
    </row>
    <row r="326" spans="3:3" ht="22.5" customHeight="1" x14ac:dyDescent="0.2">
      <c r="C326"/>
    </row>
    <row r="327" spans="3:3" ht="22.5" customHeight="1" x14ac:dyDescent="0.2">
      <c r="C327"/>
    </row>
    <row r="328" spans="3:3" ht="22.5" customHeight="1" x14ac:dyDescent="0.2">
      <c r="C328"/>
    </row>
    <row r="329" spans="3:3" ht="22.5" customHeight="1" x14ac:dyDescent="0.2">
      <c r="C329"/>
    </row>
    <row r="330" spans="3:3" ht="15" x14ac:dyDescent="0.2">
      <c r="C330"/>
    </row>
    <row r="331" spans="3:3" ht="15" x14ac:dyDescent="0.2">
      <c r="C331"/>
    </row>
    <row r="332" spans="3:3" ht="15" x14ac:dyDescent="0.2">
      <c r="C332"/>
    </row>
    <row r="333" spans="3:3" ht="15" x14ac:dyDescent="0.2">
      <c r="C333"/>
    </row>
    <row r="334" spans="3:3" ht="15" x14ac:dyDescent="0.2">
      <c r="C334"/>
    </row>
    <row r="335" spans="3:3" ht="15" x14ac:dyDescent="0.2">
      <c r="C335"/>
    </row>
    <row r="336" spans="3:3" ht="15" x14ac:dyDescent="0.2">
      <c r="C336"/>
    </row>
    <row r="337" spans="3:3" ht="15" x14ac:dyDescent="0.2">
      <c r="C337"/>
    </row>
    <row r="338" spans="3:3" ht="15" x14ac:dyDescent="0.2">
      <c r="C338"/>
    </row>
    <row r="339" spans="3:3" ht="15" x14ac:dyDescent="0.2">
      <c r="C339"/>
    </row>
    <row r="340" spans="3:3" ht="15" x14ac:dyDescent="0.2">
      <c r="C340"/>
    </row>
    <row r="341" spans="3:3" ht="15" x14ac:dyDescent="0.2">
      <c r="C341"/>
    </row>
    <row r="342" spans="3:3" ht="15" x14ac:dyDescent="0.2">
      <c r="C342"/>
    </row>
    <row r="343" spans="3:3" ht="15" x14ac:dyDescent="0.2">
      <c r="C343"/>
    </row>
    <row r="344" spans="3:3" ht="15" x14ac:dyDescent="0.2">
      <c r="C344"/>
    </row>
    <row r="345" spans="3:3" ht="15" x14ac:dyDescent="0.2">
      <c r="C345"/>
    </row>
    <row r="346" spans="3:3" ht="15" x14ac:dyDescent="0.2">
      <c r="C346"/>
    </row>
    <row r="347" spans="3:3" ht="15" x14ac:dyDescent="0.2">
      <c r="C347"/>
    </row>
    <row r="348" spans="3:3" ht="15" x14ac:dyDescent="0.2">
      <c r="C348"/>
    </row>
    <row r="349" spans="3:3" ht="15" x14ac:dyDescent="0.2">
      <c r="C349"/>
    </row>
    <row r="350" spans="3:3" ht="15" x14ac:dyDescent="0.2">
      <c r="C350"/>
    </row>
    <row r="351" spans="3:3" ht="15" x14ac:dyDescent="0.2">
      <c r="C351"/>
    </row>
    <row r="352" spans="3:3" ht="15" x14ac:dyDescent="0.2">
      <c r="C352"/>
    </row>
    <row r="353" spans="3:3" ht="15" x14ac:dyDescent="0.2">
      <c r="C353"/>
    </row>
    <row r="354" spans="3:3" ht="15" x14ac:dyDescent="0.2">
      <c r="C354"/>
    </row>
    <row r="355" spans="3:3" ht="15" x14ac:dyDescent="0.2">
      <c r="C355"/>
    </row>
    <row r="356" spans="3:3" ht="15" x14ac:dyDescent="0.2">
      <c r="C356"/>
    </row>
    <row r="357" spans="3:3" ht="15" x14ac:dyDescent="0.2">
      <c r="C357"/>
    </row>
    <row r="358" spans="3:3" ht="15" x14ac:dyDescent="0.2">
      <c r="C358"/>
    </row>
    <row r="359" spans="3:3" ht="15" x14ac:dyDescent="0.2">
      <c r="C359"/>
    </row>
    <row r="360" spans="3:3" ht="15" x14ac:dyDescent="0.2">
      <c r="C360"/>
    </row>
    <row r="361" spans="3:3" ht="15" x14ac:dyDescent="0.2">
      <c r="C361"/>
    </row>
    <row r="362" spans="3:3" ht="15" x14ac:dyDescent="0.2">
      <c r="C362"/>
    </row>
    <row r="363" spans="3:3" ht="15" x14ac:dyDescent="0.2">
      <c r="C363"/>
    </row>
    <row r="364" spans="3:3" ht="15" x14ac:dyDescent="0.2">
      <c r="C364"/>
    </row>
    <row r="365" spans="3:3" ht="15" x14ac:dyDescent="0.2">
      <c r="C365"/>
    </row>
    <row r="366" spans="3:3" ht="15" x14ac:dyDescent="0.2">
      <c r="C366"/>
    </row>
    <row r="367" spans="3:3" ht="15" x14ac:dyDescent="0.2">
      <c r="C367"/>
    </row>
    <row r="385" spans="3:3" ht="15" x14ac:dyDescent="0.2">
      <c r="C385"/>
    </row>
    <row r="386" spans="3:3" ht="36.5" customHeight="1" x14ac:dyDescent="0.2">
      <c r="C386"/>
    </row>
    <row r="387" spans="3:3" ht="36.5" customHeight="1" x14ac:dyDescent="0.2">
      <c r="C387"/>
    </row>
    <row r="388" spans="3:3" ht="66.5" customHeight="1" x14ac:dyDescent="0.2">
      <c r="C388"/>
    </row>
    <row r="389" spans="3:3" ht="53.5" customHeight="1" x14ac:dyDescent="0.2">
      <c r="C389"/>
    </row>
    <row r="390" spans="3:3" ht="35" customHeight="1" x14ac:dyDescent="0.2">
      <c r="C390"/>
    </row>
    <row r="391" spans="3:3" ht="35" customHeight="1" x14ac:dyDescent="0.2">
      <c r="C391"/>
    </row>
    <row r="392" spans="3:3" ht="15" x14ac:dyDescent="0.2">
      <c r="C392"/>
    </row>
    <row r="393" spans="3:3" ht="15" x14ac:dyDescent="0.2">
      <c r="C393"/>
    </row>
    <row r="394" spans="3:3" ht="15" x14ac:dyDescent="0.2">
      <c r="C394"/>
    </row>
    <row r="395" spans="3:3" ht="15" x14ac:dyDescent="0.2">
      <c r="C395"/>
    </row>
    <row r="396" spans="3:3" ht="15" x14ac:dyDescent="0.2">
      <c r="C396"/>
    </row>
    <row r="397" spans="3:3" ht="15" x14ac:dyDescent="0.2">
      <c r="C397"/>
    </row>
    <row r="398" spans="3:3" ht="15" x14ac:dyDescent="0.2">
      <c r="C398"/>
    </row>
    <row r="399" spans="3:3" ht="15" x14ac:dyDescent="0.2">
      <c r="C399"/>
    </row>
    <row r="400" spans="3:3" ht="15" x14ac:dyDescent="0.2">
      <c r="C400"/>
    </row>
    <row r="401" spans="3:3" ht="15" x14ac:dyDescent="0.2">
      <c r="C401"/>
    </row>
    <row r="402" spans="3:3" ht="15" x14ac:dyDescent="0.2">
      <c r="C402"/>
    </row>
    <row r="403" spans="3:3" ht="15" x14ac:dyDescent="0.2">
      <c r="C403"/>
    </row>
    <row r="404" spans="3:3" ht="15" x14ac:dyDescent="0.2">
      <c r="C404"/>
    </row>
    <row r="405" spans="3:3" ht="15" x14ac:dyDescent="0.2">
      <c r="C405"/>
    </row>
    <row r="406" spans="3:3" ht="15" x14ac:dyDescent="0.2">
      <c r="C406"/>
    </row>
    <row r="407" spans="3:3" ht="15" x14ac:dyDescent="0.2">
      <c r="C407"/>
    </row>
    <row r="408" spans="3:3" ht="15" x14ac:dyDescent="0.2">
      <c r="C408"/>
    </row>
    <row r="409" spans="3:3" ht="15" x14ac:dyDescent="0.2">
      <c r="C409"/>
    </row>
    <row r="410" spans="3:3" ht="15" x14ac:dyDescent="0.2">
      <c r="C410"/>
    </row>
    <row r="411" spans="3:3" ht="15" x14ac:dyDescent="0.2">
      <c r="C411"/>
    </row>
    <row r="439" spans="8:8" x14ac:dyDescent="0.45">
      <c r="H439" t="s">
        <v>3</v>
      </c>
    </row>
  </sheetData>
  <mergeCells count="21">
    <mergeCell ref="B46:B66"/>
    <mergeCell ref="D6:D22"/>
    <mergeCell ref="D5:E5"/>
    <mergeCell ref="D47:E47"/>
    <mergeCell ref="C46:C66"/>
    <mergeCell ref="D27:E27"/>
    <mergeCell ref="D28:D44"/>
    <mergeCell ref="D48:E48"/>
    <mergeCell ref="D49:E49"/>
    <mergeCell ref="D50:D66"/>
    <mergeCell ref="D46:X46"/>
    <mergeCell ref="C24:C44"/>
    <mergeCell ref="B24:B44"/>
    <mergeCell ref="B2:B22"/>
    <mergeCell ref="C2:C22"/>
    <mergeCell ref="D3:E3"/>
    <mergeCell ref="D4:E4"/>
    <mergeCell ref="D2:X2"/>
    <mergeCell ref="D24:X24"/>
    <mergeCell ref="D25:E25"/>
    <mergeCell ref="D26:E26"/>
  </mergeCell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9"/>
  <dimension ref="B1:AL34"/>
  <sheetViews>
    <sheetView zoomScale="80" zoomScaleNormal="80" workbookViewId="0">
      <selection activeCell="AC10" sqref="AC10"/>
    </sheetView>
  </sheetViews>
  <sheetFormatPr baseColWidth="10" defaultColWidth="8.83203125" defaultRowHeight="15" x14ac:dyDescent="0.2"/>
  <cols>
    <col min="1" max="1" width="4.33203125" customWidth="1"/>
    <col min="2" max="2" width="16.83203125" customWidth="1"/>
    <col min="4" max="38" width="7.1640625" style="3" customWidth="1"/>
    <col min="39" max="39" width="6.1640625" customWidth="1"/>
    <col min="41" max="41" width="15.1640625" customWidth="1"/>
    <col min="44" max="44" width="14.6640625" customWidth="1"/>
    <col min="45" max="45" width="11.1640625" customWidth="1"/>
    <col min="46" max="46" width="11.5" customWidth="1"/>
  </cols>
  <sheetData>
    <row r="1" spans="2:38" ht="16" thickBot="1" x14ac:dyDescent="0.25"/>
    <row r="2" spans="2:38" ht="105" customHeight="1" thickBot="1" x14ac:dyDescent="0.25">
      <c r="B2" s="921" t="s">
        <v>65</v>
      </c>
      <c r="C2" s="922"/>
      <c r="D2" s="922"/>
      <c r="E2" s="922"/>
      <c r="F2" s="922"/>
      <c r="G2" s="922"/>
      <c r="H2" s="922"/>
      <c r="I2" s="922"/>
      <c r="J2" s="922"/>
      <c r="K2" s="922"/>
      <c r="L2" s="922"/>
      <c r="M2" s="922"/>
      <c r="N2" s="922"/>
      <c r="O2" s="922"/>
      <c r="P2" s="922"/>
      <c r="Q2" s="923"/>
      <c r="R2"/>
      <c r="S2"/>
      <c r="T2"/>
      <c r="U2"/>
      <c r="V2"/>
      <c r="W2"/>
      <c r="X2"/>
      <c r="Y2"/>
      <c r="Z2"/>
      <c r="AA2"/>
      <c r="AB2"/>
      <c r="AC2"/>
      <c r="AD2"/>
      <c r="AE2"/>
      <c r="AF2"/>
      <c r="AG2"/>
      <c r="AH2"/>
      <c r="AI2"/>
      <c r="AJ2"/>
      <c r="AK2"/>
      <c r="AL2"/>
    </row>
    <row r="3" spans="2:38" ht="30" customHeight="1" thickBot="1" x14ac:dyDescent="0.25">
      <c r="B3" s="10"/>
      <c r="C3" s="11"/>
      <c r="D3" s="956" t="s">
        <v>10</v>
      </c>
      <c r="E3" s="957"/>
      <c r="F3" s="957"/>
      <c r="G3" s="957"/>
      <c r="H3" s="957"/>
      <c r="I3" s="957"/>
      <c r="J3" s="957"/>
      <c r="K3" s="957"/>
      <c r="L3" s="957"/>
      <c r="M3" s="957"/>
      <c r="N3" s="957"/>
      <c r="O3" s="957"/>
      <c r="P3" s="957"/>
      <c r="Q3" s="958"/>
      <c r="R3"/>
      <c r="S3"/>
      <c r="T3"/>
      <c r="U3"/>
      <c r="V3"/>
      <c r="W3"/>
      <c r="X3"/>
      <c r="Y3"/>
      <c r="Z3"/>
      <c r="AA3"/>
      <c r="AB3"/>
      <c r="AC3"/>
      <c r="AD3"/>
      <c r="AE3"/>
      <c r="AF3"/>
      <c r="AG3"/>
      <c r="AH3"/>
      <c r="AI3"/>
      <c r="AJ3"/>
      <c r="AK3"/>
      <c r="AL3"/>
    </row>
    <row r="4" spans="2:38" ht="27" customHeight="1" thickBot="1" x14ac:dyDescent="0.25">
      <c r="B4" s="56"/>
      <c r="C4" s="57"/>
      <c r="D4" s="30">
        <v>300</v>
      </c>
      <c r="E4" s="30">
        <f t="shared" ref="E4:Q4" si="0">D4+10</f>
        <v>310</v>
      </c>
      <c r="F4" s="30">
        <f t="shared" si="0"/>
        <v>320</v>
      </c>
      <c r="G4" s="30">
        <f t="shared" si="0"/>
        <v>330</v>
      </c>
      <c r="H4" s="30">
        <f t="shared" si="0"/>
        <v>340</v>
      </c>
      <c r="I4" s="30">
        <f t="shared" si="0"/>
        <v>350</v>
      </c>
      <c r="J4" s="30">
        <f t="shared" si="0"/>
        <v>360</v>
      </c>
      <c r="K4" s="30">
        <f t="shared" si="0"/>
        <v>370</v>
      </c>
      <c r="L4" s="30">
        <f t="shared" si="0"/>
        <v>380</v>
      </c>
      <c r="M4" s="30">
        <f t="shared" si="0"/>
        <v>390</v>
      </c>
      <c r="N4" s="30">
        <f t="shared" si="0"/>
        <v>400</v>
      </c>
      <c r="O4" s="30">
        <f t="shared" si="0"/>
        <v>410</v>
      </c>
      <c r="P4" s="30">
        <f t="shared" si="0"/>
        <v>420</v>
      </c>
      <c r="Q4" s="14">
        <f t="shared" si="0"/>
        <v>430</v>
      </c>
      <c r="R4"/>
      <c r="S4"/>
      <c r="T4"/>
      <c r="U4"/>
      <c r="V4"/>
      <c r="W4"/>
      <c r="X4"/>
      <c r="Y4"/>
      <c r="Z4"/>
      <c r="AA4"/>
      <c r="AB4"/>
      <c r="AC4"/>
      <c r="AD4"/>
      <c r="AE4"/>
      <c r="AF4"/>
      <c r="AG4"/>
      <c r="AH4"/>
      <c r="AI4"/>
      <c r="AJ4"/>
      <c r="AK4"/>
      <c r="AL4"/>
    </row>
    <row r="5" spans="2:38" ht="24" customHeight="1" thickBot="1" x14ac:dyDescent="0.25">
      <c r="B5" s="916" t="s">
        <v>28</v>
      </c>
      <c r="C5" s="15">
        <v>140</v>
      </c>
      <c r="D5" s="45">
        <v>0.84</v>
      </c>
      <c r="E5" s="45">
        <v>0.84</v>
      </c>
      <c r="F5" s="45">
        <v>0.84</v>
      </c>
      <c r="G5" s="45">
        <v>0.84</v>
      </c>
      <c r="H5" s="45">
        <v>0.84</v>
      </c>
      <c r="I5" s="45">
        <v>0.84</v>
      </c>
      <c r="J5" s="45">
        <v>0.84</v>
      </c>
      <c r="K5" s="45">
        <v>0.84</v>
      </c>
      <c r="L5" s="45">
        <v>0.84</v>
      </c>
      <c r="M5" s="45">
        <v>0.84</v>
      </c>
      <c r="N5" s="45">
        <v>0.84</v>
      </c>
      <c r="O5" s="45">
        <v>0.84</v>
      </c>
      <c r="P5" s="45">
        <v>0.84</v>
      </c>
      <c r="Q5" s="296">
        <v>0.84</v>
      </c>
      <c r="R5"/>
      <c r="S5"/>
      <c r="T5"/>
      <c r="U5"/>
      <c r="V5"/>
      <c r="W5"/>
      <c r="X5"/>
      <c r="Y5"/>
      <c r="Z5"/>
      <c r="AA5"/>
      <c r="AB5"/>
      <c r="AC5"/>
      <c r="AD5"/>
      <c r="AE5"/>
      <c r="AF5"/>
      <c r="AG5"/>
      <c r="AH5"/>
      <c r="AI5"/>
      <c r="AJ5"/>
      <c r="AK5"/>
      <c r="AL5"/>
    </row>
    <row r="6" spans="2:38" ht="24" customHeight="1" thickBot="1" x14ac:dyDescent="0.25">
      <c r="B6" s="917"/>
      <c r="C6" s="28">
        <v>150</v>
      </c>
      <c r="D6" s="45">
        <v>0.84</v>
      </c>
      <c r="E6" s="45">
        <v>0.84</v>
      </c>
      <c r="F6" s="45">
        <v>0.84</v>
      </c>
      <c r="G6" s="45">
        <v>0.84</v>
      </c>
      <c r="H6" s="45">
        <v>0.84</v>
      </c>
      <c r="I6" s="45">
        <v>0.84</v>
      </c>
      <c r="J6" s="45">
        <v>0.84</v>
      </c>
      <c r="K6" s="45">
        <v>0.84</v>
      </c>
      <c r="L6" s="45">
        <v>0.84</v>
      </c>
      <c r="M6" s="45">
        <v>0.84</v>
      </c>
      <c r="N6" s="45">
        <v>0.84</v>
      </c>
      <c r="O6" s="45">
        <v>0.84</v>
      </c>
      <c r="P6" s="45">
        <v>0.84</v>
      </c>
      <c r="Q6" s="296">
        <v>0.84</v>
      </c>
      <c r="R6"/>
      <c r="S6"/>
      <c r="T6"/>
      <c r="U6"/>
      <c r="V6"/>
      <c r="W6"/>
      <c r="X6"/>
      <c r="Y6"/>
      <c r="Z6"/>
      <c r="AA6"/>
      <c r="AB6"/>
      <c r="AC6"/>
      <c r="AD6"/>
      <c r="AE6"/>
      <c r="AF6"/>
      <c r="AG6"/>
      <c r="AH6"/>
      <c r="AI6"/>
      <c r="AJ6"/>
      <c r="AK6"/>
      <c r="AL6"/>
    </row>
    <row r="7" spans="2:38" ht="24" customHeight="1" thickBot="1" x14ac:dyDescent="0.25">
      <c r="B7" s="917"/>
      <c r="C7" s="16">
        <v>160</v>
      </c>
      <c r="D7" s="45">
        <v>0.84</v>
      </c>
      <c r="E7" s="45">
        <v>0.84</v>
      </c>
      <c r="F7" s="45">
        <v>0.84</v>
      </c>
      <c r="G7" s="45">
        <v>0.84</v>
      </c>
      <c r="H7" s="45">
        <v>0.84</v>
      </c>
      <c r="I7" s="45">
        <v>0.84</v>
      </c>
      <c r="J7" s="45">
        <v>0.84</v>
      </c>
      <c r="K7" s="45">
        <v>0.84</v>
      </c>
      <c r="L7" s="45">
        <v>0.84</v>
      </c>
      <c r="M7" s="45">
        <v>0.84</v>
      </c>
      <c r="N7" s="45">
        <v>0.84</v>
      </c>
      <c r="O7" s="45">
        <v>0.84</v>
      </c>
      <c r="P7" s="45">
        <v>0.84</v>
      </c>
      <c r="Q7" s="296">
        <v>0.84</v>
      </c>
      <c r="R7"/>
      <c r="S7"/>
      <c r="T7"/>
      <c r="U7"/>
      <c r="V7"/>
      <c r="W7"/>
      <c r="X7"/>
      <c r="Y7"/>
      <c r="Z7"/>
      <c r="AA7"/>
      <c r="AB7"/>
      <c r="AC7"/>
      <c r="AD7"/>
      <c r="AE7"/>
      <c r="AF7"/>
      <c r="AG7"/>
      <c r="AH7"/>
      <c r="AI7"/>
      <c r="AJ7"/>
      <c r="AK7"/>
      <c r="AL7"/>
    </row>
    <row r="8" spans="2:38" ht="24" customHeight="1" thickBot="1" x14ac:dyDescent="0.25">
      <c r="B8" s="917"/>
      <c r="C8" s="16">
        <v>170</v>
      </c>
      <c r="D8" s="45">
        <v>0.84</v>
      </c>
      <c r="E8" s="45">
        <v>0.84</v>
      </c>
      <c r="F8" s="45">
        <v>0.84</v>
      </c>
      <c r="G8" s="45">
        <v>0.84</v>
      </c>
      <c r="H8" s="45">
        <v>0.84</v>
      </c>
      <c r="I8" s="45">
        <v>0.84</v>
      </c>
      <c r="J8" s="45">
        <v>0.84</v>
      </c>
      <c r="K8" s="45">
        <v>0.84</v>
      </c>
      <c r="L8" s="45">
        <v>0.84</v>
      </c>
      <c r="M8" s="45">
        <v>0.84</v>
      </c>
      <c r="N8" s="45">
        <v>0.84</v>
      </c>
      <c r="O8" s="45">
        <v>0.84</v>
      </c>
      <c r="P8" s="45">
        <v>0.84</v>
      </c>
      <c r="Q8" s="296">
        <v>0.84</v>
      </c>
      <c r="R8"/>
      <c r="S8"/>
      <c r="T8"/>
      <c r="U8"/>
      <c r="V8"/>
      <c r="W8"/>
      <c r="X8"/>
      <c r="Y8"/>
      <c r="Z8"/>
      <c r="AA8"/>
      <c r="AB8"/>
      <c r="AC8"/>
      <c r="AD8"/>
      <c r="AE8"/>
      <c r="AF8"/>
      <c r="AG8"/>
      <c r="AH8"/>
      <c r="AI8"/>
      <c r="AJ8"/>
      <c r="AK8"/>
      <c r="AL8"/>
    </row>
    <row r="9" spans="2:38" ht="24" customHeight="1" thickBot="1" x14ac:dyDescent="0.25">
      <c r="B9" s="917"/>
      <c r="C9" s="16">
        <v>180</v>
      </c>
      <c r="D9" s="45">
        <v>0.84</v>
      </c>
      <c r="E9" s="45">
        <v>0.84</v>
      </c>
      <c r="F9" s="45">
        <v>0.84</v>
      </c>
      <c r="G9" s="45">
        <v>0.84</v>
      </c>
      <c r="H9" s="45">
        <v>0.84</v>
      </c>
      <c r="I9" s="45">
        <v>0.84</v>
      </c>
      <c r="J9" s="45">
        <v>0.84</v>
      </c>
      <c r="K9" s="45">
        <v>0.84</v>
      </c>
      <c r="L9" s="45">
        <v>0.84</v>
      </c>
      <c r="M9" s="45">
        <v>0.84</v>
      </c>
      <c r="N9" s="45">
        <v>0.84</v>
      </c>
      <c r="O9" s="45">
        <v>0.84</v>
      </c>
      <c r="P9" s="45">
        <v>0.84</v>
      </c>
      <c r="Q9" s="296">
        <v>0.84</v>
      </c>
      <c r="R9"/>
      <c r="S9"/>
      <c r="T9"/>
      <c r="U9"/>
      <c r="V9"/>
      <c r="W9"/>
      <c r="X9"/>
      <c r="Y9"/>
      <c r="Z9"/>
      <c r="AA9"/>
      <c r="AB9"/>
      <c r="AC9"/>
      <c r="AD9"/>
      <c r="AE9"/>
      <c r="AF9"/>
      <c r="AG9"/>
      <c r="AH9"/>
      <c r="AI9"/>
      <c r="AJ9"/>
      <c r="AK9"/>
      <c r="AL9"/>
    </row>
    <row r="10" spans="2:38" ht="24" customHeight="1" thickBot="1" x14ac:dyDescent="0.25">
      <c r="B10" s="917"/>
      <c r="C10" s="16">
        <v>190</v>
      </c>
      <c r="D10" s="45">
        <v>0.84</v>
      </c>
      <c r="E10" s="45">
        <v>0.84</v>
      </c>
      <c r="F10" s="45">
        <v>0.84</v>
      </c>
      <c r="G10" s="45">
        <v>0.84</v>
      </c>
      <c r="H10" s="45">
        <v>0.84</v>
      </c>
      <c r="I10" s="45">
        <v>0.84</v>
      </c>
      <c r="J10" s="45">
        <v>0.84</v>
      </c>
      <c r="K10" s="45">
        <v>0.84</v>
      </c>
      <c r="L10" s="45">
        <v>0.84</v>
      </c>
      <c r="M10" s="45">
        <v>0.84</v>
      </c>
      <c r="N10" s="45">
        <v>0.84</v>
      </c>
      <c r="O10" s="45">
        <v>0.84</v>
      </c>
      <c r="P10" s="45">
        <v>0.84</v>
      </c>
      <c r="Q10" s="296">
        <v>0.84</v>
      </c>
      <c r="R10"/>
      <c r="S10"/>
      <c r="T10"/>
      <c r="U10"/>
      <c r="V10"/>
      <c r="W10"/>
      <c r="X10"/>
      <c r="Y10"/>
      <c r="Z10"/>
      <c r="AA10"/>
      <c r="AB10"/>
      <c r="AC10"/>
      <c r="AD10"/>
      <c r="AE10"/>
      <c r="AF10"/>
      <c r="AG10"/>
      <c r="AH10"/>
      <c r="AI10"/>
      <c r="AJ10"/>
      <c r="AK10"/>
      <c r="AL10"/>
    </row>
    <row r="11" spans="2:38" ht="24" customHeight="1" thickBot="1" x14ac:dyDescent="0.25">
      <c r="B11" s="917"/>
      <c r="C11" s="16">
        <v>200</v>
      </c>
      <c r="D11" s="45">
        <v>0.84</v>
      </c>
      <c r="E11" s="45">
        <v>0.84</v>
      </c>
      <c r="F11" s="45">
        <v>0.84</v>
      </c>
      <c r="G11" s="45">
        <v>0.84</v>
      </c>
      <c r="H11" s="45">
        <v>0.84</v>
      </c>
      <c r="I11" s="45">
        <v>0.84</v>
      </c>
      <c r="J11" s="45">
        <v>0.84</v>
      </c>
      <c r="K11" s="45">
        <v>0.84</v>
      </c>
      <c r="L11" s="45">
        <v>0.84</v>
      </c>
      <c r="M11" s="45">
        <v>0.84</v>
      </c>
      <c r="N11" s="45">
        <v>0.84</v>
      </c>
      <c r="O11" s="45">
        <v>0.84</v>
      </c>
      <c r="P11" s="45">
        <v>0.84</v>
      </c>
      <c r="Q11" s="46"/>
      <c r="R11"/>
      <c r="S11"/>
      <c r="T11"/>
      <c r="U11"/>
      <c r="V11"/>
      <c r="W11"/>
      <c r="X11"/>
      <c r="Y11"/>
      <c r="Z11"/>
      <c r="AA11"/>
      <c r="AB11"/>
      <c r="AC11"/>
      <c r="AD11"/>
      <c r="AE11"/>
      <c r="AF11"/>
      <c r="AG11"/>
      <c r="AH11"/>
      <c r="AI11"/>
      <c r="AJ11"/>
      <c r="AK11"/>
      <c r="AL11"/>
    </row>
    <row r="12" spans="2:38" ht="24" customHeight="1" thickBot="1" x14ac:dyDescent="0.25">
      <c r="B12" s="917"/>
      <c r="C12" s="16">
        <v>210</v>
      </c>
      <c r="D12" s="45">
        <v>0.84</v>
      </c>
      <c r="E12" s="45">
        <v>0.84</v>
      </c>
      <c r="F12" s="45">
        <v>0.84</v>
      </c>
      <c r="G12" s="45">
        <v>0.84</v>
      </c>
      <c r="H12" s="45">
        <v>0.84</v>
      </c>
      <c r="I12" s="45">
        <v>0.84</v>
      </c>
      <c r="J12" s="45">
        <v>0.84</v>
      </c>
      <c r="K12" s="45">
        <v>0.84</v>
      </c>
      <c r="L12" s="45">
        <v>0.84</v>
      </c>
      <c r="M12" s="45">
        <v>0.84</v>
      </c>
      <c r="N12" s="45">
        <v>0.84</v>
      </c>
      <c r="O12" s="45">
        <v>0.84</v>
      </c>
      <c r="P12" s="47"/>
      <c r="Q12" s="46"/>
      <c r="R12"/>
      <c r="S12"/>
      <c r="T12"/>
      <c r="U12"/>
      <c r="V12"/>
      <c r="W12"/>
      <c r="X12"/>
      <c r="Y12"/>
      <c r="Z12"/>
      <c r="AA12"/>
      <c r="AB12"/>
      <c r="AC12"/>
      <c r="AD12"/>
      <c r="AE12"/>
      <c r="AF12"/>
      <c r="AG12"/>
      <c r="AH12"/>
      <c r="AI12"/>
      <c r="AJ12"/>
      <c r="AK12"/>
      <c r="AL12"/>
    </row>
    <row r="13" spans="2:38" ht="24" customHeight="1" thickBot="1" x14ac:dyDescent="0.25">
      <c r="B13" s="917"/>
      <c r="C13" s="16">
        <v>220</v>
      </c>
      <c r="D13" s="45">
        <v>0.84</v>
      </c>
      <c r="E13" s="45">
        <v>0.84</v>
      </c>
      <c r="F13" s="45">
        <v>0.84</v>
      </c>
      <c r="G13" s="45">
        <v>0.84</v>
      </c>
      <c r="H13" s="45">
        <v>0.84</v>
      </c>
      <c r="I13" s="45">
        <v>0.84</v>
      </c>
      <c r="J13" s="45">
        <v>0.84</v>
      </c>
      <c r="K13" s="45">
        <v>0.84</v>
      </c>
      <c r="L13" s="45">
        <v>0.84</v>
      </c>
      <c r="M13" s="45">
        <v>0.84</v>
      </c>
      <c r="N13" s="45">
        <v>0.84</v>
      </c>
      <c r="O13" s="47"/>
      <c r="P13" s="47"/>
      <c r="Q13" s="46"/>
      <c r="R13"/>
      <c r="S13"/>
      <c r="T13"/>
      <c r="U13"/>
      <c r="V13"/>
      <c r="W13"/>
      <c r="X13"/>
      <c r="Y13"/>
      <c r="Z13"/>
      <c r="AA13"/>
      <c r="AB13"/>
      <c r="AC13"/>
      <c r="AD13"/>
      <c r="AE13"/>
      <c r="AF13"/>
      <c r="AG13"/>
      <c r="AH13"/>
      <c r="AI13"/>
      <c r="AJ13"/>
      <c r="AK13"/>
      <c r="AL13"/>
    </row>
    <row r="14" spans="2:38" ht="24" customHeight="1" thickBot="1" x14ac:dyDescent="0.25">
      <c r="B14" s="917"/>
      <c r="C14" s="16">
        <v>230</v>
      </c>
      <c r="D14" s="45">
        <v>0.84</v>
      </c>
      <c r="E14" s="45">
        <v>0.84</v>
      </c>
      <c r="F14" s="45">
        <v>0.84</v>
      </c>
      <c r="G14" s="45">
        <v>0.84</v>
      </c>
      <c r="H14" s="45">
        <v>0.84</v>
      </c>
      <c r="I14" s="45">
        <v>0.84</v>
      </c>
      <c r="J14" s="45">
        <v>0.84</v>
      </c>
      <c r="K14" s="45">
        <v>0.84</v>
      </c>
      <c r="L14" s="45">
        <v>0.84</v>
      </c>
      <c r="M14" s="45">
        <v>0.84</v>
      </c>
      <c r="N14" s="47"/>
      <c r="O14" s="47"/>
      <c r="P14" s="47"/>
      <c r="Q14" s="46"/>
      <c r="R14"/>
      <c r="S14"/>
      <c r="T14"/>
      <c r="U14"/>
      <c r="V14"/>
      <c r="W14"/>
      <c r="X14"/>
      <c r="Y14"/>
      <c r="Z14"/>
      <c r="AA14"/>
      <c r="AB14"/>
      <c r="AC14"/>
      <c r="AD14"/>
      <c r="AE14"/>
      <c r="AF14"/>
      <c r="AG14"/>
      <c r="AH14"/>
      <c r="AI14"/>
      <c r="AJ14"/>
      <c r="AK14"/>
      <c r="AL14"/>
    </row>
    <row r="15" spans="2:38" ht="24" customHeight="1" thickBot="1" x14ac:dyDescent="0.25">
      <c r="B15" s="917"/>
      <c r="C15" s="16">
        <v>240</v>
      </c>
      <c r="D15" s="45">
        <v>0.84</v>
      </c>
      <c r="E15" s="45">
        <v>0.84</v>
      </c>
      <c r="F15" s="45">
        <v>0.84</v>
      </c>
      <c r="G15" s="45">
        <v>0.84</v>
      </c>
      <c r="H15" s="45">
        <v>0.84</v>
      </c>
      <c r="I15" s="45">
        <v>0.84</v>
      </c>
      <c r="J15" s="45">
        <v>0.84</v>
      </c>
      <c r="K15" s="45">
        <v>0.84</v>
      </c>
      <c r="L15" s="45">
        <v>0.84</v>
      </c>
      <c r="M15" s="47"/>
      <c r="N15" s="47"/>
      <c r="O15" s="47"/>
      <c r="P15" s="47"/>
      <c r="Q15" s="46"/>
      <c r="R15"/>
      <c r="S15"/>
      <c r="T15"/>
      <c r="U15"/>
      <c r="V15"/>
      <c r="W15"/>
      <c r="X15"/>
      <c r="Y15"/>
      <c r="Z15"/>
      <c r="AA15"/>
      <c r="AB15"/>
      <c r="AC15"/>
      <c r="AD15"/>
      <c r="AE15"/>
      <c r="AF15"/>
      <c r="AG15"/>
      <c r="AH15"/>
      <c r="AI15"/>
      <c r="AJ15"/>
      <c r="AK15"/>
      <c r="AL15"/>
    </row>
    <row r="16" spans="2:38" ht="24" customHeight="1" thickBot="1" x14ac:dyDescent="0.25">
      <c r="B16" s="917"/>
      <c r="C16" s="16">
        <v>250</v>
      </c>
      <c r="D16" s="45">
        <v>0.84</v>
      </c>
      <c r="E16" s="45">
        <v>0.84</v>
      </c>
      <c r="F16" s="45">
        <v>0.84</v>
      </c>
      <c r="G16" s="45">
        <v>0.84</v>
      </c>
      <c r="H16" s="45">
        <v>0.84</v>
      </c>
      <c r="I16" s="45">
        <v>0.84</v>
      </c>
      <c r="J16" s="45">
        <v>0.84</v>
      </c>
      <c r="K16" s="45">
        <v>0.84</v>
      </c>
      <c r="L16" s="47"/>
      <c r="M16" s="47"/>
      <c r="N16" s="47"/>
      <c r="O16" s="47"/>
      <c r="P16" s="47"/>
      <c r="Q16" s="46"/>
      <c r="R16"/>
      <c r="S16"/>
      <c r="T16"/>
      <c r="U16"/>
      <c r="V16"/>
      <c r="W16"/>
      <c r="X16"/>
      <c r="Y16"/>
      <c r="Z16"/>
      <c r="AA16"/>
      <c r="AB16"/>
      <c r="AC16"/>
      <c r="AD16"/>
      <c r="AE16"/>
      <c r="AF16"/>
      <c r="AG16"/>
      <c r="AH16"/>
      <c r="AI16"/>
      <c r="AJ16"/>
      <c r="AK16"/>
      <c r="AL16"/>
    </row>
    <row r="17" spans="2:38" ht="24" customHeight="1" thickBot="1" x14ac:dyDescent="0.25">
      <c r="B17" s="917"/>
      <c r="C17" s="16">
        <v>260</v>
      </c>
      <c r="D17" s="45">
        <v>0.84</v>
      </c>
      <c r="E17" s="45">
        <v>0.84</v>
      </c>
      <c r="F17" s="45">
        <v>0.84</v>
      </c>
      <c r="G17" s="45">
        <v>0.84</v>
      </c>
      <c r="H17" s="45">
        <v>0.84</v>
      </c>
      <c r="I17" s="45">
        <v>0.84</v>
      </c>
      <c r="J17" s="45">
        <v>0.84</v>
      </c>
      <c r="K17" s="45">
        <v>0.84</v>
      </c>
      <c r="L17" s="47"/>
      <c r="M17" s="47"/>
      <c r="N17" s="47"/>
      <c r="O17" s="47"/>
      <c r="P17" s="47"/>
      <c r="Q17" s="46"/>
      <c r="R17"/>
      <c r="S17"/>
      <c r="T17"/>
      <c r="U17"/>
      <c r="V17"/>
      <c r="W17"/>
      <c r="X17"/>
      <c r="Y17"/>
      <c r="Z17"/>
      <c r="AA17"/>
      <c r="AB17"/>
      <c r="AC17"/>
      <c r="AD17"/>
      <c r="AE17"/>
      <c r="AF17"/>
      <c r="AG17"/>
      <c r="AH17"/>
      <c r="AI17"/>
      <c r="AJ17"/>
      <c r="AK17"/>
      <c r="AL17"/>
    </row>
    <row r="18" spans="2:38" ht="24" customHeight="1" thickBot="1" x14ac:dyDescent="0.25">
      <c r="B18" s="917"/>
      <c r="C18" s="16">
        <v>270</v>
      </c>
      <c r="D18" s="45">
        <v>0.84</v>
      </c>
      <c r="E18" s="45">
        <v>0.84</v>
      </c>
      <c r="F18" s="45">
        <v>0.84</v>
      </c>
      <c r="G18" s="45">
        <v>0.84</v>
      </c>
      <c r="H18" s="45">
        <v>0.84</v>
      </c>
      <c r="I18" s="45">
        <v>0.84</v>
      </c>
      <c r="J18" s="45">
        <v>0.84</v>
      </c>
      <c r="K18" s="47"/>
      <c r="L18" s="47"/>
      <c r="M18" s="47"/>
      <c r="N18" s="47"/>
      <c r="O18" s="47"/>
      <c r="P18" s="47"/>
      <c r="Q18" s="46"/>
      <c r="R18"/>
      <c r="S18"/>
      <c r="T18"/>
      <c r="U18"/>
      <c r="V18"/>
      <c r="W18"/>
      <c r="X18"/>
      <c r="Y18"/>
      <c r="Z18"/>
      <c r="AA18"/>
      <c r="AB18"/>
      <c r="AC18"/>
      <c r="AD18"/>
      <c r="AE18"/>
      <c r="AF18"/>
      <c r="AG18"/>
      <c r="AH18"/>
      <c r="AI18"/>
      <c r="AJ18"/>
      <c r="AK18"/>
      <c r="AL18"/>
    </row>
    <row r="19" spans="2:38" ht="24" customHeight="1" thickBot="1" x14ac:dyDescent="0.25">
      <c r="B19" s="917"/>
      <c r="C19" s="16">
        <v>280</v>
      </c>
      <c r="D19" s="45">
        <v>0.84</v>
      </c>
      <c r="E19" s="45">
        <v>0.84</v>
      </c>
      <c r="F19" s="45">
        <v>0.84</v>
      </c>
      <c r="G19" s="45">
        <v>0.84</v>
      </c>
      <c r="H19" s="45">
        <v>0.84</v>
      </c>
      <c r="I19" s="45">
        <v>0.84</v>
      </c>
      <c r="J19" s="47"/>
      <c r="K19" s="47"/>
      <c r="L19" s="47"/>
      <c r="M19" s="47"/>
      <c r="N19" s="47"/>
      <c r="O19" s="47"/>
      <c r="P19" s="47"/>
      <c r="Q19" s="46"/>
      <c r="R19"/>
      <c r="S19"/>
      <c r="T19"/>
      <c r="U19"/>
      <c r="V19"/>
      <c r="W19"/>
      <c r="X19"/>
      <c r="Y19"/>
      <c r="Z19"/>
      <c r="AA19"/>
      <c r="AB19"/>
      <c r="AC19"/>
      <c r="AD19"/>
      <c r="AE19"/>
      <c r="AF19"/>
      <c r="AG19"/>
      <c r="AH19"/>
      <c r="AI19"/>
      <c r="AJ19"/>
      <c r="AK19"/>
      <c r="AL19"/>
    </row>
    <row r="20" spans="2:38" ht="24" customHeight="1" thickBot="1" x14ac:dyDescent="0.25">
      <c r="B20" s="917"/>
      <c r="C20" s="29">
        <v>290</v>
      </c>
      <c r="D20" s="45">
        <v>0.84</v>
      </c>
      <c r="E20" s="45">
        <v>0.84</v>
      </c>
      <c r="F20" s="45">
        <v>0.84</v>
      </c>
      <c r="G20" s="45">
        <v>0.84</v>
      </c>
      <c r="H20" s="45">
        <v>0.84</v>
      </c>
      <c r="I20" s="47"/>
      <c r="J20" s="47"/>
      <c r="K20" s="47"/>
      <c r="L20" s="47"/>
      <c r="M20" s="47"/>
      <c r="N20" s="47"/>
      <c r="O20" s="47"/>
      <c r="P20" s="47"/>
      <c r="Q20" s="46"/>
      <c r="R20"/>
      <c r="S20"/>
      <c r="T20"/>
      <c r="U20"/>
      <c r="V20"/>
      <c r="W20"/>
      <c r="X20"/>
      <c r="Y20"/>
      <c r="Z20"/>
      <c r="AA20"/>
      <c r="AB20"/>
      <c r="AC20"/>
      <c r="AD20"/>
      <c r="AE20"/>
      <c r="AF20"/>
      <c r="AG20"/>
      <c r="AH20"/>
      <c r="AI20"/>
      <c r="AJ20"/>
      <c r="AK20"/>
      <c r="AL20"/>
    </row>
    <row r="21" spans="2:38" ht="24" customHeight="1" thickBot="1" x14ac:dyDescent="0.25">
      <c r="B21" s="918"/>
      <c r="C21" s="17">
        <v>300</v>
      </c>
      <c r="D21" s="297">
        <v>0.84</v>
      </c>
      <c r="E21" s="297">
        <v>0.84</v>
      </c>
      <c r="F21" s="297">
        <v>0.84</v>
      </c>
      <c r="G21" s="297">
        <v>0.84</v>
      </c>
      <c r="H21" s="48"/>
      <c r="I21" s="48"/>
      <c r="J21" s="48"/>
      <c r="K21" s="48"/>
      <c r="L21" s="48"/>
      <c r="M21" s="48"/>
      <c r="N21" s="48"/>
      <c r="O21" s="48"/>
      <c r="P21" s="48"/>
      <c r="Q21" s="49"/>
      <c r="R21"/>
      <c r="S21"/>
      <c r="T21"/>
      <c r="U21"/>
      <c r="V21"/>
      <c r="W21"/>
      <c r="X21"/>
      <c r="Y21"/>
      <c r="Z21"/>
      <c r="AA21"/>
      <c r="AB21"/>
      <c r="AC21"/>
      <c r="AD21"/>
      <c r="AE21"/>
      <c r="AF21"/>
      <c r="AG21"/>
      <c r="AH21"/>
      <c r="AI21"/>
      <c r="AJ21"/>
      <c r="AK21"/>
      <c r="AL21"/>
    </row>
    <row r="22" spans="2:38" ht="22.5" customHeight="1" thickBot="1" x14ac:dyDescent="0.25"/>
    <row r="23" spans="2:38" ht="22.5" customHeight="1" x14ac:dyDescent="0.2">
      <c r="B23" s="919" t="s">
        <v>11</v>
      </c>
      <c r="C23" s="920"/>
      <c r="D23" s="5"/>
      <c r="E23" s="5"/>
      <c r="F23" s="5"/>
      <c r="G23" s="5"/>
      <c r="H23" s="18"/>
      <c r="I23" s="18"/>
      <c r="J23" s="18"/>
      <c r="K23" s="18"/>
      <c r="L23" s="18"/>
      <c r="M23" s="19"/>
    </row>
    <row r="24" spans="2:38" ht="23.25" customHeight="1" x14ac:dyDescent="0.2">
      <c r="B24" s="26" t="s">
        <v>12</v>
      </c>
      <c r="C24" s="22">
        <v>350</v>
      </c>
      <c r="D24" s="27" t="s">
        <v>13</v>
      </c>
      <c r="E24" s="6" t="s">
        <v>23</v>
      </c>
      <c r="F24" s="7"/>
      <c r="G24" s="7"/>
      <c r="H24" s="20"/>
      <c r="I24" s="20"/>
      <c r="J24" s="20"/>
      <c r="K24" s="20"/>
      <c r="L24" s="20"/>
      <c r="M24" s="21"/>
    </row>
    <row r="25" spans="2:38" ht="23.25" customHeight="1" x14ac:dyDescent="0.2">
      <c r="B25" s="26" t="s">
        <v>14</v>
      </c>
      <c r="C25" s="22">
        <v>240</v>
      </c>
      <c r="D25" s="27" t="s">
        <v>15</v>
      </c>
      <c r="E25" s="6" t="s">
        <v>24</v>
      </c>
      <c r="F25" s="7"/>
      <c r="G25" s="7"/>
      <c r="H25" s="20"/>
      <c r="I25" s="20"/>
      <c r="J25" s="20"/>
      <c r="K25" s="20"/>
      <c r="L25" s="20"/>
      <c r="M25" s="21"/>
    </row>
    <row r="26" spans="2:38" ht="14.25" customHeight="1" x14ac:dyDescent="0.2">
      <c r="B26" s="8"/>
      <c r="C26" s="9"/>
      <c r="D26" s="9"/>
      <c r="E26" s="9"/>
      <c r="F26" s="7"/>
      <c r="G26" s="7"/>
      <c r="H26" s="20"/>
      <c r="I26" s="20"/>
      <c r="J26" s="20"/>
      <c r="K26" s="20"/>
      <c r="L26" s="20"/>
      <c r="M26" s="21"/>
    </row>
    <row r="27" spans="2:38" ht="24" customHeight="1" x14ac:dyDescent="0.2">
      <c r="B27" s="26" t="s">
        <v>25</v>
      </c>
      <c r="C27" s="32" t="e">
        <f ca="1">BicubicInterpolation(C4:Q21,C24,C25)</f>
        <v>#NAME?</v>
      </c>
      <c r="D27" s="27" t="s">
        <v>29</v>
      </c>
      <c r="E27" s="7"/>
      <c r="F27" s="7"/>
      <c r="G27" s="7"/>
      <c r="H27" s="20"/>
      <c r="I27" s="20"/>
      <c r="J27" s="20"/>
      <c r="K27" s="20"/>
      <c r="L27" s="20"/>
      <c r="M27" s="21"/>
      <c r="U27"/>
      <c r="V27"/>
      <c r="W27"/>
      <c r="X27"/>
      <c r="Y27"/>
      <c r="Z27"/>
      <c r="AA27"/>
      <c r="AB27"/>
      <c r="AC27"/>
      <c r="AD27"/>
      <c r="AE27"/>
      <c r="AF27"/>
      <c r="AG27"/>
      <c r="AH27"/>
      <c r="AI27"/>
      <c r="AJ27"/>
    </row>
    <row r="28" spans="2:38" ht="18" customHeight="1" thickBot="1" x14ac:dyDescent="0.25">
      <c r="B28" s="37"/>
      <c r="C28" s="38"/>
      <c r="D28" s="39"/>
      <c r="E28" s="40"/>
      <c r="F28" s="40"/>
      <c r="G28" s="40"/>
      <c r="H28" s="41"/>
      <c r="I28" s="41"/>
      <c r="J28" s="41"/>
      <c r="K28" s="41"/>
      <c r="L28" s="41"/>
      <c r="M28" s="42"/>
      <c r="U28"/>
      <c r="V28"/>
      <c r="W28"/>
      <c r="X28"/>
      <c r="Y28"/>
      <c r="Z28"/>
      <c r="AA28"/>
      <c r="AB28"/>
      <c r="AC28"/>
      <c r="AD28"/>
      <c r="AE28"/>
      <c r="AF28"/>
      <c r="AG28"/>
      <c r="AH28"/>
      <c r="AI28"/>
      <c r="AJ28"/>
    </row>
    <row r="29" spans="2:38" ht="18" customHeight="1" x14ac:dyDescent="0.2">
      <c r="B29" s="34" t="s">
        <v>20</v>
      </c>
      <c r="C29" s="934" t="s">
        <v>37</v>
      </c>
      <c r="D29" s="934"/>
      <c r="E29" s="934"/>
      <c r="F29" s="934"/>
      <c r="G29" s="934"/>
      <c r="H29" s="934"/>
      <c r="I29" s="934"/>
      <c r="J29" s="934"/>
      <c r="K29" s="934"/>
      <c r="L29" s="934"/>
      <c r="M29" s="935"/>
      <c r="U29"/>
      <c r="V29"/>
      <c r="W29"/>
      <c r="X29"/>
      <c r="Y29"/>
      <c r="Z29"/>
      <c r="AA29"/>
      <c r="AB29"/>
      <c r="AC29"/>
      <c r="AD29"/>
      <c r="AE29"/>
      <c r="AF29"/>
      <c r="AG29"/>
      <c r="AH29"/>
      <c r="AI29"/>
      <c r="AJ29"/>
    </row>
    <row r="30" spans="2:38" ht="18" customHeight="1" x14ac:dyDescent="0.2">
      <c r="B30" s="24"/>
      <c r="C30" s="932" t="s">
        <v>41</v>
      </c>
      <c r="D30" s="932"/>
      <c r="E30" s="932"/>
      <c r="F30" s="932"/>
      <c r="G30" s="932"/>
      <c r="H30" s="932"/>
      <c r="I30" s="932"/>
      <c r="J30" s="932"/>
      <c r="K30" s="932"/>
      <c r="L30" s="932"/>
      <c r="M30" s="933"/>
      <c r="U30"/>
      <c r="V30"/>
      <c r="W30"/>
      <c r="X30"/>
      <c r="Y30"/>
      <c r="Z30"/>
      <c r="AA30"/>
      <c r="AB30"/>
      <c r="AC30"/>
      <c r="AD30"/>
      <c r="AE30"/>
      <c r="AF30"/>
      <c r="AG30"/>
      <c r="AH30"/>
      <c r="AI30"/>
      <c r="AJ30"/>
    </row>
    <row r="31" spans="2:38" ht="18" customHeight="1" x14ac:dyDescent="0.2">
      <c r="B31" s="24"/>
      <c r="C31" s="932" t="s">
        <v>36</v>
      </c>
      <c r="D31" s="932"/>
      <c r="E31" s="932"/>
      <c r="F31" s="932"/>
      <c r="G31" s="932"/>
      <c r="H31" s="932"/>
      <c r="I31" s="932"/>
      <c r="J31" s="932"/>
      <c r="K31" s="932"/>
      <c r="L31" s="932"/>
      <c r="M31" s="933"/>
      <c r="N31"/>
      <c r="O31"/>
      <c r="P31"/>
      <c r="Q31"/>
      <c r="U31"/>
      <c r="V31"/>
      <c r="W31"/>
      <c r="X31"/>
      <c r="Y31"/>
      <c r="Z31"/>
      <c r="AA31"/>
      <c r="AB31"/>
      <c r="AC31"/>
      <c r="AD31"/>
      <c r="AE31"/>
      <c r="AF31"/>
      <c r="AG31"/>
      <c r="AH31"/>
      <c r="AI31"/>
      <c r="AJ31"/>
    </row>
    <row r="32" spans="2:38" ht="18" customHeight="1" x14ac:dyDescent="0.2">
      <c r="B32" s="24"/>
      <c r="C32" s="35"/>
      <c r="D32" s="35" t="s">
        <v>38</v>
      </c>
      <c r="E32" s="35"/>
      <c r="F32" s="35"/>
      <c r="G32" s="35"/>
      <c r="H32" s="35"/>
      <c r="I32" s="35"/>
      <c r="J32" s="35"/>
      <c r="K32" s="35"/>
      <c r="L32" s="35"/>
      <c r="M32" s="36"/>
      <c r="U32"/>
      <c r="V32"/>
      <c r="W32"/>
      <c r="X32"/>
      <c r="Y32"/>
      <c r="Z32"/>
      <c r="AA32"/>
      <c r="AB32"/>
      <c r="AC32"/>
      <c r="AD32"/>
      <c r="AE32"/>
      <c r="AF32"/>
      <c r="AG32"/>
      <c r="AH32"/>
      <c r="AI32"/>
      <c r="AJ32"/>
    </row>
    <row r="33" spans="2:36" ht="22.5" customHeight="1" x14ac:dyDescent="0.2">
      <c r="B33" s="24"/>
      <c r="C33" s="35"/>
      <c r="D33" s="35" t="s">
        <v>39</v>
      </c>
      <c r="E33" s="35"/>
      <c r="F33" s="35"/>
      <c r="G33" s="35"/>
      <c r="H33" s="35"/>
      <c r="I33" s="35"/>
      <c r="J33" s="35"/>
      <c r="K33" s="35"/>
      <c r="L33" s="35"/>
      <c r="M33" s="36"/>
      <c r="U33"/>
      <c r="V33"/>
      <c r="W33"/>
      <c r="X33"/>
      <c r="Y33"/>
      <c r="Z33"/>
      <c r="AA33"/>
      <c r="AB33"/>
      <c r="AC33"/>
      <c r="AD33"/>
      <c r="AE33"/>
      <c r="AF33"/>
      <c r="AG33"/>
      <c r="AH33"/>
      <c r="AI33"/>
      <c r="AJ33"/>
    </row>
    <row r="34" spans="2:36" ht="17" thickBot="1" x14ac:dyDescent="0.25">
      <c r="B34" s="25"/>
      <c r="C34" s="927" t="s">
        <v>35</v>
      </c>
      <c r="D34" s="927"/>
      <c r="E34" s="927"/>
      <c r="F34" s="927"/>
      <c r="G34" s="927"/>
      <c r="H34" s="927"/>
      <c r="I34" s="927"/>
      <c r="J34" s="927"/>
      <c r="K34" s="927"/>
      <c r="L34" s="927"/>
      <c r="M34" s="928"/>
      <c r="U34"/>
      <c r="V34"/>
      <c r="W34"/>
      <c r="X34"/>
      <c r="Y34"/>
      <c r="Z34"/>
      <c r="AA34"/>
      <c r="AB34"/>
      <c r="AC34"/>
      <c r="AD34"/>
      <c r="AE34"/>
      <c r="AF34"/>
      <c r="AG34"/>
      <c r="AH34"/>
      <c r="AI34"/>
      <c r="AJ34"/>
    </row>
  </sheetData>
  <mergeCells count="8">
    <mergeCell ref="C31:M31"/>
    <mergeCell ref="C34:M34"/>
    <mergeCell ref="B2:Q2"/>
    <mergeCell ref="D3:Q3"/>
    <mergeCell ref="B5:B21"/>
    <mergeCell ref="B23:C23"/>
    <mergeCell ref="C29:M29"/>
    <mergeCell ref="C30:M30"/>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0"/>
  <dimension ref="B1:AL34"/>
  <sheetViews>
    <sheetView zoomScale="80" zoomScaleNormal="80" workbookViewId="0">
      <selection activeCell="AB11" sqref="AB11"/>
    </sheetView>
  </sheetViews>
  <sheetFormatPr baseColWidth="10" defaultColWidth="8.83203125" defaultRowHeight="15" x14ac:dyDescent="0.2"/>
  <cols>
    <col min="1" max="1" width="4.33203125" customWidth="1"/>
    <col min="2" max="2" width="16.83203125" customWidth="1"/>
    <col min="4" max="38" width="7.1640625" style="3" customWidth="1"/>
    <col min="39" max="39" width="6.1640625" customWidth="1"/>
    <col min="41" max="41" width="15.1640625" customWidth="1"/>
    <col min="44" max="44" width="14.6640625" customWidth="1"/>
    <col min="45" max="45" width="11.1640625" customWidth="1"/>
    <col min="46" max="46" width="11.5" customWidth="1"/>
  </cols>
  <sheetData>
    <row r="1" spans="2:38" ht="16" thickBot="1" x14ac:dyDescent="0.25"/>
    <row r="2" spans="2:38" ht="45.5" customHeight="1" thickBot="1" x14ac:dyDescent="0.25">
      <c r="B2" s="929" t="s">
        <v>44</v>
      </c>
      <c r="C2" s="922"/>
      <c r="D2" s="922"/>
      <c r="E2" s="922"/>
      <c r="F2" s="922"/>
      <c r="G2" s="922"/>
      <c r="H2" s="922"/>
      <c r="I2" s="922"/>
      <c r="J2" s="922"/>
      <c r="K2" s="922"/>
      <c r="L2" s="922"/>
      <c r="M2" s="922"/>
      <c r="N2" s="922"/>
      <c r="O2" s="922"/>
      <c r="P2" s="922"/>
      <c r="Q2" s="923"/>
      <c r="R2"/>
      <c r="S2"/>
      <c r="T2"/>
      <c r="U2"/>
      <c r="V2"/>
      <c r="W2"/>
      <c r="X2"/>
      <c r="Y2"/>
      <c r="Z2"/>
      <c r="AA2"/>
      <c r="AB2"/>
      <c r="AC2"/>
      <c r="AD2"/>
      <c r="AE2"/>
      <c r="AF2"/>
      <c r="AG2"/>
      <c r="AH2"/>
      <c r="AI2"/>
      <c r="AJ2"/>
      <c r="AK2"/>
      <c r="AL2"/>
    </row>
    <row r="3" spans="2:38" ht="30" customHeight="1" thickBot="1" x14ac:dyDescent="0.25">
      <c r="B3" s="10"/>
      <c r="C3" s="11"/>
      <c r="D3" s="956" t="s">
        <v>10</v>
      </c>
      <c r="E3" s="957"/>
      <c r="F3" s="957"/>
      <c r="G3" s="957"/>
      <c r="H3" s="957"/>
      <c r="I3" s="957"/>
      <c r="J3" s="957"/>
      <c r="K3" s="957"/>
      <c r="L3" s="957"/>
      <c r="M3" s="957"/>
      <c r="N3" s="957"/>
      <c r="O3" s="957"/>
      <c r="P3" s="957"/>
      <c r="Q3" s="958"/>
      <c r="R3"/>
      <c r="S3"/>
      <c r="T3"/>
      <c r="U3"/>
      <c r="V3"/>
      <c r="W3"/>
      <c r="X3"/>
      <c r="Y3"/>
      <c r="Z3"/>
      <c r="AA3"/>
      <c r="AB3"/>
      <c r="AC3"/>
      <c r="AD3"/>
      <c r="AE3"/>
      <c r="AF3"/>
      <c r="AG3"/>
      <c r="AH3"/>
      <c r="AI3"/>
      <c r="AJ3"/>
      <c r="AK3"/>
      <c r="AL3"/>
    </row>
    <row r="4" spans="2:38" ht="27" customHeight="1" thickBot="1" x14ac:dyDescent="0.25">
      <c r="B4" s="56"/>
      <c r="C4" s="57"/>
      <c r="D4" s="30">
        <v>300</v>
      </c>
      <c r="E4" s="30">
        <f t="shared" ref="E4:Q4" si="0">D4+10</f>
        <v>310</v>
      </c>
      <c r="F4" s="30">
        <f t="shared" si="0"/>
        <v>320</v>
      </c>
      <c r="G4" s="30">
        <f t="shared" si="0"/>
        <v>330</v>
      </c>
      <c r="H4" s="30">
        <f t="shared" si="0"/>
        <v>340</v>
      </c>
      <c r="I4" s="30">
        <f t="shared" si="0"/>
        <v>350</v>
      </c>
      <c r="J4" s="30">
        <f t="shared" si="0"/>
        <v>360</v>
      </c>
      <c r="K4" s="30">
        <f t="shared" si="0"/>
        <v>370</v>
      </c>
      <c r="L4" s="30">
        <f t="shared" si="0"/>
        <v>380</v>
      </c>
      <c r="M4" s="30">
        <f t="shared" si="0"/>
        <v>390</v>
      </c>
      <c r="N4" s="30">
        <f t="shared" si="0"/>
        <v>400</v>
      </c>
      <c r="O4" s="30">
        <f t="shared" si="0"/>
        <v>410</v>
      </c>
      <c r="P4" s="30">
        <f t="shared" si="0"/>
        <v>420</v>
      </c>
      <c r="Q4" s="14">
        <f t="shared" si="0"/>
        <v>430</v>
      </c>
      <c r="R4"/>
      <c r="S4"/>
      <c r="T4"/>
      <c r="U4"/>
      <c r="V4"/>
      <c r="W4"/>
      <c r="X4"/>
      <c r="Y4"/>
      <c r="Z4"/>
      <c r="AA4"/>
      <c r="AB4"/>
      <c r="AC4"/>
      <c r="AD4"/>
      <c r="AE4"/>
      <c r="AF4"/>
      <c r="AG4"/>
      <c r="AH4"/>
      <c r="AI4"/>
      <c r="AJ4"/>
      <c r="AK4"/>
      <c r="AL4"/>
    </row>
    <row r="5" spans="2:38" ht="24" customHeight="1" thickBot="1" x14ac:dyDescent="0.25">
      <c r="B5" s="916" t="s">
        <v>28</v>
      </c>
      <c r="C5" s="15">
        <v>140</v>
      </c>
      <c r="D5" s="58">
        <f>661.4786*(5*((1 + ( (1-0.00068755856*D$4)^5.2558797)*((1 + 'M0.84 Mach'!D5^2/5)^3.5 - 1))^(2/7) - 1))^0.5</f>
        <v>320.67491579433147</v>
      </c>
      <c r="E5" s="58">
        <f>661.4786*(5*((1 + ( (1-0.00068755856*E$4)^5.2558797)*((1 + 'M0.84 Mach'!E5^2/5)^3.5 - 1))^(2/7) - 1))^0.5</f>
        <v>313.81196076317684</v>
      </c>
      <c r="F5" s="58">
        <f>661.4786*(5*((1 + ( (1-0.00068755856*F$4)^5.2558797)*((1 + 'M0.84 Mach'!F5^2/5)^3.5 - 1))^(2/7) - 1))^0.5</f>
        <v>307.02238598713757</v>
      </c>
      <c r="G5" s="58">
        <f>661.4786*(5*((1 + ( (1-0.00068755856*G$4)^5.2558797)*((1 + 'M0.84 Mach'!G5^2/5)^3.5 - 1))^(2/7) - 1))^0.5</f>
        <v>300.30694844775132</v>
      </c>
      <c r="H5" s="58">
        <f>661.4786*(5*((1 + ( (1-0.00068755856*H$4)^5.2558797)*((1 + 'M0.84 Mach'!H5^2/5)^3.5 - 1))^(2/7) - 1))^0.5</f>
        <v>293.66636889942305</v>
      </c>
      <c r="I5" s="58">
        <f>661.4786*(5*((1 + ( (1-0.00068755856*I$4)^5.2558797)*((1 + 'M0.84 Mach'!I5^2/5)^3.5 - 1))^(2/7) - 1))^0.5</f>
        <v>287.1013315772521</v>
      </c>
      <c r="J5" s="58">
        <f>661.4786*(5*((1 + ( (1-0.00068755856*J$4)^5.2558797)*((1 + 'M0.84 Mach'!J5^2/5)^3.5 - 1))^(2/7) - 1))^0.5</f>
        <v>280.61248397428835</v>
      </c>
      <c r="K5" s="58">
        <f>661.4786*(5*((1 + ( (1-0.00068755856*K$4)^5.2558797)*((1 + 'M0.84 Mach'!K5^2/5)^3.5 - 1))^(2/7) - 1))^0.5</f>
        <v>274.20043668687055</v>
      </c>
      <c r="L5" s="58">
        <f>661.4786*(5*((1 + ( (1-0.00068755856*L$4)^5.2558797)*((1 + 'M0.84 Mach'!L5^2/5)^3.5 - 1))^(2/7) - 1))^0.5</f>
        <v>267.86576332644057</v>
      </c>
      <c r="M5" s="58">
        <f>661.4786*(5*((1 + ( (1-0.00068755856*M$4)^5.2558797)*((1 + 'M0.84 Mach'!M5^2/5)^3.5 - 1))^(2/7) - 1))^0.5</f>
        <v>261.60900049601861</v>
      </c>
      <c r="N5" s="58">
        <f>661.4786*(5*((1 + ( (1-0.00068755856*N$4)^5.2558797)*((1 + 'M0.84 Mach'!N5^2/5)^3.5 - 1))^(2/7) - 1))^0.5</f>
        <v>255.43064782929284</v>
      </c>
      <c r="O5" s="58">
        <f>661.4786*(5*((1 + ( (1-0.00068755856*O$4)^5.2558797)*((1 + 'M0.84 Mach'!O5^2/5)^3.5 - 1))^(2/7) - 1))^0.5</f>
        <v>249.33116809009161</v>
      </c>
      <c r="P5" s="58">
        <f>661.4786*(5*((1 + ( (1-0.00068755856*P$4)^5.2558797)*((1 + 'M0.84 Mach'!P5^2/5)^3.5 - 1))^(2/7) - 1))^0.5</f>
        <v>243.3109873298402</v>
      </c>
      <c r="Q5" s="298">
        <f>661.4786*(5*((1 + ( (1-0.00068755856*Q$4)^5.2558797)*((1 + 'M0.84 Mach'!Q5^2/5)^3.5 - 1))^(2/7) - 1))^0.5</f>
        <v>237.37049510043377</v>
      </c>
      <c r="R5"/>
      <c r="S5"/>
      <c r="T5"/>
      <c r="U5"/>
      <c r="V5"/>
      <c r="W5"/>
      <c r="X5"/>
      <c r="Y5"/>
      <c r="Z5"/>
      <c r="AA5"/>
      <c r="AB5"/>
      <c r="AC5"/>
      <c r="AD5"/>
      <c r="AE5"/>
      <c r="AF5"/>
      <c r="AG5"/>
      <c r="AH5"/>
      <c r="AI5"/>
      <c r="AJ5"/>
      <c r="AK5"/>
      <c r="AL5"/>
    </row>
    <row r="6" spans="2:38" ht="24" customHeight="1" thickBot="1" x14ac:dyDescent="0.25">
      <c r="B6" s="917"/>
      <c r="C6" s="28">
        <v>150</v>
      </c>
      <c r="D6" s="58">
        <f>661.4786*(5*((1 + ( (1-0.00068755856*D$4)^5.2558797)*((1 + 'M0.84 Mach'!D6^2/5)^3.5 - 1))^(2/7) - 1))^0.5</f>
        <v>320.67491579433147</v>
      </c>
      <c r="E6" s="58">
        <f>661.4786*(5*((1 + ( (1-0.00068755856*E$4)^5.2558797)*((1 + 'M0.84 Mach'!E6^2/5)^3.5 - 1))^(2/7) - 1))^0.5</f>
        <v>313.81196076317684</v>
      </c>
      <c r="F6" s="58">
        <f>661.4786*(5*((1 + ( (1-0.00068755856*F$4)^5.2558797)*((1 + 'M0.84 Mach'!F6^2/5)^3.5 - 1))^(2/7) - 1))^0.5</f>
        <v>307.02238598713757</v>
      </c>
      <c r="G6" s="58">
        <f>661.4786*(5*((1 + ( (1-0.00068755856*G$4)^5.2558797)*((1 + 'M0.84 Mach'!G6^2/5)^3.5 - 1))^(2/7) - 1))^0.5</f>
        <v>300.30694844775132</v>
      </c>
      <c r="H6" s="58">
        <f>661.4786*(5*((1 + ( (1-0.00068755856*H$4)^5.2558797)*((1 + 'M0.84 Mach'!H6^2/5)^3.5 - 1))^(2/7) - 1))^0.5</f>
        <v>293.66636889942305</v>
      </c>
      <c r="I6" s="58">
        <f>661.4786*(5*((1 + ( (1-0.00068755856*I$4)^5.2558797)*((1 + 'M0.84 Mach'!I6^2/5)^3.5 - 1))^(2/7) - 1))^0.5</f>
        <v>287.1013315772521</v>
      </c>
      <c r="J6" s="58">
        <f>661.4786*(5*((1 + ( (1-0.00068755856*J$4)^5.2558797)*((1 + 'M0.84 Mach'!J6^2/5)^3.5 - 1))^(2/7) - 1))^0.5</f>
        <v>280.61248397428835</v>
      </c>
      <c r="K6" s="58">
        <f>661.4786*(5*((1 + ( (1-0.00068755856*K$4)^5.2558797)*((1 + 'M0.84 Mach'!K6^2/5)^3.5 - 1))^(2/7) - 1))^0.5</f>
        <v>274.20043668687055</v>
      </c>
      <c r="L6" s="58">
        <f>661.4786*(5*((1 + ( (1-0.00068755856*L$4)^5.2558797)*((1 + 'M0.84 Mach'!L6^2/5)^3.5 - 1))^(2/7) - 1))^0.5</f>
        <v>267.86576332644057</v>
      </c>
      <c r="M6" s="58">
        <f>661.4786*(5*((1 + ( (1-0.00068755856*M$4)^5.2558797)*((1 + 'M0.84 Mach'!M6^2/5)^3.5 - 1))^(2/7) - 1))^0.5</f>
        <v>261.60900049601861</v>
      </c>
      <c r="N6" s="58">
        <f>661.4786*(5*((1 + ( (1-0.00068755856*N$4)^5.2558797)*((1 + 'M0.84 Mach'!N6^2/5)^3.5 - 1))^(2/7) - 1))^0.5</f>
        <v>255.43064782929284</v>
      </c>
      <c r="O6" s="58">
        <f>661.4786*(5*((1 + ( (1-0.00068755856*O$4)^5.2558797)*((1 + 'M0.84 Mach'!O6^2/5)^3.5 - 1))^(2/7) - 1))^0.5</f>
        <v>249.33116809009161</v>
      </c>
      <c r="P6" s="58">
        <f>661.4786*(5*((1 + ( (1-0.00068755856*P$4)^5.2558797)*((1 + 'M0.84 Mach'!P6^2/5)^3.5 - 1))^(2/7) - 1))^0.5</f>
        <v>243.3109873298402</v>
      </c>
      <c r="Q6" s="298">
        <f>661.4786*(5*((1 + ( (1-0.00068755856*Q$4)^5.2558797)*((1 + 'M0.84 Mach'!Q6^2/5)^3.5 - 1))^(2/7) - 1))^0.5</f>
        <v>237.37049510043377</v>
      </c>
      <c r="R6"/>
      <c r="S6"/>
      <c r="T6"/>
      <c r="U6"/>
      <c r="V6"/>
      <c r="W6"/>
      <c r="X6"/>
      <c r="Y6"/>
      <c r="Z6"/>
      <c r="AA6"/>
      <c r="AB6"/>
      <c r="AC6"/>
      <c r="AD6"/>
      <c r="AE6"/>
      <c r="AF6"/>
      <c r="AG6"/>
      <c r="AH6"/>
      <c r="AI6"/>
      <c r="AJ6"/>
      <c r="AK6"/>
      <c r="AL6"/>
    </row>
    <row r="7" spans="2:38" ht="24" customHeight="1" thickBot="1" x14ac:dyDescent="0.25">
      <c r="B7" s="917"/>
      <c r="C7" s="16">
        <v>160</v>
      </c>
      <c r="D7" s="58">
        <f>661.4786*(5*((1 + ( (1-0.00068755856*D$4)^5.2558797)*((1 + 'M0.84 Mach'!D7^2/5)^3.5 - 1))^(2/7) - 1))^0.5</f>
        <v>320.67491579433147</v>
      </c>
      <c r="E7" s="58">
        <f>661.4786*(5*((1 + ( (1-0.00068755856*E$4)^5.2558797)*((1 + 'M0.84 Mach'!E7^2/5)^3.5 - 1))^(2/7) - 1))^0.5</f>
        <v>313.81196076317684</v>
      </c>
      <c r="F7" s="58">
        <f>661.4786*(5*((1 + ( (1-0.00068755856*F$4)^5.2558797)*((1 + 'M0.84 Mach'!F7^2/5)^3.5 - 1))^(2/7) - 1))^0.5</f>
        <v>307.02238598713757</v>
      </c>
      <c r="G7" s="58">
        <f>661.4786*(5*((1 + ( (1-0.00068755856*G$4)^5.2558797)*((1 + 'M0.84 Mach'!G7^2/5)^3.5 - 1))^(2/7) - 1))^0.5</f>
        <v>300.30694844775132</v>
      </c>
      <c r="H7" s="58">
        <f>661.4786*(5*((1 + ( (1-0.00068755856*H$4)^5.2558797)*((1 + 'M0.84 Mach'!H7^2/5)^3.5 - 1))^(2/7) - 1))^0.5</f>
        <v>293.66636889942305</v>
      </c>
      <c r="I7" s="58">
        <f>661.4786*(5*((1 + ( (1-0.00068755856*I$4)^5.2558797)*((1 + 'M0.84 Mach'!I7^2/5)^3.5 - 1))^(2/7) - 1))^0.5</f>
        <v>287.1013315772521</v>
      </c>
      <c r="J7" s="58">
        <f>661.4786*(5*((1 + ( (1-0.00068755856*J$4)^5.2558797)*((1 + 'M0.84 Mach'!J7^2/5)^3.5 - 1))^(2/7) - 1))^0.5</f>
        <v>280.61248397428835</v>
      </c>
      <c r="K7" s="58">
        <f>661.4786*(5*((1 + ( (1-0.00068755856*K$4)^5.2558797)*((1 + 'M0.84 Mach'!K7^2/5)^3.5 - 1))^(2/7) - 1))^0.5</f>
        <v>274.20043668687055</v>
      </c>
      <c r="L7" s="58">
        <f>661.4786*(5*((1 + ( (1-0.00068755856*L$4)^5.2558797)*((1 + 'M0.84 Mach'!L7^2/5)^3.5 - 1))^(2/7) - 1))^0.5</f>
        <v>267.86576332644057</v>
      </c>
      <c r="M7" s="58">
        <f>661.4786*(5*((1 + ( (1-0.00068755856*M$4)^5.2558797)*((1 + 'M0.84 Mach'!M7^2/5)^3.5 - 1))^(2/7) - 1))^0.5</f>
        <v>261.60900049601861</v>
      </c>
      <c r="N7" s="58">
        <f>661.4786*(5*((1 + ( (1-0.00068755856*N$4)^5.2558797)*((1 + 'M0.84 Mach'!N7^2/5)^3.5 - 1))^(2/7) - 1))^0.5</f>
        <v>255.43064782929284</v>
      </c>
      <c r="O7" s="58">
        <f>661.4786*(5*((1 + ( (1-0.00068755856*O$4)^5.2558797)*((1 + 'M0.84 Mach'!O7^2/5)^3.5 - 1))^(2/7) - 1))^0.5</f>
        <v>249.33116809009161</v>
      </c>
      <c r="P7" s="58">
        <f>661.4786*(5*((1 + ( (1-0.00068755856*P$4)^5.2558797)*((1 + 'M0.84 Mach'!P7^2/5)^3.5 - 1))^(2/7) - 1))^0.5</f>
        <v>243.3109873298402</v>
      </c>
      <c r="Q7" s="298">
        <f>661.4786*(5*((1 + ( (1-0.00068755856*Q$4)^5.2558797)*((1 + 'M0.84 Mach'!Q7^2/5)^3.5 - 1))^(2/7) - 1))^0.5</f>
        <v>237.37049510043377</v>
      </c>
      <c r="R7"/>
      <c r="S7"/>
      <c r="T7"/>
      <c r="U7"/>
      <c r="V7"/>
      <c r="W7"/>
      <c r="X7"/>
      <c r="Y7"/>
      <c r="Z7"/>
      <c r="AA7"/>
      <c r="AB7"/>
      <c r="AC7"/>
      <c r="AD7"/>
      <c r="AE7"/>
      <c r="AF7"/>
      <c r="AG7"/>
      <c r="AH7"/>
      <c r="AI7"/>
      <c r="AJ7"/>
      <c r="AK7"/>
      <c r="AL7"/>
    </row>
    <row r="8" spans="2:38" ht="24" customHeight="1" thickBot="1" x14ac:dyDescent="0.25">
      <c r="B8" s="917"/>
      <c r="C8" s="16">
        <v>170</v>
      </c>
      <c r="D8" s="58">
        <f>661.4786*(5*((1 + ( (1-0.00068755856*D$4)^5.2558797)*((1 + 'M0.84 Mach'!D8^2/5)^3.5 - 1))^(2/7) - 1))^0.5</f>
        <v>320.67491579433147</v>
      </c>
      <c r="E8" s="58">
        <f>661.4786*(5*((1 + ( (1-0.00068755856*E$4)^5.2558797)*((1 + 'M0.84 Mach'!E8^2/5)^3.5 - 1))^(2/7) - 1))^0.5</f>
        <v>313.81196076317684</v>
      </c>
      <c r="F8" s="58">
        <f>661.4786*(5*((1 + ( (1-0.00068755856*F$4)^5.2558797)*((1 + 'M0.84 Mach'!F8^2/5)^3.5 - 1))^(2/7) - 1))^0.5</f>
        <v>307.02238598713757</v>
      </c>
      <c r="G8" s="58">
        <f>661.4786*(5*((1 + ( (1-0.00068755856*G$4)^5.2558797)*((1 + 'M0.84 Mach'!G8^2/5)^3.5 - 1))^(2/7) - 1))^0.5</f>
        <v>300.30694844775132</v>
      </c>
      <c r="H8" s="58">
        <f>661.4786*(5*((1 + ( (1-0.00068755856*H$4)^5.2558797)*((1 + 'M0.84 Mach'!H8^2/5)^3.5 - 1))^(2/7) - 1))^0.5</f>
        <v>293.66636889942305</v>
      </c>
      <c r="I8" s="58">
        <f>661.4786*(5*((1 + ( (1-0.00068755856*I$4)^5.2558797)*((1 + 'M0.84 Mach'!I8^2/5)^3.5 - 1))^(2/7) - 1))^0.5</f>
        <v>287.1013315772521</v>
      </c>
      <c r="J8" s="58">
        <f>661.4786*(5*((1 + ( (1-0.00068755856*J$4)^5.2558797)*((1 + 'M0.84 Mach'!J8^2/5)^3.5 - 1))^(2/7) - 1))^0.5</f>
        <v>280.61248397428835</v>
      </c>
      <c r="K8" s="58">
        <f>661.4786*(5*((1 + ( (1-0.00068755856*K$4)^5.2558797)*((1 + 'M0.84 Mach'!K8^2/5)^3.5 - 1))^(2/7) - 1))^0.5</f>
        <v>274.20043668687055</v>
      </c>
      <c r="L8" s="58">
        <f>661.4786*(5*((1 + ( (1-0.00068755856*L$4)^5.2558797)*((1 + 'M0.84 Mach'!L8^2/5)^3.5 - 1))^(2/7) - 1))^0.5</f>
        <v>267.86576332644057</v>
      </c>
      <c r="M8" s="58">
        <f>661.4786*(5*((1 + ( (1-0.00068755856*M$4)^5.2558797)*((1 + 'M0.84 Mach'!M8^2/5)^3.5 - 1))^(2/7) - 1))^0.5</f>
        <v>261.60900049601861</v>
      </c>
      <c r="N8" s="58">
        <f>661.4786*(5*((1 + ( (1-0.00068755856*N$4)^5.2558797)*((1 + 'M0.84 Mach'!N8^2/5)^3.5 - 1))^(2/7) - 1))^0.5</f>
        <v>255.43064782929284</v>
      </c>
      <c r="O8" s="58">
        <f>661.4786*(5*((1 + ( (1-0.00068755856*O$4)^5.2558797)*((1 + 'M0.84 Mach'!O8^2/5)^3.5 - 1))^(2/7) - 1))^0.5</f>
        <v>249.33116809009161</v>
      </c>
      <c r="P8" s="58">
        <f>661.4786*(5*((1 + ( (1-0.00068755856*P$4)^5.2558797)*((1 + 'M0.84 Mach'!P8^2/5)^3.5 - 1))^(2/7) - 1))^0.5</f>
        <v>243.3109873298402</v>
      </c>
      <c r="Q8" s="298">
        <f>661.4786*(5*((1 + ( (1-0.00068755856*Q$4)^5.2558797)*((1 + 'M0.84 Mach'!Q8^2/5)^3.5 - 1))^(2/7) - 1))^0.5</f>
        <v>237.37049510043377</v>
      </c>
      <c r="R8"/>
      <c r="S8"/>
      <c r="T8"/>
      <c r="U8"/>
      <c r="V8"/>
      <c r="W8"/>
      <c r="X8"/>
      <c r="Y8"/>
      <c r="Z8"/>
      <c r="AA8"/>
      <c r="AB8"/>
      <c r="AC8"/>
      <c r="AD8"/>
      <c r="AE8"/>
      <c r="AF8"/>
      <c r="AG8"/>
      <c r="AH8"/>
      <c r="AI8"/>
      <c r="AJ8"/>
      <c r="AK8"/>
      <c r="AL8"/>
    </row>
    <row r="9" spans="2:38" ht="24" customHeight="1" thickBot="1" x14ac:dyDescent="0.25">
      <c r="B9" s="917"/>
      <c r="C9" s="16">
        <v>180</v>
      </c>
      <c r="D9" s="58">
        <f>661.4786*(5*((1 + ( (1-0.00068755856*D$4)^5.2558797)*((1 + 'M0.84 Mach'!D9^2/5)^3.5 - 1))^(2/7) - 1))^0.5</f>
        <v>320.67491579433147</v>
      </c>
      <c r="E9" s="58">
        <f>661.4786*(5*((1 + ( (1-0.00068755856*E$4)^5.2558797)*((1 + 'M0.84 Mach'!E9^2/5)^3.5 - 1))^(2/7) - 1))^0.5</f>
        <v>313.81196076317684</v>
      </c>
      <c r="F9" s="58">
        <f>661.4786*(5*((1 + ( (1-0.00068755856*F$4)^5.2558797)*((1 + 'M0.84 Mach'!F9^2/5)^3.5 - 1))^(2/7) - 1))^0.5</f>
        <v>307.02238598713757</v>
      </c>
      <c r="G9" s="58">
        <f>661.4786*(5*((1 + ( (1-0.00068755856*G$4)^5.2558797)*((1 + 'M0.84 Mach'!G9^2/5)^3.5 - 1))^(2/7) - 1))^0.5</f>
        <v>300.30694844775132</v>
      </c>
      <c r="H9" s="58">
        <f>661.4786*(5*((1 + ( (1-0.00068755856*H$4)^5.2558797)*((1 + 'M0.84 Mach'!H9^2/5)^3.5 - 1))^(2/7) - 1))^0.5</f>
        <v>293.66636889942305</v>
      </c>
      <c r="I9" s="58">
        <f>661.4786*(5*((1 + ( (1-0.00068755856*I$4)^5.2558797)*((1 + 'M0.84 Mach'!I9^2/5)^3.5 - 1))^(2/7) - 1))^0.5</f>
        <v>287.1013315772521</v>
      </c>
      <c r="J9" s="58">
        <f>661.4786*(5*((1 + ( (1-0.00068755856*J$4)^5.2558797)*((1 + 'M0.84 Mach'!J9^2/5)^3.5 - 1))^(2/7) - 1))^0.5</f>
        <v>280.61248397428835</v>
      </c>
      <c r="K9" s="58">
        <f>661.4786*(5*((1 + ( (1-0.00068755856*K$4)^5.2558797)*((1 + 'M0.84 Mach'!K9^2/5)^3.5 - 1))^(2/7) - 1))^0.5</f>
        <v>274.20043668687055</v>
      </c>
      <c r="L9" s="58">
        <f>661.4786*(5*((1 + ( (1-0.00068755856*L$4)^5.2558797)*((1 + 'M0.84 Mach'!L9^2/5)^3.5 - 1))^(2/7) - 1))^0.5</f>
        <v>267.86576332644057</v>
      </c>
      <c r="M9" s="58">
        <f>661.4786*(5*((1 + ( (1-0.00068755856*M$4)^5.2558797)*((1 + 'M0.84 Mach'!M9^2/5)^3.5 - 1))^(2/7) - 1))^0.5</f>
        <v>261.60900049601861</v>
      </c>
      <c r="N9" s="58">
        <f>661.4786*(5*((1 + ( (1-0.00068755856*N$4)^5.2558797)*((1 + 'M0.84 Mach'!N9^2/5)^3.5 - 1))^(2/7) - 1))^0.5</f>
        <v>255.43064782929284</v>
      </c>
      <c r="O9" s="58">
        <f>661.4786*(5*((1 + ( (1-0.00068755856*O$4)^5.2558797)*((1 + 'M0.84 Mach'!O9^2/5)^3.5 - 1))^(2/7) - 1))^0.5</f>
        <v>249.33116809009161</v>
      </c>
      <c r="P9" s="58">
        <f>661.4786*(5*((1 + ( (1-0.00068755856*P$4)^5.2558797)*((1 + 'M0.84 Mach'!P9^2/5)^3.5 - 1))^(2/7) - 1))^0.5</f>
        <v>243.3109873298402</v>
      </c>
      <c r="Q9" s="298">
        <f>661.4786*(5*((1 + ( (1-0.00068755856*Q$4)^5.2558797)*((1 + 'M0.84 Mach'!Q9^2/5)^3.5 - 1))^(2/7) - 1))^0.5</f>
        <v>237.37049510043377</v>
      </c>
      <c r="R9"/>
      <c r="S9"/>
      <c r="T9"/>
      <c r="U9"/>
      <c r="V9"/>
      <c r="W9"/>
      <c r="X9"/>
      <c r="Y9"/>
      <c r="Z9"/>
      <c r="AA9"/>
      <c r="AB9"/>
      <c r="AC9"/>
      <c r="AD9"/>
      <c r="AE9"/>
      <c r="AF9"/>
      <c r="AG9"/>
      <c r="AH9"/>
      <c r="AI9"/>
      <c r="AJ9"/>
      <c r="AK9"/>
      <c r="AL9"/>
    </row>
    <row r="10" spans="2:38" ht="24" customHeight="1" thickBot="1" x14ac:dyDescent="0.25">
      <c r="B10" s="917"/>
      <c r="C10" s="16">
        <v>190</v>
      </c>
      <c r="D10" s="58">
        <f>661.4786*(5*((1 + ( (1-0.00068755856*D$4)^5.2558797)*((1 + 'M0.84 Mach'!D10^2/5)^3.5 - 1))^(2/7) - 1))^0.5</f>
        <v>320.67491579433147</v>
      </c>
      <c r="E10" s="58">
        <f>661.4786*(5*((1 + ( (1-0.00068755856*E$4)^5.2558797)*((1 + 'M0.84 Mach'!E10^2/5)^3.5 - 1))^(2/7) - 1))^0.5</f>
        <v>313.81196076317684</v>
      </c>
      <c r="F10" s="58">
        <f>661.4786*(5*((1 + ( (1-0.00068755856*F$4)^5.2558797)*((1 + 'M0.84 Mach'!F10^2/5)^3.5 - 1))^(2/7) - 1))^0.5</f>
        <v>307.02238598713757</v>
      </c>
      <c r="G10" s="58">
        <f>661.4786*(5*((1 + ( (1-0.00068755856*G$4)^5.2558797)*((1 + 'M0.84 Mach'!G10^2/5)^3.5 - 1))^(2/7) - 1))^0.5</f>
        <v>300.30694844775132</v>
      </c>
      <c r="H10" s="58">
        <f>661.4786*(5*((1 + ( (1-0.00068755856*H$4)^5.2558797)*((1 + 'M0.84 Mach'!H10^2/5)^3.5 - 1))^(2/7) - 1))^0.5</f>
        <v>293.66636889942305</v>
      </c>
      <c r="I10" s="58">
        <f>661.4786*(5*((1 + ( (1-0.00068755856*I$4)^5.2558797)*((1 + 'M0.84 Mach'!I10^2/5)^3.5 - 1))^(2/7) - 1))^0.5</f>
        <v>287.1013315772521</v>
      </c>
      <c r="J10" s="58">
        <f>661.4786*(5*((1 + ( (1-0.00068755856*J$4)^5.2558797)*((1 + 'M0.84 Mach'!J10^2/5)^3.5 - 1))^(2/7) - 1))^0.5</f>
        <v>280.61248397428835</v>
      </c>
      <c r="K10" s="58">
        <f>661.4786*(5*((1 + ( (1-0.00068755856*K$4)^5.2558797)*((1 + 'M0.84 Mach'!K10^2/5)^3.5 - 1))^(2/7) - 1))^0.5</f>
        <v>274.20043668687055</v>
      </c>
      <c r="L10" s="58">
        <f>661.4786*(5*((1 + ( (1-0.00068755856*L$4)^5.2558797)*((1 + 'M0.84 Mach'!L10^2/5)^3.5 - 1))^(2/7) - 1))^0.5</f>
        <v>267.86576332644057</v>
      </c>
      <c r="M10" s="58">
        <f>661.4786*(5*((1 + ( (1-0.00068755856*M$4)^5.2558797)*((1 + 'M0.84 Mach'!M10^2/5)^3.5 - 1))^(2/7) - 1))^0.5</f>
        <v>261.60900049601861</v>
      </c>
      <c r="N10" s="58">
        <f>661.4786*(5*((1 + ( (1-0.00068755856*N$4)^5.2558797)*((1 + 'M0.84 Mach'!N10^2/5)^3.5 - 1))^(2/7) - 1))^0.5</f>
        <v>255.43064782929284</v>
      </c>
      <c r="O10" s="58">
        <f>661.4786*(5*((1 + ( (1-0.00068755856*O$4)^5.2558797)*((1 + 'M0.84 Mach'!O10^2/5)^3.5 - 1))^(2/7) - 1))^0.5</f>
        <v>249.33116809009161</v>
      </c>
      <c r="P10" s="58">
        <f>661.4786*(5*((1 + ( (1-0.00068755856*P$4)^5.2558797)*((1 + 'M0.84 Mach'!P10^2/5)^3.5 - 1))^(2/7) - 1))^0.5</f>
        <v>243.3109873298402</v>
      </c>
      <c r="Q10" s="298">
        <f>661.4786*(5*((1 + ( (1-0.00068755856*Q$4)^5.2558797)*((1 + 'M0.84 Mach'!Q10^2/5)^3.5 - 1))^(2/7) - 1))^0.5</f>
        <v>237.37049510043377</v>
      </c>
      <c r="R10"/>
      <c r="S10"/>
      <c r="T10"/>
      <c r="U10"/>
      <c r="V10"/>
      <c r="W10"/>
      <c r="X10"/>
      <c r="Y10"/>
      <c r="Z10"/>
      <c r="AA10"/>
      <c r="AB10"/>
      <c r="AC10"/>
      <c r="AD10"/>
      <c r="AE10"/>
      <c r="AF10"/>
      <c r="AG10"/>
      <c r="AH10"/>
      <c r="AI10"/>
      <c r="AJ10"/>
      <c r="AK10"/>
      <c r="AL10"/>
    </row>
    <row r="11" spans="2:38" ht="24" customHeight="1" thickBot="1" x14ac:dyDescent="0.25">
      <c r="B11" s="917"/>
      <c r="C11" s="16">
        <v>200</v>
      </c>
      <c r="D11" s="58">
        <f>661.4786*(5*((1 + ( (1-0.00068755856*D$4)^5.2558797)*((1 + 'M0.84 Mach'!D11^2/5)^3.5 - 1))^(2/7) - 1))^0.5</f>
        <v>320.67491579433147</v>
      </c>
      <c r="E11" s="58">
        <f>661.4786*(5*((1 + ( (1-0.00068755856*E$4)^5.2558797)*((1 + 'M0.84 Mach'!E11^2/5)^3.5 - 1))^(2/7) - 1))^0.5</f>
        <v>313.81196076317684</v>
      </c>
      <c r="F11" s="58">
        <f>661.4786*(5*((1 + ( (1-0.00068755856*F$4)^5.2558797)*((1 + 'M0.84 Mach'!F11^2/5)^3.5 - 1))^(2/7) - 1))^0.5</f>
        <v>307.02238598713757</v>
      </c>
      <c r="G11" s="58">
        <f>661.4786*(5*((1 + ( (1-0.00068755856*G$4)^5.2558797)*((1 + 'M0.84 Mach'!G11^2/5)^3.5 - 1))^(2/7) - 1))^0.5</f>
        <v>300.30694844775132</v>
      </c>
      <c r="H11" s="58">
        <f>661.4786*(5*((1 + ( (1-0.00068755856*H$4)^5.2558797)*((1 + 'M0.84 Mach'!H11^2/5)^3.5 - 1))^(2/7) - 1))^0.5</f>
        <v>293.66636889942305</v>
      </c>
      <c r="I11" s="58">
        <f>661.4786*(5*((1 + ( (1-0.00068755856*I$4)^5.2558797)*((1 + 'M0.84 Mach'!I11^2/5)^3.5 - 1))^(2/7) - 1))^0.5</f>
        <v>287.1013315772521</v>
      </c>
      <c r="J11" s="58">
        <f>661.4786*(5*((1 + ( (1-0.00068755856*J$4)^5.2558797)*((1 + 'M0.84 Mach'!J11^2/5)^3.5 - 1))^(2/7) - 1))^0.5</f>
        <v>280.61248397428835</v>
      </c>
      <c r="K11" s="58">
        <f>661.4786*(5*((1 + ( (1-0.00068755856*K$4)^5.2558797)*((1 + 'M0.84 Mach'!K11^2/5)^3.5 - 1))^(2/7) - 1))^0.5</f>
        <v>274.20043668687055</v>
      </c>
      <c r="L11" s="58">
        <f>661.4786*(5*((1 + ( (1-0.00068755856*L$4)^5.2558797)*((1 + 'M0.84 Mach'!L11^2/5)^3.5 - 1))^(2/7) - 1))^0.5</f>
        <v>267.86576332644057</v>
      </c>
      <c r="M11" s="58">
        <f>661.4786*(5*((1 + ( (1-0.00068755856*M$4)^5.2558797)*((1 + 'M0.84 Mach'!M11^2/5)^3.5 - 1))^(2/7) - 1))^0.5</f>
        <v>261.60900049601861</v>
      </c>
      <c r="N11" s="58">
        <f>661.4786*(5*((1 + ( (1-0.00068755856*N$4)^5.2558797)*((1 + 'M0.84 Mach'!N11^2/5)^3.5 - 1))^(2/7) - 1))^0.5</f>
        <v>255.43064782929284</v>
      </c>
      <c r="O11" s="58">
        <f>661.4786*(5*((1 + ( (1-0.00068755856*O$4)^5.2558797)*((1 + 'M0.84 Mach'!O11^2/5)^3.5 - 1))^(2/7) - 1))^0.5</f>
        <v>249.33116809009161</v>
      </c>
      <c r="P11" s="58">
        <f>661.4786*(5*((1 + ( (1-0.00068755856*P$4)^5.2558797)*((1 + 'M0.84 Mach'!P11^2/5)^3.5 - 1))^(2/7) - 1))^0.5</f>
        <v>243.3109873298402</v>
      </c>
      <c r="Q11" s="46"/>
      <c r="R11"/>
      <c r="S11"/>
      <c r="T11"/>
      <c r="U11"/>
      <c r="V11"/>
      <c r="W11"/>
      <c r="X11"/>
      <c r="Y11"/>
      <c r="Z11"/>
      <c r="AA11"/>
      <c r="AB11"/>
      <c r="AC11"/>
      <c r="AD11"/>
      <c r="AE11"/>
      <c r="AF11"/>
      <c r="AG11"/>
      <c r="AH11"/>
      <c r="AI11"/>
      <c r="AJ11"/>
      <c r="AK11"/>
      <c r="AL11"/>
    </row>
    <row r="12" spans="2:38" ht="24" customHeight="1" thickBot="1" x14ac:dyDescent="0.25">
      <c r="B12" s="917"/>
      <c r="C12" s="16">
        <v>210</v>
      </c>
      <c r="D12" s="58">
        <f>661.4786*(5*((1 + ( (1-0.00068755856*D$4)^5.2558797)*((1 + 'M0.84 Mach'!D12^2/5)^3.5 - 1))^(2/7) - 1))^0.5</f>
        <v>320.67491579433147</v>
      </c>
      <c r="E12" s="58">
        <f>661.4786*(5*((1 + ( (1-0.00068755856*E$4)^5.2558797)*((1 + 'M0.84 Mach'!E12^2/5)^3.5 - 1))^(2/7) - 1))^0.5</f>
        <v>313.81196076317684</v>
      </c>
      <c r="F12" s="58">
        <f>661.4786*(5*((1 + ( (1-0.00068755856*F$4)^5.2558797)*((1 + 'M0.84 Mach'!F12^2/5)^3.5 - 1))^(2/7) - 1))^0.5</f>
        <v>307.02238598713757</v>
      </c>
      <c r="G12" s="58">
        <f>661.4786*(5*((1 + ( (1-0.00068755856*G$4)^5.2558797)*((1 + 'M0.84 Mach'!G12^2/5)^3.5 - 1))^(2/7) - 1))^0.5</f>
        <v>300.30694844775132</v>
      </c>
      <c r="H12" s="58">
        <f>661.4786*(5*((1 + ( (1-0.00068755856*H$4)^5.2558797)*((1 + 'M0.84 Mach'!H12^2/5)^3.5 - 1))^(2/7) - 1))^0.5</f>
        <v>293.66636889942305</v>
      </c>
      <c r="I12" s="58">
        <f>661.4786*(5*((1 + ( (1-0.00068755856*I$4)^5.2558797)*((1 + 'M0.84 Mach'!I12^2/5)^3.5 - 1))^(2/7) - 1))^0.5</f>
        <v>287.1013315772521</v>
      </c>
      <c r="J12" s="58">
        <f>661.4786*(5*((1 + ( (1-0.00068755856*J$4)^5.2558797)*((1 + 'M0.84 Mach'!J12^2/5)^3.5 - 1))^(2/7) - 1))^0.5</f>
        <v>280.61248397428835</v>
      </c>
      <c r="K12" s="58">
        <f>661.4786*(5*((1 + ( (1-0.00068755856*K$4)^5.2558797)*((1 + 'M0.84 Mach'!K12^2/5)^3.5 - 1))^(2/7) - 1))^0.5</f>
        <v>274.20043668687055</v>
      </c>
      <c r="L12" s="58">
        <f>661.4786*(5*((1 + ( (1-0.00068755856*L$4)^5.2558797)*((1 + 'M0.84 Mach'!L12^2/5)^3.5 - 1))^(2/7) - 1))^0.5</f>
        <v>267.86576332644057</v>
      </c>
      <c r="M12" s="58">
        <f>661.4786*(5*((1 + ( (1-0.00068755856*M$4)^5.2558797)*((1 + 'M0.84 Mach'!M12^2/5)^3.5 - 1))^(2/7) - 1))^0.5</f>
        <v>261.60900049601861</v>
      </c>
      <c r="N12" s="58">
        <f>661.4786*(5*((1 + ( (1-0.00068755856*N$4)^5.2558797)*((1 + 'M0.84 Mach'!N12^2/5)^3.5 - 1))^(2/7) - 1))^0.5</f>
        <v>255.43064782929284</v>
      </c>
      <c r="O12" s="58">
        <f>661.4786*(5*((1 + ( (1-0.00068755856*O$4)^5.2558797)*((1 + 'M0.84 Mach'!O12^2/5)^3.5 - 1))^(2/7) - 1))^0.5</f>
        <v>249.33116809009161</v>
      </c>
      <c r="P12" s="47"/>
      <c r="Q12" s="46"/>
      <c r="R12"/>
      <c r="S12"/>
      <c r="T12"/>
      <c r="U12"/>
      <c r="V12"/>
      <c r="W12"/>
      <c r="X12"/>
      <c r="Y12"/>
      <c r="Z12"/>
      <c r="AA12"/>
      <c r="AB12"/>
      <c r="AC12"/>
      <c r="AD12"/>
      <c r="AE12"/>
      <c r="AF12"/>
      <c r="AG12"/>
      <c r="AH12"/>
      <c r="AI12"/>
      <c r="AJ12"/>
      <c r="AK12"/>
      <c r="AL12"/>
    </row>
    <row r="13" spans="2:38" ht="24" customHeight="1" thickBot="1" x14ac:dyDescent="0.25">
      <c r="B13" s="917"/>
      <c r="C13" s="16">
        <v>220</v>
      </c>
      <c r="D13" s="58">
        <f>661.4786*(5*((1 + ( (1-0.00068755856*D$4)^5.2558797)*((1 + 'M0.84 Mach'!D13^2/5)^3.5 - 1))^(2/7) - 1))^0.5</f>
        <v>320.67491579433147</v>
      </c>
      <c r="E13" s="58">
        <f>661.4786*(5*((1 + ( (1-0.00068755856*E$4)^5.2558797)*((1 + 'M0.84 Mach'!E13^2/5)^3.5 - 1))^(2/7) - 1))^0.5</f>
        <v>313.81196076317684</v>
      </c>
      <c r="F13" s="58">
        <f>661.4786*(5*((1 + ( (1-0.00068755856*F$4)^5.2558797)*((1 + 'M0.84 Mach'!F13^2/5)^3.5 - 1))^(2/7) - 1))^0.5</f>
        <v>307.02238598713757</v>
      </c>
      <c r="G13" s="58">
        <f>661.4786*(5*((1 + ( (1-0.00068755856*G$4)^5.2558797)*((1 + 'M0.84 Mach'!G13^2/5)^3.5 - 1))^(2/7) - 1))^0.5</f>
        <v>300.30694844775132</v>
      </c>
      <c r="H13" s="58">
        <f>661.4786*(5*((1 + ( (1-0.00068755856*H$4)^5.2558797)*((1 + 'M0.84 Mach'!H13^2/5)^3.5 - 1))^(2/7) - 1))^0.5</f>
        <v>293.66636889942305</v>
      </c>
      <c r="I13" s="58">
        <f>661.4786*(5*((1 + ( (1-0.00068755856*I$4)^5.2558797)*((1 + 'M0.84 Mach'!I13^2/5)^3.5 - 1))^(2/7) - 1))^0.5</f>
        <v>287.1013315772521</v>
      </c>
      <c r="J13" s="58">
        <f>661.4786*(5*((1 + ( (1-0.00068755856*J$4)^5.2558797)*((1 + 'M0.84 Mach'!J13^2/5)^3.5 - 1))^(2/7) - 1))^0.5</f>
        <v>280.61248397428835</v>
      </c>
      <c r="K13" s="58">
        <f>661.4786*(5*((1 + ( (1-0.00068755856*K$4)^5.2558797)*((1 + 'M0.84 Mach'!K13^2/5)^3.5 - 1))^(2/7) - 1))^0.5</f>
        <v>274.20043668687055</v>
      </c>
      <c r="L13" s="58">
        <f>661.4786*(5*((1 + ( (1-0.00068755856*L$4)^5.2558797)*((1 + 'M0.84 Mach'!L13^2/5)^3.5 - 1))^(2/7) - 1))^0.5</f>
        <v>267.86576332644057</v>
      </c>
      <c r="M13" s="58">
        <f>661.4786*(5*((1 + ( (1-0.00068755856*M$4)^5.2558797)*((1 + 'M0.84 Mach'!M13^2/5)^3.5 - 1))^(2/7) - 1))^0.5</f>
        <v>261.60900049601861</v>
      </c>
      <c r="N13" s="58">
        <f>661.4786*(5*((1 + ( (1-0.00068755856*N$4)^5.2558797)*((1 + 'M0.84 Mach'!N13^2/5)^3.5 - 1))^(2/7) - 1))^0.5</f>
        <v>255.43064782929284</v>
      </c>
      <c r="O13" s="47"/>
      <c r="P13" s="47"/>
      <c r="Q13" s="46"/>
      <c r="R13"/>
      <c r="S13"/>
      <c r="T13"/>
      <c r="U13"/>
      <c r="V13"/>
      <c r="W13"/>
      <c r="X13"/>
      <c r="Y13"/>
      <c r="Z13"/>
      <c r="AA13"/>
      <c r="AB13"/>
      <c r="AC13"/>
      <c r="AD13"/>
      <c r="AE13"/>
      <c r="AF13"/>
      <c r="AG13"/>
      <c r="AH13"/>
      <c r="AI13"/>
      <c r="AJ13"/>
      <c r="AK13"/>
      <c r="AL13"/>
    </row>
    <row r="14" spans="2:38" ht="24" customHeight="1" thickBot="1" x14ac:dyDescent="0.25">
      <c r="B14" s="917"/>
      <c r="C14" s="16">
        <v>230</v>
      </c>
      <c r="D14" s="58">
        <f>661.4786*(5*((1 + ( (1-0.00068755856*D$4)^5.2558797)*((1 + 'M0.84 Mach'!D14^2/5)^3.5 - 1))^(2/7) - 1))^0.5</f>
        <v>320.67491579433147</v>
      </c>
      <c r="E14" s="58">
        <f>661.4786*(5*((1 + ( (1-0.00068755856*E$4)^5.2558797)*((1 + 'M0.84 Mach'!E14^2/5)^3.5 - 1))^(2/7) - 1))^0.5</f>
        <v>313.81196076317684</v>
      </c>
      <c r="F14" s="58">
        <f>661.4786*(5*((1 + ( (1-0.00068755856*F$4)^5.2558797)*((1 + 'M0.84 Mach'!F14^2/5)^3.5 - 1))^(2/7) - 1))^0.5</f>
        <v>307.02238598713757</v>
      </c>
      <c r="G14" s="58">
        <f>661.4786*(5*((1 + ( (1-0.00068755856*G$4)^5.2558797)*((1 + 'M0.84 Mach'!G14^2/5)^3.5 - 1))^(2/7) - 1))^0.5</f>
        <v>300.30694844775132</v>
      </c>
      <c r="H14" s="58">
        <f>661.4786*(5*((1 + ( (1-0.00068755856*H$4)^5.2558797)*((1 + 'M0.84 Mach'!H14^2/5)^3.5 - 1))^(2/7) - 1))^0.5</f>
        <v>293.66636889942305</v>
      </c>
      <c r="I14" s="58">
        <f>661.4786*(5*((1 + ( (1-0.00068755856*I$4)^5.2558797)*((1 + 'M0.84 Mach'!I14^2/5)^3.5 - 1))^(2/7) - 1))^0.5</f>
        <v>287.1013315772521</v>
      </c>
      <c r="J14" s="58">
        <f>661.4786*(5*((1 + ( (1-0.00068755856*J$4)^5.2558797)*((1 + 'M0.84 Mach'!J14^2/5)^3.5 - 1))^(2/7) - 1))^0.5</f>
        <v>280.61248397428835</v>
      </c>
      <c r="K14" s="58">
        <f>661.4786*(5*((1 + ( (1-0.00068755856*K$4)^5.2558797)*((1 + 'M0.84 Mach'!K14^2/5)^3.5 - 1))^(2/7) - 1))^0.5</f>
        <v>274.20043668687055</v>
      </c>
      <c r="L14" s="58">
        <f>661.4786*(5*((1 + ( (1-0.00068755856*L$4)^5.2558797)*((1 + 'M0.84 Mach'!L14^2/5)^3.5 - 1))^(2/7) - 1))^0.5</f>
        <v>267.86576332644057</v>
      </c>
      <c r="M14" s="58">
        <f>661.4786*(5*((1 + ( (1-0.00068755856*M$4)^5.2558797)*((1 + 'M0.84 Mach'!M14^2/5)^3.5 - 1))^(2/7) - 1))^0.5</f>
        <v>261.60900049601861</v>
      </c>
      <c r="N14" s="47"/>
      <c r="O14" s="47"/>
      <c r="P14" s="47"/>
      <c r="Q14" s="46"/>
      <c r="R14"/>
      <c r="S14"/>
      <c r="T14"/>
      <c r="U14"/>
      <c r="V14"/>
      <c r="W14"/>
      <c r="X14"/>
      <c r="Y14"/>
      <c r="Z14"/>
      <c r="AA14"/>
      <c r="AB14"/>
      <c r="AC14"/>
      <c r="AD14"/>
      <c r="AE14"/>
      <c r="AF14"/>
      <c r="AG14"/>
      <c r="AH14"/>
      <c r="AI14"/>
      <c r="AJ14"/>
      <c r="AK14"/>
      <c r="AL14"/>
    </row>
    <row r="15" spans="2:38" ht="24" customHeight="1" thickBot="1" x14ac:dyDescent="0.25">
      <c r="B15" s="917"/>
      <c r="C15" s="16">
        <v>240</v>
      </c>
      <c r="D15" s="58">
        <f>661.4786*(5*((1 + ( (1-0.00068755856*D$4)^5.2558797)*((1 + 'M0.84 Mach'!D15^2/5)^3.5 - 1))^(2/7) - 1))^0.5</f>
        <v>320.67491579433147</v>
      </c>
      <c r="E15" s="58">
        <f>661.4786*(5*((1 + ( (1-0.00068755856*E$4)^5.2558797)*((1 + 'M0.84 Mach'!E15^2/5)^3.5 - 1))^(2/7) - 1))^0.5</f>
        <v>313.81196076317684</v>
      </c>
      <c r="F15" s="58">
        <f>661.4786*(5*((1 + ( (1-0.00068755856*F$4)^5.2558797)*((1 + 'M0.84 Mach'!F15^2/5)^3.5 - 1))^(2/7) - 1))^0.5</f>
        <v>307.02238598713757</v>
      </c>
      <c r="G15" s="58">
        <f>661.4786*(5*((1 + ( (1-0.00068755856*G$4)^5.2558797)*((1 + 'M0.84 Mach'!G15^2/5)^3.5 - 1))^(2/7) - 1))^0.5</f>
        <v>300.30694844775132</v>
      </c>
      <c r="H15" s="58">
        <f>661.4786*(5*((1 + ( (1-0.00068755856*H$4)^5.2558797)*((1 + 'M0.84 Mach'!H15^2/5)^3.5 - 1))^(2/7) - 1))^0.5</f>
        <v>293.66636889942305</v>
      </c>
      <c r="I15" s="58">
        <f>661.4786*(5*((1 + ( (1-0.00068755856*I$4)^5.2558797)*((1 + 'M0.84 Mach'!I15^2/5)^3.5 - 1))^(2/7) - 1))^0.5</f>
        <v>287.1013315772521</v>
      </c>
      <c r="J15" s="58">
        <f>661.4786*(5*((1 + ( (1-0.00068755856*J$4)^5.2558797)*((1 + 'M0.84 Mach'!J15^2/5)^3.5 - 1))^(2/7) - 1))^0.5</f>
        <v>280.61248397428835</v>
      </c>
      <c r="K15" s="58">
        <f>661.4786*(5*((1 + ( (1-0.00068755856*K$4)^5.2558797)*((1 + 'M0.84 Mach'!K15^2/5)^3.5 - 1))^(2/7) - 1))^0.5</f>
        <v>274.20043668687055</v>
      </c>
      <c r="L15" s="58">
        <f>661.4786*(5*((1 + ( (1-0.00068755856*L$4)^5.2558797)*((1 + 'M0.84 Mach'!L15^2/5)^3.5 - 1))^(2/7) - 1))^0.5</f>
        <v>267.86576332644057</v>
      </c>
      <c r="M15" s="47"/>
      <c r="N15" s="47"/>
      <c r="O15" s="47"/>
      <c r="P15" s="47"/>
      <c r="Q15" s="46"/>
      <c r="R15"/>
      <c r="S15"/>
      <c r="T15"/>
      <c r="U15"/>
      <c r="V15"/>
      <c r="W15"/>
      <c r="X15"/>
      <c r="Y15"/>
      <c r="Z15"/>
      <c r="AA15"/>
      <c r="AB15"/>
      <c r="AC15"/>
      <c r="AD15"/>
      <c r="AE15"/>
      <c r="AF15"/>
      <c r="AG15"/>
      <c r="AH15"/>
      <c r="AI15"/>
      <c r="AJ15"/>
      <c r="AK15"/>
      <c r="AL15"/>
    </row>
    <row r="16" spans="2:38" ht="24" customHeight="1" thickBot="1" x14ac:dyDescent="0.25">
      <c r="B16" s="917"/>
      <c r="C16" s="16">
        <v>250</v>
      </c>
      <c r="D16" s="58">
        <f>661.4786*(5*((1 + ( (1-0.00068755856*D$4)^5.2558797)*((1 + 'M0.84 Mach'!D16^2/5)^3.5 - 1))^(2/7) - 1))^0.5</f>
        <v>320.67491579433147</v>
      </c>
      <c r="E16" s="58">
        <f>661.4786*(5*((1 + ( (1-0.00068755856*E$4)^5.2558797)*((1 + 'M0.84 Mach'!E16^2/5)^3.5 - 1))^(2/7) - 1))^0.5</f>
        <v>313.81196076317684</v>
      </c>
      <c r="F16" s="58">
        <f>661.4786*(5*((1 + ( (1-0.00068755856*F$4)^5.2558797)*((1 + 'M0.84 Mach'!F16^2/5)^3.5 - 1))^(2/7) - 1))^0.5</f>
        <v>307.02238598713757</v>
      </c>
      <c r="G16" s="58">
        <f>661.4786*(5*((1 + ( (1-0.00068755856*G$4)^5.2558797)*((1 + 'M0.84 Mach'!G16^2/5)^3.5 - 1))^(2/7) - 1))^0.5</f>
        <v>300.30694844775132</v>
      </c>
      <c r="H16" s="58">
        <f>661.4786*(5*((1 + ( (1-0.00068755856*H$4)^5.2558797)*((1 + 'M0.84 Mach'!H16^2/5)^3.5 - 1))^(2/7) - 1))^0.5</f>
        <v>293.66636889942305</v>
      </c>
      <c r="I16" s="58">
        <f>661.4786*(5*((1 + ( (1-0.00068755856*I$4)^5.2558797)*((1 + 'M0.84 Mach'!I16^2/5)^3.5 - 1))^(2/7) - 1))^0.5</f>
        <v>287.1013315772521</v>
      </c>
      <c r="J16" s="58">
        <f>661.4786*(5*((1 + ( (1-0.00068755856*J$4)^5.2558797)*((1 + 'M0.84 Mach'!J16^2/5)^3.5 - 1))^(2/7) - 1))^0.5</f>
        <v>280.61248397428835</v>
      </c>
      <c r="K16" s="58">
        <f>661.4786*(5*((1 + ( (1-0.00068755856*K$4)^5.2558797)*((1 + 'M0.84 Mach'!K16^2/5)^3.5 - 1))^(2/7) - 1))^0.5</f>
        <v>274.20043668687055</v>
      </c>
      <c r="L16" s="47"/>
      <c r="M16" s="47"/>
      <c r="N16" s="47"/>
      <c r="O16" s="47"/>
      <c r="P16" s="47"/>
      <c r="Q16" s="46"/>
      <c r="R16"/>
      <c r="S16"/>
      <c r="T16"/>
      <c r="U16"/>
      <c r="V16"/>
      <c r="W16"/>
      <c r="X16"/>
      <c r="Y16"/>
      <c r="Z16"/>
      <c r="AA16"/>
      <c r="AB16"/>
      <c r="AC16"/>
      <c r="AD16"/>
      <c r="AE16"/>
      <c r="AF16"/>
      <c r="AG16"/>
      <c r="AH16"/>
      <c r="AI16"/>
      <c r="AJ16"/>
      <c r="AK16"/>
      <c r="AL16"/>
    </row>
    <row r="17" spans="2:38" ht="24" customHeight="1" thickBot="1" x14ac:dyDescent="0.25">
      <c r="B17" s="917"/>
      <c r="C17" s="16">
        <v>260</v>
      </c>
      <c r="D17" s="58">
        <f>661.4786*(5*((1 + ( (1-0.00068755856*D$4)^5.2558797)*((1 + 'M0.84 Mach'!D17^2/5)^3.5 - 1))^(2/7) - 1))^0.5</f>
        <v>320.67491579433147</v>
      </c>
      <c r="E17" s="58">
        <f>661.4786*(5*((1 + ( (1-0.00068755856*E$4)^5.2558797)*((1 + 'M0.84 Mach'!E17^2/5)^3.5 - 1))^(2/7) - 1))^0.5</f>
        <v>313.81196076317684</v>
      </c>
      <c r="F17" s="58">
        <f>661.4786*(5*((1 + ( (1-0.00068755856*F$4)^5.2558797)*((1 + 'M0.84 Mach'!F17^2/5)^3.5 - 1))^(2/7) - 1))^0.5</f>
        <v>307.02238598713757</v>
      </c>
      <c r="G17" s="58">
        <f>661.4786*(5*((1 + ( (1-0.00068755856*G$4)^5.2558797)*((1 + 'M0.84 Mach'!G17^2/5)^3.5 - 1))^(2/7) - 1))^0.5</f>
        <v>300.30694844775132</v>
      </c>
      <c r="H17" s="58">
        <f>661.4786*(5*((1 + ( (1-0.00068755856*H$4)^5.2558797)*((1 + 'M0.84 Mach'!H17^2/5)^3.5 - 1))^(2/7) - 1))^0.5</f>
        <v>293.66636889942305</v>
      </c>
      <c r="I17" s="58">
        <f>661.4786*(5*((1 + ( (1-0.00068755856*I$4)^5.2558797)*((1 + 'M0.84 Mach'!I17^2/5)^3.5 - 1))^(2/7) - 1))^0.5</f>
        <v>287.1013315772521</v>
      </c>
      <c r="J17" s="58">
        <f>661.4786*(5*((1 + ( (1-0.00068755856*J$4)^5.2558797)*((1 + 'M0.84 Mach'!J17^2/5)^3.5 - 1))^(2/7) - 1))^0.5</f>
        <v>280.61248397428835</v>
      </c>
      <c r="K17" s="58">
        <f>661.4786*(5*((1 + ( (1-0.00068755856*K$4)^5.2558797)*((1 + 'M0.84 Mach'!K17^2/5)^3.5 - 1))^(2/7) - 1))^0.5</f>
        <v>274.20043668687055</v>
      </c>
      <c r="L17" s="47"/>
      <c r="M17" s="47"/>
      <c r="N17" s="47"/>
      <c r="O17" s="47"/>
      <c r="P17" s="47"/>
      <c r="Q17" s="46"/>
      <c r="R17"/>
      <c r="S17"/>
      <c r="T17"/>
      <c r="U17"/>
      <c r="V17"/>
      <c r="W17"/>
      <c r="X17"/>
      <c r="Y17"/>
      <c r="Z17"/>
      <c r="AA17"/>
      <c r="AB17"/>
      <c r="AC17"/>
      <c r="AD17"/>
      <c r="AE17"/>
      <c r="AF17"/>
      <c r="AG17"/>
      <c r="AH17"/>
      <c r="AI17"/>
      <c r="AJ17"/>
      <c r="AK17"/>
      <c r="AL17"/>
    </row>
    <row r="18" spans="2:38" ht="24" customHeight="1" thickBot="1" x14ac:dyDescent="0.25">
      <c r="B18" s="917"/>
      <c r="C18" s="16">
        <v>270</v>
      </c>
      <c r="D18" s="58">
        <f>661.4786*(5*((1 + ( (1-0.00068755856*D$4)^5.2558797)*((1 + 'M0.84 Mach'!D18^2/5)^3.5 - 1))^(2/7) - 1))^0.5</f>
        <v>320.67491579433147</v>
      </c>
      <c r="E18" s="58">
        <f>661.4786*(5*((1 + ( (1-0.00068755856*E$4)^5.2558797)*((1 + 'M0.84 Mach'!E18^2/5)^3.5 - 1))^(2/7) - 1))^0.5</f>
        <v>313.81196076317684</v>
      </c>
      <c r="F18" s="58">
        <f>661.4786*(5*((1 + ( (1-0.00068755856*F$4)^5.2558797)*((1 + 'M0.84 Mach'!F18^2/5)^3.5 - 1))^(2/7) - 1))^0.5</f>
        <v>307.02238598713757</v>
      </c>
      <c r="G18" s="58">
        <f>661.4786*(5*((1 + ( (1-0.00068755856*G$4)^5.2558797)*((1 + 'M0.84 Mach'!G18^2/5)^3.5 - 1))^(2/7) - 1))^0.5</f>
        <v>300.30694844775132</v>
      </c>
      <c r="H18" s="58">
        <f>661.4786*(5*((1 + ( (1-0.00068755856*H$4)^5.2558797)*((1 + 'M0.84 Mach'!H18^2/5)^3.5 - 1))^(2/7) - 1))^0.5</f>
        <v>293.66636889942305</v>
      </c>
      <c r="I18" s="58">
        <f>661.4786*(5*((1 + ( (1-0.00068755856*I$4)^5.2558797)*((1 + 'M0.84 Mach'!I18^2/5)^3.5 - 1))^(2/7) - 1))^0.5</f>
        <v>287.1013315772521</v>
      </c>
      <c r="J18" s="58">
        <f>661.4786*(5*((1 + ( (1-0.00068755856*J$4)^5.2558797)*((1 + 'M0.84 Mach'!J18^2/5)^3.5 - 1))^(2/7) - 1))^0.5</f>
        <v>280.61248397428835</v>
      </c>
      <c r="K18" s="47"/>
      <c r="L18" s="47"/>
      <c r="M18" s="47"/>
      <c r="N18" s="47"/>
      <c r="O18" s="47"/>
      <c r="P18" s="47"/>
      <c r="Q18" s="46"/>
      <c r="R18"/>
      <c r="S18"/>
      <c r="T18"/>
      <c r="U18"/>
      <c r="V18"/>
      <c r="W18"/>
      <c r="X18"/>
      <c r="Y18"/>
      <c r="Z18"/>
      <c r="AA18"/>
      <c r="AB18"/>
      <c r="AC18"/>
      <c r="AD18"/>
      <c r="AE18"/>
      <c r="AF18"/>
      <c r="AG18"/>
      <c r="AH18"/>
      <c r="AI18"/>
      <c r="AJ18"/>
      <c r="AK18"/>
      <c r="AL18"/>
    </row>
    <row r="19" spans="2:38" ht="24" customHeight="1" thickBot="1" x14ac:dyDescent="0.25">
      <c r="B19" s="917"/>
      <c r="C19" s="16">
        <v>280</v>
      </c>
      <c r="D19" s="58">
        <f>661.4786*(5*((1 + ( (1-0.00068755856*D$4)^5.2558797)*((1 + 'M0.84 Mach'!D19^2/5)^3.5 - 1))^(2/7) - 1))^0.5</f>
        <v>320.67491579433147</v>
      </c>
      <c r="E19" s="58">
        <f>661.4786*(5*((1 + ( (1-0.00068755856*E$4)^5.2558797)*((1 + 'M0.84 Mach'!E19^2/5)^3.5 - 1))^(2/7) - 1))^0.5</f>
        <v>313.81196076317684</v>
      </c>
      <c r="F19" s="58">
        <f>661.4786*(5*((1 + ( (1-0.00068755856*F$4)^5.2558797)*((1 + 'M0.84 Mach'!F19^2/5)^3.5 - 1))^(2/7) - 1))^0.5</f>
        <v>307.02238598713757</v>
      </c>
      <c r="G19" s="58">
        <f>661.4786*(5*((1 + ( (1-0.00068755856*G$4)^5.2558797)*((1 + 'M0.84 Mach'!G19^2/5)^3.5 - 1))^(2/7) - 1))^0.5</f>
        <v>300.30694844775132</v>
      </c>
      <c r="H19" s="58">
        <f>661.4786*(5*((1 + ( (1-0.00068755856*H$4)^5.2558797)*((1 + 'M0.84 Mach'!H19^2/5)^3.5 - 1))^(2/7) - 1))^0.5</f>
        <v>293.66636889942305</v>
      </c>
      <c r="I19" s="58">
        <f>661.4786*(5*((1 + ( (1-0.00068755856*I$4)^5.2558797)*((1 + 'M0.84 Mach'!I19^2/5)^3.5 - 1))^(2/7) - 1))^0.5</f>
        <v>287.1013315772521</v>
      </c>
      <c r="J19" s="47"/>
      <c r="K19" s="47"/>
      <c r="L19" s="47"/>
      <c r="M19" s="47"/>
      <c r="N19" s="47"/>
      <c r="O19" s="47"/>
      <c r="P19" s="47"/>
      <c r="Q19" s="46"/>
      <c r="R19"/>
      <c r="S19"/>
      <c r="T19"/>
      <c r="U19"/>
      <c r="V19"/>
      <c r="W19"/>
      <c r="X19"/>
      <c r="Y19"/>
      <c r="Z19"/>
      <c r="AA19"/>
      <c r="AB19"/>
      <c r="AC19"/>
      <c r="AD19"/>
      <c r="AE19"/>
      <c r="AF19"/>
      <c r="AG19"/>
      <c r="AH19"/>
      <c r="AI19"/>
      <c r="AJ19"/>
      <c r="AK19"/>
      <c r="AL19"/>
    </row>
    <row r="20" spans="2:38" ht="24" customHeight="1" thickBot="1" x14ac:dyDescent="0.25">
      <c r="B20" s="917"/>
      <c r="C20" s="29">
        <v>290</v>
      </c>
      <c r="D20" s="58">
        <f>661.4786*(5*((1 + ( (1-0.00068755856*D$4)^5.2558797)*((1 + 'M0.84 Mach'!D20^2/5)^3.5 - 1))^(2/7) - 1))^0.5</f>
        <v>320.67491579433147</v>
      </c>
      <c r="E20" s="58">
        <f>661.4786*(5*((1 + ( (1-0.00068755856*E$4)^5.2558797)*((1 + 'M0.84 Mach'!E20^2/5)^3.5 - 1))^(2/7) - 1))^0.5</f>
        <v>313.81196076317684</v>
      </c>
      <c r="F20" s="58">
        <f>661.4786*(5*((1 + ( (1-0.00068755856*F$4)^5.2558797)*((1 + 'M0.84 Mach'!F20^2/5)^3.5 - 1))^(2/7) - 1))^0.5</f>
        <v>307.02238598713757</v>
      </c>
      <c r="G20" s="58">
        <f>661.4786*(5*((1 + ( (1-0.00068755856*G$4)^5.2558797)*((1 + 'M0.84 Mach'!G20^2/5)^3.5 - 1))^(2/7) - 1))^0.5</f>
        <v>300.30694844775132</v>
      </c>
      <c r="H20" s="58">
        <f>661.4786*(5*((1 + ( (1-0.00068755856*H$4)^5.2558797)*((1 + 'M0.84 Mach'!H20^2/5)^3.5 - 1))^(2/7) - 1))^0.5</f>
        <v>293.66636889942305</v>
      </c>
      <c r="I20" s="47"/>
      <c r="J20" s="47"/>
      <c r="K20" s="47"/>
      <c r="L20" s="47"/>
      <c r="M20" s="47"/>
      <c r="N20" s="47"/>
      <c r="O20" s="47"/>
      <c r="P20" s="47"/>
      <c r="Q20" s="46"/>
      <c r="R20"/>
      <c r="S20"/>
      <c r="T20"/>
      <c r="U20"/>
      <c r="V20"/>
      <c r="W20"/>
      <c r="X20"/>
      <c r="Y20"/>
      <c r="Z20"/>
      <c r="AA20"/>
      <c r="AB20"/>
      <c r="AC20"/>
      <c r="AD20"/>
      <c r="AE20"/>
      <c r="AF20"/>
      <c r="AG20"/>
      <c r="AH20"/>
      <c r="AI20"/>
      <c r="AJ20"/>
      <c r="AK20"/>
      <c r="AL20"/>
    </row>
    <row r="21" spans="2:38" ht="24" customHeight="1" thickBot="1" x14ac:dyDescent="0.25">
      <c r="B21" s="918"/>
      <c r="C21" s="17">
        <v>300</v>
      </c>
      <c r="D21" s="299">
        <f>661.4786*(5*((1 + ( (1-0.00068755856*D$4)^5.2558797)*((1 + 'M0.84 Mach'!D21^2/5)^3.5 - 1))^(2/7) - 1))^0.5</f>
        <v>320.67491579433147</v>
      </c>
      <c r="E21" s="299">
        <f>661.4786*(5*((1 + ( (1-0.00068755856*E$4)^5.2558797)*((1 + 'M0.84 Mach'!E21^2/5)^3.5 - 1))^(2/7) - 1))^0.5</f>
        <v>313.81196076317684</v>
      </c>
      <c r="F21" s="299">
        <f>661.4786*(5*((1 + ( (1-0.00068755856*F$4)^5.2558797)*((1 + 'M0.84 Mach'!F21^2/5)^3.5 - 1))^(2/7) - 1))^0.5</f>
        <v>307.02238598713757</v>
      </c>
      <c r="G21" s="299">
        <f>661.4786*(5*((1 + ( (1-0.00068755856*G$4)^5.2558797)*((1 + 'M0.84 Mach'!G21^2/5)^3.5 - 1))^(2/7) - 1))^0.5</f>
        <v>300.30694844775132</v>
      </c>
      <c r="H21" s="48"/>
      <c r="I21" s="48"/>
      <c r="J21" s="48"/>
      <c r="K21" s="48"/>
      <c r="L21" s="48"/>
      <c r="M21" s="48"/>
      <c r="N21" s="48"/>
      <c r="O21" s="48"/>
      <c r="P21" s="48"/>
      <c r="Q21" s="49"/>
      <c r="R21"/>
      <c r="S21"/>
      <c r="T21"/>
      <c r="U21"/>
      <c r="V21"/>
      <c r="W21"/>
      <c r="X21"/>
      <c r="Y21"/>
      <c r="Z21"/>
      <c r="AA21"/>
      <c r="AB21"/>
      <c r="AC21"/>
      <c r="AD21"/>
      <c r="AE21"/>
      <c r="AF21"/>
      <c r="AG21"/>
      <c r="AH21"/>
      <c r="AI21"/>
      <c r="AJ21"/>
      <c r="AK21"/>
      <c r="AL21"/>
    </row>
    <row r="22" spans="2:38" ht="22.5" customHeight="1" thickBot="1" x14ac:dyDescent="0.25"/>
    <row r="23" spans="2:38" ht="22.5" customHeight="1" x14ac:dyDescent="0.2">
      <c r="B23" s="919" t="s">
        <v>11</v>
      </c>
      <c r="C23" s="920"/>
      <c r="D23" s="5"/>
      <c r="E23" s="5"/>
      <c r="F23" s="5"/>
      <c r="G23" s="5"/>
      <c r="H23" s="18"/>
      <c r="I23" s="18"/>
      <c r="J23" s="18"/>
      <c r="K23" s="18"/>
      <c r="L23" s="18"/>
      <c r="M23" s="19"/>
    </row>
    <row r="24" spans="2:38" ht="23.25" customHeight="1" x14ac:dyDescent="0.2">
      <c r="B24" s="26" t="s">
        <v>12</v>
      </c>
      <c r="C24" s="22">
        <v>350</v>
      </c>
      <c r="D24" s="27" t="s">
        <v>13</v>
      </c>
      <c r="E24" s="6" t="s">
        <v>23</v>
      </c>
      <c r="F24" s="7"/>
      <c r="G24" s="7"/>
      <c r="H24" s="20"/>
      <c r="I24" s="20"/>
      <c r="J24" s="20"/>
      <c r="K24" s="20"/>
      <c r="L24" s="20"/>
      <c r="M24" s="21"/>
    </row>
    <row r="25" spans="2:38" ht="23.25" customHeight="1" x14ac:dyDescent="0.2">
      <c r="B25" s="26" t="s">
        <v>14</v>
      </c>
      <c r="C25" s="22">
        <v>240</v>
      </c>
      <c r="D25" s="27" t="s">
        <v>15</v>
      </c>
      <c r="E25" s="6" t="s">
        <v>24</v>
      </c>
      <c r="F25" s="7"/>
      <c r="G25" s="7"/>
      <c r="H25" s="20"/>
      <c r="I25" s="20"/>
      <c r="J25" s="20"/>
      <c r="K25" s="20"/>
      <c r="L25" s="20"/>
      <c r="M25" s="21"/>
    </row>
    <row r="26" spans="2:38" ht="14.25" customHeight="1" x14ac:dyDescent="0.2">
      <c r="B26" s="8"/>
      <c r="C26" s="9"/>
      <c r="D26" s="9"/>
      <c r="E26" s="9"/>
      <c r="F26" s="7"/>
      <c r="G26" s="7"/>
      <c r="H26" s="20"/>
      <c r="I26" s="20"/>
      <c r="J26" s="20"/>
      <c r="K26" s="20"/>
      <c r="L26" s="20"/>
      <c r="M26" s="21"/>
    </row>
    <row r="27" spans="2:38" ht="24" customHeight="1" x14ac:dyDescent="0.2">
      <c r="B27" s="26" t="s">
        <v>25</v>
      </c>
      <c r="C27" s="32" t="e">
        <f ca="1">BicubicInterpolation(C4:Q21,C24,C25)</f>
        <v>#NAME?</v>
      </c>
      <c r="D27" s="27" t="s">
        <v>29</v>
      </c>
      <c r="E27" s="7"/>
      <c r="F27" s="7"/>
      <c r="G27" s="7"/>
      <c r="H27" s="20"/>
      <c r="I27" s="20"/>
      <c r="J27" s="20"/>
      <c r="K27" s="20"/>
      <c r="L27" s="20"/>
      <c r="M27" s="21"/>
      <c r="U27"/>
      <c r="V27"/>
      <c r="W27"/>
      <c r="X27"/>
      <c r="Y27"/>
      <c r="Z27"/>
      <c r="AA27"/>
      <c r="AB27"/>
      <c r="AC27"/>
      <c r="AD27"/>
      <c r="AE27"/>
      <c r="AF27"/>
      <c r="AG27"/>
      <c r="AH27"/>
      <c r="AI27"/>
      <c r="AJ27"/>
    </row>
    <row r="28" spans="2:38" ht="18" customHeight="1" thickBot="1" x14ac:dyDescent="0.25">
      <c r="B28" s="37"/>
      <c r="C28" s="38"/>
      <c r="D28" s="39"/>
      <c r="E28" s="40"/>
      <c r="F28" s="40"/>
      <c r="G28" s="40"/>
      <c r="H28" s="41"/>
      <c r="I28" s="41"/>
      <c r="J28" s="41"/>
      <c r="K28" s="41"/>
      <c r="L28" s="41"/>
      <c r="M28" s="42"/>
      <c r="U28"/>
      <c r="V28"/>
      <c r="W28"/>
      <c r="X28"/>
      <c r="Y28"/>
      <c r="Z28"/>
      <c r="AA28"/>
      <c r="AB28"/>
      <c r="AC28"/>
      <c r="AD28"/>
      <c r="AE28"/>
      <c r="AF28"/>
      <c r="AG28"/>
      <c r="AH28"/>
      <c r="AI28"/>
      <c r="AJ28"/>
    </row>
    <row r="29" spans="2:38" ht="18" customHeight="1" x14ac:dyDescent="0.2">
      <c r="B29" s="34" t="s">
        <v>20</v>
      </c>
      <c r="C29" s="934" t="s">
        <v>37</v>
      </c>
      <c r="D29" s="934"/>
      <c r="E29" s="934"/>
      <c r="F29" s="934"/>
      <c r="G29" s="934"/>
      <c r="H29" s="934"/>
      <c r="I29" s="934"/>
      <c r="J29" s="934"/>
      <c r="K29" s="934"/>
      <c r="L29" s="934"/>
      <c r="M29" s="935"/>
      <c r="U29"/>
      <c r="V29"/>
      <c r="W29"/>
      <c r="X29"/>
      <c r="Y29"/>
      <c r="Z29"/>
      <c r="AA29"/>
      <c r="AB29"/>
      <c r="AC29"/>
      <c r="AD29"/>
      <c r="AE29"/>
      <c r="AF29"/>
      <c r="AG29"/>
      <c r="AH29"/>
      <c r="AI29"/>
      <c r="AJ29"/>
    </row>
    <row r="30" spans="2:38" ht="18" customHeight="1" x14ac:dyDescent="0.2">
      <c r="B30" s="24"/>
      <c r="C30" s="932" t="s">
        <v>41</v>
      </c>
      <c r="D30" s="932"/>
      <c r="E30" s="932"/>
      <c r="F30" s="932"/>
      <c r="G30" s="932"/>
      <c r="H30" s="932"/>
      <c r="I30" s="932"/>
      <c r="J30" s="932"/>
      <c r="K30" s="932"/>
      <c r="L30" s="932"/>
      <c r="M30" s="933"/>
      <c r="U30"/>
      <c r="V30"/>
      <c r="W30"/>
      <c r="X30"/>
      <c r="Y30"/>
      <c r="Z30"/>
      <c r="AA30"/>
      <c r="AB30"/>
      <c r="AC30"/>
      <c r="AD30"/>
      <c r="AE30"/>
      <c r="AF30"/>
      <c r="AG30"/>
      <c r="AH30"/>
      <c r="AI30"/>
      <c r="AJ30"/>
    </row>
    <row r="31" spans="2:38" ht="18" customHeight="1" x14ac:dyDescent="0.2">
      <c r="B31" s="24"/>
      <c r="C31" s="932" t="s">
        <v>36</v>
      </c>
      <c r="D31" s="932"/>
      <c r="E31" s="932"/>
      <c r="F31" s="932"/>
      <c r="G31" s="932"/>
      <c r="H31" s="932"/>
      <c r="I31" s="932"/>
      <c r="J31" s="932"/>
      <c r="K31" s="932"/>
      <c r="L31" s="932"/>
      <c r="M31" s="933"/>
      <c r="N31"/>
      <c r="O31"/>
      <c r="P31"/>
      <c r="Q31"/>
      <c r="U31"/>
      <c r="V31"/>
      <c r="W31"/>
      <c r="X31"/>
      <c r="Y31"/>
      <c r="Z31"/>
      <c r="AA31"/>
      <c r="AB31"/>
      <c r="AC31"/>
      <c r="AD31"/>
      <c r="AE31"/>
      <c r="AF31"/>
      <c r="AG31"/>
      <c r="AH31"/>
      <c r="AI31"/>
      <c r="AJ31"/>
    </row>
    <row r="32" spans="2:38" ht="18" customHeight="1" x14ac:dyDescent="0.2">
      <c r="B32" s="24"/>
      <c r="C32" s="35"/>
      <c r="D32" s="35" t="s">
        <v>38</v>
      </c>
      <c r="E32" s="35"/>
      <c r="F32" s="35"/>
      <c r="G32" s="35"/>
      <c r="H32" s="35"/>
      <c r="I32" s="35"/>
      <c r="J32" s="35"/>
      <c r="K32" s="35"/>
      <c r="L32" s="35"/>
      <c r="M32" s="36"/>
      <c r="U32"/>
      <c r="V32"/>
      <c r="W32"/>
      <c r="X32"/>
      <c r="Y32"/>
      <c r="Z32"/>
      <c r="AA32"/>
      <c r="AB32"/>
      <c r="AC32"/>
      <c r="AD32"/>
      <c r="AE32"/>
      <c r="AF32"/>
      <c r="AG32"/>
      <c r="AH32"/>
      <c r="AI32"/>
      <c r="AJ32"/>
    </row>
    <row r="33" spans="2:36" ht="22.5" customHeight="1" x14ac:dyDescent="0.2">
      <c r="B33" s="24"/>
      <c r="C33" s="35"/>
      <c r="D33" s="35" t="s">
        <v>39</v>
      </c>
      <c r="E33" s="35"/>
      <c r="F33" s="35"/>
      <c r="G33" s="35"/>
      <c r="H33" s="35"/>
      <c r="I33" s="35"/>
      <c r="J33" s="35"/>
      <c r="K33" s="35"/>
      <c r="L33" s="35"/>
      <c r="M33" s="36"/>
      <c r="U33"/>
      <c r="V33"/>
      <c r="W33"/>
      <c r="X33"/>
      <c r="Y33"/>
      <c r="Z33"/>
      <c r="AA33"/>
      <c r="AB33"/>
      <c r="AC33"/>
      <c r="AD33"/>
      <c r="AE33"/>
      <c r="AF33"/>
      <c r="AG33"/>
      <c r="AH33"/>
      <c r="AI33"/>
      <c r="AJ33"/>
    </row>
    <row r="34" spans="2:36" ht="17" thickBot="1" x14ac:dyDescent="0.25">
      <c r="B34" s="25"/>
      <c r="C34" s="927" t="s">
        <v>35</v>
      </c>
      <c r="D34" s="927"/>
      <c r="E34" s="927"/>
      <c r="F34" s="927"/>
      <c r="G34" s="927"/>
      <c r="H34" s="927"/>
      <c r="I34" s="927"/>
      <c r="J34" s="927"/>
      <c r="K34" s="927"/>
      <c r="L34" s="927"/>
      <c r="M34" s="928"/>
      <c r="U34"/>
      <c r="V34"/>
      <c r="W34"/>
      <c r="X34"/>
      <c r="Y34"/>
      <c r="Z34"/>
      <c r="AA34"/>
      <c r="AB34"/>
      <c r="AC34"/>
      <c r="AD34"/>
      <c r="AE34"/>
      <c r="AF34"/>
      <c r="AG34"/>
      <c r="AH34"/>
      <c r="AI34"/>
      <c r="AJ34"/>
    </row>
  </sheetData>
  <mergeCells count="8">
    <mergeCell ref="C31:M31"/>
    <mergeCell ref="C34:M34"/>
    <mergeCell ref="B2:Q2"/>
    <mergeCell ref="D3:Q3"/>
    <mergeCell ref="B5:B21"/>
    <mergeCell ref="B23:C23"/>
    <mergeCell ref="C29:M29"/>
    <mergeCell ref="C30:M30"/>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6"/>
  <dimension ref="B1:Q732"/>
  <sheetViews>
    <sheetView zoomScale="80" zoomScaleNormal="80" workbookViewId="0">
      <selection activeCell="T21" sqref="T21"/>
    </sheetView>
  </sheetViews>
  <sheetFormatPr baseColWidth="10" defaultColWidth="8.83203125" defaultRowHeight="15" x14ac:dyDescent="0.2"/>
  <cols>
    <col min="1" max="1" width="4.6640625" customWidth="1"/>
    <col min="2" max="2" width="16.83203125" customWidth="1"/>
    <col min="4" max="17" width="7.1640625" style="3" customWidth="1"/>
    <col min="18" max="18" width="8.83203125" customWidth="1"/>
    <col min="19" max="19" width="7.1640625" customWidth="1"/>
    <col min="20" max="21" width="19.83203125" customWidth="1"/>
    <col min="22" max="27" width="7.1640625" customWidth="1"/>
    <col min="28" max="28" width="10.1640625" customWidth="1"/>
    <col min="29" max="38" width="7.1640625" customWidth="1"/>
    <col min="39" max="39" width="6.1640625" customWidth="1"/>
    <col min="41" max="41" width="15.1640625" customWidth="1"/>
    <col min="44" max="44" width="14.6640625" customWidth="1"/>
    <col min="45" max="45" width="11.1640625" customWidth="1"/>
    <col min="46" max="46" width="11.5" customWidth="1"/>
  </cols>
  <sheetData>
    <row r="1" spans="2:17" ht="16" thickBot="1" x14ac:dyDescent="0.25"/>
    <row r="2" spans="2:17" ht="105" customHeight="1" thickBot="1" x14ac:dyDescent="0.25">
      <c r="B2" s="921" t="s">
        <v>43</v>
      </c>
      <c r="C2" s="922"/>
      <c r="D2" s="922"/>
      <c r="E2" s="922"/>
      <c r="F2" s="922"/>
      <c r="G2" s="922"/>
      <c r="H2" s="922"/>
      <c r="I2" s="922"/>
      <c r="J2" s="922"/>
      <c r="K2" s="922"/>
      <c r="L2" s="922"/>
      <c r="M2" s="922"/>
      <c r="N2" s="922"/>
      <c r="O2" s="922"/>
      <c r="P2" s="922"/>
      <c r="Q2" s="923"/>
    </row>
    <row r="3" spans="2:17" ht="30" customHeight="1" thickBot="1" x14ac:dyDescent="0.25">
      <c r="B3" s="10"/>
      <c r="C3" s="11"/>
      <c r="D3" s="956" t="s">
        <v>10</v>
      </c>
      <c r="E3" s="957"/>
      <c r="F3" s="957"/>
      <c r="G3" s="957"/>
      <c r="H3" s="957"/>
      <c r="I3" s="957"/>
      <c r="J3" s="957"/>
      <c r="K3" s="957"/>
      <c r="L3" s="957"/>
      <c r="M3" s="957"/>
      <c r="N3" s="957"/>
      <c r="O3" s="957"/>
      <c r="P3" s="957"/>
      <c r="Q3" s="958"/>
    </row>
    <row r="4" spans="2:17" ht="27" customHeight="1" thickBot="1" x14ac:dyDescent="0.25">
      <c r="B4" s="56"/>
      <c r="C4" s="57"/>
      <c r="D4" s="30">
        <v>300</v>
      </c>
      <c r="E4" s="30">
        <f t="shared" ref="E4:Q4" si="0">D4+10</f>
        <v>310</v>
      </c>
      <c r="F4" s="30">
        <f t="shared" si="0"/>
        <v>320</v>
      </c>
      <c r="G4" s="30">
        <f t="shared" si="0"/>
        <v>330</v>
      </c>
      <c r="H4" s="30">
        <f t="shared" si="0"/>
        <v>340</v>
      </c>
      <c r="I4" s="30">
        <f t="shared" si="0"/>
        <v>350</v>
      </c>
      <c r="J4" s="30">
        <f t="shared" si="0"/>
        <v>360</v>
      </c>
      <c r="K4" s="30">
        <f t="shared" si="0"/>
        <v>370</v>
      </c>
      <c r="L4" s="30">
        <f t="shared" si="0"/>
        <v>380</v>
      </c>
      <c r="M4" s="30">
        <f t="shared" si="0"/>
        <v>390</v>
      </c>
      <c r="N4" s="30">
        <f t="shared" si="0"/>
        <v>400</v>
      </c>
      <c r="O4" s="30">
        <f t="shared" si="0"/>
        <v>410</v>
      </c>
      <c r="P4" s="30">
        <f t="shared" si="0"/>
        <v>420</v>
      </c>
      <c r="Q4" s="14">
        <f t="shared" si="0"/>
        <v>430</v>
      </c>
    </row>
    <row r="5" spans="2:17" ht="24" customHeight="1" x14ac:dyDescent="0.2">
      <c r="B5" s="916" t="s">
        <v>28</v>
      </c>
      <c r="C5" s="15">
        <v>140</v>
      </c>
      <c r="D5" s="731">
        <v>3379</v>
      </c>
      <c r="E5" s="731">
        <v>3241</v>
      </c>
      <c r="F5" s="731">
        <v>3112</v>
      </c>
      <c r="G5" s="731">
        <v>2990</v>
      </c>
      <c r="H5" s="731">
        <v>2878</v>
      </c>
      <c r="I5" s="731">
        <v>2775</v>
      </c>
      <c r="J5" s="731">
        <v>2679</v>
      </c>
      <c r="K5" s="731">
        <v>2606</v>
      </c>
      <c r="L5" s="731">
        <v>2540</v>
      </c>
      <c r="M5" s="731">
        <v>2479</v>
      </c>
      <c r="N5" s="731">
        <v>2420</v>
      </c>
      <c r="O5" s="731">
        <v>2405</v>
      </c>
      <c r="P5" s="731">
        <v>2355</v>
      </c>
      <c r="Q5" s="732">
        <v>2314</v>
      </c>
    </row>
    <row r="6" spans="2:17" ht="24" customHeight="1" x14ac:dyDescent="0.2">
      <c r="B6" s="917"/>
      <c r="C6" s="28">
        <v>150</v>
      </c>
      <c r="D6" s="733">
        <v>3411</v>
      </c>
      <c r="E6" s="733">
        <v>3278</v>
      </c>
      <c r="F6" s="733">
        <v>3154</v>
      </c>
      <c r="G6" s="733">
        <v>3040</v>
      </c>
      <c r="H6" s="733">
        <v>2934</v>
      </c>
      <c r="I6" s="733">
        <v>2835</v>
      </c>
      <c r="J6" s="733">
        <v>2742</v>
      </c>
      <c r="K6" s="733">
        <v>2672</v>
      </c>
      <c r="L6" s="733">
        <v>2608</v>
      </c>
      <c r="M6" s="733">
        <v>2547</v>
      </c>
      <c r="N6" s="733">
        <v>2488</v>
      </c>
      <c r="O6" s="733">
        <v>2440</v>
      </c>
      <c r="P6" s="733">
        <v>2439</v>
      </c>
      <c r="Q6" s="734">
        <v>2405</v>
      </c>
    </row>
    <row r="7" spans="2:17" ht="24" customHeight="1" x14ac:dyDescent="0.2">
      <c r="B7" s="917"/>
      <c r="C7" s="16">
        <v>160</v>
      </c>
      <c r="D7" s="733">
        <v>3451</v>
      </c>
      <c r="E7" s="735">
        <v>3324</v>
      </c>
      <c r="F7" s="733">
        <v>3207</v>
      </c>
      <c r="G7" s="735">
        <v>3098</v>
      </c>
      <c r="H7" s="733">
        <v>2996</v>
      </c>
      <c r="I7" s="735">
        <v>2900</v>
      </c>
      <c r="J7" s="733">
        <v>2810</v>
      </c>
      <c r="K7" s="735">
        <v>2740</v>
      </c>
      <c r="L7" s="733">
        <v>2676</v>
      </c>
      <c r="M7" s="735">
        <v>2618</v>
      </c>
      <c r="N7" s="733">
        <v>2570</v>
      </c>
      <c r="O7" s="735">
        <v>2524</v>
      </c>
      <c r="P7" s="733">
        <v>2501</v>
      </c>
      <c r="Q7" s="736">
        <v>2493</v>
      </c>
    </row>
    <row r="8" spans="2:17" ht="24" customHeight="1" x14ac:dyDescent="0.2">
      <c r="B8" s="917"/>
      <c r="C8" s="16">
        <v>170</v>
      </c>
      <c r="D8" s="733">
        <v>3500</v>
      </c>
      <c r="E8" s="733">
        <v>3380</v>
      </c>
      <c r="F8" s="733">
        <v>3268</v>
      </c>
      <c r="G8" s="733">
        <v>3162</v>
      </c>
      <c r="H8" s="733">
        <v>3063</v>
      </c>
      <c r="I8" s="733">
        <v>2969</v>
      </c>
      <c r="J8" s="733">
        <v>2878</v>
      </c>
      <c r="K8" s="733">
        <v>2809</v>
      </c>
      <c r="L8" s="733">
        <v>2750</v>
      </c>
      <c r="M8" s="733">
        <v>2701</v>
      </c>
      <c r="N8" s="733">
        <v>2655</v>
      </c>
      <c r="O8" s="733">
        <v>2640</v>
      </c>
      <c r="P8" s="737">
        <v>2630</v>
      </c>
      <c r="Q8" s="736">
        <v>2650</v>
      </c>
    </row>
    <row r="9" spans="2:17" ht="24" customHeight="1" x14ac:dyDescent="0.2">
      <c r="B9" s="917"/>
      <c r="C9" s="16">
        <v>180</v>
      </c>
      <c r="D9" s="733">
        <v>3558</v>
      </c>
      <c r="E9" s="735">
        <v>3442</v>
      </c>
      <c r="F9" s="733">
        <v>3333</v>
      </c>
      <c r="G9" s="735">
        <v>3231</v>
      </c>
      <c r="H9" s="733">
        <v>3133</v>
      </c>
      <c r="I9" s="735">
        <v>3038</v>
      </c>
      <c r="J9" s="733">
        <v>2948</v>
      </c>
      <c r="K9" s="735">
        <v>2886</v>
      </c>
      <c r="L9" s="733">
        <v>2835</v>
      </c>
      <c r="M9" s="735">
        <v>2790</v>
      </c>
      <c r="N9" s="733">
        <v>2780</v>
      </c>
      <c r="O9" s="737">
        <v>2770</v>
      </c>
      <c r="P9" s="737">
        <v>2796</v>
      </c>
      <c r="Q9" s="738">
        <v>2841</v>
      </c>
    </row>
    <row r="10" spans="2:17" ht="24" customHeight="1" x14ac:dyDescent="0.2">
      <c r="B10" s="917"/>
      <c r="C10" s="16">
        <v>190</v>
      </c>
      <c r="D10" s="733">
        <v>3622</v>
      </c>
      <c r="E10" s="733">
        <v>3509</v>
      </c>
      <c r="F10" s="733">
        <v>3403</v>
      </c>
      <c r="G10" s="733">
        <v>3301</v>
      </c>
      <c r="H10" s="733">
        <v>3203</v>
      </c>
      <c r="I10" s="733">
        <v>3109</v>
      </c>
      <c r="J10" s="733">
        <v>3027</v>
      </c>
      <c r="K10" s="733">
        <v>2972</v>
      </c>
      <c r="L10" s="733">
        <v>2928</v>
      </c>
      <c r="M10" s="733">
        <v>2920</v>
      </c>
      <c r="N10" s="737">
        <v>2911</v>
      </c>
      <c r="O10" s="733">
        <v>2941</v>
      </c>
      <c r="P10" s="733">
        <v>2994</v>
      </c>
      <c r="Q10" s="734">
        <v>3099</v>
      </c>
    </row>
    <row r="11" spans="2:17" ht="24" customHeight="1" x14ac:dyDescent="0.2">
      <c r="B11" s="917"/>
      <c r="C11" s="16">
        <v>200</v>
      </c>
      <c r="D11" s="733">
        <v>3690</v>
      </c>
      <c r="E11" s="735">
        <v>3580</v>
      </c>
      <c r="F11" s="733">
        <v>3474</v>
      </c>
      <c r="G11" s="735">
        <v>3372</v>
      </c>
      <c r="H11" s="733">
        <v>3275</v>
      </c>
      <c r="I11" s="735">
        <v>3190</v>
      </c>
      <c r="J11" s="733">
        <v>3113</v>
      </c>
      <c r="K11" s="735">
        <v>3068</v>
      </c>
      <c r="L11" s="737">
        <v>3060</v>
      </c>
      <c r="M11" s="737">
        <v>3053</v>
      </c>
      <c r="N11" s="733">
        <v>3085</v>
      </c>
      <c r="O11" s="735">
        <v>3145</v>
      </c>
      <c r="P11" s="733">
        <v>3259</v>
      </c>
      <c r="Q11" s="739"/>
    </row>
    <row r="12" spans="2:17" ht="24" customHeight="1" x14ac:dyDescent="0.2">
      <c r="B12" s="917"/>
      <c r="C12" s="16">
        <v>210</v>
      </c>
      <c r="D12" s="733">
        <v>3762</v>
      </c>
      <c r="E12" s="733">
        <v>3652</v>
      </c>
      <c r="F12" s="733">
        <v>3546</v>
      </c>
      <c r="G12" s="733">
        <v>3445</v>
      </c>
      <c r="H12" s="733">
        <v>3358</v>
      </c>
      <c r="I12" s="733">
        <v>3277</v>
      </c>
      <c r="J12" s="733">
        <v>3210</v>
      </c>
      <c r="K12" s="737">
        <v>3201</v>
      </c>
      <c r="L12" s="737">
        <v>3194</v>
      </c>
      <c r="M12" s="733">
        <v>3228</v>
      </c>
      <c r="N12" s="733">
        <v>3292</v>
      </c>
      <c r="O12" s="733">
        <v>3413</v>
      </c>
      <c r="P12" s="740"/>
      <c r="Q12" s="739"/>
    </row>
    <row r="13" spans="2:17" ht="24" customHeight="1" x14ac:dyDescent="0.2">
      <c r="B13" s="917"/>
      <c r="C13" s="16">
        <v>220</v>
      </c>
      <c r="D13" s="733">
        <v>3834</v>
      </c>
      <c r="E13" s="735">
        <v>3724</v>
      </c>
      <c r="F13" s="733">
        <v>3620</v>
      </c>
      <c r="G13" s="735">
        <v>3529</v>
      </c>
      <c r="H13" s="733">
        <v>3445</v>
      </c>
      <c r="I13" s="735">
        <v>3375</v>
      </c>
      <c r="J13" s="737">
        <v>3345</v>
      </c>
      <c r="K13" s="737">
        <v>3335</v>
      </c>
      <c r="L13" s="733">
        <v>3370</v>
      </c>
      <c r="M13" s="735">
        <v>3435</v>
      </c>
      <c r="N13" s="733">
        <v>3560</v>
      </c>
      <c r="O13" s="740"/>
      <c r="P13" s="740"/>
      <c r="Q13" s="739"/>
    </row>
    <row r="14" spans="2:17" ht="24" customHeight="1" x14ac:dyDescent="0.2">
      <c r="B14" s="917"/>
      <c r="C14" s="16">
        <v>230</v>
      </c>
      <c r="D14" s="733">
        <v>3908</v>
      </c>
      <c r="E14" s="733">
        <v>3799</v>
      </c>
      <c r="F14" s="733">
        <v>3704</v>
      </c>
      <c r="G14" s="733">
        <v>3617</v>
      </c>
      <c r="H14" s="733">
        <v>3542</v>
      </c>
      <c r="I14" s="733">
        <v>3510</v>
      </c>
      <c r="J14" s="737">
        <v>3476</v>
      </c>
      <c r="K14" s="733">
        <v>3511</v>
      </c>
      <c r="L14" s="733">
        <v>3575</v>
      </c>
      <c r="M14" s="733">
        <v>3699</v>
      </c>
      <c r="N14" s="740"/>
      <c r="O14" s="740"/>
      <c r="P14" s="740"/>
      <c r="Q14" s="739"/>
    </row>
    <row r="15" spans="2:17" ht="24" customHeight="1" x14ac:dyDescent="0.2">
      <c r="B15" s="917"/>
      <c r="C15" s="16">
        <v>240</v>
      </c>
      <c r="D15" s="733">
        <v>3982</v>
      </c>
      <c r="E15" s="735">
        <v>3883</v>
      </c>
      <c r="F15" s="733">
        <v>3794</v>
      </c>
      <c r="G15" s="735">
        <v>3713</v>
      </c>
      <c r="H15" s="733">
        <v>3677</v>
      </c>
      <c r="I15" s="741">
        <v>3640</v>
      </c>
      <c r="J15" s="737">
        <v>3651</v>
      </c>
      <c r="K15" s="735">
        <v>3711</v>
      </c>
      <c r="L15" s="733">
        <v>3832</v>
      </c>
      <c r="M15" s="740"/>
      <c r="N15" s="740"/>
      <c r="O15" s="740"/>
      <c r="P15" s="740"/>
      <c r="Q15" s="739"/>
    </row>
    <row r="16" spans="2:17" ht="24" customHeight="1" x14ac:dyDescent="0.2">
      <c r="B16" s="917"/>
      <c r="C16" s="16">
        <v>250</v>
      </c>
      <c r="D16" s="733">
        <v>4067</v>
      </c>
      <c r="E16" s="733">
        <v>3974</v>
      </c>
      <c r="F16" s="733">
        <v>3887</v>
      </c>
      <c r="G16" s="733">
        <v>3845</v>
      </c>
      <c r="H16" s="737">
        <v>3808</v>
      </c>
      <c r="I16" s="737">
        <v>3814</v>
      </c>
      <c r="J16" s="733">
        <v>3845</v>
      </c>
      <c r="K16" s="733">
        <v>3959</v>
      </c>
      <c r="L16" s="740"/>
      <c r="M16" s="740"/>
      <c r="N16" s="740"/>
      <c r="O16" s="740"/>
      <c r="P16" s="740"/>
      <c r="Q16" s="739"/>
    </row>
    <row r="17" spans="2:17" ht="24" customHeight="1" x14ac:dyDescent="0.2">
      <c r="B17" s="917"/>
      <c r="C17" s="16">
        <v>260</v>
      </c>
      <c r="D17" s="733">
        <v>4159</v>
      </c>
      <c r="E17" s="735">
        <v>4065</v>
      </c>
      <c r="F17" s="733">
        <v>4016</v>
      </c>
      <c r="G17" s="737">
        <v>3979</v>
      </c>
      <c r="H17" s="737">
        <v>3977</v>
      </c>
      <c r="I17" s="735">
        <v>4003</v>
      </c>
      <c r="J17" s="733">
        <v>4083</v>
      </c>
      <c r="K17" s="735">
        <v>4287</v>
      </c>
      <c r="L17" s="740"/>
      <c r="M17" s="740"/>
      <c r="N17" s="740"/>
      <c r="O17" s="740"/>
      <c r="P17" s="740"/>
      <c r="Q17" s="739"/>
    </row>
    <row r="18" spans="2:17" ht="24" customHeight="1" x14ac:dyDescent="0.2">
      <c r="B18" s="917"/>
      <c r="C18" s="16">
        <v>270</v>
      </c>
      <c r="D18" s="733">
        <v>4249</v>
      </c>
      <c r="E18" s="733">
        <v>4188</v>
      </c>
      <c r="F18" s="737">
        <v>4154</v>
      </c>
      <c r="G18" s="737">
        <v>4138</v>
      </c>
      <c r="H18" s="733">
        <v>4160</v>
      </c>
      <c r="I18" s="733">
        <v>4231</v>
      </c>
      <c r="J18" s="733">
        <v>4386</v>
      </c>
      <c r="K18" s="740"/>
      <c r="L18" s="740"/>
      <c r="M18" s="740"/>
      <c r="N18" s="740"/>
      <c r="O18" s="740"/>
      <c r="P18" s="740"/>
      <c r="Q18" s="739"/>
    </row>
    <row r="19" spans="2:17" ht="24" customHeight="1" x14ac:dyDescent="0.2">
      <c r="B19" s="917"/>
      <c r="C19" s="16">
        <v>280</v>
      </c>
      <c r="D19" s="733">
        <v>4363</v>
      </c>
      <c r="E19" s="737">
        <v>4330</v>
      </c>
      <c r="F19" s="737">
        <v>4299</v>
      </c>
      <c r="G19" s="735">
        <v>4319</v>
      </c>
      <c r="H19" s="733">
        <v>4379</v>
      </c>
      <c r="I19" s="735">
        <v>4513</v>
      </c>
      <c r="J19" s="740"/>
      <c r="K19" s="740"/>
      <c r="L19" s="740"/>
      <c r="M19" s="740"/>
      <c r="N19" s="740"/>
      <c r="O19" s="740"/>
      <c r="P19" s="740"/>
      <c r="Q19" s="739"/>
    </row>
    <row r="20" spans="2:17" ht="24" customHeight="1" x14ac:dyDescent="0.2">
      <c r="B20" s="917"/>
      <c r="C20" s="29">
        <v>290</v>
      </c>
      <c r="D20" s="733">
        <v>4507</v>
      </c>
      <c r="E20" s="737">
        <v>4466</v>
      </c>
      <c r="F20" s="737">
        <v>4483</v>
      </c>
      <c r="G20" s="733">
        <v>4529</v>
      </c>
      <c r="H20" s="733">
        <v>4643</v>
      </c>
      <c r="I20" s="740"/>
      <c r="J20" s="740"/>
      <c r="K20" s="740"/>
      <c r="L20" s="740"/>
      <c r="M20" s="740"/>
      <c r="N20" s="740"/>
      <c r="O20" s="740"/>
      <c r="P20" s="740"/>
      <c r="Q20" s="739"/>
    </row>
    <row r="21" spans="2:17" ht="24" customHeight="1" thickBot="1" x14ac:dyDescent="0.25">
      <c r="B21" s="918"/>
      <c r="C21" s="17">
        <v>300</v>
      </c>
      <c r="D21" s="742">
        <v>4642</v>
      </c>
      <c r="E21" s="742">
        <v>4648</v>
      </c>
      <c r="F21" s="743">
        <v>4681</v>
      </c>
      <c r="G21" s="744">
        <v>4778</v>
      </c>
      <c r="H21" s="745"/>
      <c r="I21" s="745"/>
      <c r="J21" s="745"/>
      <c r="K21" s="745"/>
      <c r="L21" s="745"/>
      <c r="M21" s="745"/>
      <c r="N21" s="745"/>
      <c r="O21" s="745"/>
      <c r="P21" s="745"/>
      <c r="Q21" s="746"/>
    </row>
    <row r="22" spans="2:17" ht="22.5" customHeight="1" thickBot="1" x14ac:dyDescent="0.25"/>
    <row r="23" spans="2:17" ht="22.5" customHeight="1" x14ac:dyDescent="0.2">
      <c r="B23" s="919" t="s">
        <v>11</v>
      </c>
      <c r="C23" s="920"/>
      <c r="D23" s="5"/>
      <c r="E23" s="5"/>
      <c r="F23" s="5"/>
      <c r="G23" s="5"/>
      <c r="H23" s="18"/>
      <c r="I23" s="18"/>
      <c r="J23" s="18"/>
      <c r="K23" s="18"/>
      <c r="L23" s="18"/>
      <c r="M23" s="19"/>
    </row>
    <row r="24" spans="2:17" ht="23.25" customHeight="1" x14ac:dyDescent="0.2">
      <c r="B24" s="26" t="s">
        <v>12</v>
      </c>
      <c r="C24" s="22">
        <v>350</v>
      </c>
      <c r="D24" s="27" t="s">
        <v>13</v>
      </c>
      <c r="E24" s="6" t="s">
        <v>23</v>
      </c>
      <c r="F24" s="7"/>
      <c r="G24" s="7"/>
      <c r="H24" s="20"/>
      <c r="I24" s="20"/>
      <c r="J24" s="20"/>
      <c r="K24" s="20"/>
      <c r="L24" s="20"/>
      <c r="M24" s="21"/>
    </row>
    <row r="25" spans="2:17" ht="23.25" customHeight="1" x14ac:dyDescent="0.2">
      <c r="B25" s="26" t="s">
        <v>14</v>
      </c>
      <c r="C25" s="22">
        <v>240</v>
      </c>
      <c r="D25" s="27" t="s">
        <v>15</v>
      </c>
      <c r="E25" s="6" t="s">
        <v>24</v>
      </c>
      <c r="F25" s="7"/>
      <c r="G25" s="7"/>
      <c r="H25" s="20"/>
      <c r="I25" s="20"/>
      <c r="J25" s="20"/>
      <c r="K25" s="20"/>
      <c r="L25" s="20"/>
      <c r="M25" s="21"/>
    </row>
    <row r="26" spans="2:17" ht="14.25" customHeight="1" x14ac:dyDescent="0.2">
      <c r="B26" s="8"/>
      <c r="C26" s="9"/>
      <c r="D26" s="9"/>
      <c r="E26" s="9"/>
      <c r="F26" s="7"/>
      <c r="G26" s="7"/>
      <c r="H26" s="20"/>
      <c r="I26" s="20"/>
      <c r="J26" s="20"/>
      <c r="K26" s="20"/>
      <c r="L26" s="20"/>
      <c r="M26" s="21"/>
    </row>
    <row r="27" spans="2:17" ht="24" customHeight="1" x14ac:dyDescent="0.2">
      <c r="B27" s="26" t="s">
        <v>25</v>
      </c>
      <c r="C27" s="32" t="e">
        <f ca="1">BicubicInterpolation(C4:Q21,C24,C25)</f>
        <v>#NAME?</v>
      </c>
      <c r="D27" s="27" t="s">
        <v>29</v>
      </c>
      <c r="E27" s="7"/>
      <c r="F27" s="7"/>
      <c r="G27" s="7"/>
      <c r="H27" s="20"/>
      <c r="I27" s="20"/>
      <c r="J27" s="20"/>
      <c r="K27" s="20"/>
      <c r="L27" s="20"/>
      <c r="M27" s="21"/>
    </row>
    <row r="28" spans="2:17" ht="18" customHeight="1" thickBot="1" x14ac:dyDescent="0.25">
      <c r="B28" s="37"/>
      <c r="C28" s="38"/>
      <c r="D28" s="39"/>
      <c r="E28" s="40"/>
      <c r="F28" s="40"/>
      <c r="G28" s="40"/>
      <c r="H28" s="41"/>
      <c r="I28" s="41"/>
      <c r="J28" s="41"/>
      <c r="K28" s="41"/>
      <c r="L28" s="41"/>
      <c r="M28" s="42"/>
    </row>
    <row r="29" spans="2:17" ht="18" customHeight="1" x14ac:dyDescent="0.2">
      <c r="B29" s="34" t="s">
        <v>20</v>
      </c>
      <c r="C29" s="934" t="s">
        <v>37</v>
      </c>
      <c r="D29" s="934"/>
      <c r="E29" s="934"/>
      <c r="F29" s="934"/>
      <c r="G29" s="934"/>
      <c r="H29" s="934"/>
      <c r="I29" s="934"/>
      <c r="J29" s="934"/>
      <c r="K29" s="934"/>
      <c r="L29" s="934"/>
      <c r="M29" s="935"/>
    </row>
    <row r="30" spans="2:17" ht="18" customHeight="1" x14ac:dyDescent="0.2">
      <c r="B30" s="24"/>
      <c r="C30" s="932" t="s">
        <v>41</v>
      </c>
      <c r="D30" s="932"/>
      <c r="E30" s="932"/>
      <c r="F30" s="932"/>
      <c r="G30" s="932"/>
      <c r="H30" s="932"/>
      <c r="I30" s="932"/>
      <c r="J30" s="932"/>
      <c r="K30" s="932"/>
      <c r="L30" s="932"/>
      <c r="M30" s="933"/>
    </row>
    <row r="31" spans="2:17" ht="18" customHeight="1" x14ac:dyDescent="0.2">
      <c r="B31" s="24"/>
      <c r="C31" s="932" t="s">
        <v>36</v>
      </c>
      <c r="D31" s="932"/>
      <c r="E31" s="932"/>
      <c r="F31" s="932"/>
      <c r="G31" s="932"/>
      <c r="H31" s="932"/>
      <c r="I31" s="932"/>
      <c r="J31" s="932"/>
      <c r="K31" s="932"/>
      <c r="L31" s="932"/>
      <c r="M31" s="933"/>
      <c r="N31"/>
      <c r="O31"/>
      <c r="P31"/>
      <c r="Q31"/>
    </row>
    <row r="32" spans="2:17" ht="18" customHeight="1" x14ac:dyDescent="0.2">
      <c r="B32" s="24"/>
      <c r="C32" s="35"/>
      <c r="D32" s="35" t="s">
        <v>38</v>
      </c>
      <c r="E32" s="35"/>
      <c r="F32" s="35"/>
      <c r="G32" s="35"/>
      <c r="H32" s="35"/>
      <c r="I32" s="35"/>
      <c r="J32" s="35"/>
      <c r="K32" s="35"/>
      <c r="L32" s="35"/>
      <c r="M32" s="36"/>
    </row>
    <row r="33" spans="2:17" ht="22.5" customHeight="1" x14ac:dyDescent="0.2">
      <c r="B33" s="24"/>
      <c r="C33" s="35"/>
      <c r="D33" s="35" t="s">
        <v>39</v>
      </c>
      <c r="E33" s="35"/>
      <c r="F33" s="35"/>
      <c r="G33" s="35"/>
      <c r="H33" s="35"/>
      <c r="I33" s="35"/>
      <c r="J33" s="35"/>
      <c r="K33" s="35"/>
      <c r="L33" s="35"/>
      <c r="M33" s="36"/>
    </row>
    <row r="34" spans="2:17" ht="17" thickBot="1" x14ac:dyDescent="0.25">
      <c r="B34" s="25"/>
      <c r="C34" s="927" t="s">
        <v>35</v>
      </c>
      <c r="D34" s="927"/>
      <c r="E34" s="927"/>
      <c r="F34" s="927"/>
      <c r="G34" s="927"/>
      <c r="H34" s="927"/>
      <c r="I34" s="927"/>
      <c r="J34" s="927"/>
      <c r="K34" s="927"/>
      <c r="L34" s="927"/>
      <c r="M34" s="928"/>
    </row>
    <row r="35" spans="2:17" x14ac:dyDescent="0.2">
      <c r="D35"/>
      <c r="E35"/>
      <c r="F35"/>
      <c r="G35"/>
      <c r="H35"/>
      <c r="I35"/>
      <c r="J35"/>
      <c r="K35"/>
      <c r="L35"/>
      <c r="M35"/>
      <c r="N35"/>
      <c r="O35"/>
      <c r="P35"/>
      <c r="Q35"/>
    </row>
    <row r="36" spans="2:17" ht="43.5" customHeight="1" x14ac:dyDescent="0.2">
      <c r="D36"/>
      <c r="E36"/>
      <c r="F36"/>
      <c r="G36"/>
      <c r="H36"/>
      <c r="I36"/>
      <c r="J36"/>
      <c r="K36"/>
      <c r="L36"/>
      <c r="M36"/>
      <c r="N36"/>
      <c r="O36"/>
      <c r="P36"/>
      <c r="Q36"/>
    </row>
    <row r="37" spans="2:17" x14ac:dyDescent="0.2">
      <c r="D37"/>
      <c r="E37"/>
      <c r="F37"/>
      <c r="G37"/>
      <c r="H37"/>
      <c r="I37"/>
      <c r="J37"/>
      <c r="K37"/>
      <c r="L37"/>
      <c r="M37"/>
      <c r="N37"/>
      <c r="O37"/>
      <c r="P37"/>
      <c r="Q37"/>
    </row>
    <row r="38" spans="2:17" x14ac:dyDescent="0.2">
      <c r="D38"/>
      <c r="E38"/>
      <c r="F38"/>
      <c r="G38"/>
      <c r="H38"/>
      <c r="I38"/>
      <c r="J38"/>
      <c r="K38"/>
      <c r="L38"/>
      <c r="M38"/>
      <c r="N38"/>
      <c r="O38"/>
      <c r="P38"/>
      <c r="Q38"/>
    </row>
    <row r="39" spans="2:17" x14ac:dyDescent="0.2">
      <c r="D39"/>
      <c r="E39"/>
      <c r="F39"/>
      <c r="G39"/>
      <c r="H39"/>
      <c r="I39"/>
      <c r="J39"/>
      <c r="K39"/>
      <c r="L39"/>
      <c r="M39"/>
      <c r="N39"/>
      <c r="O39"/>
      <c r="P39"/>
      <c r="Q39"/>
    </row>
    <row r="40" spans="2:17" x14ac:dyDescent="0.2">
      <c r="D40"/>
      <c r="E40"/>
      <c r="F40"/>
      <c r="G40"/>
      <c r="H40"/>
      <c r="I40"/>
      <c r="J40"/>
      <c r="K40"/>
      <c r="L40"/>
      <c r="M40"/>
      <c r="N40"/>
      <c r="O40"/>
      <c r="P40"/>
      <c r="Q40"/>
    </row>
    <row r="41" spans="2:17" x14ac:dyDescent="0.2">
      <c r="D41"/>
      <c r="E41"/>
      <c r="F41"/>
      <c r="G41"/>
      <c r="H41"/>
      <c r="I41"/>
      <c r="J41"/>
      <c r="K41"/>
      <c r="L41"/>
      <c r="M41"/>
      <c r="N41"/>
      <c r="O41"/>
      <c r="P41"/>
      <c r="Q41"/>
    </row>
    <row r="42" spans="2:17" x14ac:dyDescent="0.2">
      <c r="D42"/>
      <c r="E42"/>
      <c r="F42"/>
      <c r="G42"/>
      <c r="H42"/>
      <c r="I42"/>
      <c r="J42"/>
      <c r="K42"/>
      <c r="L42"/>
      <c r="M42"/>
      <c r="N42"/>
      <c r="O42"/>
      <c r="P42"/>
      <c r="Q42"/>
    </row>
    <row r="43" spans="2:17" x14ac:dyDescent="0.2">
      <c r="D43"/>
      <c r="E43"/>
      <c r="F43"/>
      <c r="G43"/>
      <c r="H43"/>
      <c r="I43"/>
      <c r="J43"/>
      <c r="K43"/>
      <c r="L43"/>
      <c r="M43"/>
      <c r="N43"/>
      <c r="O43"/>
      <c r="P43"/>
      <c r="Q43"/>
    </row>
    <row r="44" spans="2:17" x14ac:dyDescent="0.2">
      <c r="D44"/>
      <c r="E44"/>
      <c r="F44"/>
      <c r="G44"/>
      <c r="H44"/>
      <c r="I44"/>
      <c r="J44"/>
      <c r="K44"/>
      <c r="L44"/>
      <c r="M44"/>
      <c r="N44"/>
      <c r="O44"/>
      <c r="P44"/>
      <c r="Q44"/>
    </row>
    <row r="45" spans="2:17" x14ac:dyDescent="0.2">
      <c r="D45"/>
      <c r="E45"/>
      <c r="F45"/>
      <c r="G45"/>
      <c r="H45"/>
      <c r="I45"/>
      <c r="J45"/>
      <c r="K45"/>
      <c r="L45"/>
      <c r="M45"/>
      <c r="N45"/>
      <c r="O45"/>
      <c r="P45"/>
      <c r="Q45"/>
    </row>
    <row r="46" spans="2:17" x14ac:dyDescent="0.2">
      <c r="D46"/>
      <c r="E46"/>
      <c r="F46"/>
      <c r="G46"/>
      <c r="H46"/>
      <c r="I46"/>
      <c r="J46"/>
      <c r="K46"/>
      <c r="L46"/>
      <c r="M46"/>
      <c r="N46"/>
      <c r="O46"/>
      <c r="P46"/>
      <c r="Q46"/>
    </row>
    <row r="47" spans="2:17" x14ac:dyDescent="0.2">
      <c r="D47"/>
      <c r="E47"/>
      <c r="F47"/>
      <c r="G47"/>
      <c r="H47"/>
      <c r="I47"/>
      <c r="J47"/>
      <c r="K47"/>
      <c r="L47"/>
      <c r="M47"/>
      <c r="N47"/>
      <c r="O47"/>
      <c r="P47"/>
      <c r="Q47"/>
    </row>
    <row r="48" spans="2:17" x14ac:dyDescent="0.2">
      <c r="D48"/>
      <c r="E48"/>
      <c r="F48"/>
      <c r="G48"/>
      <c r="H48"/>
      <c r="I48"/>
      <c r="J48"/>
      <c r="K48"/>
      <c r="L48"/>
      <c r="M48"/>
      <c r="N48"/>
      <c r="O48"/>
      <c r="P48"/>
      <c r="Q48"/>
    </row>
    <row r="49" customFormat="1" x14ac:dyDescent="0.2"/>
    <row r="50" customFormat="1" x14ac:dyDescent="0.2"/>
    <row r="51" customFormat="1" x14ac:dyDescent="0.2"/>
    <row r="52" customFormat="1" x14ac:dyDescent="0.2"/>
    <row r="53" customFormat="1" x14ac:dyDescent="0.2"/>
    <row r="54" customFormat="1" x14ac:dyDescent="0.2"/>
    <row r="55" customFormat="1" x14ac:dyDescent="0.2"/>
    <row r="56" customFormat="1" x14ac:dyDescent="0.2"/>
    <row r="57" customFormat="1" ht="46.5" customHeigh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sheetData>
  <mergeCells count="8">
    <mergeCell ref="C30:M30"/>
    <mergeCell ref="C31:M31"/>
    <mergeCell ref="C34:M34"/>
    <mergeCell ref="B2:Q2"/>
    <mergeCell ref="D3:Q3"/>
    <mergeCell ref="B5:B21"/>
    <mergeCell ref="B23:C23"/>
    <mergeCell ref="C29:M29"/>
  </mergeCell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9"/>
  <dimension ref="B1:AD44"/>
  <sheetViews>
    <sheetView zoomScale="80" zoomScaleNormal="80" workbookViewId="0">
      <selection activeCell="Q26" sqref="Q26"/>
    </sheetView>
  </sheetViews>
  <sheetFormatPr baseColWidth="10" defaultColWidth="8.83203125" defaultRowHeight="15" x14ac:dyDescent="0.2"/>
  <cols>
    <col min="1" max="1" width="4.6640625" customWidth="1"/>
    <col min="2" max="2" width="20.83203125" customWidth="1"/>
    <col min="4" max="13" width="9.5" style="3" customWidth="1"/>
    <col min="14" max="14" width="6.1640625" customWidth="1"/>
    <col min="16" max="16" width="15.1640625" customWidth="1"/>
    <col min="19" max="19" width="14.6640625" customWidth="1"/>
    <col min="20" max="20" width="11.1640625" customWidth="1"/>
    <col min="21" max="21" width="11.5" customWidth="1"/>
  </cols>
  <sheetData>
    <row r="1" spans="2:30" ht="16" thickBot="1" x14ac:dyDescent="0.25"/>
    <row r="2" spans="2:30" ht="91" customHeight="1" thickBot="1" x14ac:dyDescent="0.25">
      <c r="B2" s="921" t="s">
        <v>26</v>
      </c>
      <c r="C2" s="922"/>
      <c r="D2" s="922"/>
      <c r="E2" s="922"/>
      <c r="F2" s="922"/>
      <c r="G2" s="922"/>
      <c r="H2" s="922"/>
      <c r="I2" s="922"/>
      <c r="J2" s="922"/>
      <c r="K2" s="922"/>
      <c r="L2" s="922"/>
      <c r="M2" s="923"/>
    </row>
    <row r="3" spans="2:30" ht="30" customHeight="1" thickBot="1" x14ac:dyDescent="0.25">
      <c r="B3" s="10"/>
      <c r="C3" s="11"/>
      <c r="D3" s="924" t="s">
        <v>10</v>
      </c>
      <c r="E3" s="925"/>
      <c r="F3" s="925"/>
      <c r="G3" s="925"/>
      <c r="H3" s="925"/>
      <c r="I3" s="925"/>
      <c r="J3" s="925"/>
      <c r="K3" s="925"/>
      <c r="L3" s="925"/>
      <c r="M3" s="926"/>
    </row>
    <row r="4" spans="2:30" ht="27" customHeight="1" thickBot="1" x14ac:dyDescent="0.25">
      <c r="B4" s="4"/>
      <c r="C4" s="2"/>
      <c r="D4" s="12">
        <v>15</v>
      </c>
      <c r="E4" s="13">
        <v>50</v>
      </c>
      <c r="F4" s="13">
        <v>100</v>
      </c>
      <c r="G4" s="13">
        <v>150</v>
      </c>
      <c r="H4" s="13">
        <v>200</v>
      </c>
      <c r="I4" s="13">
        <v>250</v>
      </c>
      <c r="J4" s="13">
        <v>300</v>
      </c>
      <c r="K4" s="13">
        <v>350</v>
      </c>
      <c r="L4" s="13">
        <v>400</v>
      </c>
      <c r="M4" s="14">
        <v>430</v>
      </c>
    </row>
    <row r="5" spans="2:30" ht="27" customHeight="1" x14ac:dyDescent="0.2">
      <c r="B5" s="916" t="s">
        <v>34</v>
      </c>
      <c r="C5" s="15">
        <v>140</v>
      </c>
      <c r="D5" s="60">
        <v>203</v>
      </c>
      <c r="E5" s="61">
        <v>203</v>
      </c>
      <c r="F5" s="61">
        <v>203</v>
      </c>
      <c r="G5" s="61">
        <v>203</v>
      </c>
      <c r="H5" s="61">
        <v>203</v>
      </c>
      <c r="I5" s="61">
        <v>203</v>
      </c>
      <c r="J5" s="61">
        <v>203</v>
      </c>
      <c r="K5" s="61">
        <v>203</v>
      </c>
      <c r="L5" s="62">
        <v>211</v>
      </c>
      <c r="M5" s="63">
        <v>213</v>
      </c>
    </row>
    <row r="6" spans="2:30" ht="27" customHeight="1" x14ac:dyDescent="0.2">
      <c r="B6" s="917"/>
      <c r="C6" s="16">
        <v>160</v>
      </c>
      <c r="D6" s="64">
        <v>203</v>
      </c>
      <c r="E6" s="65">
        <v>203</v>
      </c>
      <c r="F6" s="65">
        <v>203</v>
      </c>
      <c r="G6" s="65">
        <v>203</v>
      </c>
      <c r="H6" s="65">
        <v>203</v>
      </c>
      <c r="I6" s="65">
        <v>203</v>
      </c>
      <c r="J6" s="66">
        <v>206</v>
      </c>
      <c r="K6" s="66">
        <v>224</v>
      </c>
      <c r="L6" s="66">
        <v>227</v>
      </c>
      <c r="M6" s="67">
        <v>229</v>
      </c>
    </row>
    <row r="7" spans="2:30" ht="27" customHeight="1" x14ac:dyDescent="0.2">
      <c r="B7" s="917"/>
      <c r="C7" s="16">
        <v>180</v>
      </c>
      <c r="D7" s="68">
        <v>208</v>
      </c>
      <c r="E7" s="66">
        <v>208</v>
      </c>
      <c r="F7" s="66">
        <v>208</v>
      </c>
      <c r="G7" s="66">
        <v>208</v>
      </c>
      <c r="H7" s="66">
        <v>208</v>
      </c>
      <c r="I7" s="66">
        <v>209</v>
      </c>
      <c r="J7" s="66">
        <v>230</v>
      </c>
      <c r="K7" s="66">
        <v>239</v>
      </c>
      <c r="L7" s="66">
        <v>242</v>
      </c>
      <c r="M7" s="67">
        <v>232</v>
      </c>
    </row>
    <row r="8" spans="2:30" ht="27" customHeight="1" x14ac:dyDescent="0.2">
      <c r="B8" s="917"/>
      <c r="C8" s="16">
        <v>200</v>
      </c>
      <c r="D8" s="68">
        <v>215</v>
      </c>
      <c r="E8" s="66">
        <v>215</v>
      </c>
      <c r="F8" s="66">
        <v>215</v>
      </c>
      <c r="G8" s="66">
        <v>215</v>
      </c>
      <c r="H8" s="66">
        <v>215</v>
      </c>
      <c r="I8" s="66">
        <v>229</v>
      </c>
      <c r="J8" s="69">
        <v>249</v>
      </c>
      <c r="K8" s="69">
        <v>253</v>
      </c>
      <c r="L8" s="69">
        <v>249</v>
      </c>
      <c r="M8" s="70">
        <v>249</v>
      </c>
      <c r="P8" t="s">
        <v>115</v>
      </c>
    </row>
    <row r="9" spans="2:30" ht="27" customHeight="1" x14ac:dyDescent="0.2">
      <c r="B9" s="917"/>
      <c r="C9" s="16">
        <v>220</v>
      </c>
      <c r="D9" s="68">
        <v>222</v>
      </c>
      <c r="E9" s="66">
        <v>223</v>
      </c>
      <c r="F9" s="66">
        <v>224</v>
      </c>
      <c r="G9" s="66">
        <v>224</v>
      </c>
      <c r="H9" s="66">
        <v>230</v>
      </c>
      <c r="I9" s="66">
        <v>251</v>
      </c>
      <c r="J9" s="69">
        <v>262</v>
      </c>
      <c r="K9" s="69">
        <v>266</v>
      </c>
      <c r="L9" s="69">
        <v>249</v>
      </c>
      <c r="M9" s="70">
        <v>250</v>
      </c>
      <c r="P9" s="959" t="s">
        <v>121</v>
      </c>
      <c r="Q9" s="959"/>
      <c r="R9" s="959"/>
      <c r="S9" s="959"/>
      <c r="T9" s="959"/>
      <c r="U9" s="959"/>
      <c r="V9" s="959"/>
      <c r="W9" s="959"/>
      <c r="X9" s="959"/>
      <c r="Y9" s="959"/>
      <c r="Z9" s="959"/>
      <c r="AA9" s="959"/>
      <c r="AB9" s="959"/>
      <c r="AC9" s="959"/>
      <c r="AD9" s="959"/>
    </row>
    <row r="10" spans="2:30" ht="27" customHeight="1" x14ac:dyDescent="0.2">
      <c r="B10" s="917"/>
      <c r="C10" s="16">
        <v>240</v>
      </c>
      <c r="D10" s="68">
        <v>232</v>
      </c>
      <c r="E10" s="66">
        <v>233</v>
      </c>
      <c r="F10" s="66">
        <v>234</v>
      </c>
      <c r="G10" s="66">
        <v>235</v>
      </c>
      <c r="H10" s="66">
        <v>247</v>
      </c>
      <c r="I10" s="66">
        <v>272</v>
      </c>
      <c r="J10" s="69">
        <v>275</v>
      </c>
      <c r="K10" s="69">
        <v>279</v>
      </c>
      <c r="L10" s="71">
        <v>279</v>
      </c>
      <c r="M10" s="70">
        <v>279</v>
      </c>
      <c r="P10" s="959"/>
      <c r="Q10" s="959"/>
      <c r="R10" s="959"/>
      <c r="S10" s="959"/>
      <c r="T10" s="959"/>
      <c r="U10" s="959"/>
      <c r="V10" s="959"/>
      <c r="W10" s="959"/>
      <c r="X10" s="959"/>
      <c r="Y10" s="959"/>
      <c r="Z10" s="959"/>
      <c r="AA10" s="959"/>
      <c r="AB10" s="959"/>
      <c r="AC10" s="959"/>
      <c r="AD10" s="959"/>
    </row>
    <row r="11" spans="2:30" ht="27" customHeight="1" x14ac:dyDescent="0.2">
      <c r="B11" s="917"/>
      <c r="C11" s="16">
        <v>260</v>
      </c>
      <c r="D11" s="68">
        <v>242</v>
      </c>
      <c r="E11" s="66">
        <v>242</v>
      </c>
      <c r="F11" s="66">
        <v>243</v>
      </c>
      <c r="G11" s="66">
        <v>246</v>
      </c>
      <c r="H11" s="66">
        <v>266</v>
      </c>
      <c r="I11" s="66">
        <v>283</v>
      </c>
      <c r="J11" s="69">
        <v>287</v>
      </c>
      <c r="K11" s="69">
        <v>279</v>
      </c>
      <c r="L11" s="71">
        <v>279</v>
      </c>
      <c r="M11" s="70">
        <v>279</v>
      </c>
      <c r="P11" s="959"/>
      <c r="Q11" s="959"/>
      <c r="R11" s="959"/>
      <c r="S11" s="959"/>
      <c r="T11" s="959"/>
      <c r="U11" s="959"/>
      <c r="V11" s="959"/>
      <c r="W11" s="959"/>
      <c r="X11" s="959"/>
      <c r="Y11" s="959"/>
      <c r="Z11" s="959"/>
      <c r="AA11" s="959"/>
      <c r="AB11" s="959"/>
      <c r="AC11" s="959"/>
      <c r="AD11" s="959"/>
    </row>
    <row r="12" spans="2:30" ht="27" customHeight="1" x14ac:dyDescent="0.2">
      <c r="B12" s="917"/>
      <c r="C12" s="16">
        <v>280</v>
      </c>
      <c r="D12" s="68">
        <v>251</v>
      </c>
      <c r="E12" s="66">
        <v>251</v>
      </c>
      <c r="F12" s="66">
        <v>253</v>
      </c>
      <c r="G12" s="66">
        <v>261</v>
      </c>
      <c r="H12" s="66">
        <v>286</v>
      </c>
      <c r="I12" s="66">
        <v>295</v>
      </c>
      <c r="J12" s="69">
        <v>299</v>
      </c>
      <c r="K12" s="69">
        <v>279</v>
      </c>
      <c r="L12" s="71">
        <v>279</v>
      </c>
      <c r="M12" s="70">
        <v>279</v>
      </c>
      <c r="P12" s="959"/>
      <c r="Q12" s="959"/>
      <c r="R12" s="959"/>
      <c r="S12" s="959"/>
      <c r="T12" s="959"/>
      <c r="U12" s="959"/>
      <c r="V12" s="959"/>
      <c r="W12" s="959"/>
      <c r="X12" s="959"/>
      <c r="Y12" s="959"/>
      <c r="Z12" s="959"/>
      <c r="AA12" s="959"/>
      <c r="AB12" s="959"/>
      <c r="AC12" s="959"/>
      <c r="AD12" s="959"/>
    </row>
    <row r="13" spans="2:30" ht="27" customHeight="1" thickBot="1" x14ac:dyDescent="0.25">
      <c r="B13" s="918"/>
      <c r="C13" s="17">
        <v>300</v>
      </c>
      <c r="D13" s="72">
        <v>260</v>
      </c>
      <c r="E13" s="73">
        <v>260</v>
      </c>
      <c r="F13" s="73">
        <v>262</v>
      </c>
      <c r="G13" s="73">
        <v>277</v>
      </c>
      <c r="H13" s="73">
        <v>302</v>
      </c>
      <c r="I13" s="73">
        <v>306</v>
      </c>
      <c r="J13" s="74">
        <v>311</v>
      </c>
      <c r="K13" s="75">
        <v>311</v>
      </c>
      <c r="L13" s="75">
        <v>311</v>
      </c>
      <c r="M13" s="76">
        <v>311</v>
      </c>
      <c r="P13" s="959"/>
      <c r="Q13" s="959"/>
      <c r="R13" s="959"/>
      <c r="S13" s="959"/>
      <c r="T13" s="959"/>
      <c r="U13" s="959"/>
      <c r="V13" s="959"/>
      <c r="W13" s="959"/>
      <c r="X13" s="959"/>
      <c r="Y13" s="959"/>
      <c r="Z13" s="959"/>
      <c r="AA13" s="959"/>
      <c r="AB13" s="959"/>
      <c r="AC13" s="959"/>
      <c r="AD13" s="959"/>
    </row>
    <row r="14" spans="2:30" ht="14.5" customHeight="1" thickBot="1" x14ac:dyDescent="0.25">
      <c r="P14" s="959"/>
      <c r="Q14" s="959"/>
      <c r="R14" s="959"/>
      <c r="S14" s="959"/>
      <c r="T14" s="959"/>
      <c r="U14" s="959"/>
      <c r="V14" s="959"/>
      <c r="W14" s="959"/>
      <c r="X14" s="959"/>
      <c r="Y14" s="959"/>
      <c r="Z14" s="959"/>
      <c r="AA14" s="959"/>
      <c r="AB14" s="959"/>
      <c r="AC14" s="959"/>
      <c r="AD14" s="959"/>
    </row>
    <row r="15" spans="2:30" ht="22.5" customHeight="1" x14ac:dyDescent="0.2">
      <c r="B15" s="919" t="s">
        <v>11</v>
      </c>
      <c r="C15" s="920"/>
      <c r="D15" s="5"/>
      <c r="E15" s="5"/>
      <c r="F15" s="5"/>
      <c r="G15" s="5"/>
      <c r="H15" s="18"/>
      <c r="I15" s="18"/>
      <c r="J15" s="18"/>
      <c r="K15" s="19"/>
      <c r="P15" s="959"/>
      <c r="Q15" s="959"/>
      <c r="R15" s="959"/>
      <c r="S15" s="959"/>
      <c r="T15" s="959"/>
      <c r="U15" s="959"/>
      <c r="V15" s="959"/>
      <c r="W15" s="959"/>
      <c r="X15" s="959"/>
      <c r="Y15" s="959"/>
      <c r="Z15" s="959"/>
      <c r="AA15" s="959"/>
      <c r="AB15" s="959"/>
      <c r="AC15" s="959"/>
      <c r="AD15" s="959"/>
    </row>
    <row r="16" spans="2:30" ht="23.25" customHeight="1" x14ac:dyDescent="0.2">
      <c r="B16" s="26" t="s">
        <v>12</v>
      </c>
      <c r="C16" s="22">
        <v>360</v>
      </c>
      <c r="D16" s="27" t="s">
        <v>13</v>
      </c>
      <c r="E16" s="6" t="s">
        <v>23</v>
      </c>
      <c r="F16" s="7"/>
      <c r="G16" s="7"/>
      <c r="H16" s="20"/>
      <c r="I16" s="20"/>
      <c r="J16" s="20"/>
      <c r="K16" s="21"/>
      <c r="P16" s="959"/>
      <c r="Q16" s="959"/>
      <c r="R16" s="959"/>
      <c r="S16" s="959"/>
      <c r="T16" s="959"/>
      <c r="U16" s="959"/>
      <c r="V16" s="959"/>
      <c r="W16" s="959"/>
      <c r="X16" s="959"/>
      <c r="Y16" s="959"/>
      <c r="Z16" s="959"/>
      <c r="AA16" s="959"/>
      <c r="AB16" s="959"/>
      <c r="AC16" s="959"/>
      <c r="AD16" s="959"/>
    </row>
    <row r="17" spans="2:13" ht="23.25" customHeight="1" x14ac:dyDescent="0.2">
      <c r="B17" s="26" t="s">
        <v>14</v>
      </c>
      <c r="C17" s="22">
        <v>207.64</v>
      </c>
      <c r="D17" s="27" t="s">
        <v>15</v>
      </c>
      <c r="E17" s="6" t="s">
        <v>24</v>
      </c>
      <c r="F17" s="7"/>
      <c r="G17" s="7"/>
      <c r="H17" s="20"/>
      <c r="I17" s="20"/>
      <c r="J17" s="20"/>
      <c r="K17" s="21"/>
    </row>
    <row r="18" spans="2:13" ht="14.25" customHeight="1" x14ac:dyDescent="0.2">
      <c r="B18" s="8"/>
      <c r="C18" s="9"/>
      <c r="D18" s="9"/>
      <c r="E18" s="9"/>
      <c r="F18" s="7"/>
      <c r="G18" s="7"/>
      <c r="H18" s="20"/>
      <c r="I18" s="20"/>
      <c r="J18" s="20"/>
      <c r="K18" s="21"/>
    </row>
    <row r="19" spans="2:13" ht="24" customHeight="1" x14ac:dyDescent="0.2">
      <c r="B19" s="26" t="s">
        <v>16</v>
      </c>
      <c r="C19" s="33" t="e">
        <f ca="1">BicubicInterpolation(C4:M13,C16,C17)</f>
        <v>#NAME?</v>
      </c>
      <c r="D19" s="27" t="s">
        <v>22</v>
      </c>
      <c r="E19" s="7"/>
      <c r="F19" s="7"/>
      <c r="G19" s="7"/>
      <c r="H19" s="20"/>
      <c r="I19" s="20"/>
      <c r="J19" s="20"/>
      <c r="K19" s="21"/>
    </row>
    <row r="20" spans="2:13" ht="17.5" customHeight="1" thickBot="1" x14ac:dyDescent="0.25">
      <c r="B20" s="26"/>
      <c r="C20" s="31"/>
      <c r="D20" s="27"/>
      <c r="E20" s="7"/>
      <c r="F20" s="7"/>
      <c r="G20" s="7"/>
      <c r="H20" s="20"/>
      <c r="I20" s="20"/>
      <c r="J20" s="20"/>
      <c r="K20" s="21"/>
    </row>
    <row r="21" spans="2:13" ht="20.5" customHeight="1" x14ac:dyDescent="0.2">
      <c r="B21" s="23" t="s">
        <v>20</v>
      </c>
      <c r="C21" s="934" t="s">
        <v>30</v>
      </c>
      <c r="D21" s="934"/>
      <c r="E21" s="934"/>
      <c r="F21" s="934"/>
      <c r="G21" s="934"/>
      <c r="H21" s="934"/>
      <c r="I21" s="934"/>
      <c r="J21" s="934"/>
      <c r="K21" s="935"/>
    </row>
    <row r="22" spans="2:13" ht="20.5" customHeight="1" x14ac:dyDescent="0.2">
      <c r="B22" s="24"/>
      <c r="C22" s="932" t="s">
        <v>21</v>
      </c>
      <c r="D22" s="932"/>
      <c r="E22" s="932"/>
      <c r="F22" s="932"/>
      <c r="G22" s="932"/>
      <c r="H22" s="932"/>
      <c r="I22" s="932"/>
      <c r="J22" s="932"/>
      <c r="K22" s="933"/>
    </row>
    <row r="23" spans="2:13" ht="20.5" customHeight="1" thickBot="1" x14ac:dyDescent="0.25">
      <c r="B23" s="25"/>
      <c r="C23" s="927" t="s">
        <v>32</v>
      </c>
      <c r="D23" s="927"/>
      <c r="E23" s="927"/>
      <c r="F23" s="927"/>
      <c r="G23" s="927"/>
      <c r="H23" s="927"/>
      <c r="I23" s="927"/>
      <c r="J23" s="927"/>
      <c r="K23" s="928"/>
    </row>
    <row r="24" spans="2:13" ht="39" customHeight="1" x14ac:dyDescent="0.2">
      <c r="D24"/>
      <c r="E24"/>
      <c r="F24"/>
      <c r="G24"/>
      <c r="H24"/>
      <c r="I24"/>
      <c r="J24"/>
      <c r="K24"/>
      <c r="L24"/>
      <c r="M24"/>
    </row>
    <row r="25" spans="2:13" ht="36.75" customHeight="1" x14ac:dyDescent="0.2"/>
    <row r="36" ht="22.5" customHeight="1" x14ac:dyDescent="0.2"/>
    <row r="37" ht="22.5" customHeight="1" x14ac:dyDescent="0.2"/>
    <row r="38" ht="22.5" customHeight="1" x14ac:dyDescent="0.2"/>
    <row r="39" ht="22.5" customHeight="1" x14ac:dyDescent="0.2"/>
    <row r="40" ht="22.5" customHeight="1" x14ac:dyDescent="0.2"/>
    <row r="41" ht="22.5" customHeight="1" x14ac:dyDescent="0.2"/>
    <row r="42" ht="22.5" customHeight="1" x14ac:dyDescent="0.2"/>
    <row r="43" ht="22.5" customHeight="1" x14ac:dyDescent="0.2"/>
    <row r="44" ht="22.5" customHeight="1" x14ac:dyDescent="0.2"/>
  </sheetData>
  <mergeCells count="8">
    <mergeCell ref="P9:AD16"/>
    <mergeCell ref="C23:K23"/>
    <mergeCell ref="B2:M2"/>
    <mergeCell ref="D3:M3"/>
    <mergeCell ref="B5:B13"/>
    <mergeCell ref="B15:C15"/>
    <mergeCell ref="C21:K21"/>
    <mergeCell ref="C22:K22"/>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45"/>
  <dimension ref="B1:M44"/>
  <sheetViews>
    <sheetView zoomScale="80" zoomScaleNormal="80" workbookViewId="0">
      <selection activeCell="D5" sqref="D5"/>
    </sheetView>
  </sheetViews>
  <sheetFormatPr baseColWidth="10" defaultColWidth="8.83203125" defaultRowHeight="15" x14ac:dyDescent="0.2"/>
  <cols>
    <col min="1" max="1" width="5" customWidth="1"/>
    <col min="2" max="2" width="20.83203125" customWidth="1"/>
    <col min="4" max="13" width="9.5" style="3" customWidth="1"/>
    <col min="14" max="14" width="6.1640625" customWidth="1"/>
    <col min="16" max="16" width="15.1640625" customWidth="1"/>
    <col min="19" max="19" width="14.6640625" customWidth="1"/>
    <col min="20" max="20" width="11.1640625" customWidth="1"/>
    <col min="21" max="21" width="11.5" customWidth="1"/>
  </cols>
  <sheetData>
    <row r="1" spans="2:13" ht="16" thickBot="1" x14ac:dyDescent="0.25"/>
    <row r="2" spans="2:13" ht="91" customHeight="1" thickBot="1" x14ac:dyDescent="0.25">
      <c r="B2" s="921" t="s">
        <v>55</v>
      </c>
      <c r="C2" s="922"/>
      <c r="D2" s="922"/>
      <c r="E2" s="922"/>
      <c r="F2" s="922"/>
      <c r="G2" s="922"/>
      <c r="H2" s="922"/>
      <c r="I2" s="922"/>
      <c r="J2" s="922"/>
      <c r="K2" s="922"/>
      <c r="L2" s="922"/>
      <c r="M2" s="923"/>
    </row>
    <row r="3" spans="2:13" ht="30" customHeight="1" thickBot="1" x14ac:dyDescent="0.25">
      <c r="B3" s="10"/>
      <c r="C3" s="11"/>
      <c r="D3" s="924" t="s">
        <v>10</v>
      </c>
      <c r="E3" s="925"/>
      <c r="F3" s="925"/>
      <c r="G3" s="925"/>
      <c r="H3" s="925"/>
      <c r="I3" s="925"/>
      <c r="J3" s="925"/>
      <c r="K3" s="925"/>
      <c r="L3" s="925"/>
      <c r="M3" s="926"/>
    </row>
    <row r="4" spans="2:13" ht="27" customHeight="1" thickBot="1" x14ac:dyDescent="0.25">
      <c r="B4" s="4"/>
      <c r="C4" s="2"/>
      <c r="D4" s="12">
        <v>15</v>
      </c>
      <c r="E4" s="13">
        <v>50</v>
      </c>
      <c r="F4" s="13">
        <v>100</v>
      </c>
      <c r="G4" s="13">
        <v>150</v>
      </c>
      <c r="H4" s="13">
        <v>200</v>
      </c>
      <c r="I4" s="13">
        <v>250</v>
      </c>
      <c r="J4" s="13">
        <v>300</v>
      </c>
      <c r="K4" s="13">
        <v>350</v>
      </c>
      <c r="L4" s="13">
        <v>400</v>
      </c>
      <c r="M4" s="14">
        <v>430</v>
      </c>
    </row>
    <row r="5" spans="2:13" ht="27" customHeight="1" x14ac:dyDescent="0.2">
      <c r="B5" s="916" t="s">
        <v>34</v>
      </c>
      <c r="C5" s="15">
        <v>140</v>
      </c>
      <c r="D5" s="59">
        <f xml:space="preserve"> ( (5*( (   (((1+0.2*('Holding KIAS'!D5/661.4786)^2)^3.5 -1)  )/( (1-6.8755856*10^-6 *100*D$4)^5.2558797) +1)^(2/7) -1) )^0.5)</f>
        <v>0.31516209397646061</v>
      </c>
      <c r="E5" s="59">
        <f xml:space="preserve"> ( (5*( (   (((1+0.2*('Holding KIAS'!E5/661.4786)^2)^3.5 -1)  )/( (1-6.8755856*10^-6 *100*E$4)^5.2558797) +1)^(2/7) -1) )^0.5)</f>
        <v>0.33566607734243797</v>
      </c>
      <c r="F5" s="59">
        <f xml:space="preserve"> ( (5*( (   (((1+0.2*('Holding KIAS'!F5/661.4786)^2)^3.5 -1)  )/( (1-6.8755856*10^-6 *100*F$4)^5.2558797) +1)^(2/7) -1) )^0.5)</f>
        <v>0.36816854266488797</v>
      </c>
      <c r="G5" s="59">
        <f xml:space="preserve"> ( (5*( (   (((1+0.2*('Holding KIAS'!G5/661.4786)^2)^3.5 -1)  )/( (1-6.8755856*10^-6 *100*G$4)^5.2558797) +1)^(2/7) -1) )^0.5)</f>
        <v>0.40498854165922332</v>
      </c>
      <c r="H5" s="59">
        <f xml:space="preserve"> ( (5*( (   (((1+0.2*('Holding KIAS'!H5/661.4786)^2)^3.5 -1)  )/( (1-6.8755856*10^-6 *100*H$4)^5.2558797) +1)^(2/7) -1) )^0.5)</f>
        <v>0.44682147734417288</v>
      </c>
      <c r="I5" s="59">
        <f xml:space="preserve"> ( (5*( (   (((1+0.2*('Holding KIAS'!I5/661.4786)^2)^3.5 -1)  )/( (1-6.8755856*10^-6 *100*I$4)^5.2558797) +1)^(2/7) -1) )^0.5)</f>
        <v>0.49448008080135747</v>
      </c>
      <c r="J5" s="59">
        <f xml:space="preserve"> ( (5*( (   (((1+0.2*('Holding KIAS'!J5/661.4786)^2)^3.5 -1)  )/( (1-6.8755856*10^-6 *100*J$4)^5.2558797) +1)^(2/7) -1) )^0.5)</f>
        <v>0.54890866682576323</v>
      </c>
      <c r="K5" s="59">
        <f xml:space="preserve"> ( (5*( (   (((1+0.2*('Holding KIAS'!K5/661.4786)^2)^3.5 -1)  )/( (1-6.8755856*10^-6 *100*K$4)^5.2558797) +1)^(2/7) -1) )^0.5)</f>
        <v>0.61119486355119945</v>
      </c>
      <c r="L5" s="59">
        <f xml:space="preserve"> ( (5*( (   (((1+0.2*('Holding KIAS'!L5/661.4786)^2)^3.5 -1)  )/( (1-6.8755856*10^-6 *100*L$4)^5.2558797) +1)^(2/7) -1) )^0.5)</f>
        <v>0.70718984819805708</v>
      </c>
      <c r="M5" s="59">
        <f xml:space="preserve"> ( (5*( (   (((1+0.2*('Holding KIAS'!M5/661.4786)^2)^3.5 -1)  )/( (1-6.8755856*10^-6 *100*M$4)^5.2558797) +1)^(2/7) -1) )^0.5)</f>
        <v>0.76273467816094431</v>
      </c>
    </row>
    <row r="6" spans="2:13" ht="27" customHeight="1" x14ac:dyDescent="0.2">
      <c r="B6" s="917"/>
      <c r="C6" s="16">
        <v>160</v>
      </c>
      <c r="D6" s="59">
        <f xml:space="preserve"> ( (5*( (   (((1+0.2*('Holding KIAS'!D6/661.4786)^2)^3.5 -1)  )/( (1-6.8755856*10^-6 *100*D$4)^5.2558797) +1)^(2/7) -1) )^0.5)</f>
        <v>0.31516209397646061</v>
      </c>
      <c r="E6" s="59">
        <f xml:space="preserve"> ( (5*( (   (((1+0.2*('Holding KIAS'!E6/661.4786)^2)^3.5 -1)  )/( (1-6.8755856*10^-6 *100*E$4)^5.2558797) +1)^(2/7) -1) )^0.5)</f>
        <v>0.33566607734243797</v>
      </c>
      <c r="F6" s="59">
        <f xml:space="preserve"> ( (5*( (   (((1+0.2*('Holding KIAS'!F6/661.4786)^2)^3.5 -1)  )/( (1-6.8755856*10^-6 *100*F$4)^5.2558797) +1)^(2/7) -1) )^0.5)</f>
        <v>0.36816854266488797</v>
      </c>
      <c r="G6" s="59">
        <f xml:space="preserve"> ( (5*( (   (((1+0.2*('Holding KIAS'!G6/661.4786)^2)^3.5 -1)  )/( (1-6.8755856*10^-6 *100*G$4)^5.2558797) +1)^(2/7) -1) )^0.5)</f>
        <v>0.40498854165922332</v>
      </c>
      <c r="H6" s="59">
        <f xml:space="preserve"> ( (5*( (   (((1+0.2*('Holding KIAS'!H6/661.4786)^2)^3.5 -1)  )/( (1-6.8755856*10^-6 *100*H$4)^5.2558797) +1)^(2/7) -1) )^0.5)</f>
        <v>0.44682147734417288</v>
      </c>
      <c r="I6" s="59">
        <f xml:space="preserve"> ( (5*( (   (((1+0.2*('Holding KIAS'!I6/661.4786)^2)^3.5 -1)  )/( (1-6.8755856*10^-6 *100*I$4)^5.2558797) +1)^(2/7) -1) )^0.5)</f>
        <v>0.49448008080135747</v>
      </c>
      <c r="J6" s="59">
        <f xml:space="preserve"> ( (5*( (   (((1+0.2*('Holding KIAS'!J6/661.4786)^2)^3.5 -1)  )/( (1-6.8755856*10^-6 *100*J$4)^5.2558797) +1)^(2/7) -1) )^0.5)</f>
        <v>0.55663003549852719</v>
      </c>
      <c r="K6" s="59">
        <f xml:space="preserve"> ( (5*( (   (((1+0.2*('Holding KIAS'!K6/661.4786)^2)^3.5 -1)  )/( (1-6.8755856*10^-6 *100*K$4)^5.2558797) +1)^(2/7) -1) )^0.5)</f>
        <v>0.66994526278130462</v>
      </c>
      <c r="L6" s="59">
        <f xml:space="preserve"> ( (5*( (   (((1+0.2*('Holding KIAS'!L6/661.4786)^2)^3.5 -1)  )/( (1-6.8755856*10^-6 *100*L$4)^5.2558797) +1)^(2/7) -1) )^0.5)</f>
        <v>0.75577636917338842</v>
      </c>
      <c r="M6" s="59">
        <f xml:space="preserve"> ( (5*( (   (((1+0.2*('Holding KIAS'!M6/661.4786)^2)^3.5 -1)  )/( (1-6.8755856*10^-6 *100*M$4)^5.2558797) +1)^(2/7) -1) )^0.5)</f>
        <v>0.81372970006074519</v>
      </c>
    </row>
    <row r="7" spans="2:13" ht="27" customHeight="1" x14ac:dyDescent="0.2">
      <c r="B7" s="917"/>
      <c r="C7" s="16">
        <v>180</v>
      </c>
      <c r="D7" s="59">
        <f xml:space="preserve"> ( (5*( (   (((1+0.2*('Holding KIAS'!D7/661.4786)^2)^3.5 -1)  )/( (1-6.8755856*10^-6 *100*D$4)^5.2558797) +1)^(2/7) -1) )^0.5)</f>
        <v>0.3229147105994426</v>
      </c>
      <c r="E7" s="59">
        <f xml:space="preserve"> ( (5*( (   (((1+0.2*('Holding KIAS'!E7/661.4786)^2)^3.5 -1)  )/( (1-6.8755856*10^-6 *100*E$4)^5.2558797) +1)^(2/7) -1) )^0.5)</f>
        <v>0.34389561966940685</v>
      </c>
      <c r="F7" s="59">
        <f xml:space="preserve"> ( (5*( (   (((1+0.2*('Holding KIAS'!F7/661.4786)^2)^3.5 -1)  )/( (1-6.8755856*10^-6 *100*F$4)^5.2558797) +1)^(2/7) -1) )^0.5)</f>
        <v>0.3771439116326365</v>
      </c>
      <c r="G7" s="59">
        <f xml:space="preserve"> ( (5*( (   (((1+0.2*('Holding KIAS'!G7/661.4786)^2)^3.5 -1)  )/( (1-6.8755856*10^-6 *100*G$4)^5.2558797) +1)^(2/7) -1) )^0.5)</f>
        <v>0.41479274977878877</v>
      </c>
      <c r="H7" s="59">
        <f xml:space="preserve"> ( (5*( (   (((1+0.2*('Holding KIAS'!H7/661.4786)^2)^3.5 -1)  )/( (1-6.8755856*10^-6 *100*H$4)^5.2558797) +1)^(2/7) -1) )^0.5)</f>
        <v>0.45754525599283175</v>
      </c>
      <c r="I7" s="59">
        <f xml:space="preserve"> ( (5*( (   (((1+0.2*('Holding KIAS'!I7/661.4786)^2)^3.5 -1)  )/( (1-6.8755856*10^-6 *100*I$4)^5.2558797) +1)^(2/7) -1) )^0.5)</f>
        <v>0.50856576478803417</v>
      </c>
      <c r="J7" s="59">
        <f xml:space="preserve"> ( (5*( (   (((1+0.2*('Holding KIAS'!J7/661.4786)^2)^3.5 -1)  )/( (1-6.8755856*10^-6 *100*J$4)^5.2558797) +1)^(2/7) -1) )^0.5)</f>
        <v>0.6178520418495399</v>
      </c>
      <c r="K7" s="59">
        <f xml:space="preserve"> ( (5*( (   (((1+0.2*('Holding KIAS'!K7/661.4786)^2)^3.5 -1)  )/( (1-6.8755856*10^-6 *100*K$4)^5.2558797) +1)^(2/7) -1) )^0.5)</f>
        <v>0.71125452398428191</v>
      </c>
      <c r="L7" s="59">
        <f xml:space="preserve"> ( (5*( (   (((1+0.2*('Holding KIAS'!L7/661.4786)^2)^3.5 -1)  )/( (1-6.8755856*10^-6 *100*L$4)^5.2558797) +1)^(2/7) -1) )^0.5)</f>
        <v>0.80054851887908418</v>
      </c>
      <c r="M7" s="59">
        <f xml:space="preserve"> ( (5*( (   (((1+0.2*('Holding KIAS'!M7/661.4786)^2)^3.5 -1)  )/( (1-6.8755856*10^-6 *100*M$4)^5.2558797) +1)^(2/7) -1) )^0.5)</f>
        <v>0.82317713612292254</v>
      </c>
    </row>
    <row r="8" spans="2:13" ht="27" customHeight="1" x14ac:dyDescent="0.2">
      <c r="B8" s="917"/>
      <c r="C8" s="16">
        <v>200</v>
      </c>
      <c r="D8" s="59">
        <f xml:space="preserve"> ( (5*( (   (((1+0.2*('Holding KIAS'!D8/661.4786)^2)^3.5 -1)  )/( (1-6.8755856*10^-6 *100*D$4)^5.2558797) +1)^(2/7) -1) )^0.5)</f>
        <v>0.33376719702192137</v>
      </c>
      <c r="E8" s="59">
        <f xml:space="preserve"> ( (5*( (   (((1+0.2*('Holding KIAS'!E8/661.4786)^2)^3.5 -1)  )/( (1-6.8755856*10^-6 *100*E$4)^5.2558797) +1)^(2/7) -1) )^0.5)</f>
        <v>0.35541252298148485</v>
      </c>
      <c r="F8" s="59">
        <f xml:space="preserve"> ( (5*( (   (((1+0.2*('Holding KIAS'!F8/661.4786)^2)^3.5 -1)  )/( (1-6.8755856*10^-6 *100*F$4)^5.2558797) +1)^(2/7) -1) )^0.5)</f>
        <v>0.38969868943763813</v>
      </c>
      <c r="G8" s="59">
        <f xml:space="preserve"> ( (5*( (   (((1+0.2*('Holding KIAS'!G8/661.4786)^2)^3.5 -1)  )/( (1-6.8755856*10^-6 *100*G$4)^5.2558797) +1)^(2/7) -1) )^0.5)</f>
        <v>0.42849913738525064</v>
      </c>
      <c r="H8" s="59">
        <f xml:space="preserve"> ( (5*( (   (((1+0.2*('Holding KIAS'!H8/661.4786)^2)^3.5 -1)  )/( (1-6.8755856*10^-6 *100*H$4)^5.2558797) +1)^(2/7) -1) )^0.5)</f>
        <v>0.47252692948609265</v>
      </c>
      <c r="I8" s="59">
        <f xml:space="preserve"> ( (5*( (   (((1+0.2*('Holding KIAS'!I8/661.4786)^2)^3.5 -1)  )/( (1-6.8755856*10^-6 *100*I$4)^5.2558797) +1)^(2/7) -1) )^0.5)</f>
        <v>0.55521635991544815</v>
      </c>
      <c r="J8" s="59">
        <f xml:space="preserve"> ( (5*( (   (((1+0.2*('Holding KIAS'!J8/661.4786)^2)^3.5 -1)  )/( (1-6.8755856*10^-6 *100*J$4)^5.2558797) +1)^(2/7) -1) )^0.5)</f>
        <v>0.66561185459259353</v>
      </c>
      <c r="K8" s="59">
        <f xml:space="preserve"> ( (5*( (   (((1+0.2*('Holding KIAS'!K8/661.4786)^2)^3.5 -1)  )/( (1-6.8755856*10^-6 *100*K$4)^5.2558797) +1)^(2/7) -1) )^0.5)</f>
        <v>0.74931217642219761</v>
      </c>
      <c r="L8" s="59">
        <f xml:space="preserve"> ( (5*( (   (((1+0.2*('Holding KIAS'!L8/661.4786)^2)^3.5 -1)  )/( (1-6.8755856*10^-6 *100*L$4)^5.2558797) +1)^(2/7) -1) )^0.5)</f>
        <v>0.82118524078571653</v>
      </c>
      <c r="M8" s="485">
        <f xml:space="preserve"> MIN(0.823,( (5*( (   (((1+0.2*('Holding KIAS'!M8/661.4786)^2)^3.5 -1)  )/( (1-6.8755856*10^-6 *100*M$4)^5.2558797) +1)^(2/7) -1) )^0.5))</f>
        <v>0.82299999999999995</v>
      </c>
    </row>
    <row r="9" spans="2:13" ht="27" customHeight="1" x14ac:dyDescent="0.2">
      <c r="B9" s="917"/>
      <c r="C9" s="16">
        <v>220</v>
      </c>
      <c r="D9" s="59">
        <f xml:space="preserve"> ( (5*( (   (((1+0.2*('Holding KIAS'!D9/661.4786)^2)^3.5 -1)  )/( (1-6.8755856*10^-6 *100*D$4)^5.2558797) +1)^(2/7) -1) )^0.5)</f>
        <v>0.344618277809074</v>
      </c>
      <c r="E9" s="59">
        <f xml:space="preserve"> ( (5*( (   (((1+0.2*('Holding KIAS'!E9/661.4786)^2)^3.5 -1)  )/( (1-6.8755856*10^-6 *100*E$4)^5.2558797) +1)^(2/7) -1) )^0.5)</f>
        <v>0.3685681796036358</v>
      </c>
      <c r="F9" s="59">
        <f xml:space="preserve"> ( (5*( (   (((1+0.2*('Holding KIAS'!F9/661.4786)^2)^3.5 -1)  )/( (1-6.8755856*10^-6 *100*F$4)^5.2558797) +1)^(2/7) -1) )^0.5)</f>
        <v>0.40582170515552762</v>
      </c>
      <c r="G9" s="59">
        <f xml:space="preserve"> ( (5*( (   (((1+0.2*('Holding KIAS'!G9/661.4786)^2)^3.5 -1)  )/( (1-6.8755856*10^-6 *100*G$4)^5.2558797) +1)^(2/7) -1) )^0.5)</f>
        <v>0.44608748566788681</v>
      </c>
      <c r="H9" s="59">
        <f xml:space="preserve"> ( (5*( (   (((1+0.2*('Holding KIAS'!H9/661.4786)^2)^3.5 -1)  )/( (1-6.8755856*10^-6 *100*H$4)^5.2558797) +1)^(2/7) -1) )^0.5)</f>
        <v>0.50450333400607072</v>
      </c>
      <c r="I9" s="59">
        <f xml:space="preserve"> ( (5*( (   (((1+0.2*('Holding KIAS'!I9/661.4786)^2)^3.5 -1)  )/( (1-6.8755856*10^-6 *100*I$4)^5.2558797) +1)^(2/7) -1) )^0.5)</f>
        <v>0.60597906342763519</v>
      </c>
      <c r="J9" s="59">
        <f xml:space="preserve"> ( (5*( (   (((1+0.2*('Holding KIAS'!J9/661.4786)^2)^3.5 -1)  )/( (1-6.8755856*10^-6 *100*J$4)^5.2558797) +1)^(2/7) -1) )^0.5)</f>
        <v>0.6979223153564148</v>
      </c>
      <c r="K9" s="59">
        <f xml:space="preserve"> ( (5*( (   (((1+0.2*('Holding KIAS'!K9/661.4786)^2)^3.5 -1)  )/( (1-6.8755856*10^-6 *100*K$4)^5.2558797) +1)^(2/7) -1) )^0.5)</f>
        <v>0.78422006119650534</v>
      </c>
      <c r="L9" s="59">
        <f xml:space="preserve"> ( (5*( (   (((1+0.2*('Holding KIAS'!L9/661.4786)^2)^3.5 -1)  )/( (1-6.8755856*10^-6 *100*L$4)^5.2558797) +1)^(2/7) -1) )^0.5)</f>
        <v>0.82118524078571653</v>
      </c>
      <c r="M9" s="485">
        <f xml:space="preserve"> MIN(0.823,( (5*( (   (((1+0.2*('Holding KIAS'!M9/661.4786)^2)^3.5 -1)  )/( (1-6.8755856*10^-6 *100*M$4)^5.2558797) +1)^(2/7) -1) )^0.5))</f>
        <v>0.82299999999999995</v>
      </c>
    </row>
    <row r="10" spans="2:13" ht="27" customHeight="1" x14ac:dyDescent="0.2">
      <c r="B10" s="917"/>
      <c r="C10" s="16">
        <v>240</v>
      </c>
      <c r="D10" s="59">
        <f xml:space="preserve"> ( (5*( (   (((1+0.2*('Holding KIAS'!D10/661.4786)^2)^3.5 -1)  )/( (1-6.8755856*10^-6 *100*D$4)^5.2558797) +1)^(2/7) -1) )^0.5)</f>
        <v>0.36011731376287487</v>
      </c>
      <c r="E10" s="59">
        <f xml:space="preserve"> ( (5*( (   (((1+0.2*('Holding KIAS'!E10/661.4786)^2)^3.5 -1)  )/( (1-6.8755856*10^-6 *100*E$4)^5.2558797) +1)^(2/7) -1) )^0.5)</f>
        <v>0.38500269463308157</v>
      </c>
      <c r="F10" s="59">
        <f xml:space="preserve"> ( (5*( (   (((1+0.2*('Holding KIAS'!F10/661.4786)^2)^3.5 -1)  )/( (1-6.8755856*10^-6 *100*F$4)^5.2558797) +1)^(2/7) -1) )^0.5)</f>
        <v>0.42371062926329073</v>
      </c>
      <c r="G10" s="59">
        <f xml:space="preserve"> ( (5*( (   (((1+0.2*('Holding KIAS'!G10/661.4786)^2)^3.5 -1)  )/( (1-6.8755856*10^-6 *100*G$4)^5.2558797) +1)^(2/7) -1) )^0.5)</f>
        <v>0.4675308516265661</v>
      </c>
      <c r="H10" s="59">
        <f xml:space="preserve"> ( (5*( (   (((1+0.2*('Holding KIAS'!H10/661.4786)^2)^3.5 -1)  )/( (1-6.8755856*10^-6 *100*H$4)^5.2558797) +1)^(2/7) -1) )^0.5)</f>
        <v>0.54052719408668681</v>
      </c>
      <c r="I10" s="59">
        <f xml:space="preserve"> ( (5*( (   (((1+0.2*('Holding KIAS'!I10/661.4786)^2)^3.5 -1)  )/( (1-6.8755856*10^-6 *100*I$4)^5.2558797) +1)^(2/7) -1) )^0.5)</f>
        <v>0.65387701093353234</v>
      </c>
      <c r="J10" s="59">
        <f xml:space="preserve"> ( (5*( (   (((1+0.2*('Holding KIAS'!J10/661.4786)^2)^3.5 -1)  )/( (1-6.8755856*10^-6 *100*J$4)^5.2558797) +1)^(2/7) -1) )^0.5)</f>
        <v>0.72993162526187938</v>
      </c>
      <c r="K10" s="59">
        <f xml:space="preserve"> ( (5*( (   (((1+0.2*('Holding KIAS'!K10/661.4786)^2)^3.5 -1)  )/( (1-6.8755856*10^-6 *100*K$4)^5.2558797) +1)^(2/7) -1) )^0.5)</f>
        <v>0.81871330593125935</v>
      </c>
      <c r="L10" s="485">
        <f xml:space="preserve"> MIN(0.823,( (5*( (   (((1+0.2*('Holding KIAS'!L10/661.4786)^2)^3.5 -1)  )/( (1-6.8755856*10^-6 *100*L$4)^5.2558797) +1)^(2/7) -1) )^0.5))</f>
        <v>0.82299999999999995</v>
      </c>
      <c r="M10" s="485">
        <f xml:space="preserve"> MIN(0.823,( (5*( (   (((1+0.2*('Holding KIAS'!M10/661.4786)^2)^3.5 -1)  )/( (1-6.8755856*10^-6 *100*M$4)^5.2558797) +1)^(2/7) -1) )^0.5))</f>
        <v>0.82299999999999995</v>
      </c>
    </row>
    <row r="11" spans="2:13" ht="27" customHeight="1" x14ac:dyDescent="0.2">
      <c r="B11" s="917"/>
      <c r="C11" s="16">
        <v>260</v>
      </c>
      <c r="D11" s="59">
        <f xml:space="preserve"> ( (5*( (   (((1+0.2*('Holding KIAS'!D11/661.4786)^2)^3.5 -1)  )/( (1-6.8755856*10^-6 *100*D$4)^5.2558797) +1)^(2/7) -1) )^0.5)</f>
        <v>0.37561330979393259</v>
      </c>
      <c r="E11" s="59">
        <f xml:space="preserve"> ( (5*( (   (((1+0.2*('Holding KIAS'!E11/661.4786)^2)^3.5 -1)  )/( (1-6.8755856*10^-6 *100*E$4)^5.2558797) +1)^(2/7) -1) )^0.5)</f>
        <v>0.39978393065798057</v>
      </c>
      <c r="F11" s="59">
        <f xml:space="preserve"> ( (5*( (   (((1+0.2*('Holding KIAS'!F11/661.4786)^2)^3.5 -1)  )/( (1-6.8755856*10^-6 *100*F$4)^5.2558797) +1)^(2/7) -1) )^0.5)</f>
        <v>0.43978705169214827</v>
      </c>
      <c r="G11" s="59">
        <f xml:space="preserve"> ( (5*( (   (((1+0.2*('Holding KIAS'!G11/661.4786)^2)^3.5 -1)  )/( (1-6.8755856*10^-6 *100*G$4)^5.2558797) +1)^(2/7) -1) )^0.5)</f>
        <v>0.48891379413640612</v>
      </c>
      <c r="H11" s="59">
        <f xml:space="preserve"> ( (5*( (   (((1+0.2*('Holding KIAS'!H11/661.4786)^2)^3.5 -1)  )/( (1-6.8755856*10^-6 *100*H$4)^5.2558797) +1)^(2/7) -1) )^0.5)</f>
        <v>0.5805083858629817</v>
      </c>
      <c r="I11" s="59">
        <f xml:space="preserve"> ( (5*( (   (((1+0.2*('Holding KIAS'!I11/661.4786)^2)^3.5 -1)  )/( (1-6.8755856*10^-6 *100*I$4)^5.2558797) +1)^(2/7) -1) )^0.5)</f>
        <v>0.67874507118745353</v>
      </c>
      <c r="J11" s="59">
        <f xml:space="preserve"> ( (5*( (   (((1+0.2*('Holding KIAS'!J11/661.4786)^2)^3.5 -1)  )/( (1-6.8755856*10^-6 *100*J$4)^5.2558797) +1)^(2/7) -1) )^0.5)</f>
        <v>0.75921040781271476</v>
      </c>
      <c r="K11" s="59">
        <f xml:space="preserve"> ( (5*( (   (((1+0.2*('Holding KIAS'!K11/661.4786)^2)^3.5 -1)  )/( (1-6.8755856*10^-6 *100*K$4)^5.2558797) +1)^(2/7) -1) )^0.5)</f>
        <v>0.81871330593125935</v>
      </c>
      <c r="L11" s="485">
        <f xml:space="preserve"> MIN(0.823,( (5*( (   (((1+0.2*('Holding KIAS'!L11/661.4786)^2)^3.5 -1)  )/( (1-6.8755856*10^-6 *100*L$4)^5.2558797) +1)^(2/7) -1) )^0.5))</f>
        <v>0.82299999999999995</v>
      </c>
      <c r="M11" s="485">
        <f xml:space="preserve"> MIN(0.823,( (5*( (   (((1+0.2*('Holding KIAS'!M11/661.4786)^2)^3.5 -1)  )/( (1-6.8755856*10^-6 *100*M$4)^5.2558797) +1)^(2/7) -1) )^0.5))</f>
        <v>0.82299999999999995</v>
      </c>
    </row>
    <row r="12" spans="2:13" ht="27" customHeight="1" x14ac:dyDescent="0.2">
      <c r="B12" s="917"/>
      <c r="C12" s="16">
        <v>280</v>
      </c>
      <c r="D12" s="59">
        <f xml:space="preserve"> ( (5*( (   (((1+0.2*('Holding KIAS'!D12/661.4786)^2)^3.5 -1)  )/( (1-6.8755856*10^-6 *100*D$4)^5.2558797) +1)^(2/7) -1) )^0.5)</f>
        <v>0.38955702797504194</v>
      </c>
      <c r="E12" s="59">
        <f xml:space="preserve"> ( (5*( (   (((1+0.2*('Holding KIAS'!E12/661.4786)^2)^3.5 -1)  )/( (1-6.8755856*10^-6 *100*E$4)^5.2558797) +1)^(2/7) -1) )^0.5)</f>
        <v>0.41455559782612295</v>
      </c>
      <c r="F12" s="59">
        <f xml:space="preserve"> ( (5*( (   (((1+0.2*('Holding KIAS'!F12/661.4786)^2)^3.5 -1)  )/( (1-6.8755856*10^-6 *100*F$4)^5.2558797) +1)^(2/7) -1) )^0.5)</f>
        <v>0.45762283085232425</v>
      </c>
      <c r="G12" s="59">
        <f xml:space="preserve"> ( (5*( (   (((1+0.2*('Holding KIAS'!G12/661.4786)^2)^3.5 -1)  )/( (1-6.8755856*10^-6 *100*G$4)^5.2558797) +1)^(2/7) -1) )^0.5)</f>
        <v>0.51797221710318742</v>
      </c>
      <c r="H12" s="59">
        <f xml:space="preserve"> ( (5*( (   (((1+0.2*('Holding KIAS'!H12/661.4786)^2)^3.5 -1)  )/( (1-6.8755856*10^-6 *100*H$4)^5.2558797) +1)^(2/7) -1) )^0.5)</f>
        <v>0.62226443013612798</v>
      </c>
      <c r="I12" s="59">
        <f xml:space="preserve"> ( (5*( (   (((1+0.2*('Holding KIAS'!I12/661.4786)^2)^3.5 -1)  )/( (1-6.8755856*10^-6 *100*I$4)^5.2558797) +1)^(2/7) -1) )^0.5)</f>
        <v>0.70569856392514407</v>
      </c>
      <c r="J12" s="59">
        <f xml:space="preserve"> ( (5*( (   (((1+0.2*('Holding KIAS'!J12/661.4786)^2)^3.5 -1)  )/( (1-6.8755856*10^-6 *100*J$4)^5.2558797) +1)^(2/7) -1) )^0.5)</f>
        <v>0.78823152954190978</v>
      </c>
      <c r="K12" s="59">
        <f xml:space="preserve"> ( (5*( (   (((1+0.2*('Holding KIAS'!K12/661.4786)^2)^3.5 -1)  )/( (1-6.8755856*10^-6 *100*K$4)^5.2558797) +1)^(2/7) -1) )^0.5)</f>
        <v>0.81871330593125935</v>
      </c>
      <c r="L12" s="485">
        <f xml:space="preserve"> MIN(0.823,( (5*( (   (((1+0.2*('Holding KIAS'!L12/661.4786)^2)^3.5 -1)  )/( (1-6.8755856*10^-6 *100*L$4)^5.2558797) +1)^(2/7) -1) )^0.5))</f>
        <v>0.82299999999999995</v>
      </c>
      <c r="M12" s="485">
        <f xml:space="preserve"> MIN(0.823,( (5*( (   (((1+0.2*('Holding KIAS'!M12/661.4786)^2)^3.5 -1)  )/( (1-6.8755856*10^-6 *100*M$4)^5.2558797) +1)^(2/7) -1) )^0.5))</f>
        <v>0.82299999999999995</v>
      </c>
    </row>
    <row r="13" spans="2:13" ht="27" customHeight="1" thickBot="1" x14ac:dyDescent="0.25">
      <c r="B13" s="918"/>
      <c r="C13" s="17">
        <v>300</v>
      </c>
      <c r="D13" s="59">
        <f xml:space="preserve"> ( (5*( (   (((1+0.2*('Holding KIAS'!D13/661.4786)^2)^3.5 -1)  )/( (1-6.8755856*10^-6 *100*D$4)^5.2558797) +1)^(2/7) -1) )^0.5)</f>
        <v>0.40349813935019463</v>
      </c>
      <c r="E13" s="59">
        <f xml:space="preserve"> ( (5*( (   (((1+0.2*('Holding KIAS'!E13/661.4786)^2)^3.5 -1)  )/( (1-6.8755856*10^-6 *100*E$4)^5.2558797) +1)^(2/7) -1) )^0.5)</f>
        <v>0.4293174579596557</v>
      </c>
      <c r="F13" s="59">
        <f xml:space="preserve"> ( (5*( (   (((1+0.2*('Holding KIAS'!F13/661.4786)^2)^3.5 -1)  )/( (1-6.8755856*10^-6 *100*F$4)^5.2558797) +1)^(2/7) -1) )^0.5)</f>
        <v>0.47365025473668038</v>
      </c>
      <c r="G13" s="59">
        <f xml:space="preserve"> ( (5*( (   (((1+0.2*('Holding KIAS'!G13/661.4786)^2)^3.5 -1)  )/( (1-6.8755856*10^-6 *100*G$4)^5.2558797) +1)^(2/7) -1) )^0.5)</f>
        <v>0.54883696386486891</v>
      </c>
      <c r="H13" s="59">
        <f xml:space="preserve"> ( (5*( (   (((1+0.2*('Holding KIAS'!H13/661.4786)^2)^3.5 -1)  )/( (1-6.8755856*10^-6 *100*H$4)^5.2558797) +1)^(2/7) -1) )^0.5)</f>
        <v>0.65542081792509521</v>
      </c>
      <c r="I13" s="59">
        <f xml:space="preserve"> ( (5*( (   (((1+0.2*('Holding KIAS'!I13/661.4786)^2)^3.5 -1)  )/( (1-6.8755856*10^-6 *100*I$4)^5.2558797) +1)^(2/7) -1) )^0.5)</f>
        <v>0.73024447367891254</v>
      </c>
      <c r="J13" s="59">
        <f xml:space="preserve"> ( (5*( (   (((1+0.2*('Holding KIAS'!J13/661.4786)^2)^3.5 -1)  )/( (1-6.8755856*10^-6 *100*J$4)^5.2558797) +1)^(2/7) -1) )^0.5)</f>
        <v>0.81699557364694297</v>
      </c>
      <c r="K13" s="485">
        <f xml:space="preserve"> MIN(0.823,( (5*( (   (((1+0.2*('Holding KIAS'!K13/661.4786)^2)^3.5 -1)  )/( (1-6.8755856*10^-6 *100*K$4)^5.2558797) +1)^(2/7) -1) )^0.5))</f>
        <v>0.82299999999999995</v>
      </c>
      <c r="L13" s="485">
        <f xml:space="preserve"> MIN(0.823,( (5*( (   (((1+0.2*('Holding KIAS'!L13/661.4786)^2)^3.5 -1)  )/( (1-6.8755856*10^-6 *100*L$4)^5.2558797) +1)^(2/7) -1) )^0.5))</f>
        <v>0.82299999999999995</v>
      </c>
      <c r="M13" s="485">
        <f xml:space="preserve"> MIN(0.823,( (5*( (   (((1+0.2*('Holding KIAS'!M13/661.4786)^2)^3.5 -1)  )/( (1-6.8755856*10^-6 *100*M$4)^5.2558797) +1)^(2/7) -1) )^0.5))</f>
        <v>0.82299999999999995</v>
      </c>
    </row>
    <row r="14" spans="2:13" ht="14.5" customHeight="1" thickBot="1" x14ac:dyDescent="0.25"/>
    <row r="15" spans="2:13" ht="22.5" customHeight="1" x14ac:dyDescent="0.2">
      <c r="B15" s="919" t="s">
        <v>11</v>
      </c>
      <c r="C15" s="920"/>
      <c r="D15" s="5"/>
      <c r="E15" s="5"/>
      <c r="F15" s="5"/>
      <c r="G15" s="5"/>
      <c r="H15" s="18"/>
      <c r="I15" s="18"/>
      <c r="J15" s="18"/>
      <c r="K15" s="19"/>
    </row>
    <row r="16" spans="2:13" ht="23.25" customHeight="1" x14ac:dyDescent="0.2">
      <c r="B16" s="26" t="s">
        <v>12</v>
      </c>
      <c r="C16" s="22">
        <v>200</v>
      </c>
      <c r="D16" s="27" t="s">
        <v>13</v>
      </c>
      <c r="E16" s="6" t="s">
        <v>23</v>
      </c>
      <c r="F16" s="7"/>
      <c r="G16" s="7"/>
      <c r="H16" s="20"/>
      <c r="I16" s="20"/>
      <c r="J16" s="20"/>
      <c r="K16" s="21"/>
    </row>
    <row r="17" spans="2:13" ht="23.25" customHeight="1" x14ac:dyDescent="0.2">
      <c r="B17" s="26" t="s">
        <v>14</v>
      </c>
      <c r="C17" s="22">
        <v>220</v>
      </c>
      <c r="D17" s="27" t="s">
        <v>15</v>
      </c>
      <c r="E17" s="6" t="s">
        <v>24</v>
      </c>
      <c r="F17" s="7"/>
      <c r="G17" s="7"/>
      <c r="H17" s="20"/>
      <c r="I17" s="20"/>
      <c r="J17" s="20"/>
      <c r="K17" s="21"/>
    </row>
    <row r="18" spans="2:13" ht="14.25" customHeight="1" x14ac:dyDescent="0.2">
      <c r="B18" s="8"/>
      <c r="C18" s="9"/>
      <c r="D18" s="9"/>
      <c r="E18" s="9"/>
      <c r="F18" s="7"/>
      <c r="G18" s="7"/>
      <c r="H18" s="20"/>
      <c r="I18" s="20"/>
      <c r="J18" s="20"/>
      <c r="K18" s="21"/>
    </row>
    <row r="19" spans="2:13" ht="24" customHeight="1" x14ac:dyDescent="0.2">
      <c r="B19" s="26" t="s">
        <v>27</v>
      </c>
      <c r="C19" s="43" t="e">
        <f ca="1">BicubicInterpolation(C4:M13,C16,C17)</f>
        <v>#NAME?</v>
      </c>
      <c r="D19" s="27" t="s">
        <v>22</v>
      </c>
      <c r="E19" s="7"/>
      <c r="F19" s="7"/>
      <c r="G19" s="7"/>
      <c r="H19" s="20"/>
      <c r="I19" s="20"/>
      <c r="J19" s="20"/>
      <c r="K19" s="21"/>
    </row>
    <row r="20" spans="2:13" ht="17.5" customHeight="1" thickBot="1" x14ac:dyDescent="0.25">
      <c r="B20" s="26"/>
      <c r="C20" s="31"/>
      <c r="D20" s="27"/>
      <c r="E20" s="7"/>
      <c r="F20" s="7"/>
      <c r="G20" s="7"/>
      <c r="H20" s="20"/>
      <c r="I20" s="20"/>
      <c r="J20" s="20"/>
      <c r="K20" s="21"/>
    </row>
    <row r="21" spans="2:13" ht="20.5" customHeight="1" x14ac:dyDescent="0.2">
      <c r="B21" s="23" t="s">
        <v>20</v>
      </c>
      <c r="C21" s="934" t="s">
        <v>30</v>
      </c>
      <c r="D21" s="934"/>
      <c r="E21" s="934"/>
      <c r="F21" s="934"/>
      <c r="G21" s="934"/>
      <c r="H21" s="934"/>
      <c r="I21" s="934"/>
      <c r="J21" s="934"/>
      <c r="K21" s="935"/>
    </row>
    <row r="22" spans="2:13" ht="20.5" customHeight="1" x14ac:dyDescent="0.2">
      <c r="B22" s="24"/>
      <c r="C22" s="932" t="s">
        <v>21</v>
      </c>
      <c r="D22" s="932"/>
      <c r="E22" s="932"/>
      <c r="F22" s="932"/>
      <c r="G22" s="932"/>
      <c r="H22" s="932"/>
      <c r="I22" s="932"/>
      <c r="J22" s="932"/>
      <c r="K22" s="933"/>
    </row>
    <row r="23" spans="2:13" ht="20.5" customHeight="1" thickBot="1" x14ac:dyDescent="0.25">
      <c r="B23" s="25"/>
      <c r="C23" s="927" t="s">
        <v>32</v>
      </c>
      <c r="D23" s="927"/>
      <c r="E23" s="927"/>
      <c r="F23" s="927"/>
      <c r="G23" s="927"/>
      <c r="H23" s="927"/>
      <c r="I23" s="927"/>
      <c r="J23" s="927"/>
      <c r="K23" s="928"/>
    </row>
    <row r="24" spans="2:13" ht="39" customHeight="1" x14ac:dyDescent="0.2">
      <c r="D24"/>
      <c r="E24"/>
      <c r="F24"/>
      <c r="G24"/>
      <c r="H24"/>
      <c r="I24"/>
      <c r="J24"/>
      <c r="K24"/>
      <c r="L24"/>
      <c r="M24"/>
    </row>
    <row r="25" spans="2:13" ht="36.75" customHeight="1" x14ac:dyDescent="0.2"/>
    <row r="36" ht="22.5" customHeight="1" x14ac:dyDescent="0.2"/>
    <row r="37" ht="22.5" customHeight="1" x14ac:dyDescent="0.2"/>
    <row r="38" ht="22.5" customHeight="1" x14ac:dyDescent="0.2"/>
    <row r="39" ht="22.5" customHeight="1" x14ac:dyDescent="0.2"/>
    <row r="40" ht="22.5" customHeight="1" x14ac:dyDescent="0.2"/>
    <row r="41" ht="22.5" customHeight="1" x14ac:dyDescent="0.2"/>
    <row r="42" ht="22.5" customHeight="1" x14ac:dyDescent="0.2"/>
    <row r="43" ht="22.5" customHeight="1" x14ac:dyDescent="0.2"/>
    <row r="44" ht="22.5" customHeight="1" x14ac:dyDescent="0.2"/>
  </sheetData>
  <mergeCells count="7">
    <mergeCell ref="C23:K23"/>
    <mergeCell ref="B2:M2"/>
    <mergeCell ref="D3:M3"/>
    <mergeCell ref="B5:B13"/>
    <mergeCell ref="B15:C15"/>
    <mergeCell ref="C21:K21"/>
    <mergeCell ref="C22:K22"/>
  </mergeCell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7"/>
  <dimension ref="B1:M456"/>
  <sheetViews>
    <sheetView zoomScale="80" zoomScaleNormal="80" workbookViewId="0">
      <selection activeCell="R15" sqref="R15"/>
    </sheetView>
  </sheetViews>
  <sheetFormatPr baseColWidth="10" defaultColWidth="8.83203125" defaultRowHeight="15" x14ac:dyDescent="0.2"/>
  <cols>
    <col min="1" max="1" width="5.5" customWidth="1"/>
    <col min="2" max="2" width="20.83203125" customWidth="1"/>
    <col min="4" max="13" width="9.5" style="3" customWidth="1"/>
    <col min="14" max="14" width="9.33203125" customWidth="1"/>
    <col min="16" max="16" width="15.1640625" customWidth="1"/>
    <col min="19" max="19" width="14.6640625" customWidth="1"/>
    <col min="20" max="20" width="11.1640625" customWidth="1"/>
    <col min="21" max="21" width="11.5" customWidth="1"/>
  </cols>
  <sheetData>
    <row r="1" spans="2:13" ht="16" thickBot="1" x14ac:dyDescent="0.25"/>
    <row r="2" spans="2:13" ht="91" customHeight="1" thickBot="1" x14ac:dyDescent="0.25">
      <c r="B2" s="921" t="s">
        <v>116</v>
      </c>
      <c r="C2" s="922"/>
      <c r="D2" s="922"/>
      <c r="E2" s="922"/>
      <c r="F2" s="922"/>
      <c r="G2" s="922"/>
      <c r="H2" s="922"/>
      <c r="I2" s="922"/>
      <c r="J2" s="922"/>
      <c r="K2" s="922"/>
      <c r="L2" s="922"/>
      <c r="M2" s="923"/>
    </row>
    <row r="3" spans="2:13" ht="30" customHeight="1" thickBot="1" x14ac:dyDescent="0.25">
      <c r="B3" s="10"/>
      <c r="C3" s="11"/>
      <c r="D3" s="924" t="s">
        <v>10</v>
      </c>
      <c r="E3" s="925"/>
      <c r="F3" s="925"/>
      <c r="G3" s="925"/>
      <c r="H3" s="925"/>
      <c r="I3" s="925"/>
      <c r="J3" s="925"/>
      <c r="K3" s="925"/>
      <c r="L3" s="925"/>
      <c r="M3" s="926"/>
    </row>
    <row r="4" spans="2:13" ht="27" customHeight="1" thickBot="1" x14ac:dyDescent="0.25">
      <c r="B4" s="4"/>
      <c r="C4" s="2"/>
      <c r="D4" s="12">
        <v>15</v>
      </c>
      <c r="E4" s="13">
        <v>50</v>
      </c>
      <c r="F4" s="13">
        <v>100</v>
      </c>
      <c r="G4" s="13">
        <v>150</v>
      </c>
      <c r="H4" s="13">
        <v>200</v>
      </c>
      <c r="I4" s="13">
        <v>250</v>
      </c>
      <c r="J4" s="13">
        <v>300</v>
      </c>
      <c r="K4" s="13">
        <v>350</v>
      </c>
      <c r="L4" s="13">
        <v>400</v>
      </c>
      <c r="M4" s="14">
        <v>430</v>
      </c>
    </row>
    <row r="5" spans="2:13" ht="27" customHeight="1" x14ac:dyDescent="0.2">
      <c r="B5" s="916" t="s">
        <v>28</v>
      </c>
      <c r="C5" s="15">
        <v>140</v>
      </c>
      <c r="D5" s="641">
        <v>2400</v>
      </c>
      <c r="E5" s="642">
        <v>2330</v>
      </c>
      <c r="F5" s="642">
        <v>2250</v>
      </c>
      <c r="G5" s="642">
        <v>2130</v>
      </c>
      <c r="H5" s="642">
        <v>2090</v>
      </c>
      <c r="I5" s="642">
        <v>2050</v>
      </c>
      <c r="J5" s="642">
        <v>1980</v>
      </c>
      <c r="K5" s="642">
        <v>1980</v>
      </c>
      <c r="L5" s="642">
        <v>2100</v>
      </c>
      <c r="M5" s="720">
        <v>2170</v>
      </c>
    </row>
    <row r="6" spans="2:13" ht="27" customHeight="1" x14ac:dyDescent="0.2">
      <c r="B6" s="917"/>
      <c r="C6" s="16">
        <v>160</v>
      </c>
      <c r="D6" s="645">
        <v>2570</v>
      </c>
      <c r="E6" s="646">
        <v>2510</v>
      </c>
      <c r="F6" s="646">
        <v>2390</v>
      </c>
      <c r="G6" s="646">
        <v>2330</v>
      </c>
      <c r="H6" s="646">
        <v>2290</v>
      </c>
      <c r="I6" s="646">
        <v>2270</v>
      </c>
      <c r="J6" s="646">
        <v>2220</v>
      </c>
      <c r="K6" s="646">
        <v>2320</v>
      </c>
      <c r="L6" s="646">
        <v>2440</v>
      </c>
      <c r="M6" s="721">
        <v>2560</v>
      </c>
    </row>
    <row r="7" spans="2:13" ht="27" customHeight="1" x14ac:dyDescent="0.2">
      <c r="B7" s="917"/>
      <c r="C7" s="16">
        <v>180</v>
      </c>
      <c r="D7" s="645">
        <v>2810</v>
      </c>
      <c r="E7" s="646">
        <v>2690</v>
      </c>
      <c r="F7" s="646">
        <v>2630</v>
      </c>
      <c r="G7" s="646">
        <v>2580</v>
      </c>
      <c r="H7" s="646">
        <v>2550</v>
      </c>
      <c r="I7" s="646">
        <v>2470</v>
      </c>
      <c r="J7" s="646">
        <v>2570</v>
      </c>
      <c r="K7" s="646">
        <v>2600</v>
      </c>
      <c r="L7" s="646">
        <v>2770</v>
      </c>
      <c r="M7" s="721">
        <v>2870</v>
      </c>
    </row>
    <row r="8" spans="2:13" ht="27" customHeight="1" x14ac:dyDescent="0.2">
      <c r="B8" s="917"/>
      <c r="C8" s="16">
        <v>200</v>
      </c>
      <c r="D8" s="645">
        <v>3010</v>
      </c>
      <c r="E8" s="646">
        <v>2960</v>
      </c>
      <c r="F8" s="646">
        <v>2890</v>
      </c>
      <c r="G8" s="646">
        <v>2850</v>
      </c>
      <c r="H8" s="646">
        <v>2760</v>
      </c>
      <c r="I8" s="646">
        <v>2800</v>
      </c>
      <c r="J8" s="725">
        <v>2880</v>
      </c>
      <c r="K8" s="725">
        <v>2950</v>
      </c>
      <c r="L8" s="725">
        <v>3130</v>
      </c>
      <c r="M8" s="726">
        <v>3200</v>
      </c>
    </row>
    <row r="9" spans="2:13" ht="27" customHeight="1" x14ac:dyDescent="0.2">
      <c r="B9" s="917"/>
      <c r="C9" s="16">
        <v>220</v>
      </c>
      <c r="D9" s="645">
        <v>3280</v>
      </c>
      <c r="E9" s="646">
        <v>3230</v>
      </c>
      <c r="F9" s="646">
        <v>3170</v>
      </c>
      <c r="G9" s="646">
        <v>3140</v>
      </c>
      <c r="H9" s="646">
        <v>3050</v>
      </c>
      <c r="I9" s="646">
        <v>3160</v>
      </c>
      <c r="J9" s="725">
        <v>3220</v>
      </c>
      <c r="K9" s="725">
        <v>3310</v>
      </c>
      <c r="L9" s="725">
        <v>3590</v>
      </c>
      <c r="M9" s="726">
        <v>3500</v>
      </c>
    </row>
    <row r="10" spans="2:13" ht="27" customHeight="1" x14ac:dyDescent="0.2">
      <c r="B10" s="917"/>
      <c r="C10" s="16">
        <v>240</v>
      </c>
      <c r="D10" s="645">
        <v>3560</v>
      </c>
      <c r="E10" s="646">
        <v>3510</v>
      </c>
      <c r="F10" s="646">
        <v>3460</v>
      </c>
      <c r="G10" s="646">
        <v>3350</v>
      </c>
      <c r="H10" s="646">
        <v>3380</v>
      </c>
      <c r="I10" s="646">
        <v>3490</v>
      </c>
      <c r="J10" s="725">
        <v>3560</v>
      </c>
      <c r="K10" s="725">
        <v>3710</v>
      </c>
      <c r="L10" s="727">
        <v>3800</v>
      </c>
      <c r="M10" s="726">
        <v>3850</v>
      </c>
    </row>
    <row r="11" spans="2:13" ht="27" customHeight="1" x14ac:dyDescent="0.2">
      <c r="B11" s="917"/>
      <c r="C11" s="16">
        <v>260</v>
      </c>
      <c r="D11" s="645">
        <v>3770</v>
      </c>
      <c r="E11" s="646">
        <v>3720</v>
      </c>
      <c r="F11" s="646">
        <v>3690</v>
      </c>
      <c r="G11" s="646">
        <v>3580</v>
      </c>
      <c r="H11" s="646">
        <v>3740</v>
      </c>
      <c r="I11" s="646">
        <v>3830</v>
      </c>
      <c r="J11" s="725">
        <v>3920</v>
      </c>
      <c r="K11" s="725">
        <v>4060</v>
      </c>
      <c r="L11" s="727">
        <v>4140</v>
      </c>
      <c r="M11" s="726">
        <v>4220</v>
      </c>
    </row>
    <row r="12" spans="2:13" ht="27" customHeight="1" x14ac:dyDescent="0.2">
      <c r="B12" s="917"/>
      <c r="C12" s="16">
        <v>280</v>
      </c>
      <c r="D12" s="645">
        <v>4060</v>
      </c>
      <c r="E12" s="646">
        <v>4020</v>
      </c>
      <c r="F12" s="646">
        <v>3890</v>
      </c>
      <c r="G12" s="646">
        <v>3890</v>
      </c>
      <c r="H12" s="646">
        <v>4060</v>
      </c>
      <c r="I12" s="646">
        <v>4180</v>
      </c>
      <c r="J12" s="725">
        <v>4300</v>
      </c>
      <c r="K12" s="725">
        <v>4550</v>
      </c>
      <c r="L12" s="727">
        <v>4800</v>
      </c>
      <c r="M12" s="726">
        <v>5000</v>
      </c>
    </row>
    <row r="13" spans="2:13" ht="27" customHeight="1" thickBot="1" x14ac:dyDescent="0.25">
      <c r="B13" s="918"/>
      <c r="C13" s="17">
        <v>300</v>
      </c>
      <c r="D13" s="651">
        <v>4350</v>
      </c>
      <c r="E13" s="652">
        <v>4320</v>
      </c>
      <c r="F13" s="652">
        <v>4190</v>
      </c>
      <c r="G13" s="652">
        <v>4230</v>
      </c>
      <c r="H13" s="652">
        <v>4440</v>
      </c>
      <c r="I13" s="652">
        <v>4530</v>
      </c>
      <c r="J13" s="728">
        <v>4710</v>
      </c>
      <c r="K13" s="729">
        <v>4890</v>
      </c>
      <c r="L13" s="729">
        <v>5000</v>
      </c>
      <c r="M13" s="730">
        <v>5000</v>
      </c>
    </row>
    <row r="14" spans="2:13" ht="16" thickBot="1" x14ac:dyDescent="0.25"/>
    <row r="15" spans="2:13" ht="22.5" customHeight="1" x14ac:dyDescent="0.2">
      <c r="B15" s="919" t="s">
        <v>11</v>
      </c>
      <c r="C15" s="920"/>
      <c r="D15" s="5"/>
      <c r="E15" s="5"/>
      <c r="F15" s="5"/>
      <c r="G15" s="5"/>
      <c r="H15" s="18"/>
      <c r="I15" s="18"/>
      <c r="J15" s="18"/>
      <c r="K15" s="19"/>
    </row>
    <row r="16" spans="2:13" ht="23.25" customHeight="1" x14ac:dyDescent="0.2">
      <c r="B16" s="26" t="s">
        <v>12</v>
      </c>
      <c r="C16" s="22">
        <v>350</v>
      </c>
      <c r="D16" s="27" t="s">
        <v>13</v>
      </c>
      <c r="E16" s="6" t="s">
        <v>23</v>
      </c>
      <c r="F16" s="7"/>
      <c r="G16" s="7"/>
      <c r="H16" s="20"/>
      <c r="I16" s="20"/>
      <c r="J16" s="20"/>
      <c r="K16" s="21"/>
    </row>
    <row r="17" spans="2:13" ht="23.25" customHeight="1" x14ac:dyDescent="0.2">
      <c r="B17" s="26" t="s">
        <v>14</v>
      </c>
      <c r="C17" s="22">
        <v>240</v>
      </c>
      <c r="D17" s="27" t="s">
        <v>15</v>
      </c>
      <c r="E17" s="6" t="s">
        <v>24</v>
      </c>
      <c r="F17" s="7"/>
      <c r="G17" s="7"/>
      <c r="H17" s="20"/>
      <c r="I17" s="20"/>
      <c r="J17" s="20"/>
      <c r="K17" s="21"/>
    </row>
    <row r="18" spans="2:13" ht="14.25" customHeight="1" x14ac:dyDescent="0.2">
      <c r="B18" s="8"/>
      <c r="C18" s="9"/>
      <c r="D18" s="9"/>
      <c r="E18" s="9"/>
      <c r="F18" s="7"/>
      <c r="G18" s="7"/>
      <c r="H18" s="20"/>
      <c r="I18" s="20"/>
      <c r="J18" s="20"/>
      <c r="K18" s="21"/>
    </row>
    <row r="19" spans="2:13" ht="24" customHeight="1" x14ac:dyDescent="0.2">
      <c r="B19" s="26" t="s">
        <v>25</v>
      </c>
      <c r="C19" s="32" t="e">
        <f ca="1">BicubicInterpolation(C4:M13,C16,C17)</f>
        <v>#NAME?</v>
      </c>
      <c r="D19" s="27" t="s">
        <v>22</v>
      </c>
      <c r="E19" s="7"/>
      <c r="F19" s="7"/>
      <c r="G19" s="7"/>
      <c r="H19" s="20"/>
      <c r="I19" s="20"/>
      <c r="J19" s="20"/>
      <c r="K19" s="21"/>
    </row>
    <row r="20" spans="2:13" ht="17.5" customHeight="1" thickBot="1" x14ac:dyDescent="0.25">
      <c r="B20" s="26"/>
      <c r="C20" s="31"/>
      <c r="D20" s="27"/>
      <c r="E20" s="7"/>
      <c r="F20" s="7"/>
      <c r="G20" s="7"/>
      <c r="H20" s="20"/>
      <c r="I20" s="20"/>
      <c r="J20" s="20"/>
      <c r="K20" s="21"/>
    </row>
    <row r="21" spans="2:13" ht="19" customHeight="1" x14ac:dyDescent="0.2">
      <c r="B21" s="23" t="s">
        <v>20</v>
      </c>
      <c r="C21" s="934" t="s">
        <v>30</v>
      </c>
      <c r="D21" s="934"/>
      <c r="E21" s="934"/>
      <c r="F21" s="934"/>
      <c r="G21" s="934"/>
      <c r="H21" s="934"/>
      <c r="I21" s="934"/>
      <c r="J21" s="934"/>
      <c r="K21" s="935"/>
    </row>
    <row r="22" spans="2:13" ht="19" customHeight="1" x14ac:dyDescent="0.2">
      <c r="B22" s="24"/>
      <c r="C22" s="932" t="s">
        <v>21</v>
      </c>
      <c r="D22" s="932"/>
      <c r="E22" s="932"/>
      <c r="F22" s="932"/>
      <c r="G22" s="932"/>
      <c r="H22" s="932"/>
      <c r="I22" s="932"/>
      <c r="J22" s="932"/>
      <c r="K22" s="933"/>
    </row>
    <row r="23" spans="2:13" ht="19" customHeight="1" x14ac:dyDescent="0.2">
      <c r="B23" s="24"/>
      <c r="C23" s="932" t="s">
        <v>32</v>
      </c>
      <c r="D23" s="932"/>
      <c r="E23" s="932"/>
      <c r="F23" s="932"/>
      <c r="G23" s="932"/>
      <c r="H23" s="932"/>
      <c r="I23" s="932"/>
      <c r="J23" s="932"/>
      <c r="K23" s="933"/>
    </row>
    <row r="24" spans="2:13" ht="36" customHeight="1" thickBot="1" x14ac:dyDescent="0.25">
      <c r="B24" s="25"/>
      <c r="C24" s="960" t="s">
        <v>33</v>
      </c>
      <c r="D24" s="960"/>
      <c r="E24" s="960"/>
      <c r="F24" s="960"/>
      <c r="G24" s="960"/>
      <c r="H24" s="960"/>
      <c r="I24" s="960"/>
      <c r="J24" s="960"/>
      <c r="K24" s="961"/>
    </row>
    <row r="25" spans="2:13" ht="14.25" customHeight="1" x14ac:dyDescent="0.2">
      <c r="D25"/>
      <c r="E25"/>
      <c r="F25"/>
      <c r="G25"/>
      <c r="H25"/>
      <c r="I25"/>
      <c r="J25"/>
      <c r="K25"/>
      <c r="L25"/>
      <c r="M25"/>
    </row>
    <row r="26" spans="2:13" ht="52.5" customHeight="1" x14ac:dyDescent="0.2">
      <c r="D26"/>
      <c r="E26"/>
      <c r="F26"/>
      <c r="G26"/>
      <c r="H26"/>
      <c r="I26"/>
      <c r="J26"/>
      <c r="K26"/>
      <c r="L26"/>
      <c r="M26"/>
    </row>
    <row r="27" spans="2:13" x14ac:dyDescent="0.2">
      <c r="D27"/>
      <c r="E27"/>
      <c r="F27"/>
      <c r="G27"/>
      <c r="H27"/>
      <c r="I27"/>
      <c r="J27"/>
      <c r="K27"/>
      <c r="L27"/>
      <c r="M27"/>
    </row>
    <row r="28" spans="2:13" x14ac:dyDescent="0.2">
      <c r="D28"/>
      <c r="E28"/>
      <c r="F28"/>
      <c r="G28"/>
      <c r="H28"/>
      <c r="I28"/>
      <c r="J28"/>
      <c r="K28"/>
      <c r="L28"/>
      <c r="M28"/>
    </row>
    <row r="29" spans="2:13" x14ac:dyDescent="0.2">
      <c r="D29"/>
      <c r="E29"/>
      <c r="F29"/>
      <c r="G29"/>
      <c r="H29"/>
      <c r="I29"/>
      <c r="J29"/>
      <c r="K29"/>
      <c r="L29"/>
      <c r="M29"/>
    </row>
    <row r="30" spans="2:13" x14ac:dyDescent="0.2">
      <c r="D30"/>
      <c r="E30"/>
      <c r="F30"/>
      <c r="G30"/>
      <c r="H30"/>
      <c r="I30"/>
      <c r="J30"/>
      <c r="K30"/>
      <c r="L30"/>
      <c r="M30"/>
    </row>
    <row r="31" spans="2:13" x14ac:dyDescent="0.2">
      <c r="D31"/>
      <c r="E31"/>
      <c r="F31"/>
      <c r="G31"/>
      <c r="H31"/>
      <c r="I31"/>
      <c r="J31"/>
      <c r="K31"/>
      <c r="L31"/>
      <c r="M31"/>
    </row>
    <row r="32" spans="2:13" x14ac:dyDescent="0.2">
      <c r="D32"/>
      <c r="E32"/>
      <c r="F32"/>
      <c r="G32"/>
      <c r="H32"/>
      <c r="I32"/>
      <c r="J32"/>
      <c r="K32"/>
      <c r="L32"/>
      <c r="M32"/>
    </row>
    <row r="33" customFormat="1" x14ac:dyDescent="0.2"/>
    <row r="34" customFormat="1" x14ac:dyDescent="0.2"/>
    <row r="35" customFormat="1" x14ac:dyDescent="0.2"/>
    <row r="36" customFormat="1" ht="22.5" customHeight="1" x14ac:dyDescent="0.2"/>
    <row r="37" customFormat="1" ht="22.5" customHeight="1" x14ac:dyDescent="0.2"/>
    <row r="38" customFormat="1" ht="22.5" customHeight="1" x14ac:dyDescent="0.2"/>
    <row r="39" customFormat="1" ht="22.5" customHeight="1" x14ac:dyDescent="0.2"/>
    <row r="40" customFormat="1" ht="22.5" customHeight="1" x14ac:dyDescent="0.2"/>
    <row r="41" customFormat="1" x14ac:dyDescent="0.2"/>
    <row r="42" customFormat="1" x14ac:dyDescent="0.2"/>
    <row r="43" customFormat="1" ht="22.5" customHeight="1" x14ac:dyDescent="0.2"/>
    <row r="44" customFormat="1" ht="22.5" customHeight="1" x14ac:dyDescent="0.2"/>
    <row r="45" customFormat="1" ht="22.5" customHeight="1" x14ac:dyDescent="0.2"/>
    <row r="46" customFormat="1" ht="22.5" customHeight="1" x14ac:dyDescent="0.2"/>
    <row r="47" customFormat="1" x14ac:dyDescent="0.2"/>
    <row r="48" customFormat="1" x14ac:dyDescent="0.2"/>
    <row r="49" customFormat="1" x14ac:dyDescent="0.2"/>
    <row r="50" customFormat="1" x14ac:dyDescent="0.2"/>
    <row r="51" customFormat="1" x14ac:dyDescent="0.2"/>
    <row r="52" customFormat="1" x14ac:dyDescent="0.2"/>
    <row r="53" customFormat="1" x14ac:dyDescent="0.2"/>
    <row r="54" customFormat="1" ht="21.5" customHeight="1" x14ac:dyDescent="0.2"/>
    <row r="55" customFormat="1" ht="21.5" customHeight="1" x14ac:dyDescent="0.2"/>
    <row r="56" customFormat="1" x14ac:dyDescent="0.2"/>
    <row r="57" customFormat="1" ht="21.5" customHeigh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sheetData>
  <mergeCells count="8">
    <mergeCell ref="B2:M2"/>
    <mergeCell ref="D3:M3"/>
    <mergeCell ref="C24:K24"/>
    <mergeCell ref="C21:K21"/>
    <mergeCell ref="C22:K22"/>
    <mergeCell ref="C23:K23"/>
    <mergeCell ref="B15:C15"/>
    <mergeCell ref="B5:B13"/>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4"/>
  <dimension ref="A1:AA462"/>
  <sheetViews>
    <sheetView zoomScale="70" zoomScaleNormal="70" workbookViewId="0">
      <selection activeCell="X26" sqref="X26"/>
    </sheetView>
  </sheetViews>
  <sheetFormatPr baseColWidth="10" defaultColWidth="9" defaultRowHeight="15" x14ac:dyDescent="0.2"/>
  <cols>
    <col min="1" max="1" width="9.5" style="3" customWidth="1"/>
    <col min="2" max="2" width="19.5" style="3" customWidth="1"/>
    <col min="3" max="3" width="9.33203125" customWidth="1"/>
    <col min="4" max="27" width="8" customWidth="1"/>
  </cols>
  <sheetData>
    <row r="1" spans="1:27" ht="16" thickBot="1" x14ac:dyDescent="0.25"/>
    <row r="2" spans="1:27" ht="91" customHeight="1" thickBot="1" x14ac:dyDescent="0.25">
      <c r="A2"/>
      <c r="B2" s="962" t="s">
        <v>362</v>
      </c>
      <c r="C2" s="963"/>
      <c r="D2" s="963"/>
      <c r="E2" s="963"/>
      <c r="F2" s="963"/>
      <c r="G2" s="963"/>
      <c r="H2" s="963"/>
      <c r="I2" s="963"/>
      <c r="J2" s="963"/>
      <c r="K2" s="963"/>
      <c r="L2" s="963"/>
      <c r="M2" s="963"/>
      <c r="N2" s="963"/>
      <c r="O2" s="963"/>
      <c r="P2" s="963"/>
      <c r="Q2" s="963"/>
      <c r="R2" s="963"/>
      <c r="S2" s="963"/>
      <c r="T2" s="963"/>
      <c r="U2" s="963"/>
      <c r="V2" s="963"/>
      <c r="W2" s="963"/>
      <c r="X2" s="963"/>
      <c r="Y2" s="963"/>
      <c r="Z2" s="963"/>
      <c r="AA2" s="964"/>
    </row>
    <row r="3" spans="1:27" ht="30" customHeight="1" thickBot="1" x14ac:dyDescent="0.25">
      <c r="A3"/>
      <c r="B3" s="10"/>
      <c r="C3" s="11"/>
      <c r="D3" s="956" t="s">
        <v>10</v>
      </c>
      <c r="E3" s="957"/>
      <c r="F3" s="957"/>
      <c r="G3" s="957"/>
      <c r="H3" s="957"/>
      <c r="I3" s="957"/>
      <c r="J3" s="957"/>
      <c r="K3" s="957"/>
      <c r="L3" s="957"/>
      <c r="M3" s="957"/>
      <c r="N3" s="957"/>
      <c r="O3" s="957"/>
      <c r="P3" s="957"/>
      <c r="Q3" s="957"/>
      <c r="R3" s="957"/>
      <c r="S3" s="957"/>
      <c r="T3" s="957"/>
      <c r="U3" s="957"/>
      <c r="V3" s="957"/>
      <c r="W3" s="957"/>
      <c r="X3" s="957"/>
      <c r="Y3" s="957"/>
      <c r="Z3" s="957"/>
      <c r="AA3" s="958"/>
    </row>
    <row r="4" spans="1:27" ht="27" customHeight="1" thickBot="1" x14ac:dyDescent="0.25">
      <c r="A4"/>
      <c r="B4" s="4"/>
      <c r="C4" s="2"/>
      <c r="D4" s="12">
        <v>70</v>
      </c>
      <c r="E4" s="13">
        <v>80</v>
      </c>
      <c r="F4" s="12">
        <v>90</v>
      </c>
      <c r="G4" s="13">
        <v>100</v>
      </c>
      <c r="H4" s="12">
        <v>110</v>
      </c>
      <c r="I4" s="13">
        <v>120</v>
      </c>
      <c r="J4" s="12">
        <v>130</v>
      </c>
      <c r="K4" s="13">
        <v>140</v>
      </c>
      <c r="L4" s="12">
        <v>150</v>
      </c>
      <c r="M4" s="13">
        <v>160</v>
      </c>
      <c r="N4" s="12">
        <v>170</v>
      </c>
      <c r="O4" s="13">
        <v>180</v>
      </c>
      <c r="P4" s="12">
        <v>190</v>
      </c>
      <c r="Q4" s="13">
        <v>200</v>
      </c>
      <c r="R4" s="12">
        <v>210</v>
      </c>
      <c r="S4" s="13">
        <v>220</v>
      </c>
      <c r="T4" s="12">
        <v>230</v>
      </c>
      <c r="U4" s="13">
        <v>240</v>
      </c>
      <c r="V4" s="12">
        <v>250</v>
      </c>
      <c r="W4" s="13">
        <v>260</v>
      </c>
      <c r="X4" s="12">
        <v>270</v>
      </c>
      <c r="Y4" s="13">
        <v>280</v>
      </c>
      <c r="Z4" s="12">
        <v>290</v>
      </c>
      <c r="AA4" s="14">
        <v>300</v>
      </c>
    </row>
    <row r="5" spans="1:27" ht="27" customHeight="1" x14ac:dyDescent="0.2">
      <c r="A5"/>
      <c r="B5" s="916" t="s">
        <v>28</v>
      </c>
      <c r="C5" s="15">
        <v>140</v>
      </c>
      <c r="D5" s="622">
        <v>0.41899999999999998</v>
      </c>
      <c r="E5" s="629">
        <v>0.42599999999999999</v>
      </c>
      <c r="F5" s="629">
        <v>0.433</v>
      </c>
      <c r="G5" s="629">
        <v>0.44</v>
      </c>
      <c r="H5" s="629">
        <v>0.44700000000000001</v>
      </c>
      <c r="I5" s="629">
        <v>0.45500000000000002</v>
      </c>
      <c r="J5" s="629">
        <v>0.46300000000000002</v>
      </c>
      <c r="K5" s="629">
        <v>0.47099999999999997</v>
      </c>
      <c r="L5" s="629">
        <v>0.48</v>
      </c>
      <c r="M5" s="629">
        <v>0.48899999999999999</v>
      </c>
      <c r="N5" s="629">
        <v>0.498</v>
      </c>
      <c r="O5" s="629">
        <v>0.50700000000000001</v>
      </c>
      <c r="P5" s="629">
        <v>0.51700000000000002</v>
      </c>
      <c r="Q5" s="629">
        <v>0.52700000000000002</v>
      </c>
      <c r="R5" s="629">
        <v>0.53600000000000003</v>
      </c>
      <c r="S5" s="629">
        <v>0.54600000000000004</v>
      </c>
      <c r="T5" s="629">
        <v>0.55600000000000005</v>
      </c>
      <c r="U5" s="629">
        <v>0.56699999999999995</v>
      </c>
      <c r="V5" s="629">
        <v>0.57699999999999996</v>
      </c>
      <c r="W5" s="629">
        <v>0.58699999999999997</v>
      </c>
      <c r="X5" s="629">
        <v>0.59799999999999998</v>
      </c>
      <c r="Y5" s="629">
        <v>0.60899999999999999</v>
      </c>
      <c r="Z5" s="629">
        <v>0.621</v>
      </c>
      <c r="AA5" s="629">
        <v>0.63400000000000001</v>
      </c>
    </row>
    <row r="6" spans="1:27" ht="27" customHeight="1" x14ac:dyDescent="0.2">
      <c r="A6"/>
      <c r="B6" s="917"/>
      <c r="C6" s="28">
        <v>150</v>
      </c>
      <c r="D6" s="635">
        <v>0.43099999999999999</v>
      </c>
      <c r="E6" s="636">
        <v>0.438</v>
      </c>
      <c r="F6" s="636">
        <v>0.44600000000000001</v>
      </c>
      <c r="G6" s="636">
        <v>0.45300000000000001</v>
      </c>
      <c r="H6" s="636">
        <v>0.46100000000000002</v>
      </c>
      <c r="I6" s="636">
        <v>0.46899999999999997</v>
      </c>
      <c r="J6" s="636">
        <v>0.47699999999999998</v>
      </c>
      <c r="K6" s="636">
        <v>0.48599999999999999</v>
      </c>
      <c r="L6" s="636">
        <v>0.495</v>
      </c>
      <c r="M6" s="636">
        <v>0.505</v>
      </c>
      <c r="N6" s="636">
        <v>0.51400000000000001</v>
      </c>
      <c r="O6" s="636">
        <v>0.52300000000000002</v>
      </c>
      <c r="P6" s="636">
        <v>0.53300000000000003</v>
      </c>
      <c r="Q6" s="636">
        <v>0.54300000000000004</v>
      </c>
      <c r="R6" s="636">
        <v>0.55300000000000005</v>
      </c>
      <c r="S6" s="636">
        <v>0.56299999999999994</v>
      </c>
      <c r="T6" s="636">
        <v>0.57299999999999995</v>
      </c>
      <c r="U6" s="636">
        <v>0.58299999999999996</v>
      </c>
      <c r="V6" s="636">
        <v>0.59399999999999997</v>
      </c>
      <c r="W6" s="636">
        <v>0.60399999999999998</v>
      </c>
      <c r="X6" s="636">
        <v>0.61499999999999999</v>
      </c>
      <c r="Y6" s="636">
        <v>0.628</v>
      </c>
      <c r="Z6" s="636">
        <v>0.64</v>
      </c>
      <c r="AA6" s="636">
        <v>0.65500000000000003</v>
      </c>
    </row>
    <row r="7" spans="1:27" ht="27" customHeight="1" x14ac:dyDescent="0.2">
      <c r="A7"/>
      <c r="B7" s="917"/>
      <c r="C7" s="16">
        <v>160</v>
      </c>
      <c r="D7" s="631">
        <v>0.443</v>
      </c>
      <c r="E7" s="623">
        <v>0.45100000000000001</v>
      </c>
      <c r="F7" s="623">
        <v>0.45800000000000002</v>
      </c>
      <c r="G7" s="623">
        <v>0.46600000000000003</v>
      </c>
      <c r="H7" s="623">
        <v>0.47399999999999998</v>
      </c>
      <c r="I7" s="623">
        <v>0.48299999999999998</v>
      </c>
      <c r="J7" s="623">
        <v>0.49199999999999999</v>
      </c>
      <c r="K7" s="623">
        <v>0.501</v>
      </c>
      <c r="L7" s="623">
        <v>0.51</v>
      </c>
      <c r="M7" s="623">
        <v>0.51900000000000002</v>
      </c>
      <c r="N7" s="623">
        <v>0.52900000000000003</v>
      </c>
      <c r="O7" s="623">
        <v>0.53800000000000003</v>
      </c>
      <c r="P7" s="623">
        <v>0.54800000000000004</v>
      </c>
      <c r="Q7" s="623">
        <v>0.55800000000000005</v>
      </c>
      <c r="R7" s="623">
        <v>0.56799999999999995</v>
      </c>
      <c r="S7" s="623">
        <v>0.57799999999999996</v>
      </c>
      <c r="T7" s="623">
        <v>0.58799999999999997</v>
      </c>
      <c r="U7" s="623">
        <v>0.59899999999999998</v>
      </c>
      <c r="V7" s="623">
        <v>0.60899999999999999</v>
      </c>
      <c r="W7" s="623">
        <v>0.621</v>
      </c>
      <c r="X7" s="623">
        <v>0.63300000000000001</v>
      </c>
      <c r="Y7" s="623">
        <v>0.64600000000000002</v>
      </c>
      <c r="Z7" s="623">
        <v>0.66100000000000003</v>
      </c>
      <c r="AA7" s="623">
        <v>0.67700000000000005</v>
      </c>
    </row>
    <row r="8" spans="1:27" ht="27" customHeight="1" x14ac:dyDescent="0.2">
      <c r="A8"/>
      <c r="B8" s="917"/>
      <c r="C8" s="16">
        <v>170</v>
      </c>
      <c r="D8" s="631">
        <v>0.45500000000000002</v>
      </c>
      <c r="E8" s="623">
        <v>0.46300000000000002</v>
      </c>
      <c r="F8" s="623">
        <v>0.47099999999999997</v>
      </c>
      <c r="G8" s="623">
        <v>0.47899999999999998</v>
      </c>
      <c r="H8" s="623">
        <v>0.48799999999999999</v>
      </c>
      <c r="I8" s="623">
        <v>0.497</v>
      </c>
      <c r="J8" s="623">
        <v>0.50600000000000001</v>
      </c>
      <c r="K8" s="623">
        <v>0.51500000000000001</v>
      </c>
      <c r="L8" s="623">
        <v>0.52400000000000002</v>
      </c>
      <c r="M8" s="623">
        <v>0.53300000000000003</v>
      </c>
      <c r="N8" s="623">
        <v>0.54300000000000004</v>
      </c>
      <c r="O8" s="623">
        <v>0.55300000000000005</v>
      </c>
      <c r="P8" s="623">
        <v>0.56200000000000006</v>
      </c>
      <c r="Q8" s="623">
        <v>0.57199999999999995</v>
      </c>
      <c r="R8" s="623">
        <v>0.58199999999999996</v>
      </c>
      <c r="S8" s="623">
        <v>0.59299999999999997</v>
      </c>
      <c r="T8" s="623">
        <v>0.60299999999999998</v>
      </c>
      <c r="U8" s="623">
        <v>0.61399999999999999</v>
      </c>
      <c r="V8" s="623">
        <v>0.625</v>
      </c>
      <c r="W8" s="623">
        <v>0.63800000000000001</v>
      </c>
      <c r="X8" s="623">
        <v>0.65100000000000002</v>
      </c>
      <c r="Y8" s="623">
        <v>0.66600000000000004</v>
      </c>
      <c r="Z8" s="623">
        <v>0.68300000000000005</v>
      </c>
      <c r="AA8" s="623">
        <v>0.7</v>
      </c>
    </row>
    <row r="9" spans="1:27" ht="27" customHeight="1" x14ac:dyDescent="0.2">
      <c r="A9"/>
      <c r="B9" s="917"/>
      <c r="C9" s="16">
        <v>180</v>
      </c>
      <c r="D9" s="631">
        <v>0.46700000000000003</v>
      </c>
      <c r="E9" s="623">
        <v>0.47499999999999998</v>
      </c>
      <c r="F9" s="623">
        <v>0.48299999999999998</v>
      </c>
      <c r="G9" s="623">
        <v>0.49199999999999999</v>
      </c>
      <c r="H9" s="623">
        <v>0.501</v>
      </c>
      <c r="I9" s="623">
        <v>0.51</v>
      </c>
      <c r="J9" s="623">
        <v>0.51900000000000002</v>
      </c>
      <c r="K9" s="623">
        <v>0.52800000000000002</v>
      </c>
      <c r="L9" s="623">
        <v>0.53700000000000003</v>
      </c>
      <c r="M9" s="623">
        <v>0.54700000000000004</v>
      </c>
      <c r="N9" s="623">
        <v>0.55600000000000005</v>
      </c>
      <c r="O9" s="623">
        <v>0.56599999999999995</v>
      </c>
      <c r="P9" s="623">
        <v>0.57599999999999996</v>
      </c>
      <c r="Q9" s="623">
        <v>0.58599999999999997</v>
      </c>
      <c r="R9" s="623">
        <v>0.59599999999999997</v>
      </c>
      <c r="S9" s="623">
        <v>0.60699999999999998</v>
      </c>
      <c r="T9" s="623">
        <v>0.61699999999999999</v>
      </c>
      <c r="U9" s="623">
        <v>0.629</v>
      </c>
      <c r="V9" s="623">
        <v>0.64200000000000002</v>
      </c>
      <c r="W9" s="623">
        <v>0.65600000000000003</v>
      </c>
      <c r="X9" s="623">
        <v>0.67100000000000004</v>
      </c>
      <c r="Y9" s="623">
        <v>0.68700000000000006</v>
      </c>
      <c r="Z9" s="625">
        <f>Y9</f>
        <v>0.68700000000000006</v>
      </c>
      <c r="AA9" s="625">
        <f>Z9</f>
        <v>0.68700000000000006</v>
      </c>
    </row>
    <row r="10" spans="1:27" ht="27" customHeight="1" x14ac:dyDescent="0.2">
      <c r="A10"/>
      <c r="B10" s="917"/>
      <c r="C10" s="16">
        <v>190</v>
      </c>
      <c r="D10" s="631">
        <v>0.47799999999999998</v>
      </c>
      <c r="E10" s="623">
        <v>0.48699999999999999</v>
      </c>
      <c r="F10" s="623">
        <v>0.495</v>
      </c>
      <c r="G10" s="623">
        <v>0.504</v>
      </c>
      <c r="H10" s="623">
        <v>0.51300000000000001</v>
      </c>
      <c r="I10" s="623">
        <v>0.52200000000000002</v>
      </c>
      <c r="J10" s="623">
        <v>0.53100000000000003</v>
      </c>
      <c r="K10" s="623">
        <v>0.54</v>
      </c>
      <c r="L10" s="623">
        <v>0.55000000000000004</v>
      </c>
      <c r="M10" s="623">
        <v>0.56000000000000005</v>
      </c>
      <c r="N10" s="623">
        <v>0.56899999999999995</v>
      </c>
      <c r="O10" s="623">
        <v>0.57899999999999996</v>
      </c>
      <c r="P10" s="623">
        <v>0.58899999999999997</v>
      </c>
      <c r="Q10" s="623">
        <v>0.59899999999999998</v>
      </c>
      <c r="R10" s="623">
        <v>0.60899999999999999</v>
      </c>
      <c r="S10" s="623">
        <v>0.62</v>
      </c>
      <c r="T10" s="623">
        <v>0.63200000000000001</v>
      </c>
      <c r="U10" s="623">
        <v>0.64500000000000002</v>
      </c>
      <c r="V10" s="623">
        <v>0.65900000000000003</v>
      </c>
      <c r="W10" s="623">
        <v>0.67500000000000004</v>
      </c>
      <c r="X10" s="623">
        <v>0.69099999999999995</v>
      </c>
      <c r="Y10" s="625">
        <f>X10</f>
        <v>0.69099999999999995</v>
      </c>
      <c r="Z10" s="625">
        <f t="shared" ref="Z10:AA10" si="0">Y10</f>
        <v>0.69099999999999995</v>
      </c>
      <c r="AA10" s="625">
        <f t="shared" si="0"/>
        <v>0.69099999999999995</v>
      </c>
    </row>
    <row r="11" spans="1:27" ht="27" customHeight="1" x14ac:dyDescent="0.2">
      <c r="A11"/>
      <c r="B11" s="917"/>
      <c r="C11" s="16">
        <v>200</v>
      </c>
      <c r="D11" s="631">
        <v>0.49</v>
      </c>
      <c r="E11" s="623">
        <v>0.498</v>
      </c>
      <c r="F11" s="623">
        <v>0.50700000000000001</v>
      </c>
      <c r="G11" s="623">
        <v>0.51600000000000001</v>
      </c>
      <c r="H11" s="623">
        <v>0.52500000000000002</v>
      </c>
      <c r="I11" s="623">
        <v>0.53400000000000003</v>
      </c>
      <c r="J11" s="623">
        <v>0.54300000000000004</v>
      </c>
      <c r="K11" s="623">
        <v>0.55300000000000005</v>
      </c>
      <c r="L11" s="623">
        <v>0.56200000000000006</v>
      </c>
      <c r="M11" s="623">
        <v>0.57199999999999995</v>
      </c>
      <c r="N11" s="623">
        <v>0.58099999999999996</v>
      </c>
      <c r="O11" s="623">
        <v>0.59099999999999997</v>
      </c>
      <c r="P11" s="623">
        <v>0.60099999999999998</v>
      </c>
      <c r="Q11" s="623">
        <v>0.61199999999999999</v>
      </c>
      <c r="R11" s="623">
        <v>0.623</v>
      </c>
      <c r="S11" s="623">
        <v>0.63500000000000001</v>
      </c>
      <c r="T11" s="623">
        <v>0.64800000000000002</v>
      </c>
      <c r="U11" s="623">
        <v>0.66200000000000003</v>
      </c>
      <c r="V11" s="623">
        <v>0.67700000000000005</v>
      </c>
      <c r="W11" s="623">
        <v>0.69399999999999995</v>
      </c>
      <c r="X11" s="625">
        <f>W11</f>
        <v>0.69399999999999995</v>
      </c>
      <c r="Y11" s="625">
        <f t="shared" ref="Y11:AA11" si="1">X11</f>
        <v>0.69399999999999995</v>
      </c>
      <c r="Z11" s="625">
        <f t="shared" si="1"/>
        <v>0.69399999999999995</v>
      </c>
      <c r="AA11" s="625">
        <f t="shared" si="1"/>
        <v>0.69399999999999995</v>
      </c>
    </row>
    <row r="12" spans="1:27" ht="27" customHeight="1" x14ac:dyDescent="0.2">
      <c r="A12"/>
      <c r="B12" s="917"/>
      <c r="C12" s="16">
        <v>210</v>
      </c>
      <c r="D12" s="631">
        <v>0.501</v>
      </c>
      <c r="E12" s="623">
        <v>0.50900000000000001</v>
      </c>
      <c r="F12" s="623">
        <v>0.51800000000000002</v>
      </c>
      <c r="G12" s="623">
        <v>0.52700000000000002</v>
      </c>
      <c r="H12" s="623">
        <v>0.53600000000000003</v>
      </c>
      <c r="I12" s="623">
        <v>0.54500000000000004</v>
      </c>
      <c r="J12" s="623">
        <v>0.55500000000000005</v>
      </c>
      <c r="K12" s="623">
        <v>0.56399999999999995</v>
      </c>
      <c r="L12" s="623">
        <v>0.57399999999999995</v>
      </c>
      <c r="M12" s="623">
        <v>0.58299999999999996</v>
      </c>
      <c r="N12" s="623">
        <v>0.59299999999999997</v>
      </c>
      <c r="O12" s="623">
        <v>0.60299999999999998</v>
      </c>
      <c r="P12" s="623">
        <v>0.61399999999999999</v>
      </c>
      <c r="Q12" s="623">
        <v>0.625</v>
      </c>
      <c r="R12" s="623">
        <v>0.63700000000000001</v>
      </c>
      <c r="S12" s="623">
        <v>0.65</v>
      </c>
      <c r="T12" s="623">
        <v>0.66400000000000003</v>
      </c>
      <c r="U12" s="623">
        <v>0.67900000000000005</v>
      </c>
      <c r="V12" s="625">
        <f>U12</f>
        <v>0.67900000000000005</v>
      </c>
      <c r="W12" s="625">
        <f t="shared" ref="W12:AA12" si="2">V12</f>
        <v>0.67900000000000005</v>
      </c>
      <c r="X12" s="625">
        <f t="shared" si="2"/>
        <v>0.67900000000000005</v>
      </c>
      <c r="Y12" s="625">
        <f t="shared" si="2"/>
        <v>0.67900000000000005</v>
      </c>
      <c r="Z12" s="625">
        <f t="shared" si="2"/>
        <v>0.67900000000000005</v>
      </c>
      <c r="AA12" s="625">
        <f t="shared" si="2"/>
        <v>0.67900000000000005</v>
      </c>
    </row>
    <row r="13" spans="1:27" ht="27" customHeight="1" x14ac:dyDescent="0.2">
      <c r="A13"/>
      <c r="B13" s="917"/>
      <c r="C13" s="16">
        <v>220</v>
      </c>
      <c r="D13" s="631">
        <v>0.51100000000000001</v>
      </c>
      <c r="E13" s="623">
        <v>0.52</v>
      </c>
      <c r="F13" s="623">
        <v>0.52900000000000003</v>
      </c>
      <c r="G13" s="623">
        <v>0.53800000000000003</v>
      </c>
      <c r="H13" s="623">
        <v>0.54700000000000004</v>
      </c>
      <c r="I13" s="623">
        <v>0.55600000000000005</v>
      </c>
      <c r="J13" s="623">
        <v>0.56599999999999995</v>
      </c>
      <c r="K13" s="623">
        <v>0.57499999999999996</v>
      </c>
      <c r="L13" s="623">
        <v>0.58499999999999996</v>
      </c>
      <c r="M13" s="623">
        <v>0.59499999999999997</v>
      </c>
      <c r="N13" s="623">
        <v>0.60499999999999998</v>
      </c>
      <c r="O13" s="623">
        <v>0.61499999999999999</v>
      </c>
      <c r="P13" s="623">
        <v>0.626</v>
      </c>
      <c r="Q13" s="623">
        <v>0.63800000000000001</v>
      </c>
      <c r="R13" s="623">
        <v>0.65100000000000002</v>
      </c>
      <c r="S13" s="623">
        <v>0.66500000000000004</v>
      </c>
      <c r="T13" s="623">
        <v>0.68100000000000005</v>
      </c>
      <c r="U13" s="625">
        <f>T13</f>
        <v>0.68100000000000005</v>
      </c>
      <c r="V13" s="625">
        <f t="shared" ref="V13:AA13" si="3">U13</f>
        <v>0.68100000000000005</v>
      </c>
      <c r="W13" s="625">
        <f t="shared" si="3"/>
        <v>0.68100000000000005</v>
      </c>
      <c r="X13" s="625">
        <f t="shared" si="3"/>
        <v>0.68100000000000005</v>
      </c>
      <c r="Y13" s="625">
        <f t="shared" si="3"/>
        <v>0.68100000000000005</v>
      </c>
      <c r="Z13" s="625">
        <f t="shared" si="3"/>
        <v>0.68100000000000005</v>
      </c>
      <c r="AA13" s="625">
        <f t="shared" si="3"/>
        <v>0.68100000000000005</v>
      </c>
    </row>
    <row r="14" spans="1:27" ht="27" customHeight="1" x14ac:dyDescent="0.2">
      <c r="A14"/>
      <c r="B14" s="917"/>
      <c r="C14" s="16">
        <v>230</v>
      </c>
      <c r="D14" s="631">
        <v>0.52200000000000002</v>
      </c>
      <c r="E14" s="623">
        <v>0.53</v>
      </c>
      <c r="F14" s="623">
        <v>0.53900000000000003</v>
      </c>
      <c r="G14" s="623">
        <v>0.54800000000000004</v>
      </c>
      <c r="H14" s="623">
        <v>0.55800000000000005</v>
      </c>
      <c r="I14" s="623">
        <v>0.56699999999999995</v>
      </c>
      <c r="J14" s="623">
        <v>0.57599999999999996</v>
      </c>
      <c r="K14" s="623">
        <v>0.58599999999999997</v>
      </c>
      <c r="L14" s="623">
        <v>0.59599999999999997</v>
      </c>
      <c r="M14" s="623">
        <v>0.60499999999999998</v>
      </c>
      <c r="N14" s="623">
        <v>0.61599999999999999</v>
      </c>
      <c r="O14" s="623">
        <v>0.627</v>
      </c>
      <c r="P14" s="623">
        <v>0.63900000000000001</v>
      </c>
      <c r="Q14" s="623">
        <v>0.65200000000000002</v>
      </c>
      <c r="R14" s="623">
        <v>0.66600000000000004</v>
      </c>
      <c r="S14" s="623">
        <v>0.68100000000000005</v>
      </c>
      <c r="T14" s="625">
        <f>S14</f>
        <v>0.68100000000000005</v>
      </c>
      <c r="U14" s="625">
        <f t="shared" ref="U14:AA14" si="4">T14</f>
        <v>0.68100000000000005</v>
      </c>
      <c r="V14" s="625">
        <f t="shared" si="4"/>
        <v>0.68100000000000005</v>
      </c>
      <c r="W14" s="625">
        <f t="shared" si="4"/>
        <v>0.68100000000000005</v>
      </c>
      <c r="X14" s="625">
        <f t="shared" si="4"/>
        <v>0.68100000000000005</v>
      </c>
      <c r="Y14" s="625">
        <f t="shared" si="4"/>
        <v>0.68100000000000005</v>
      </c>
      <c r="Z14" s="625">
        <f t="shared" si="4"/>
        <v>0.68100000000000005</v>
      </c>
      <c r="AA14" s="625">
        <f t="shared" si="4"/>
        <v>0.68100000000000005</v>
      </c>
    </row>
    <row r="15" spans="1:27" ht="27" customHeight="1" x14ac:dyDescent="0.2">
      <c r="A15"/>
      <c r="B15" s="917"/>
      <c r="C15" s="16">
        <v>240</v>
      </c>
      <c r="D15" s="631">
        <v>0.53100000000000003</v>
      </c>
      <c r="E15" s="623">
        <v>0.54</v>
      </c>
      <c r="F15" s="623">
        <v>0.54900000000000004</v>
      </c>
      <c r="G15" s="623">
        <v>0.55800000000000005</v>
      </c>
      <c r="H15" s="623">
        <v>0.56799999999999995</v>
      </c>
      <c r="I15" s="623">
        <v>0.57699999999999996</v>
      </c>
      <c r="J15" s="623">
        <v>0.58599999999999997</v>
      </c>
      <c r="K15" s="623">
        <v>0.59599999999999997</v>
      </c>
      <c r="L15" s="623">
        <v>0.60599999999999998</v>
      </c>
      <c r="M15" s="623">
        <v>0.61599999999999999</v>
      </c>
      <c r="N15" s="623">
        <v>0.627</v>
      </c>
      <c r="O15" s="623">
        <v>0.63900000000000001</v>
      </c>
      <c r="P15" s="623">
        <v>0.65200000000000002</v>
      </c>
      <c r="Q15" s="623">
        <v>0.66600000000000004</v>
      </c>
      <c r="R15" s="623">
        <v>0.68100000000000005</v>
      </c>
      <c r="S15" s="625">
        <f>R15</f>
        <v>0.68100000000000005</v>
      </c>
      <c r="T15" s="625">
        <f t="shared" ref="T15:AA15" si="5">S15</f>
        <v>0.68100000000000005</v>
      </c>
      <c r="U15" s="625">
        <f t="shared" si="5"/>
        <v>0.68100000000000005</v>
      </c>
      <c r="V15" s="625">
        <f t="shared" si="5"/>
        <v>0.68100000000000005</v>
      </c>
      <c r="W15" s="625">
        <f t="shared" si="5"/>
        <v>0.68100000000000005</v>
      </c>
      <c r="X15" s="625">
        <f t="shared" si="5"/>
        <v>0.68100000000000005</v>
      </c>
      <c r="Y15" s="625">
        <f t="shared" si="5"/>
        <v>0.68100000000000005</v>
      </c>
      <c r="Z15" s="625">
        <f t="shared" si="5"/>
        <v>0.68100000000000005</v>
      </c>
      <c r="AA15" s="625">
        <f t="shared" si="5"/>
        <v>0.68100000000000005</v>
      </c>
    </row>
    <row r="16" spans="1:27" ht="27" customHeight="1" x14ac:dyDescent="0.2">
      <c r="A16"/>
      <c r="B16" s="917"/>
      <c r="C16" s="16">
        <v>250</v>
      </c>
      <c r="D16" s="631">
        <v>0.54100000000000004</v>
      </c>
      <c r="E16" s="623">
        <v>0.55000000000000004</v>
      </c>
      <c r="F16" s="623">
        <v>0.55900000000000005</v>
      </c>
      <c r="G16" s="623">
        <v>0.56799999999999995</v>
      </c>
      <c r="H16" s="623">
        <v>0.57699999999999996</v>
      </c>
      <c r="I16" s="623">
        <v>0.58699999999999997</v>
      </c>
      <c r="J16" s="623">
        <v>0.59599999999999997</v>
      </c>
      <c r="K16" s="623">
        <v>0.60599999999999998</v>
      </c>
      <c r="L16" s="623">
        <v>0.61599999999999999</v>
      </c>
      <c r="M16" s="623">
        <v>0.627</v>
      </c>
      <c r="N16" s="623">
        <v>0.63900000000000001</v>
      </c>
      <c r="O16" s="623">
        <v>0.65200000000000002</v>
      </c>
      <c r="P16" s="623">
        <v>0.66600000000000004</v>
      </c>
      <c r="Q16" s="623">
        <v>0.68100000000000005</v>
      </c>
      <c r="R16" s="625">
        <f>Q16</f>
        <v>0.68100000000000005</v>
      </c>
      <c r="S16" s="625">
        <f t="shared" ref="S16:AA16" si="6">R16</f>
        <v>0.68100000000000005</v>
      </c>
      <c r="T16" s="625">
        <f t="shared" si="6"/>
        <v>0.68100000000000005</v>
      </c>
      <c r="U16" s="625">
        <f t="shared" si="6"/>
        <v>0.68100000000000005</v>
      </c>
      <c r="V16" s="625">
        <f t="shared" si="6"/>
        <v>0.68100000000000005</v>
      </c>
      <c r="W16" s="625">
        <f t="shared" si="6"/>
        <v>0.68100000000000005</v>
      </c>
      <c r="X16" s="625">
        <f t="shared" si="6"/>
        <v>0.68100000000000005</v>
      </c>
      <c r="Y16" s="625">
        <f t="shared" si="6"/>
        <v>0.68100000000000005</v>
      </c>
      <c r="Z16" s="625">
        <f t="shared" si="6"/>
        <v>0.68100000000000005</v>
      </c>
      <c r="AA16" s="625">
        <f t="shared" si="6"/>
        <v>0.68100000000000005</v>
      </c>
    </row>
    <row r="17" spans="1:27" ht="27" customHeight="1" x14ac:dyDescent="0.2">
      <c r="A17"/>
      <c r="B17" s="917"/>
      <c r="C17" s="16">
        <v>260</v>
      </c>
      <c r="D17" s="631">
        <v>0.55000000000000004</v>
      </c>
      <c r="E17" s="623">
        <v>0.55900000000000005</v>
      </c>
      <c r="F17" s="623">
        <v>0.56799999999999995</v>
      </c>
      <c r="G17" s="623">
        <v>0.57699999999999996</v>
      </c>
      <c r="H17" s="623">
        <v>0.58699999999999997</v>
      </c>
      <c r="I17" s="623">
        <v>0.59599999999999997</v>
      </c>
      <c r="J17" s="623">
        <v>0.60599999999999998</v>
      </c>
      <c r="K17" s="623">
        <v>0.61599999999999999</v>
      </c>
      <c r="L17" s="623">
        <v>0.627</v>
      </c>
      <c r="M17" s="623">
        <v>0.63900000000000001</v>
      </c>
      <c r="N17" s="623">
        <v>0.65100000000000002</v>
      </c>
      <c r="O17" s="623">
        <v>0.66500000000000004</v>
      </c>
      <c r="P17" s="623">
        <v>0.68</v>
      </c>
      <c r="Q17" s="625">
        <f>P17</f>
        <v>0.68</v>
      </c>
      <c r="R17" s="625">
        <f t="shared" ref="R17:AA17" si="7">Q17</f>
        <v>0.68</v>
      </c>
      <c r="S17" s="625">
        <f t="shared" si="7"/>
        <v>0.68</v>
      </c>
      <c r="T17" s="625">
        <f t="shared" si="7"/>
        <v>0.68</v>
      </c>
      <c r="U17" s="625">
        <f t="shared" si="7"/>
        <v>0.68</v>
      </c>
      <c r="V17" s="625">
        <f t="shared" si="7"/>
        <v>0.68</v>
      </c>
      <c r="W17" s="625">
        <f t="shared" si="7"/>
        <v>0.68</v>
      </c>
      <c r="X17" s="625">
        <f t="shared" si="7"/>
        <v>0.68</v>
      </c>
      <c r="Y17" s="625">
        <f t="shared" si="7"/>
        <v>0.68</v>
      </c>
      <c r="Z17" s="625">
        <f t="shared" si="7"/>
        <v>0.68</v>
      </c>
      <c r="AA17" s="625">
        <f t="shared" si="7"/>
        <v>0.68</v>
      </c>
    </row>
    <row r="18" spans="1:27" ht="27" customHeight="1" x14ac:dyDescent="0.2">
      <c r="A18"/>
      <c r="B18" s="917"/>
      <c r="C18" s="16">
        <v>270</v>
      </c>
      <c r="D18" s="631">
        <v>0.55500000000000005</v>
      </c>
      <c r="E18" s="623">
        <v>0.56499999999999995</v>
      </c>
      <c r="F18" s="623">
        <v>0.57499999999999996</v>
      </c>
      <c r="G18" s="623">
        <v>0.58499999999999996</v>
      </c>
      <c r="H18" s="623">
        <v>0.59599999999999997</v>
      </c>
      <c r="I18" s="623">
        <v>0.60599999999999998</v>
      </c>
      <c r="J18" s="623">
        <v>0.61599999999999999</v>
      </c>
      <c r="K18" s="623">
        <v>0.626</v>
      </c>
      <c r="L18" s="623">
        <v>0.63800000000000001</v>
      </c>
      <c r="M18" s="623">
        <v>0.65</v>
      </c>
      <c r="N18" s="623">
        <v>0.66400000000000003</v>
      </c>
      <c r="O18" s="623">
        <v>0.67700000000000005</v>
      </c>
      <c r="P18" s="625">
        <f>O18</f>
        <v>0.67700000000000005</v>
      </c>
      <c r="Q18" s="625">
        <f t="shared" ref="Q18:AA18" si="8">P18</f>
        <v>0.67700000000000005</v>
      </c>
      <c r="R18" s="625">
        <f t="shared" si="8"/>
        <v>0.67700000000000005</v>
      </c>
      <c r="S18" s="625">
        <f t="shared" si="8"/>
        <v>0.67700000000000005</v>
      </c>
      <c r="T18" s="625">
        <f t="shared" si="8"/>
        <v>0.67700000000000005</v>
      </c>
      <c r="U18" s="625">
        <f t="shared" si="8"/>
        <v>0.67700000000000005</v>
      </c>
      <c r="V18" s="625">
        <f t="shared" si="8"/>
        <v>0.67700000000000005</v>
      </c>
      <c r="W18" s="625">
        <f t="shared" si="8"/>
        <v>0.67700000000000005</v>
      </c>
      <c r="X18" s="625">
        <f t="shared" si="8"/>
        <v>0.67700000000000005</v>
      </c>
      <c r="Y18" s="625">
        <f t="shared" si="8"/>
        <v>0.67700000000000005</v>
      </c>
      <c r="Z18" s="625">
        <f t="shared" si="8"/>
        <v>0.67700000000000005</v>
      </c>
      <c r="AA18" s="625">
        <f t="shared" si="8"/>
        <v>0.67700000000000005</v>
      </c>
    </row>
    <row r="19" spans="1:27" ht="27" customHeight="1" x14ac:dyDescent="0.2">
      <c r="A19"/>
      <c r="B19" s="917"/>
      <c r="C19" s="16">
        <v>280</v>
      </c>
      <c r="D19" s="631">
        <v>0.55500000000000005</v>
      </c>
      <c r="E19" s="623">
        <v>0.56499999999999995</v>
      </c>
      <c r="F19" s="623">
        <v>0.57499999999999996</v>
      </c>
      <c r="G19" s="623">
        <v>0.58499999999999996</v>
      </c>
      <c r="H19" s="623">
        <v>0.59599999999999997</v>
      </c>
      <c r="I19" s="623">
        <v>0.60699999999999998</v>
      </c>
      <c r="J19" s="623">
        <v>0.61799999999999999</v>
      </c>
      <c r="K19" s="623">
        <v>0.629</v>
      </c>
      <c r="L19" s="623">
        <v>0.64100000000000001</v>
      </c>
      <c r="M19" s="623">
        <v>0.65200000000000002</v>
      </c>
      <c r="N19" s="623">
        <v>0.66500000000000004</v>
      </c>
      <c r="O19" s="623">
        <v>0.67700000000000005</v>
      </c>
      <c r="P19" s="625">
        <f>O19</f>
        <v>0.67700000000000005</v>
      </c>
      <c r="Q19" s="625">
        <f t="shared" ref="Q19:AA19" si="9">P19</f>
        <v>0.67700000000000005</v>
      </c>
      <c r="R19" s="625">
        <f t="shared" si="9"/>
        <v>0.67700000000000005</v>
      </c>
      <c r="S19" s="625">
        <f t="shared" si="9"/>
        <v>0.67700000000000005</v>
      </c>
      <c r="T19" s="625">
        <f t="shared" si="9"/>
        <v>0.67700000000000005</v>
      </c>
      <c r="U19" s="625">
        <f t="shared" si="9"/>
        <v>0.67700000000000005</v>
      </c>
      <c r="V19" s="625">
        <f t="shared" si="9"/>
        <v>0.67700000000000005</v>
      </c>
      <c r="W19" s="625">
        <f t="shared" si="9"/>
        <v>0.67700000000000005</v>
      </c>
      <c r="X19" s="625">
        <f t="shared" si="9"/>
        <v>0.67700000000000005</v>
      </c>
      <c r="Y19" s="625">
        <f t="shared" si="9"/>
        <v>0.67700000000000005</v>
      </c>
      <c r="Z19" s="625">
        <f t="shared" si="9"/>
        <v>0.67700000000000005</v>
      </c>
      <c r="AA19" s="625">
        <f t="shared" si="9"/>
        <v>0.67700000000000005</v>
      </c>
    </row>
    <row r="20" spans="1:27" ht="27" customHeight="1" x14ac:dyDescent="0.2">
      <c r="A20"/>
      <c r="B20" s="917"/>
      <c r="C20" s="16">
        <v>290</v>
      </c>
      <c r="D20" s="637">
        <v>0.55500000000000005</v>
      </c>
      <c r="E20" s="638">
        <v>0.56499999999999995</v>
      </c>
      <c r="F20" s="638">
        <v>0.57499999999999996</v>
      </c>
      <c r="G20" s="638">
        <v>0.58499999999999996</v>
      </c>
      <c r="H20" s="638">
        <v>0.59599999999999997</v>
      </c>
      <c r="I20" s="638">
        <v>0.60699999999999998</v>
      </c>
      <c r="J20" s="638">
        <v>0.61799999999999999</v>
      </c>
      <c r="K20" s="638">
        <v>0.629</v>
      </c>
      <c r="L20" s="638">
        <v>0.64100000000000001</v>
      </c>
      <c r="M20" s="638">
        <v>0.65200000000000002</v>
      </c>
      <c r="N20" s="638">
        <v>0.66500000000000004</v>
      </c>
      <c r="O20" s="640">
        <f>N20</f>
        <v>0.66500000000000004</v>
      </c>
      <c r="P20" s="640">
        <f t="shared" ref="P20:AA20" si="10">O20</f>
        <v>0.66500000000000004</v>
      </c>
      <c r="Q20" s="640">
        <f t="shared" si="10"/>
        <v>0.66500000000000004</v>
      </c>
      <c r="R20" s="640">
        <f t="shared" si="10"/>
        <v>0.66500000000000004</v>
      </c>
      <c r="S20" s="640">
        <f t="shared" si="10"/>
        <v>0.66500000000000004</v>
      </c>
      <c r="T20" s="640">
        <f t="shared" si="10"/>
        <v>0.66500000000000004</v>
      </c>
      <c r="U20" s="640">
        <f t="shared" si="10"/>
        <v>0.66500000000000004</v>
      </c>
      <c r="V20" s="640">
        <f t="shared" si="10"/>
        <v>0.66500000000000004</v>
      </c>
      <c r="W20" s="640">
        <f t="shared" si="10"/>
        <v>0.66500000000000004</v>
      </c>
      <c r="X20" s="640">
        <f t="shared" si="10"/>
        <v>0.66500000000000004</v>
      </c>
      <c r="Y20" s="640">
        <f t="shared" si="10"/>
        <v>0.66500000000000004</v>
      </c>
      <c r="Z20" s="640">
        <f t="shared" si="10"/>
        <v>0.66500000000000004</v>
      </c>
      <c r="AA20" s="640">
        <f t="shared" si="10"/>
        <v>0.66500000000000004</v>
      </c>
    </row>
    <row r="21" spans="1:27" ht="27" customHeight="1" thickBot="1" x14ac:dyDescent="0.25">
      <c r="A21"/>
      <c r="B21" s="918"/>
      <c r="C21" s="17">
        <v>300</v>
      </c>
      <c r="D21" s="633">
        <v>0.55500000000000005</v>
      </c>
      <c r="E21" s="634">
        <v>0.56499999999999995</v>
      </c>
      <c r="F21" s="634">
        <v>0.57499999999999996</v>
      </c>
      <c r="G21" s="634">
        <v>0.58499999999999996</v>
      </c>
      <c r="H21" s="634">
        <v>0.59599999999999997</v>
      </c>
      <c r="I21" s="634">
        <v>0.60699999999999998</v>
      </c>
      <c r="J21" s="634">
        <v>0.61799999999999999</v>
      </c>
      <c r="K21" s="634">
        <v>0.629</v>
      </c>
      <c r="L21" s="634">
        <v>0.64100000000000001</v>
      </c>
      <c r="M21" s="634">
        <v>0.65200000000000002</v>
      </c>
      <c r="N21" s="627">
        <f>M21</f>
        <v>0.65200000000000002</v>
      </c>
      <c r="O21" s="627">
        <f t="shared" ref="O21:AA21" si="11">N21</f>
        <v>0.65200000000000002</v>
      </c>
      <c r="P21" s="627">
        <f t="shared" si="11"/>
        <v>0.65200000000000002</v>
      </c>
      <c r="Q21" s="627">
        <f t="shared" si="11"/>
        <v>0.65200000000000002</v>
      </c>
      <c r="R21" s="627">
        <f t="shared" si="11"/>
        <v>0.65200000000000002</v>
      </c>
      <c r="S21" s="627">
        <f t="shared" si="11"/>
        <v>0.65200000000000002</v>
      </c>
      <c r="T21" s="627">
        <f t="shared" si="11"/>
        <v>0.65200000000000002</v>
      </c>
      <c r="U21" s="627">
        <f t="shared" si="11"/>
        <v>0.65200000000000002</v>
      </c>
      <c r="V21" s="627">
        <f t="shared" si="11"/>
        <v>0.65200000000000002</v>
      </c>
      <c r="W21" s="627">
        <f t="shared" si="11"/>
        <v>0.65200000000000002</v>
      </c>
      <c r="X21" s="627">
        <f t="shared" si="11"/>
        <v>0.65200000000000002</v>
      </c>
      <c r="Y21" s="627">
        <f t="shared" si="11"/>
        <v>0.65200000000000002</v>
      </c>
      <c r="Z21" s="627">
        <f t="shared" si="11"/>
        <v>0.65200000000000002</v>
      </c>
      <c r="AA21" s="627">
        <f t="shared" si="11"/>
        <v>0.65200000000000002</v>
      </c>
    </row>
    <row r="22" spans="1:27" ht="16" thickBot="1" x14ac:dyDescent="0.25"/>
    <row r="23" spans="1:27" ht="22.5" customHeight="1" x14ac:dyDescent="0.2">
      <c r="B23" s="513" t="s">
        <v>11</v>
      </c>
      <c r="C23" s="514"/>
      <c r="D23" s="5"/>
      <c r="E23" s="5"/>
      <c r="F23" s="5"/>
      <c r="G23" s="5"/>
      <c r="H23" s="18"/>
      <c r="I23" s="18"/>
      <c r="J23" s="18"/>
      <c r="K23" s="18"/>
      <c r="L23" s="18"/>
      <c r="M23" s="18"/>
      <c r="N23" s="18"/>
      <c r="O23" s="18"/>
      <c r="P23" s="18"/>
      <c r="Q23" s="19"/>
    </row>
    <row r="24" spans="1:27" ht="23.25" customHeight="1" x14ac:dyDescent="0.2">
      <c r="B24" s="26" t="s">
        <v>12</v>
      </c>
      <c r="C24" s="22">
        <v>200</v>
      </c>
      <c r="D24" s="27" t="s">
        <v>13</v>
      </c>
      <c r="E24" s="6" t="s">
        <v>23</v>
      </c>
      <c r="F24" s="7"/>
      <c r="G24" s="7"/>
      <c r="H24" s="20"/>
      <c r="I24" s="20"/>
      <c r="J24" s="20"/>
      <c r="K24" s="20"/>
      <c r="L24" s="20"/>
      <c r="M24" s="20"/>
      <c r="N24" s="20"/>
      <c r="O24" s="20"/>
      <c r="P24" s="20"/>
      <c r="Q24" s="21"/>
    </row>
    <row r="25" spans="1:27" ht="23.25" customHeight="1" x14ac:dyDescent="0.2">
      <c r="B25" s="26" t="s">
        <v>14</v>
      </c>
      <c r="C25" s="22">
        <v>210</v>
      </c>
      <c r="D25" s="27" t="s">
        <v>15</v>
      </c>
      <c r="E25" s="6" t="s">
        <v>24</v>
      </c>
      <c r="F25" s="7"/>
      <c r="G25" s="7"/>
      <c r="H25" s="20"/>
      <c r="I25" s="20"/>
      <c r="J25" s="20"/>
      <c r="K25" s="20"/>
      <c r="L25" s="20"/>
      <c r="M25" s="20"/>
      <c r="N25" s="20"/>
      <c r="O25" s="20"/>
      <c r="P25" s="20"/>
      <c r="Q25" s="21"/>
    </row>
    <row r="26" spans="1:27" ht="14.25" customHeight="1" x14ac:dyDescent="0.2">
      <c r="B26" s="8"/>
      <c r="C26" s="9"/>
      <c r="D26" s="9"/>
      <c r="E26" s="9"/>
      <c r="F26" s="7"/>
      <c r="G26" s="7"/>
      <c r="H26" s="20"/>
      <c r="I26" s="20"/>
      <c r="J26" s="20"/>
      <c r="K26" s="20"/>
      <c r="L26" s="20"/>
      <c r="M26" s="20"/>
      <c r="N26" s="20"/>
      <c r="O26" s="20"/>
      <c r="P26" s="20"/>
      <c r="Q26" s="21"/>
    </row>
    <row r="27" spans="1:27" ht="24" customHeight="1" x14ac:dyDescent="0.2">
      <c r="B27" s="26" t="s">
        <v>27</v>
      </c>
      <c r="C27" s="43" t="e">
        <f ca="1">BicubicInterpolation(C4:J21,C24,C25)</f>
        <v>#NAME?</v>
      </c>
      <c r="D27" s="27" t="s">
        <v>22</v>
      </c>
      <c r="E27" s="7"/>
      <c r="F27" s="7"/>
      <c r="G27" s="7"/>
      <c r="H27" s="20"/>
      <c r="I27" s="20"/>
      <c r="J27" s="20"/>
      <c r="K27" s="20"/>
      <c r="L27" s="20"/>
      <c r="M27" s="20"/>
      <c r="N27" s="20"/>
      <c r="O27" s="20"/>
      <c r="P27" s="20"/>
      <c r="Q27" s="21"/>
    </row>
    <row r="28" spans="1:27" ht="17.5" customHeight="1" thickBot="1" x14ac:dyDescent="0.25">
      <c r="B28" s="26"/>
      <c r="C28" s="31"/>
      <c r="D28" s="27"/>
      <c r="E28" s="7"/>
      <c r="F28" s="7"/>
      <c r="G28" s="7"/>
      <c r="H28" s="20"/>
      <c r="I28" s="20"/>
      <c r="J28" s="20"/>
      <c r="K28" s="20"/>
      <c r="L28" s="20"/>
      <c r="M28" s="20"/>
      <c r="N28" s="20"/>
      <c r="O28" s="20"/>
      <c r="P28" s="20"/>
      <c r="Q28" s="21"/>
    </row>
    <row r="29" spans="1:27" ht="19" customHeight="1" x14ac:dyDescent="0.2">
      <c r="B29" s="23" t="s">
        <v>20</v>
      </c>
      <c r="C29" s="515" t="s">
        <v>358</v>
      </c>
      <c r="D29" s="515"/>
      <c r="E29" s="515"/>
      <c r="F29" s="515"/>
      <c r="G29" s="515"/>
      <c r="H29" s="515"/>
      <c r="I29" s="515"/>
      <c r="J29" s="515"/>
      <c r="K29" s="515"/>
      <c r="L29" s="515"/>
      <c r="M29" s="515"/>
      <c r="N29" s="515"/>
      <c r="O29" s="515"/>
      <c r="P29" s="515"/>
      <c r="Q29" s="516"/>
    </row>
    <row r="30" spans="1:27" ht="36" customHeight="1" thickBot="1" x14ac:dyDescent="0.25">
      <c r="B30" s="25"/>
      <c r="C30" s="517"/>
      <c r="D30" s="517"/>
      <c r="E30" s="517"/>
      <c r="F30" s="517"/>
      <c r="G30" s="517"/>
      <c r="H30" s="517"/>
      <c r="I30" s="517"/>
      <c r="J30" s="517"/>
      <c r="K30" s="517"/>
      <c r="L30" s="517"/>
      <c r="M30" s="517"/>
      <c r="N30" s="517"/>
      <c r="O30" s="517"/>
      <c r="P30" s="517"/>
      <c r="Q30" s="518"/>
    </row>
    <row r="31" spans="1:27" ht="14.25" customHeight="1" x14ac:dyDescent="0.2">
      <c r="A31"/>
      <c r="B31"/>
    </row>
    <row r="32" spans="1:27" ht="52.5" customHeight="1"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ht="22.5" customHeight="1" x14ac:dyDescent="0.2">
      <c r="A42"/>
      <c r="B42"/>
    </row>
    <row r="43" spans="1:2" ht="22.5" customHeight="1" x14ac:dyDescent="0.2">
      <c r="A43"/>
      <c r="B43"/>
    </row>
    <row r="44" spans="1:2" ht="22.5" customHeight="1" x14ac:dyDescent="0.2">
      <c r="A44"/>
      <c r="B44"/>
    </row>
    <row r="45" spans="1:2" ht="22.5" customHeight="1" x14ac:dyDescent="0.2">
      <c r="A45"/>
      <c r="B45"/>
    </row>
    <row r="46" spans="1:2" ht="22.5" customHeight="1" x14ac:dyDescent="0.2">
      <c r="A46"/>
      <c r="B46"/>
    </row>
    <row r="47" spans="1:2" x14ac:dyDescent="0.2">
      <c r="A47"/>
      <c r="B47"/>
    </row>
    <row r="48" spans="1:2" x14ac:dyDescent="0.2">
      <c r="A48"/>
      <c r="B48"/>
    </row>
    <row r="49" spans="1:2" ht="22.5" customHeight="1" x14ac:dyDescent="0.2">
      <c r="A49"/>
      <c r="B49"/>
    </row>
    <row r="50" spans="1:2" ht="22.5" customHeight="1" x14ac:dyDescent="0.2">
      <c r="A50"/>
      <c r="B50"/>
    </row>
    <row r="51" spans="1:2" ht="22.5" customHeight="1" x14ac:dyDescent="0.2">
      <c r="A51"/>
      <c r="B51"/>
    </row>
    <row r="52" spans="1:2" ht="22.5" customHeight="1"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ht="21.5" customHeight="1" x14ac:dyDescent="0.2">
      <c r="A60"/>
      <c r="B60"/>
    </row>
    <row r="61" spans="1:2" ht="21.5" customHeight="1" x14ac:dyDescent="0.2">
      <c r="A61"/>
      <c r="B61"/>
    </row>
    <row r="62" spans="1:2" x14ac:dyDescent="0.2">
      <c r="A62"/>
      <c r="B62"/>
    </row>
    <row r="63" spans="1:2" ht="21.5" customHeight="1"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sheetData>
  <mergeCells count="3">
    <mergeCell ref="B5:B21"/>
    <mergeCell ref="D3:AA3"/>
    <mergeCell ref="B2:AA2"/>
  </mergeCell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7"/>
  <dimension ref="A1:AA462"/>
  <sheetViews>
    <sheetView topLeftCell="A3" zoomScale="70" zoomScaleNormal="70" workbookViewId="0">
      <selection activeCell="AE22" sqref="AE22"/>
    </sheetView>
  </sheetViews>
  <sheetFormatPr baseColWidth="10" defaultColWidth="9" defaultRowHeight="15" x14ac:dyDescent="0.2"/>
  <cols>
    <col min="1" max="1" width="9.5" style="3" customWidth="1"/>
    <col min="2" max="2" width="19.5" style="3" customWidth="1"/>
    <col min="3" max="3" width="9.33203125" customWidth="1"/>
    <col min="4" max="27" width="8" customWidth="1"/>
  </cols>
  <sheetData>
    <row r="1" spans="1:27" ht="16" thickBot="1" x14ac:dyDescent="0.25"/>
    <row r="2" spans="1:27" ht="91" customHeight="1" thickBot="1" x14ac:dyDescent="0.25">
      <c r="A2"/>
      <c r="B2" s="962" t="s">
        <v>363</v>
      </c>
      <c r="C2" s="963"/>
      <c r="D2" s="963"/>
      <c r="E2" s="963"/>
      <c r="F2" s="963"/>
      <c r="G2" s="963"/>
      <c r="H2" s="963"/>
      <c r="I2" s="963"/>
      <c r="J2" s="963"/>
      <c r="K2" s="963"/>
      <c r="L2" s="963"/>
      <c r="M2" s="963"/>
      <c r="N2" s="963"/>
      <c r="O2" s="963"/>
      <c r="P2" s="963"/>
      <c r="Q2" s="963"/>
      <c r="R2" s="963"/>
      <c r="S2" s="963"/>
      <c r="T2" s="963"/>
      <c r="U2" s="963"/>
      <c r="V2" s="963"/>
      <c r="W2" s="963"/>
      <c r="X2" s="963"/>
      <c r="Y2" s="963"/>
      <c r="Z2" s="963"/>
      <c r="AA2" s="964"/>
    </row>
    <row r="3" spans="1:27" ht="30" customHeight="1" thickBot="1" x14ac:dyDescent="0.25">
      <c r="A3"/>
      <c r="B3" s="10"/>
      <c r="C3" s="11"/>
      <c r="D3" s="956" t="s">
        <v>10</v>
      </c>
      <c r="E3" s="957"/>
      <c r="F3" s="957"/>
      <c r="G3" s="957"/>
      <c r="H3" s="957"/>
      <c r="I3" s="957"/>
      <c r="J3" s="957"/>
      <c r="K3" s="957"/>
      <c r="L3" s="957"/>
      <c r="M3" s="957"/>
      <c r="N3" s="957"/>
      <c r="O3" s="957"/>
      <c r="P3" s="957"/>
      <c r="Q3" s="957"/>
      <c r="R3" s="957"/>
      <c r="S3" s="957"/>
      <c r="T3" s="957"/>
      <c r="U3" s="957"/>
      <c r="V3" s="957"/>
      <c r="W3" s="957"/>
      <c r="X3" s="957"/>
      <c r="Y3" s="957"/>
      <c r="Z3" s="957"/>
      <c r="AA3" s="958"/>
    </row>
    <row r="4" spans="1:27" ht="27" customHeight="1" thickBot="1" x14ac:dyDescent="0.25">
      <c r="A4"/>
      <c r="B4" s="4"/>
      <c r="C4" s="2"/>
      <c r="D4" s="12">
        <v>70</v>
      </c>
      <c r="E4" s="13">
        <v>80</v>
      </c>
      <c r="F4" s="12">
        <v>90</v>
      </c>
      <c r="G4" s="13">
        <v>100</v>
      </c>
      <c r="H4" s="12">
        <v>110</v>
      </c>
      <c r="I4" s="13">
        <v>120</v>
      </c>
      <c r="J4" s="12">
        <v>130</v>
      </c>
      <c r="K4" s="13">
        <v>140</v>
      </c>
      <c r="L4" s="12">
        <v>150</v>
      </c>
      <c r="M4" s="13">
        <v>160</v>
      </c>
      <c r="N4" s="12">
        <v>170</v>
      </c>
      <c r="O4" s="13">
        <v>180</v>
      </c>
      <c r="P4" s="12">
        <v>190</v>
      </c>
      <c r="Q4" s="13">
        <v>200</v>
      </c>
      <c r="R4" s="12">
        <v>210</v>
      </c>
      <c r="S4" s="13">
        <v>220</v>
      </c>
      <c r="T4" s="12">
        <v>230</v>
      </c>
      <c r="U4" s="13">
        <v>240</v>
      </c>
      <c r="V4" s="12">
        <v>250</v>
      </c>
      <c r="W4" s="13">
        <v>260</v>
      </c>
      <c r="X4" s="12">
        <v>270</v>
      </c>
      <c r="Y4" s="13">
        <v>280</v>
      </c>
      <c r="Z4" s="12">
        <v>290</v>
      </c>
      <c r="AA4" s="14">
        <v>300</v>
      </c>
    </row>
    <row r="5" spans="1:27" ht="27" customHeight="1" x14ac:dyDescent="0.2">
      <c r="A5"/>
      <c r="B5" s="916" t="s">
        <v>28</v>
      </c>
      <c r="C5" s="15">
        <v>140</v>
      </c>
      <c r="D5" s="641">
        <v>4308</v>
      </c>
      <c r="E5" s="642">
        <v>4289</v>
      </c>
      <c r="F5" s="642">
        <v>4272</v>
      </c>
      <c r="G5" s="642">
        <v>4258</v>
      </c>
      <c r="H5" s="642">
        <v>4246</v>
      </c>
      <c r="I5" s="642">
        <v>4236</v>
      </c>
      <c r="J5" s="642">
        <v>4228</v>
      </c>
      <c r="K5" s="642">
        <v>4222</v>
      </c>
      <c r="L5" s="642">
        <v>4216</v>
      </c>
      <c r="M5" s="642">
        <v>4212</v>
      </c>
      <c r="N5" s="642">
        <v>4209</v>
      </c>
      <c r="O5" s="642">
        <v>4205</v>
      </c>
      <c r="P5" s="642">
        <v>4200</v>
      </c>
      <c r="Q5" s="642">
        <v>4196</v>
      </c>
      <c r="R5" s="642">
        <v>4191</v>
      </c>
      <c r="S5" s="642">
        <v>4186</v>
      </c>
      <c r="T5" s="642">
        <v>4182</v>
      </c>
      <c r="U5" s="642">
        <v>4179</v>
      </c>
      <c r="V5" s="642">
        <v>4174</v>
      </c>
      <c r="W5" s="642">
        <v>4169</v>
      </c>
      <c r="X5" s="642">
        <v>4166</v>
      </c>
      <c r="Y5" s="642">
        <v>4166</v>
      </c>
      <c r="Z5" s="642">
        <v>4171</v>
      </c>
      <c r="AA5" s="642">
        <v>4185</v>
      </c>
    </row>
    <row r="6" spans="1:27" ht="27" customHeight="1" x14ac:dyDescent="0.2">
      <c r="A6"/>
      <c r="B6" s="917"/>
      <c r="C6" s="28">
        <v>150</v>
      </c>
      <c r="D6" s="643">
        <v>4597</v>
      </c>
      <c r="E6" s="644">
        <v>4581</v>
      </c>
      <c r="F6" s="644">
        <v>4567</v>
      </c>
      <c r="G6" s="644">
        <v>4556</v>
      </c>
      <c r="H6" s="644">
        <v>4547</v>
      </c>
      <c r="I6" s="644">
        <v>4540</v>
      </c>
      <c r="J6" s="644">
        <v>4535</v>
      </c>
      <c r="K6" s="644">
        <v>4530</v>
      </c>
      <c r="L6" s="644">
        <v>4526</v>
      </c>
      <c r="M6" s="644">
        <v>4522</v>
      </c>
      <c r="N6" s="644">
        <v>4518</v>
      </c>
      <c r="O6" s="644">
        <v>4513</v>
      </c>
      <c r="P6" s="644">
        <v>4508</v>
      </c>
      <c r="Q6" s="644">
        <v>4503</v>
      </c>
      <c r="R6" s="644">
        <v>4499</v>
      </c>
      <c r="S6" s="644">
        <v>4493</v>
      </c>
      <c r="T6" s="644">
        <v>4491</v>
      </c>
      <c r="U6" s="644">
        <v>4486</v>
      </c>
      <c r="V6" s="644">
        <v>4482</v>
      </c>
      <c r="W6" s="644">
        <v>4480</v>
      </c>
      <c r="X6" s="644">
        <v>4482</v>
      </c>
      <c r="Y6" s="644">
        <v>4492</v>
      </c>
      <c r="Z6" s="644">
        <v>4511</v>
      </c>
      <c r="AA6" s="644">
        <v>4541</v>
      </c>
    </row>
    <row r="7" spans="1:27" ht="27" customHeight="1" x14ac:dyDescent="0.2">
      <c r="A7"/>
      <c r="B7" s="917"/>
      <c r="C7" s="16">
        <v>160</v>
      </c>
      <c r="D7" s="645">
        <v>4893</v>
      </c>
      <c r="E7" s="646">
        <v>4881</v>
      </c>
      <c r="F7" s="646">
        <v>4870</v>
      </c>
      <c r="G7" s="646">
        <v>4862</v>
      </c>
      <c r="H7" s="646">
        <v>4856</v>
      </c>
      <c r="I7" s="646">
        <v>4850</v>
      </c>
      <c r="J7" s="646">
        <v>4846</v>
      </c>
      <c r="K7" s="646">
        <v>4842</v>
      </c>
      <c r="L7" s="646">
        <v>4838</v>
      </c>
      <c r="M7" s="646">
        <v>4833</v>
      </c>
      <c r="N7" s="646">
        <v>4827</v>
      </c>
      <c r="O7" s="646">
        <v>4821</v>
      </c>
      <c r="P7" s="646">
        <v>4817</v>
      </c>
      <c r="Q7" s="646">
        <v>4813</v>
      </c>
      <c r="R7" s="646">
        <v>4809</v>
      </c>
      <c r="S7" s="646">
        <v>4805</v>
      </c>
      <c r="T7" s="646">
        <v>4800</v>
      </c>
      <c r="U7" s="646">
        <v>4797</v>
      </c>
      <c r="V7" s="646">
        <v>4796</v>
      </c>
      <c r="W7" s="646">
        <v>4802</v>
      </c>
      <c r="X7" s="646">
        <v>4817</v>
      </c>
      <c r="Y7" s="646">
        <v>4841</v>
      </c>
      <c r="Z7" s="646">
        <v>4884</v>
      </c>
      <c r="AA7" s="646">
        <v>4965</v>
      </c>
    </row>
    <row r="8" spans="1:27" ht="27" customHeight="1" x14ac:dyDescent="0.2">
      <c r="A8"/>
      <c r="B8" s="917"/>
      <c r="C8" s="16">
        <v>170</v>
      </c>
      <c r="D8" s="645">
        <v>5197</v>
      </c>
      <c r="E8" s="646">
        <v>5187</v>
      </c>
      <c r="F8" s="646">
        <v>5180</v>
      </c>
      <c r="G8" s="646">
        <v>5174</v>
      </c>
      <c r="H8" s="646">
        <v>5169</v>
      </c>
      <c r="I8" s="646">
        <v>5165</v>
      </c>
      <c r="J8" s="646">
        <v>5161</v>
      </c>
      <c r="K8" s="646">
        <v>5155</v>
      </c>
      <c r="L8" s="646">
        <v>5150</v>
      </c>
      <c r="M8" s="646">
        <v>5144</v>
      </c>
      <c r="N8" s="646">
        <v>5138</v>
      </c>
      <c r="O8" s="646">
        <v>5133</v>
      </c>
      <c r="P8" s="646">
        <v>5129</v>
      </c>
      <c r="Q8" s="646">
        <v>5125</v>
      </c>
      <c r="R8" s="646">
        <v>5120</v>
      </c>
      <c r="S8" s="646">
        <v>5116</v>
      </c>
      <c r="T8" s="646">
        <v>5114</v>
      </c>
      <c r="U8" s="646">
        <v>5116</v>
      </c>
      <c r="V8" s="646">
        <v>5126</v>
      </c>
      <c r="W8" s="646">
        <v>5145</v>
      </c>
      <c r="X8" s="646">
        <v>5175</v>
      </c>
      <c r="Y8" s="646">
        <v>5227</v>
      </c>
      <c r="Z8" s="646">
        <v>5320</v>
      </c>
      <c r="AA8" s="646">
        <v>5435</v>
      </c>
    </row>
    <row r="9" spans="1:27" ht="27" customHeight="1" x14ac:dyDescent="0.2">
      <c r="A9"/>
      <c r="B9" s="917"/>
      <c r="C9" s="16">
        <v>180</v>
      </c>
      <c r="D9" s="645">
        <v>5507</v>
      </c>
      <c r="E9" s="646">
        <v>5500</v>
      </c>
      <c r="F9" s="646">
        <v>5494</v>
      </c>
      <c r="G9" s="646">
        <v>5490</v>
      </c>
      <c r="H9" s="646">
        <v>5486</v>
      </c>
      <c r="I9" s="646">
        <v>5481</v>
      </c>
      <c r="J9" s="646">
        <v>5475</v>
      </c>
      <c r="K9" s="646">
        <v>5468</v>
      </c>
      <c r="L9" s="646">
        <v>5462</v>
      </c>
      <c r="M9" s="646">
        <v>5456</v>
      </c>
      <c r="N9" s="646">
        <v>5451</v>
      </c>
      <c r="O9" s="646">
        <v>5447</v>
      </c>
      <c r="P9" s="646">
        <v>5443</v>
      </c>
      <c r="Q9" s="646">
        <v>5437</v>
      </c>
      <c r="R9" s="646">
        <v>5434</v>
      </c>
      <c r="S9" s="646">
        <v>5434</v>
      </c>
      <c r="T9" s="646">
        <v>5438</v>
      </c>
      <c r="U9" s="646">
        <v>5452</v>
      </c>
      <c r="V9" s="646">
        <v>5475</v>
      </c>
      <c r="W9" s="646">
        <v>5511</v>
      </c>
      <c r="X9" s="646">
        <v>5573</v>
      </c>
      <c r="Y9" s="646">
        <v>5679</v>
      </c>
      <c r="Z9" s="647">
        <f>Y9</f>
        <v>5679</v>
      </c>
      <c r="AA9" s="647">
        <f>Z9</f>
        <v>5679</v>
      </c>
    </row>
    <row r="10" spans="1:27" ht="27" customHeight="1" x14ac:dyDescent="0.2">
      <c r="A10"/>
      <c r="B10" s="917"/>
      <c r="C10" s="16">
        <v>190</v>
      </c>
      <c r="D10" s="645">
        <v>5823</v>
      </c>
      <c r="E10" s="646">
        <v>5817</v>
      </c>
      <c r="F10" s="646">
        <v>5812</v>
      </c>
      <c r="G10" s="646">
        <v>5808</v>
      </c>
      <c r="H10" s="646">
        <v>5803</v>
      </c>
      <c r="I10" s="646">
        <v>5796</v>
      </c>
      <c r="J10" s="646">
        <v>5789</v>
      </c>
      <c r="K10" s="646">
        <v>5783</v>
      </c>
      <c r="L10" s="646">
        <v>5777</v>
      </c>
      <c r="M10" s="646">
        <v>5772</v>
      </c>
      <c r="N10" s="646">
        <v>5767</v>
      </c>
      <c r="O10" s="646">
        <v>5763</v>
      </c>
      <c r="P10" s="646">
        <v>5757</v>
      </c>
      <c r="Q10" s="646">
        <v>5754</v>
      </c>
      <c r="R10" s="646">
        <v>5755</v>
      </c>
      <c r="S10" s="646">
        <v>5763</v>
      </c>
      <c r="T10" s="646">
        <v>5780</v>
      </c>
      <c r="U10" s="646">
        <v>5807</v>
      </c>
      <c r="V10" s="646">
        <v>5849</v>
      </c>
      <c r="W10" s="646">
        <v>5923</v>
      </c>
      <c r="X10" s="646">
        <v>6040</v>
      </c>
      <c r="Y10" s="647">
        <f>X10</f>
        <v>6040</v>
      </c>
      <c r="Z10" s="647">
        <f t="shared" ref="Z10:AA10" si="0">Y10</f>
        <v>6040</v>
      </c>
      <c r="AA10" s="647">
        <f t="shared" si="0"/>
        <v>6040</v>
      </c>
    </row>
    <row r="11" spans="1:27" ht="27" customHeight="1" x14ac:dyDescent="0.2">
      <c r="A11"/>
      <c r="B11" s="917"/>
      <c r="C11" s="16">
        <v>200</v>
      </c>
      <c r="D11" s="645">
        <v>6141</v>
      </c>
      <c r="E11" s="646">
        <v>6137</v>
      </c>
      <c r="F11" s="646">
        <v>6132</v>
      </c>
      <c r="G11" s="646">
        <v>6126</v>
      </c>
      <c r="H11" s="646">
        <v>6119</v>
      </c>
      <c r="I11" s="646">
        <v>6112</v>
      </c>
      <c r="J11" s="646">
        <v>6105</v>
      </c>
      <c r="K11" s="646">
        <v>6099</v>
      </c>
      <c r="L11" s="646">
        <v>6094</v>
      </c>
      <c r="M11" s="646">
        <v>6090</v>
      </c>
      <c r="N11" s="646">
        <v>6085</v>
      </c>
      <c r="O11" s="646">
        <v>6080</v>
      </c>
      <c r="P11" s="646">
        <v>6077</v>
      </c>
      <c r="Q11" s="646">
        <v>6079</v>
      </c>
      <c r="R11" s="646">
        <v>6089</v>
      </c>
      <c r="S11" s="646">
        <v>6110</v>
      </c>
      <c r="T11" s="646">
        <v>6140</v>
      </c>
      <c r="U11" s="646">
        <v>6189</v>
      </c>
      <c r="V11" s="646">
        <v>6273</v>
      </c>
      <c r="W11" s="646">
        <v>6399</v>
      </c>
      <c r="X11" s="647">
        <f>W11</f>
        <v>6399</v>
      </c>
      <c r="Y11" s="647">
        <f t="shared" ref="Y11:AA11" si="1">X11</f>
        <v>6399</v>
      </c>
      <c r="Z11" s="647">
        <f t="shared" si="1"/>
        <v>6399</v>
      </c>
      <c r="AA11" s="647">
        <f t="shared" si="1"/>
        <v>6399</v>
      </c>
    </row>
    <row r="12" spans="1:27" ht="27" customHeight="1" x14ac:dyDescent="0.2">
      <c r="A12"/>
      <c r="B12" s="917"/>
      <c r="C12" s="16">
        <v>210</v>
      </c>
      <c r="D12" s="645">
        <v>6463</v>
      </c>
      <c r="E12" s="646">
        <v>6458</v>
      </c>
      <c r="F12" s="646">
        <v>6452</v>
      </c>
      <c r="G12" s="646">
        <v>6444</v>
      </c>
      <c r="H12" s="646">
        <v>6437</v>
      </c>
      <c r="I12" s="646">
        <v>6429</v>
      </c>
      <c r="J12" s="646">
        <v>6423</v>
      </c>
      <c r="K12" s="646">
        <v>6419</v>
      </c>
      <c r="L12" s="646">
        <v>6414</v>
      </c>
      <c r="M12" s="646">
        <v>6409</v>
      </c>
      <c r="N12" s="646">
        <v>6404</v>
      </c>
      <c r="O12" s="646">
        <v>6402</v>
      </c>
      <c r="P12" s="646">
        <v>6405</v>
      </c>
      <c r="Q12" s="646">
        <v>6418</v>
      </c>
      <c r="R12" s="646">
        <v>6441</v>
      </c>
      <c r="S12" s="646">
        <v>6474</v>
      </c>
      <c r="T12" s="646">
        <v>6529</v>
      </c>
      <c r="U12" s="646">
        <v>6623</v>
      </c>
      <c r="V12" s="647">
        <f>U12</f>
        <v>6623</v>
      </c>
      <c r="W12" s="647">
        <f t="shared" ref="W12:AA12" si="2">V12</f>
        <v>6623</v>
      </c>
      <c r="X12" s="647">
        <f t="shared" si="2"/>
        <v>6623</v>
      </c>
      <c r="Y12" s="647">
        <f t="shared" si="2"/>
        <v>6623</v>
      </c>
      <c r="Z12" s="647">
        <f t="shared" si="2"/>
        <v>6623</v>
      </c>
      <c r="AA12" s="647">
        <f t="shared" si="2"/>
        <v>6623</v>
      </c>
    </row>
    <row r="13" spans="1:27" ht="27" customHeight="1" x14ac:dyDescent="0.2">
      <c r="A13"/>
      <c r="B13" s="917"/>
      <c r="C13" s="16">
        <v>220</v>
      </c>
      <c r="D13" s="645">
        <v>6786</v>
      </c>
      <c r="E13" s="646">
        <v>6780</v>
      </c>
      <c r="F13" s="646">
        <v>6772</v>
      </c>
      <c r="G13" s="646">
        <v>6764</v>
      </c>
      <c r="H13" s="646">
        <v>6757</v>
      </c>
      <c r="I13" s="646">
        <v>6750</v>
      </c>
      <c r="J13" s="646">
        <v>6746</v>
      </c>
      <c r="K13" s="646">
        <v>6742</v>
      </c>
      <c r="L13" s="646">
        <v>6736</v>
      </c>
      <c r="M13" s="646">
        <v>6731</v>
      </c>
      <c r="N13" s="646">
        <v>6728</v>
      </c>
      <c r="O13" s="646">
        <v>6732</v>
      </c>
      <c r="P13" s="646">
        <v>6748</v>
      </c>
      <c r="Q13" s="646">
        <v>6773</v>
      </c>
      <c r="R13" s="646">
        <v>6810</v>
      </c>
      <c r="S13" s="646">
        <v>6869</v>
      </c>
      <c r="T13" s="646">
        <v>6972</v>
      </c>
      <c r="U13" s="647">
        <f>T13</f>
        <v>6972</v>
      </c>
      <c r="V13" s="647">
        <f t="shared" ref="V13:AA13" si="3">U13</f>
        <v>6972</v>
      </c>
      <c r="W13" s="647">
        <f t="shared" si="3"/>
        <v>6972</v>
      </c>
      <c r="X13" s="647">
        <f t="shared" si="3"/>
        <v>6972</v>
      </c>
      <c r="Y13" s="647">
        <f t="shared" si="3"/>
        <v>6972</v>
      </c>
      <c r="Z13" s="647">
        <f t="shared" si="3"/>
        <v>6972</v>
      </c>
      <c r="AA13" s="647">
        <f t="shared" si="3"/>
        <v>6972</v>
      </c>
    </row>
    <row r="14" spans="1:27" ht="27" customHeight="1" x14ac:dyDescent="0.2">
      <c r="A14"/>
      <c r="B14" s="917"/>
      <c r="C14" s="16">
        <v>230</v>
      </c>
      <c r="D14" s="645">
        <v>7110</v>
      </c>
      <c r="E14" s="646">
        <v>7102</v>
      </c>
      <c r="F14" s="646">
        <v>7094</v>
      </c>
      <c r="G14" s="646">
        <v>7086</v>
      </c>
      <c r="H14" s="646">
        <v>7080</v>
      </c>
      <c r="I14" s="646">
        <v>7075</v>
      </c>
      <c r="J14" s="646">
        <v>7071</v>
      </c>
      <c r="K14" s="646">
        <v>7065</v>
      </c>
      <c r="L14" s="646">
        <v>7059</v>
      </c>
      <c r="M14" s="646">
        <v>7058</v>
      </c>
      <c r="N14" s="646">
        <v>7063</v>
      </c>
      <c r="O14" s="646">
        <v>7080</v>
      </c>
      <c r="P14" s="646">
        <v>7107</v>
      </c>
      <c r="Q14" s="646">
        <v>7146</v>
      </c>
      <c r="R14" s="646">
        <v>7209</v>
      </c>
      <c r="S14" s="646">
        <v>7317</v>
      </c>
      <c r="T14" s="647">
        <f>S14</f>
        <v>7317</v>
      </c>
      <c r="U14" s="647">
        <f t="shared" ref="U14:AA14" si="4">T14</f>
        <v>7317</v>
      </c>
      <c r="V14" s="647">
        <f t="shared" si="4"/>
        <v>7317</v>
      </c>
      <c r="W14" s="647">
        <f t="shared" si="4"/>
        <v>7317</v>
      </c>
      <c r="X14" s="647">
        <f t="shared" si="4"/>
        <v>7317</v>
      </c>
      <c r="Y14" s="647">
        <f t="shared" si="4"/>
        <v>7317</v>
      </c>
      <c r="Z14" s="647">
        <f t="shared" si="4"/>
        <v>7317</v>
      </c>
      <c r="AA14" s="647">
        <f t="shared" si="4"/>
        <v>7317</v>
      </c>
    </row>
    <row r="15" spans="1:27" ht="27" customHeight="1" x14ac:dyDescent="0.2">
      <c r="A15"/>
      <c r="B15" s="917"/>
      <c r="C15" s="16">
        <v>240</v>
      </c>
      <c r="D15" s="645">
        <v>7435</v>
      </c>
      <c r="E15" s="646">
        <v>7426</v>
      </c>
      <c r="F15" s="646">
        <v>7418</v>
      </c>
      <c r="G15" s="646">
        <v>7412</v>
      </c>
      <c r="H15" s="646">
        <v>7406</v>
      </c>
      <c r="I15" s="646">
        <v>7402</v>
      </c>
      <c r="J15" s="646">
        <v>7396</v>
      </c>
      <c r="K15" s="646">
        <v>7390</v>
      </c>
      <c r="L15" s="646">
        <v>7389</v>
      </c>
      <c r="M15" s="646">
        <v>7395</v>
      </c>
      <c r="N15" s="646">
        <v>7412</v>
      </c>
      <c r="O15" s="646">
        <v>7441</v>
      </c>
      <c r="P15" s="646">
        <v>7482</v>
      </c>
      <c r="Q15" s="646">
        <v>7548</v>
      </c>
      <c r="R15" s="646">
        <v>7658</v>
      </c>
      <c r="S15" s="647">
        <f>R15</f>
        <v>7658</v>
      </c>
      <c r="T15" s="647">
        <f t="shared" ref="T15:AA15" si="5">S15</f>
        <v>7658</v>
      </c>
      <c r="U15" s="647">
        <f t="shared" si="5"/>
        <v>7658</v>
      </c>
      <c r="V15" s="647">
        <f t="shared" si="5"/>
        <v>7658</v>
      </c>
      <c r="W15" s="647">
        <f t="shared" si="5"/>
        <v>7658</v>
      </c>
      <c r="X15" s="647">
        <f t="shared" si="5"/>
        <v>7658</v>
      </c>
      <c r="Y15" s="647">
        <f t="shared" si="5"/>
        <v>7658</v>
      </c>
      <c r="Z15" s="647">
        <f t="shared" si="5"/>
        <v>7658</v>
      </c>
      <c r="AA15" s="647">
        <f t="shared" si="5"/>
        <v>7658</v>
      </c>
    </row>
    <row r="16" spans="1:27" ht="27" customHeight="1" x14ac:dyDescent="0.2">
      <c r="A16"/>
      <c r="B16" s="917"/>
      <c r="C16" s="16">
        <v>250</v>
      </c>
      <c r="D16" s="645">
        <v>7760</v>
      </c>
      <c r="E16" s="646">
        <v>7751</v>
      </c>
      <c r="F16" s="646">
        <v>7745</v>
      </c>
      <c r="G16" s="646">
        <v>7739</v>
      </c>
      <c r="H16" s="646">
        <v>7734</v>
      </c>
      <c r="I16" s="646">
        <v>7729</v>
      </c>
      <c r="J16" s="646">
        <v>7724</v>
      </c>
      <c r="K16" s="646">
        <v>7722</v>
      </c>
      <c r="L16" s="646">
        <v>7728</v>
      </c>
      <c r="M16" s="646">
        <v>7746</v>
      </c>
      <c r="N16" s="646">
        <v>7776</v>
      </c>
      <c r="O16" s="646">
        <v>7817</v>
      </c>
      <c r="P16" s="646">
        <v>7885</v>
      </c>
      <c r="Q16" s="646">
        <v>7996</v>
      </c>
      <c r="R16" s="647">
        <f>Q16</f>
        <v>7996</v>
      </c>
      <c r="S16" s="647">
        <f t="shared" ref="S16:AA16" si="6">R16</f>
        <v>7996</v>
      </c>
      <c r="T16" s="647">
        <f t="shared" si="6"/>
        <v>7996</v>
      </c>
      <c r="U16" s="647">
        <f t="shared" si="6"/>
        <v>7996</v>
      </c>
      <c r="V16" s="647">
        <f t="shared" si="6"/>
        <v>7996</v>
      </c>
      <c r="W16" s="647">
        <f t="shared" si="6"/>
        <v>7996</v>
      </c>
      <c r="X16" s="647">
        <f t="shared" si="6"/>
        <v>7996</v>
      </c>
      <c r="Y16" s="647">
        <f t="shared" si="6"/>
        <v>7996</v>
      </c>
      <c r="Z16" s="647">
        <f t="shared" si="6"/>
        <v>7996</v>
      </c>
      <c r="AA16" s="647">
        <f t="shared" si="6"/>
        <v>7996</v>
      </c>
    </row>
    <row r="17" spans="1:27" ht="27" customHeight="1" x14ac:dyDescent="0.2">
      <c r="A17"/>
      <c r="B17" s="917"/>
      <c r="C17" s="16">
        <v>260</v>
      </c>
      <c r="D17" s="645">
        <v>8087</v>
      </c>
      <c r="E17" s="646">
        <v>8080</v>
      </c>
      <c r="F17" s="646">
        <v>8074</v>
      </c>
      <c r="G17" s="646">
        <v>8069</v>
      </c>
      <c r="H17" s="646">
        <v>8064</v>
      </c>
      <c r="I17" s="646">
        <v>8058</v>
      </c>
      <c r="J17" s="646">
        <v>8056</v>
      </c>
      <c r="K17" s="646">
        <v>8062</v>
      </c>
      <c r="L17" s="646">
        <v>8080</v>
      </c>
      <c r="M17" s="646">
        <v>8110</v>
      </c>
      <c r="N17" s="646">
        <v>8152</v>
      </c>
      <c r="O17" s="646">
        <v>8220</v>
      </c>
      <c r="P17" s="646">
        <v>8331</v>
      </c>
      <c r="Q17" s="647">
        <f>P17</f>
        <v>8331</v>
      </c>
      <c r="R17" s="647">
        <f t="shared" ref="R17:AA17" si="7">Q17</f>
        <v>8331</v>
      </c>
      <c r="S17" s="647">
        <f t="shared" si="7"/>
        <v>8331</v>
      </c>
      <c r="T17" s="647">
        <f t="shared" si="7"/>
        <v>8331</v>
      </c>
      <c r="U17" s="647">
        <f t="shared" si="7"/>
        <v>8331</v>
      </c>
      <c r="V17" s="647">
        <f t="shared" si="7"/>
        <v>8331</v>
      </c>
      <c r="W17" s="647">
        <f t="shared" si="7"/>
        <v>8331</v>
      </c>
      <c r="X17" s="647">
        <f t="shared" si="7"/>
        <v>8331</v>
      </c>
      <c r="Y17" s="647">
        <f t="shared" si="7"/>
        <v>8331</v>
      </c>
      <c r="Z17" s="647">
        <f t="shared" si="7"/>
        <v>8331</v>
      </c>
      <c r="AA17" s="647">
        <f t="shared" si="7"/>
        <v>8331</v>
      </c>
    </row>
    <row r="18" spans="1:27" ht="27" customHeight="1" x14ac:dyDescent="0.2">
      <c r="A18"/>
      <c r="B18" s="917"/>
      <c r="C18" s="16">
        <v>270</v>
      </c>
      <c r="D18" s="645">
        <v>8334</v>
      </c>
      <c r="E18" s="460">
        <v>8346</v>
      </c>
      <c r="F18" s="646">
        <v>8361</v>
      </c>
      <c r="G18" s="646">
        <v>8376</v>
      </c>
      <c r="H18" s="646">
        <v>8391</v>
      </c>
      <c r="I18" s="646">
        <v>8392</v>
      </c>
      <c r="J18" s="646">
        <v>8397</v>
      </c>
      <c r="K18" s="646">
        <v>8415</v>
      </c>
      <c r="L18" s="646">
        <v>8445</v>
      </c>
      <c r="M18" s="646">
        <v>8486</v>
      </c>
      <c r="N18" s="646">
        <v>8555</v>
      </c>
      <c r="O18" s="646">
        <v>8637</v>
      </c>
      <c r="P18" s="647">
        <f>O18</f>
        <v>8637</v>
      </c>
      <c r="Q18" s="647">
        <f t="shared" ref="Q18:AA18" si="8">P18</f>
        <v>8637</v>
      </c>
      <c r="R18" s="647">
        <f t="shared" si="8"/>
        <v>8637</v>
      </c>
      <c r="S18" s="647">
        <f t="shared" si="8"/>
        <v>8637</v>
      </c>
      <c r="T18" s="647">
        <f t="shared" si="8"/>
        <v>8637</v>
      </c>
      <c r="U18" s="647">
        <f t="shared" si="8"/>
        <v>8637</v>
      </c>
      <c r="V18" s="647">
        <f t="shared" si="8"/>
        <v>8637</v>
      </c>
      <c r="W18" s="647">
        <f t="shared" si="8"/>
        <v>8637</v>
      </c>
      <c r="X18" s="647">
        <f t="shared" si="8"/>
        <v>8637</v>
      </c>
      <c r="Y18" s="647">
        <f t="shared" si="8"/>
        <v>8637</v>
      </c>
      <c r="Z18" s="647">
        <f t="shared" si="8"/>
        <v>8637</v>
      </c>
      <c r="AA18" s="647">
        <f t="shared" si="8"/>
        <v>8637</v>
      </c>
    </row>
    <row r="19" spans="1:27" ht="27" customHeight="1" x14ac:dyDescent="0.2">
      <c r="A19"/>
      <c r="B19" s="917"/>
      <c r="C19" s="16">
        <v>280</v>
      </c>
      <c r="D19" s="645">
        <v>8502</v>
      </c>
      <c r="E19" s="646">
        <v>8517</v>
      </c>
      <c r="F19" s="646">
        <v>8533</v>
      </c>
      <c r="G19" s="646">
        <v>8548</v>
      </c>
      <c r="H19" s="646">
        <v>8566</v>
      </c>
      <c r="I19" s="646">
        <v>8589</v>
      </c>
      <c r="J19" s="646">
        <v>8617</v>
      </c>
      <c r="K19" s="646">
        <v>8648</v>
      </c>
      <c r="L19" s="646">
        <v>8681</v>
      </c>
      <c r="M19" s="646">
        <v>8721</v>
      </c>
      <c r="N19" s="646">
        <v>8780</v>
      </c>
      <c r="O19" s="646">
        <v>8861</v>
      </c>
      <c r="P19" s="647">
        <f>O19</f>
        <v>8861</v>
      </c>
      <c r="Q19" s="647">
        <f t="shared" ref="Q19:AA19" si="9">P19</f>
        <v>8861</v>
      </c>
      <c r="R19" s="647">
        <f t="shared" si="9"/>
        <v>8861</v>
      </c>
      <c r="S19" s="647">
        <f t="shared" si="9"/>
        <v>8861</v>
      </c>
      <c r="T19" s="647">
        <f t="shared" si="9"/>
        <v>8861</v>
      </c>
      <c r="U19" s="647">
        <f t="shared" si="9"/>
        <v>8861</v>
      </c>
      <c r="V19" s="647">
        <f t="shared" si="9"/>
        <v>8861</v>
      </c>
      <c r="W19" s="647">
        <f t="shared" si="9"/>
        <v>8861</v>
      </c>
      <c r="X19" s="647">
        <f t="shared" si="9"/>
        <v>8861</v>
      </c>
      <c r="Y19" s="647">
        <f t="shared" si="9"/>
        <v>8861</v>
      </c>
      <c r="Z19" s="647">
        <f t="shared" si="9"/>
        <v>8861</v>
      </c>
      <c r="AA19" s="647">
        <f t="shared" si="9"/>
        <v>8861</v>
      </c>
    </row>
    <row r="20" spans="1:27" ht="27" customHeight="1" x14ac:dyDescent="0.2">
      <c r="A20"/>
      <c r="B20" s="917"/>
      <c r="C20" s="16">
        <v>290</v>
      </c>
      <c r="D20" s="648">
        <v>8679</v>
      </c>
      <c r="E20" s="649">
        <v>8695</v>
      </c>
      <c r="F20" s="649">
        <v>8712</v>
      </c>
      <c r="G20" s="649">
        <v>8729</v>
      </c>
      <c r="H20" s="649">
        <v>8751</v>
      </c>
      <c r="I20" s="649">
        <v>8778</v>
      </c>
      <c r="J20" s="649">
        <v>8809</v>
      </c>
      <c r="K20" s="649">
        <v>8844</v>
      </c>
      <c r="L20" s="649">
        <v>8878</v>
      </c>
      <c r="M20" s="649">
        <v>8936</v>
      </c>
      <c r="N20" s="649">
        <v>9004</v>
      </c>
      <c r="O20" s="650">
        <f>N20</f>
        <v>9004</v>
      </c>
      <c r="P20" s="650">
        <f t="shared" ref="P20:AA20" si="10">O20</f>
        <v>9004</v>
      </c>
      <c r="Q20" s="650">
        <f t="shared" si="10"/>
        <v>9004</v>
      </c>
      <c r="R20" s="650">
        <f t="shared" si="10"/>
        <v>9004</v>
      </c>
      <c r="S20" s="650">
        <f t="shared" si="10"/>
        <v>9004</v>
      </c>
      <c r="T20" s="650">
        <f t="shared" si="10"/>
        <v>9004</v>
      </c>
      <c r="U20" s="650">
        <f t="shared" si="10"/>
        <v>9004</v>
      </c>
      <c r="V20" s="650">
        <f t="shared" si="10"/>
        <v>9004</v>
      </c>
      <c r="W20" s="650">
        <f t="shared" si="10"/>
        <v>9004</v>
      </c>
      <c r="X20" s="650">
        <f t="shared" si="10"/>
        <v>9004</v>
      </c>
      <c r="Y20" s="650">
        <f t="shared" si="10"/>
        <v>9004</v>
      </c>
      <c r="Z20" s="650">
        <f t="shared" si="10"/>
        <v>9004</v>
      </c>
      <c r="AA20" s="650">
        <f t="shared" si="10"/>
        <v>9004</v>
      </c>
    </row>
    <row r="21" spans="1:27" ht="27" customHeight="1" thickBot="1" x14ac:dyDescent="0.25">
      <c r="A21"/>
      <c r="B21" s="918"/>
      <c r="C21" s="17">
        <v>300</v>
      </c>
      <c r="D21" s="651">
        <v>8864</v>
      </c>
      <c r="E21" s="652">
        <v>8881</v>
      </c>
      <c r="F21" s="652">
        <v>8898</v>
      </c>
      <c r="G21" s="652">
        <v>8919</v>
      </c>
      <c r="H21" s="652">
        <v>8945</v>
      </c>
      <c r="I21" s="652">
        <v>8976</v>
      </c>
      <c r="J21" s="652">
        <v>9011</v>
      </c>
      <c r="K21" s="652">
        <v>9048</v>
      </c>
      <c r="L21" s="652">
        <v>9092</v>
      </c>
      <c r="M21" s="652">
        <v>9172</v>
      </c>
      <c r="N21" s="653">
        <f>M21</f>
        <v>9172</v>
      </c>
      <c r="O21" s="653">
        <f t="shared" ref="O21:AA21" si="11">N21</f>
        <v>9172</v>
      </c>
      <c r="P21" s="653">
        <f t="shared" si="11"/>
        <v>9172</v>
      </c>
      <c r="Q21" s="653">
        <f t="shared" si="11"/>
        <v>9172</v>
      </c>
      <c r="R21" s="653">
        <f t="shared" si="11"/>
        <v>9172</v>
      </c>
      <c r="S21" s="653">
        <f t="shared" si="11"/>
        <v>9172</v>
      </c>
      <c r="T21" s="653">
        <f t="shared" si="11"/>
        <v>9172</v>
      </c>
      <c r="U21" s="653">
        <f t="shared" si="11"/>
        <v>9172</v>
      </c>
      <c r="V21" s="653">
        <f t="shared" si="11"/>
        <v>9172</v>
      </c>
      <c r="W21" s="653">
        <f t="shared" si="11"/>
        <v>9172</v>
      </c>
      <c r="X21" s="653">
        <f t="shared" si="11"/>
        <v>9172</v>
      </c>
      <c r="Y21" s="653">
        <f t="shared" si="11"/>
        <v>9172</v>
      </c>
      <c r="Z21" s="653">
        <f t="shared" si="11"/>
        <v>9172</v>
      </c>
      <c r="AA21" s="653">
        <f t="shared" si="11"/>
        <v>9172</v>
      </c>
    </row>
    <row r="22" spans="1:27" ht="16" thickBot="1" x14ac:dyDescent="0.25"/>
    <row r="23" spans="1:27" ht="22.5" customHeight="1" x14ac:dyDescent="0.2">
      <c r="B23" s="513" t="s">
        <v>11</v>
      </c>
      <c r="C23" s="514"/>
      <c r="D23" s="5"/>
      <c r="E23" s="5"/>
      <c r="F23" s="5"/>
      <c r="G23" s="5"/>
      <c r="H23" s="18"/>
      <c r="I23" s="18"/>
      <c r="J23" s="18"/>
      <c r="K23" s="18"/>
      <c r="L23" s="18"/>
      <c r="M23" s="18"/>
      <c r="N23" s="18"/>
      <c r="O23" s="18"/>
      <c r="P23" s="18"/>
      <c r="Q23" s="19"/>
    </row>
    <row r="24" spans="1:27" ht="23.25" customHeight="1" x14ac:dyDescent="0.2">
      <c r="B24" s="26" t="s">
        <v>12</v>
      </c>
      <c r="C24" s="22">
        <v>200</v>
      </c>
      <c r="D24" s="27" t="s">
        <v>13</v>
      </c>
      <c r="E24" s="6" t="s">
        <v>23</v>
      </c>
      <c r="F24" s="7"/>
      <c r="G24" s="7"/>
      <c r="H24" s="20"/>
      <c r="I24" s="20"/>
      <c r="J24" s="20"/>
      <c r="K24" s="20"/>
      <c r="L24" s="20"/>
      <c r="M24" s="20"/>
      <c r="N24" s="20"/>
      <c r="O24" s="20"/>
      <c r="P24" s="20"/>
      <c r="Q24" s="21"/>
    </row>
    <row r="25" spans="1:27" ht="23.25" customHeight="1" x14ac:dyDescent="0.2">
      <c r="B25" s="26" t="s">
        <v>14</v>
      </c>
      <c r="C25" s="22">
        <v>210</v>
      </c>
      <c r="D25" s="27" t="s">
        <v>15</v>
      </c>
      <c r="E25" s="6" t="s">
        <v>24</v>
      </c>
      <c r="F25" s="7"/>
      <c r="G25" s="7"/>
      <c r="H25" s="20"/>
      <c r="I25" s="20"/>
      <c r="J25" s="20"/>
      <c r="K25" s="20"/>
      <c r="L25" s="20"/>
      <c r="M25" s="20"/>
      <c r="N25" s="20"/>
      <c r="O25" s="20"/>
      <c r="P25" s="20"/>
      <c r="Q25" s="21"/>
    </row>
    <row r="26" spans="1:27" ht="14.25" customHeight="1" x14ac:dyDescent="0.2">
      <c r="B26" s="8"/>
      <c r="C26" s="9"/>
      <c r="D26" s="9"/>
      <c r="E26" s="9"/>
      <c r="F26" s="7"/>
      <c r="G26" s="7"/>
      <c r="H26" s="20"/>
      <c r="I26" s="20"/>
      <c r="J26" s="20"/>
      <c r="K26" s="20"/>
      <c r="L26" s="20"/>
      <c r="M26" s="20"/>
      <c r="N26" s="20"/>
      <c r="O26" s="20"/>
      <c r="P26" s="20"/>
      <c r="Q26" s="21"/>
    </row>
    <row r="27" spans="1:27" ht="24" customHeight="1" x14ac:dyDescent="0.2">
      <c r="B27" s="26" t="s">
        <v>25</v>
      </c>
      <c r="C27" s="639" t="e">
        <f ca="1">BicubicInterpolation(C4:J21,C24,C25)</f>
        <v>#NAME?</v>
      </c>
      <c r="D27" s="27" t="s">
        <v>22</v>
      </c>
      <c r="E27" s="7"/>
      <c r="F27" s="7"/>
      <c r="G27" s="7"/>
      <c r="H27" s="20"/>
      <c r="I27" s="20"/>
      <c r="J27" s="20"/>
      <c r="K27" s="20"/>
      <c r="L27" s="20"/>
      <c r="M27" s="20"/>
      <c r="N27" s="20"/>
      <c r="O27" s="20"/>
      <c r="P27" s="20"/>
      <c r="Q27" s="21"/>
    </row>
    <row r="28" spans="1:27" ht="17.5" customHeight="1" thickBot="1" x14ac:dyDescent="0.25">
      <c r="B28" s="26"/>
      <c r="C28" s="31"/>
      <c r="D28" s="27"/>
      <c r="E28" s="7"/>
      <c r="F28" s="7"/>
      <c r="G28" s="7"/>
      <c r="H28" s="20"/>
      <c r="I28" s="20"/>
      <c r="J28" s="20"/>
      <c r="K28" s="20"/>
      <c r="L28" s="20"/>
      <c r="M28" s="20"/>
      <c r="N28" s="20"/>
      <c r="O28" s="20"/>
      <c r="P28" s="20"/>
      <c r="Q28" s="21"/>
    </row>
    <row r="29" spans="1:27" ht="19" customHeight="1" x14ac:dyDescent="0.2">
      <c r="B29" s="23" t="s">
        <v>20</v>
      </c>
      <c r="C29" s="515" t="s">
        <v>358</v>
      </c>
      <c r="D29" s="515"/>
      <c r="E29" s="515"/>
      <c r="F29" s="515"/>
      <c r="G29" s="515"/>
      <c r="H29" s="515"/>
      <c r="I29" s="515"/>
      <c r="J29" s="515"/>
      <c r="K29" s="515"/>
      <c r="L29" s="515"/>
      <c r="M29" s="515"/>
      <c r="N29" s="515"/>
      <c r="O29" s="515"/>
      <c r="P29" s="515"/>
      <c r="Q29" s="516"/>
    </row>
    <row r="30" spans="1:27" ht="36" customHeight="1" thickBot="1" x14ac:dyDescent="0.25">
      <c r="B30" s="25"/>
      <c r="C30" s="517"/>
      <c r="D30" s="517"/>
      <c r="E30" s="517"/>
      <c r="F30" s="517"/>
      <c r="G30" s="517"/>
      <c r="H30" s="517"/>
      <c r="I30" s="517"/>
      <c r="J30" s="517"/>
      <c r="K30" s="517"/>
      <c r="L30" s="517"/>
      <c r="M30" s="517"/>
      <c r="N30" s="517"/>
      <c r="O30" s="517"/>
      <c r="P30" s="517"/>
      <c r="Q30" s="518"/>
    </row>
    <row r="31" spans="1:27" ht="14.25" customHeight="1" x14ac:dyDescent="0.2">
      <c r="A31"/>
      <c r="B31"/>
    </row>
    <row r="32" spans="1:27" ht="52.5" customHeight="1"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ht="22.5" customHeight="1" x14ac:dyDescent="0.2">
      <c r="A42"/>
      <c r="B42"/>
    </row>
    <row r="43" spans="1:2" ht="22.5" customHeight="1" x14ac:dyDescent="0.2">
      <c r="A43"/>
      <c r="B43"/>
    </row>
    <row r="44" spans="1:2" ht="22.5" customHeight="1" x14ac:dyDescent="0.2">
      <c r="A44"/>
      <c r="B44"/>
    </row>
    <row r="45" spans="1:2" ht="22.5" customHeight="1" x14ac:dyDescent="0.2">
      <c r="A45"/>
      <c r="B45"/>
    </row>
    <row r="46" spans="1:2" ht="22.5" customHeight="1" x14ac:dyDescent="0.2">
      <c r="A46"/>
      <c r="B46"/>
    </row>
    <row r="47" spans="1:2" x14ac:dyDescent="0.2">
      <c r="A47"/>
      <c r="B47"/>
    </row>
    <row r="48" spans="1:2" x14ac:dyDescent="0.2">
      <c r="A48"/>
      <c r="B48"/>
    </row>
    <row r="49" spans="1:2" ht="22.5" customHeight="1" x14ac:dyDescent="0.2">
      <c r="A49"/>
      <c r="B49"/>
    </row>
    <row r="50" spans="1:2" ht="22.5" customHeight="1" x14ac:dyDescent="0.2">
      <c r="A50"/>
      <c r="B50"/>
    </row>
    <row r="51" spans="1:2" ht="22.5" customHeight="1" x14ac:dyDescent="0.2">
      <c r="A51"/>
      <c r="B51"/>
    </row>
    <row r="52" spans="1:2" ht="22.5" customHeight="1"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ht="21.5" customHeight="1" x14ac:dyDescent="0.2">
      <c r="A60"/>
      <c r="B60"/>
    </row>
    <row r="61" spans="1:2" ht="21.5" customHeight="1" x14ac:dyDescent="0.2">
      <c r="A61"/>
      <c r="B61"/>
    </row>
    <row r="62" spans="1:2" x14ac:dyDescent="0.2">
      <c r="A62"/>
      <c r="B62"/>
    </row>
    <row r="63" spans="1:2" ht="21.5" customHeight="1"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sheetData>
  <mergeCells count="3">
    <mergeCell ref="B2:AA2"/>
    <mergeCell ref="D3:AA3"/>
    <mergeCell ref="B5:B21"/>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2"/>
  <dimension ref="B1:V454"/>
  <sheetViews>
    <sheetView zoomScale="80" zoomScaleNormal="80" workbookViewId="0">
      <selection activeCell="U8" sqref="U8"/>
    </sheetView>
  </sheetViews>
  <sheetFormatPr baseColWidth="10" defaultColWidth="9" defaultRowHeight="15" x14ac:dyDescent="0.2"/>
  <cols>
    <col min="1" max="1" width="5.5" customWidth="1"/>
    <col min="2" max="2" width="20.83203125" customWidth="1"/>
    <col min="4" max="12" width="9.5" style="3" customWidth="1"/>
    <col min="13" max="13" width="19.5" style="3" customWidth="1"/>
    <col min="14" max="14" width="9.33203125" customWidth="1"/>
    <col min="15" max="23" width="10" customWidth="1"/>
  </cols>
  <sheetData>
    <row r="1" spans="2:22" ht="16" thickBot="1" x14ac:dyDescent="0.25"/>
    <row r="2" spans="2:22" ht="91" customHeight="1" thickBot="1" x14ac:dyDescent="0.25">
      <c r="B2" s="921" t="s">
        <v>361</v>
      </c>
      <c r="C2" s="922"/>
      <c r="D2" s="922"/>
      <c r="E2" s="922"/>
      <c r="F2" s="922"/>
      <c r="G2" s="922"/>
      <c r="H2" s="922"/>
      <c r="I2" s="922"/>
      <c r="J2" s="923"/>
      <c r="K2"/>
      <c r="L2"/>
      <c r="M2" s="921" t="s">
        <v>360</v>
      </c>
      <c r="N2" s="922"/>
      <c r="O2" s="922"/>
      <c r="P2" s="922"/>
      <c r="Q2" s="922"/>
      <c r="R2" s="922"/>
      <c r="S2" s="922"/>
      <c r="T2" s="922"/>
      <c r="U2" s="923"/>
    </row>
    <row r="3" spans="2:22" ht="30" customHeight="1" thickBot="1" x14ac:dyDescent="0.25">
      <c r="B3" s="10"/>
      <c r="C3" s="11"/>
      <c r="D3" s="956" t="s">
        <v>10</v>
      </c>
      <c r="E3" s="957"/>
      <c r="F3" s="957"/>
      <c r="G3" s="957"/>
      <c r="H3" s="957"/>
      <c r="I3" s="957"/>
      <c r="J3" s="958"/>
      <c r="K3"/>
      <c r="L3"/>
      <c r="M3" s="10"/>
      <c r="N3" s="11"/>
      <c r="O3" s="956" t="s">
        <v>10</v>
      </c>
      <c r="P3" s="957"/>
      <c r="Q3" s="957"/>
      <c r="R3" s="957"/>
      <c r="S3" s="957"/>
      <c r="T3" s="957"/>
      <c r="U3" s="958"/>
    </row>
    <row r="4" spans="2:22" ht="27" customHeight="1" thickBot="1" x14ac:dyDescent="0.25">
      <c r="B4" s="4"/>
      <c r="C4" s="2"/>
      <c r="D4" s="12">
        <v>15</v>
      </c>
      <c r="E4" s="13">
        <v>50</v>
      </c>
      <c r="F4" s="13">
        <v>100</v>
      </c>
      <c r="G4" s="13">
        <v>150</v>
      </c>
      <c r="H4" s="13">
        <v>200</v>
      </c>
      <c r="I4" s="13">
        <v>250</v>
      </c>
      <c r="J4" s="14">
        <v>300</v>
      </c>
      <c r="K4"/>
      <c r="L4"/>
      <c r="M4" s="4"/>
      <c r="N4" s="2"/>
      <c r="O4" s="135">
        <v>15</v>
      </c>
      <c r="P4" s="136">
        <v>50</v>
      </c>
      <c r="Q4" s="136">
        <v>100</v>
      </c>
      <c r="R4" s="136">
        <v>150</v>
      </c>
      <c r="S4" s="136">
        <v>200</v>
      </c>
      <c r="T4" s="136">
        <v>250</v>
      </c>
      <c r="U4" s="138">
        <v>300</v>
      </c>
    </row>
    <row r="5" spans="2:22" ht="27" customHeight="1" x14ac:dyDescent="0.2">
      <c r="B5" s="916" t="s">
        <v>28</v>
      </c>
      <c r="C5" s="15">
        <v>140</v>
      </c>
      <c r="D5" s="288">
        <v>203</v>
      </c>
      <c r="E5" s="289">
        <v>203</v>
      </c>
      <c r="F5" s="289">
        <v>203</v>
      </c>
      <c r="G5" s="289">
        <v>203</v>
      </c>
      <c r="H5" s="289">
        <v>203</v>
      </c>
      <c r="I5" s="289">
        <v>203</v>
      </c>
      <c r="J5" s="290">
        <v>203</v>
      </c>
      <c r="K5"/>
      <c r="L5"/>
      <c r="M5" s="916" t="s">
        <v>28</v>
      </c>
      <c r="N5" s="131">
        <v>140</v>
      </c>
      <c r="O5" s="622">
        <f xml:space="preserve"> ( (5*( (   (((1+0.2*(D5/661.4786)^2)^3.5 -1)  )/( (1-6.8755856*10^-6 *100*D$4)^5.2558797) +1)^(2/7) -1) )^0.5)</f>
        <v>0.31516209397646061</v>
      </c>
      <c r="P5" s="629">
        <f t="shared" ref="P5:U13" si="0" xml:space="preserve"> ( (5*( (   (((1+0.2*(E5/661.4786)^2)^3.5 -1)  )/( (1-6.8755856*10^-6 *100*E$4)^5.2558797) +1)^(2/7) -1) )^0.5)</f>
        <v>0.33566607734243797</v>
      </c>
      <c r="Q5" s="629">
        <f t="shared" si="0"/>
        <v>0.36816854266488797</v>
      </c>
      <c r="R5" s="629">
        <f t="shared" si="0"/>
        <v>0.40498854165922332</v>
      </c>
      <c r="S5" s="629">
        <f t="shared" si="0"/>
        <v>0.44682147734417288</v>
      </c>
      <c r="T5" s="629">
        <f t="shared" si="0"/>
        <v>0.49448008080135747</v>
      </c>
      <c r="U5" s="630">
        <f t="shared" si="0"/>
        <v>0.54890866682576323</v>
      </c>
    </row>
    <row r="6" spans="2:22" ht="27" customHeight="1" x14ac:dyDescent="0.2">
      <c r="B6" s="917"/>
      <c r="C6" s="16">
        <v>160</v>
      </c>
      <c r="D6" s="291">
        <v>203</v>
      </c>
      <c r="E6" s="292">
        <v>203</v>
      </c>
      <c r="F6" s="292">
        <v>203</v>
      </c>
      <c r="G6" s="292">
        <v>203</v>
      </c>
      <c r="H6" s="292">
        <v>203</v>
      </c>
      <c r="I6" s="292">
        <v>203</v>
      </c>
      <c r="J6" s="293">
        <v>206</v>
      </c>
      <c r="K6"/>
      <c r="L6"/>
      <c r="M6" s="917"/>
      <c r="N6" s="130">
        <v>160</v>
      </c>
      <c r="O6" s="631">
        <f t="shared" ref="O6:O13" si="1" xml:space="preserve"> ( (5*( (   (((1+0.2*(D6/661.4786)^2)^3.5 -1)  )/( (1-6.8755856*10^-6 *100*D$4)^5.2558797) +1)^(2/7) -1) )^0.5)</f>
        <v>0.31516209397646061</v>
      </c>
      <c r="P6" s="623">
        <f t="shared" si="0"/>
        <v>0.33566607734243797</v>
      </c>
      <c r="Q6" s="623">
        <f t="shared" si="0"/>
        <v>0.36816854266488797</v>
      </c>
      <c r="R6" s="623">
        <f t="shared" si="0"/>
        <v>0.40498854165922332</v>
      </c>
      <c r="S6" s="623">
        <f t="shared" si="0"/>
        <v>0.44682147734417288</v>
      </c>
      <c r="T6" s="623">
        <f t="shared" si="0"/>
        <v>0.49448008080135747</v>
      </c>
      <c r="U6" s="632">
        <f t="shared" si="0"/>
        <v>0.55663003549852719</v>
      </c>
    </row>
    <row r="7" spans="2:22" ht="27" customHeight="1" x14ac:dyDescent="0.2">
      <c r="B7" s="917"/>
      <c r="C7" s="16">
        <v>180</v>
      </c>
      <c r="D7" s="291">
        <v>208</v>
      </c>
      <c r="E7" s="292">
        <v>208</v>
      </c>
      <c r="F7" s="292">
        <v>208</v>
      </c>
      <c r="G7" s="292">
        <v>208</v>
      </c>
      <c r="H7" s="292">
        <v>208</v>
      </c>
      <c r="I7" s="292">
        <v>209</v>
      </c>
      <c r="J7" s="293">
        <v>230</v>
      </c>
      <c r="K7"/>
      <c r="L7"/>
      <c r="M7" s="917"/>
      <c r="N7" s="130">
        <v>180</v>
      </c>
      <c r="O7" s="631">
        <f t="shared" si="1"/>
        <v>0.3229147105994426</v>
      </c>
      <c r="P7" s="623">
        <f t="shared" si="0"/>
        <v>0.34389561966940685</v>
      </c>
      <c r="Q7" s="623">
        <f t="shared" si="0"/>
        <v>0.3771439116326365</v>
      </c>
      <c r="R7" s="623">
        <f t="shared" si="0"/>
        <v>0.41479274977878877</v>
      </c>
      <c r="S7" s="623">
        <f t="shared" si="0"/>
        <v>0.45754525599283175</v>
      </c>
      <c r="T7" s="623">
        <f t="shared" si="0"/>
        <v>0.50856576478803417</v>
      </c>
      <c r="U7" s="632">
        <f t="shared" si="0"/>
        <v>0.6178520418495399</v>
      </c>
    </row>
    <row r="8" spans="2:22" ht="27" customHeight="1" x14ac:dyDescent="0.2">
      <c r="B8" s="917"/>
      <c r="C8" s="16">
        <v>200</v>
      </c>
      <c r="D8" s="291">
        <v>215</v>
      </c>
      <c r="E8" s="292">
        <v>215</v>
      </c>
      <c r="F8" s="292">
        <v>215</v>
      </c>
      <c r="G8" s="292">
        <v>215</v>
      </c>
      <c r="H8" s="292">
        <v>215</v>
      </c>
      <c r="I8" s="292">
        <v>229</v>
      </c>
      <c r="J8" s="620">
        <v>229</v>
      </c>
      <c r="K8"/>
      <c r="L8"/>
      <c r="M8" s="917"/>
      <c r="N8" s="130">
        <v>200</v>
      </c>
      <c r="O8" s="631">
        <f t="shared" si="1"/>
        <v>0.33376719702192137</v>
      </c>
      <c r="P8" s="623">
        <f t="shared" si="0"/>
        <v>0.35541252298148485</v>
      </c>
      <c r="Q8" s="623">
        <f t="shared" si="0"/>
        <v>0.38969868943763813</v>
      </c>
      <c r="R8" s="623">
        <f t="shared" si="0"/>
        <v>0.42849913738525064</v>
      </c>
      <c r="S8" s="623">
        <f t="shared" si="0"/>
        <v>0.47252692948609265</v>
      </c>
      <c r="T8" s="623">
        <f t="shared" si="0"/>
        <v>0.55521635991544815</v>
      </c>
      <c r="U8" s="624">
        <f t="shared" si="0"/>
        <v>0.61532087892888365</v>
      </c>
    </row>
    <row r="9" spans="2:22" ht="27" customHeight="1" x14ac:dyDescent="0.2">
      <c r="B9" s="917"/>
      <c r="C9" s="16">
        <v>220</v>
      </c>
      <c r="D9" s="291">
        <v>222</v>
      </c>
      <c r="E9" s="292">
        <v>223</v>
      </c>
      <c r="F9" s="292">
        <v>224</v>
      </c>
      <c r="G9" s="292">
        <v>224</v>
      </c>
      <c r="H9" s="292">
        <v>230</v>
      </c>
      <c r="I9" s="292">
        <v>251</v>
      </c>
      <c r="J9" s="620">
        <v>251</v>
      </c>
      <c r="K9"/>
      <c r="L9"/>
      <c r="M9" s="917"/>
      <c r="N9" s="130">
        <v>220</v>
      </c>
      <c r="O9" s="631">
        <f t="shared" si="1"/>
        <v>0.344618277809074</v>
      </c>
      <c r="P9" s="623">
        <f t="shared" si="0"/>
        <v>0.3685681796036358</v>
      </c>
      <c r="Q9" s="623">
        <f t="shared" si="0"/>
        <v>0.40582170515552762</v>
      </c>
      <c r="R9" s="623">
        <f t="shared" si="0"/>
        <v>0.44608748566788681</v>
      </c>
      <c r="S9" s="623">
        <f t="shared" si="0"/>
        <v>0.50450333400607072</v>
      </c>
      <c r="T9" s="623">
        <f t="shared" si="0"/>
        <v>0.60597906342763519</v>
      </c>
      <c r="U9" s="624">
        <f t="shared" si="0"/>
        <v>0.67060222075898235</v>
      </c>
    </row>
    <row r="10" spans="2:22" ht="27" customHeight="1" x14ac:dyDescent="0.2">
      <c r="B10" s="917"/>
      <c r="C10" s="16">
        <v>240</v>
      </c>
      <c r="D10" s="291">
        <v>232</v>
      </c>
      <c r="E10" s="292">
        <v>233</v>
      </c>
      <c r="F10" s="292">
        <v>234</v>
      </c>
      <c r="G10" s="292">
        <v>235</v>
      </c>
      <c r="H10" s="292">
        <v>247</v>
      </c>
      <c r="I10" s="618">
        <v>247</v>
      </c>
      <c r="J10" s="616">
        <v>247</v>
      </c>
      <c r="K10"/>
      <c r="L10"/>
      <c r="M10" s="917"/>
      <c r="N10" s="130">
        <v>240</v>
      </c>
      <c r="O10" s="631">
        <f t="shared" si="1"/>
        <v>0.36011731376287487</v>
      </c>
      <c r="P10" s="623">
        <f t="shared" si="0"/>
        <v>0.38500269463308157</v>
      </c>
      <c r="Q10" s="623">
        <f t="shared" si="0"/>
        <v>0.42371062926329073</v>
      </c>
      <c r="R10" s="623">
        <f t="shared" si="0"/>
        <v>0.4675308516265661</v>
      </c>
      <c r="S10" s="623">
        <f t="shared" si="0"/>
        <v>0.54052719408668681</v>
      </c>
      <c r="T10" s="625">
        <f t="shared" si="0"/>
        <v>0.59679346404131339</v>
      </c>
      <c r="U10" s="626">
        <f t="shared" si="0"/>
        <v>0.66061441078043026</v>
      </c>
    </row>
    <row r="11" spans="2:22" ht="27" customHeight="1" x14ac:dyDescent="0.2">
      <c r="B11" s="917"/>
      <c r="C11" s="16">
        <v>260</v>
      </c>
      <c r="D11" s="291">
        <v>242</v>
      </c>
      <c r="E11" s="292">
        <v>242</v>
      </c>
      <c r="F11" s="292">
        <v>243</v>
      </c>
      <c r="G11" s="292">
        <v>246</v>
      </c>
      <c r="H11" s="292">
        <v>266</v>
      </c>
      <c r="I11" s="618">
        <v>266</v>
      </c>
      <c r="J11" s="616">
        <v>266</v>
      </c>
      <c r="K11"/>
      <c r="L11"/>
      <c r="M11" s="917"/>
      <c r="N11" s="130">
        <v>260</v>
      </c>
      <c r="O11" s="631">
        <f t="shared" si="1"/>
        <v>0.37561330979393259</v>
      </c>
      <c r="P11" s="623">
        <f t="shared" si="0"/>
        <v>0.39978393065798057</v>
      </c>
      <c r="Q11" s="623">
        <f t="shared" si="0"/>
        <v>0.43978705169214827</v>
      </c>
      <c r="R11" s="623">
        <f t="shared" si="0"/>
        <v>0.48891379413640612</v>
      </c>
      <c r="S11" s="623">
        <f t="shared" si="0"/>
        <v>0.5805083858629817</v>
      </c>
      <c r="T11" s="625">
        <f t="shared" si="0"/>
        <v>0.64024820964944207</v>
      </c>
      <c r="U11" s="626">
        <f t="shared" si="0"/>
        <v>0.70780348160392648</v>
      </c>
    </row>
    <row r="12" spans="2:22" ht="27" customHeight="1" x14ac:dyDescent="0.2">
      <c r="B12" s="917"/>
      <c r="C12" s="16">
        <v>280</v>
      </c>
      <c r="D12" s="291">
        <v>251</v>
      </c>
      <c r="E12" s="292">
        <v>251</v>
      </c>
      <c r="F12" s="292">
        <v>253</v>
      </c>
      <c r="G12" s="292">
        <v>261</v>
      </c>
      <c r="H12" s="292">
        <v>286</v>
      </c>
      <c r="I12" s="618">
        <v>286</v>
      </c>
      <c r="J12" s="616">
        <v>286</v>
      </c>
      <c r="K12"/>
      <c r="L12"/>
      <c r="M12" s="917"/>
      <c r="N12" s="130">
        <v>280</v>
      </c>
      <c r="O12" s="631">
        <f t="shared" si="1"/>
        <v>0.38955702797504194</v>
      </c>
      <c r="P12" s="623">
        <f t="shared" si="0"/>
        <v>0.41455559782612295</v>
      </c>
      <c r="Q12" s="623">
        <f t="shared" si="0"/>
        <v>0.45762283085232425</v>
      </c>
      <c r="R12" s="623">
        <f t="shared" si="0"/>
        <v>0.51797221710318742</v>
      </c>
      <c r="S12" s="623">
        <f t="shared" si="0"/>
        <v>0.62226443013612798</v>
      </c>
      <c r="T12" s="625">
        <f t="shared" si="0"/>
        <v>0.68550063430115304</v>
      </c>
      <c r="U12" s="626">
        <f t="shared" si="0"/>
        <v>0.75678035376801589</v>
      </c>
    </row>
    <row r="13" spans="2:22" ht="27" customHeight="1" thickBot="1" x14ac:dyDescent="0.25">
      <c r="B13" s="918"/>
      <c r="C13" s="17">
        <v>300</v>
      </c>
      <c r="D13" s="294">
        <v>260</v>
      </c>
      <c r="E13" s="295">
        <v>260</v>
      </c>
      <c r="F13" s="295">
        <v>262</v>
      </c>
      <c r="G13" s="295">
        <v>277</v>
      </c>
      <c r="H13" s="621">
        <v>277</v>
      </c>
      <c r="I13" s="619">
        <v>277</v>
      </c>
      <c r="J13" s="617">
        <v>277</v>
      </c>
      <c r="K13"/>
      <c r="L13"/>
      <c r="M13" s="918"/>
      <c r="N13" s="134">
        <v>300</v>
      </c>
      <c r="O13" s="633">
        <f t="shared" si="1"/>
        <v>0.40349813935019463</v>
      </c>
      <c r="P13" s="634">
        <f t="shared" si="0"/>
        <v>0.4293174579596557</v>
      </c>
      <c r="Q13" s="634">
        <f t="shared" si="0"/>
        <v>0.47365025473668038</v>
      </c>
      <c r="R13" s="634">
        <f t="shared" si="0"/>
        <v>0.54883696386486891</v>
      </c>
      <c r="S13" s="627">
        <f t="shared" si="0"/>
        <v>0.60351655559580131</v>
      </c>
      <c r="T13" s="627">
        <f t="shared" si="0"/>
        <v>0.66519966567953093</v>
      </c>
      <c r="U13" s="628">
        <f t="shared" si="0"/>
        <v>0.73482932006323654</v>
      </c>
    </row>
    <row r="14" spans="2:22" ht="16" thickBot="1" x14ac:dyDescent="0.25"/>
    <row r="15" spans="2:22" ht="22.5" customHeight="1" x14ac:dyDescent="0.2">
      <c r="B15" s="919" t="s">
        <v>11</v>
      </c>
      <c r="C15" s="920"/>
      <c r="D15" s="5"/>
      <c r="E15" s="5"/>
      <c r="F15" s="5"/>
      <c r="G15" s="5"/>
      <c r="H15" s="18"/>
      <c r="I15" s="18"/>
      <c r="J15" s="18"/>
      <c r="K15" s="19"/>
      <c r="M15" s="919" t="s">
        <v>11</v>
      </c>
      <c r="N15" s="920"/>
      <c r="O15" s="5"/>
      <c r="P15" s="5"/>
      <c r="Q15" s="5"/>
      <c r="R15" s="5"/>
      <c r="S15" s="18"/>
      <c r="T15" s="18"/>
      <c r="U15" s="18"/>
      <c r="V15" s="19"/>
    </row>
    <row r="16" spans="2:22" ht="23.25" customHeight="1" x14ac:dyDescent="0.2">
      <c r="B16" s="26" t="s">
        <v>12</v>
      </c>
      <c r="C16" s="22">
        <v>200</v>
      </c>
      <c r="D16" s="27" t="s">
        <v>13</v>
      </c>
      <c r="E16" s="6" t="s">
        <v>23</v>
      </c>
      <c r="F16" s="7"/>
      <c r="G16" s="7"/>
      <c r="H16" s="20"/>
      <c r="I16" s="20"/>
      <c r="J16" s="20"/>
      <c r="K16" s="21"/>
      <c r="M16" s="26" t="s">
        <v>12</v>
      </c>
      <c r="N16" s="22">
        <v>200</v>
      </c>
      <c r="O16" s="27" t="s">
        <v>13</v>
      </c>
      <c r="P16" s="6" t="s">
        <v>23</v>
      </c>
      <c r="Q16" s="7"/>
      <c r="R16" s="7"/>
      <c r="S16" s="20"/>
      <c r="T16" s="20"/>
      <c r="U16" s="20"/>
      <c r="V16" s="21"/>
    </row>
    <row r="17" spans="2:22" ht="23.25" customHeight="1" x14ac:dyDescent="0.2">
      <c r="B17" s="26" t="s">
        <v>14</v>
      </c>
      <c r="C17" s="22">
        <v>210</v>
      </c>
      <c r="D17" s="27" t="s">
        <v>15</v>
      </c>
      <c r="E17" s="6" t="s">
        <v>24</v>
      </c>
      <c r="F17" s="7"/>
      <c r="G17" s="7"/>
      <c r="H17" s="20"/>
      <c r="I17" s="20"/>
      <c r="J17" s="20"/>
      <c r="K17" s="21"/>
      <c r="M17" s="26" t="s">
        <v>14</v>
      </c>
      <c r="N17" s="22">
        <v>210</v>
      </c>
      <c r="O17" s="27" t="s">
        <v>15</v>
      </c>
      <c r="P17" s="6" t="s">
        <v>24</v>
      </c>
      <c r="Q17" s="7"/>
      <c r="R17" s="7"/>
      <c r="S17" s="20"/>
      <c r="T17" s="20"/>
      <c r="U17" s="20"/>
      <c r="V17" s="21"/>
    </row>
    <row r="18" spans="2:22" ht="14.25" customHeight="1" x14ac:dyDescent="0.2">
      <c r="B18" s="8"/>
      <c r="C18" s="9"/>
      <c r="D18" s="9"/>
      <c r="E18" s="9"/>
      <c r="F18" s="7"/>
      <c r="G18" s="7"/>
      <c r="H18" s="20"/>
      <c r="I18" s="20"/>
      <c r="J18" s="20"/>
      <c r="K18" s="21"/>
      <c r="M18" s="8"/>
      <c r="N18" s="9"/>
      <c r="O18" s="9"/>
      <c r="P18" s="9"/>
      <c r="Q18" s="7"/>
      <c r="R18" s="7"/>
      <c r="S18" s="20"/>
      <c r="T18" s="20"/>
      <c r="U18" s="20"/>
      <c r="V18" s="21"/>
    </row>
    <row r="19" spans="2:22" ht="24" customHeight="1" x14ac:dyDescent="0.2">
      <c r="B19" s="26" t="s">
        <v>16</v>
      </c>
      <c r="C19" s="32" t="e">
        <f ca="1">BicubicInterpolation(C4:J13,C16,C17)</f>
        <v>#NAME?</v>
      </c>
      <c r="D19" s="27" t="s">
        <v>22</v>
      </c>
      <c r="E19" s="7"/>
      <c r="F19" s="7"/>
      <c r="G19" s="7"/>
      <c r="H19" s="20"/>
      <c r="I19" s="20"/>
      <c r="J19" s="20"/>
      <c r="K19" s="21"/>
      <c r="M19" s="26" t="s">
        <v>27</v>
      </c>
      <c r="N19" s="43" t="e">
        <f ca="1">BicubicInterpolation(N4:U13,N16,N17)</f>
        <v>#NAME?</v>
      </c>
      <c r="O19" s="27" t="s">
        <v>22</v>
      </c>
      <c r="P19" s="7"/>
      <c r="Q19" s="7"/>
      <c r="R19" s="7"/>
      <c r="S19" s="20"/>
      <c r="T19" s="20"/>
      <c r="U19" s="20"/>
      <c r="V19" s="21"/>
    </row>
    <row r="20" spans="2:22" ht="17.5" customHeight="1" thickBot="1" x14ac:dyDescent="0.25">
      <c r="B20" s="26"/>
      <c r="C20" s="31"/>
      <c r="D20" s="27"/>
      <c r="E20" s="7"/>
      <c r="F20" s="7"/>
      <c r="G20" s="7"/>
      <c r="H20" s="20"/>
      <c r="I20" s="20"/>
      <c r="J20" s="20"/>
      <c r="K20" s="21"/>
      <c r="M20" s="26"/>
      <c r="N20" s="31"/>
      <c r="O20" s="27"/>
      <c r="P20" s="7"/>
      <c r="Q20" s="7"/>
      <c r="R20" s="7"/>
      <c r="S20" s="20"/>
      <c r="T20" s="20"/>
      <c r="U20" s="20"/>
      <c r="V20" s="21"/>
    </row>
    <row r="21" spans="2:22" ht="19" customHeight="1" x14ac:dyDescent="0.2">
      <c r="B21" s="23" t="s">
        <v>20</v>
      </c>
      <c r="C21" s="934" t="s">
        <v>358</v>
      </c>
      <c r="D21" s="934"/>
      <c r="E21" s="934"/>
      <c r="F21" s="934"/>
      <c r="G21" s="934"/>
      <c r="H21" s="934"/>
      <c r="I21" s="934"/>
      <c r="J21" s="934"/>
      <c r="K21" s="935"/>
      <c r="M21" s="23" t="s">
        <v>20</v>
      </c>
      <c r="N21" s="934" t="s">
        <v>358</v>
      </c>
      <c r="O21" s="934"/>
      <c r="P21" s="934"/>
      <c r="Q21" s="934"/>
      <c r="R21" s="934"/>
      <c r="S21" s="934"/>
      <c r="T21" s="934"/>
      <c r="U21" s="934"/>
      <c r="V21" s="935"/>
    </row>
    <row r="22" spans="2:22" ht="36" customHeight="1" thickBot="1" x14ac:dyDescent="0.25">
      <c r="B22" s="25"/>
      <c r="C22" s="960"/>
      <c r="D22" s="960"/>
      <c r="E22" s="960"/>
      <c r="F22" s="960"/>
      <c r="G22" s="960"/>
      <c r="H22" s="960"/>
      <c r="I22" s="960"/>
      <c r="J22" s="960"/>
      <c r="K22" s="961"/>
      <c r="M22" s="25"/>
      <c r="N22" s="960"/>
      <c r="O22" s="960"/>
      <c r="P22" s="960"/>
      <c r="Q22" s="960"/>
      <c r="R22" s="960"/>
      <c r="S22" s="960"/>
      <c r="T22" s="960"/>
      <c r="U22" s="960"/>
      <c r="V22" s="961"/>
    </row>
    <row r="23" spans="2:22" ht="14.25" customHeight="1" x14ac:dyDescent="0.2">
      <c r="D23"/>
      <c r="E23"/>
      <c r="F23"/>
      <c r="G23"/>
      <c r="H23"/>
      <c r="I23"/>
      <c r="J23"/>
      <c r="K23"/>
      <c r="L23"/>
      <c r="M23"/>
    </row>
    <row r="24" spans="2:22" ht="52.5" customHeight="1" x14ac:dyDescent="0.2">
      <c r="D24"/>
      <c r="E24"/>
      <c r="F24"/>
      <c r="G24"/>
      <c r="H24"/>
      <c r="I24"/>
      <c r="J24"/>
      <c r="K24"/>
      <c r="L24"/>
      <c r="M24"/>
    </row>
    <row r="25" spans="2:22" x14ac:dyDescent="0.2">
      <c r="D25"/>
      <c r="E25"/>
      <c r="F25"/>
      <c r="G25"/>
      <c r="H25"/>
      <c r="I25"/>
      <c r="J25"/>
      <c r="K25"/>
      <c r="L25"/>
      <c r="M25"/>
    </row>
    <row r="26" spans="2:22" x14ac:dyDescent="0.2">
      <c r="D26"/>
      <c r="E26"/>
      <c r="F26"/>
      <c r="G26"/>
      <c r="H26"/>
      <c r="I26"/>
      <c r="J26"/>
      <c r="K26"/>
      <c r="L26"/>
      <c r="M26"/>
    </row>
    <row r="27" spans="2:22" x14ac:dyDescent="0.2">
      <c r="D27"/>
      <c r="E27"/>
      <c r="F27"/>
      <c r="G27"/>
      <c r="H27"/>
      <c r="I27"/>
      <c r="J27"/>
      <c r="K27"/>
      <c r="L27"/>
      <c r="M27"/>
    </row>
    <row r="28" spans="2:22" x14ac:dyDescent="0.2">
      <c r="D28"/>
      <c r="E28"/>
      <c r="F28"/>
      <c r="G28"/>
      <c r="H28"/>
      <c r="I28"/>
      <c r="J28"/>
      <c r="K28"/>
      <c r="L28"/>
      <c r="M28"/>
    </row>
    <row r="29" spans="2:22" x14ac:dyDescent="0.2">
      <c r="D29"/>
      <c r="E29"/>
      <c r="F29"/>
      <c r="G29"/>
      <c r="H29"/>
      <c r="I29"/>
      <c r="J29"/>
      <c r="K29"/>
      <c r="L29"/>
      <c r="M29"/>
    </row>
    <row r="30" spans="2:22" x14ac:dyDescent="0.2">
      <c r="D30"/>
      <c r="E30"/>
      <c r="F30"/>
      <c r="G30"/>
      <c r="H30"/>
      <c r="I30"/>
      <c r="J30"/>
      <c r="K30"/>
      <c r="L30"/>
      <c r="M30"/>
    </row>
    <row r="31" spans="2:22" x14ac:dyDescent="0.2">
      <c r="D31"/>
      <c r="E31"/>
      <c r="F31"/>
      <c r="G31"/>
      <c r="H31"/>
      <c r="I31"/>
      <c r="J31"/>
      <c r="K31"/>
      <c r="L31"/>
      <c r="M31"/>
    </row>
    <row r="32" spans="2:22" x14ac:dyDescent="0.2">
      <c r="D32"/>
      <c r="E32"/>
      <c r="F32"/>
      <c r="G32"/>
      <c r="H32"/>
      <c r="I32"/>
      <c r="J32"/>
      <c r="K32"/>
      <c r="L32"/>
      <c r="M32"/>
    </row>
    <row r="33" customFormat="1" x14ac:dyDescent="0.2"/>
    <row r="34" customFormat="1" ht="22.5" customHeight="1" x14ac:dyDescent="0.2"/>
    <row r="35" customFormat="1" ht="22.5" customHeight="1" x14ac:dyDescent="0.2"/>
    <row r="36" customFormat="1" ht="22.5" customHeight="1" x14ac:dyDescent="0.2"/>
    <row r="37" customFormat="1" ht="22.5" customHeight="1" x14ac:dyDescent="0.2"/>
    <row r="38" customFormat="1" ht="22.5" customHeight="1" x14ac:dyDescent="0.2"/>
    <row r="39" customFormat="1" x14ac:dyDescent="0.2"/>
    <row r="40" customFormat="1" x14ac:dyDescent="0.2"/>
    <row r="41" customFormat="1" ht="22.5" customHeight="1" x14ac:dyDescent="0.2"/>
    <row r="42" customFormat="1" ht="22.5" customHeight="1" x14ac:dyDescent="0.2"/>
    <row r="43" customFormat="1" ht="22.5" customHeight="1" x14ac:dyDescent="0.2"/>
    <row r="44" customFormat="1" ht="22.5" customHeigh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ht="21.5" customHeight="1" x14ac:dyDescent="0.2"/>
    <row r="53" customFormat="1" ht="21.5" customHeight="1" x14ac:dyDescent="0.2"/>
    <row r="54" customFormat="1" x14ac:dyDescent="0.2"/>
    <row r="55" customFormat="1" ht="21.5" customHeigh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sheetData>
  <mergeCells count="12">
    <mergeCell ref="N22:V22"/>
    <mergeCell ref="B2:J2"/>
    <mergeCell ref="D3:J3"/>
    <mergeCell ref="B5:B13"/>
    <mergeCell ref="B15:C15"/>
    <mergeCell ref="C21:K21"/>
    <mergeCell ref="C22:K22"/>
    <mergeCell ref="M2:U2"/>
    <mergeCell ref="O3:U3"/>
    <mergeCell ref="M5:M13"/>
    <mergeCell ref="M15:N15"/>
    <mergeCell ref="N21:V21"/>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8"/>
  <dimension ref="B1:M454"/>
  <sheetViews>
    <sheetView zoomScale="80" zoomScaleNormal="80" workbookViewId="0">
      <selection activeCell="F24" sqref="F24"/>
    </sheetView>
  </sheetViews>
  <sheetFormatPr baseColWidth="10" defaultColWidth="9" defaultRowHeight="15" x14ac:dyDescent="0.2"/>
  <cols>
    <col min="1" max="1" width="5.5" customWidth="1"/>
    <col min="2" max="2" width="20.83203125" customWidth="1"/>
    <col min="4" max="13" width="9.5" style="3" customWidth="1"/>
    <col min="14" max="14" width="9.33203125" customWidth="1"/>
    <col min="16" max="16" width="15.1640625" customWidth="1"/>
    <col min="19" max="19" width="14.6640625" customWidth="1"/>
    <col min="20" max="20" width="11.1640625" customWidth="1"/>
    <col min="21" max="21" width="11.5" customWidth="1"/>
  </cols>
  <sheetData>
    <row r="1" spans="2:13" ht="16" thickBot="1" x14ac:dyDescent="0.25"/>
    <row r="2" spans="2:13" ht="91" customHeight="1" thickBot="1" x14ac:dyDescent="0.25">
      <c r="B2" s="921" t="s">
        <v>357</v>
      </c>
      <c r="C2" s="922"/>
      <c r="D2" s="922"/>
      <c r="E2" s="922"/>
      <c r="F2" s="922"/>
      <c r="G2" s="922"/>
      <c r="H2" s="922"/>
      <c r="I2" s="922"/>
      <c r="J2" s="923"/>
      <c r="K2"/>
      <c r="L2"/>
      <c r="M2"/>
    </row>
    <row r="3" spans="2:13" ht="30" customHeight="1" thickBot="1" x14ac:dyDescent="0.25">
      <c r="B3" s="10"/>
      <c r="C3" s="11"/>
      <c r="D3" s="956" t="s">
        <v>10</v>
      </c>
      <c r="E3" s="957"/>
      <c r="F3" s="957"/>
      <c r="G3" s="957"/>
      <c r="H3" s="957"/>
      <c r="I3" s="957"/>
      <c r="J3" s="958"/>
      <c r="K3"/>
      <c r="L3"/>
      <c r="M3"/>
    </row>
    <row r="4" spans="2:13" ht="27" customHeight="1" thickBot="1" x14ac:dyDescent="0.25">
      <c r="B4" s="4"/>
      <c r="C4" s="2"/>
      <c r="D4" s="12">
        <v>15</v>
      </c>
      <c r="E4" s="13">
        <v>50</v>
      </c>
      <c r="F4" s="13">
        <v>100</v>
      </c>
      <c r="G4" s="13">
        <v>150</v>
      </c>
      <c r="H4" s="13">
        <v>200</v>
      </c>
      <c r="I4" s="13">
        <v>250</v>
      </c>
      <c r="J4" s="14">
        <v>300</v>
      </c>
      <c r="K4"/>
      <c r="L4"/>
      <c r="M4"/>
    </row>
    <row r="5" spans="2:13" ht="27" customHeight="1" x14ac:dyDescent="0.2">
      <c r="B5" s="916" t="s">
        <v>28</v>
      </c>
      <c r="C5" s="15">
        <v>140</v>
      </c>
      <c r="D5" s="641">
        <v>3960</v>
      </c>
      <c r="E5" s="642">
        <v>3910</v>
      </c>
      <c r="F5" s="642">
        <v>3760</v>
      </c>
      <c r="G5" s="642">
        <v>3740</v>
      </c>
      <c r="H5" s="642">
        <v>3780</v>
      </c>
      <c r="I5" s="642">
        <v>3750</v>
      </c>
      <c r="J5" s="720">
        <v>3790</v>
      </c>
      <c r="K5"/>
      <c r="L5"/>
      <c r="M5"/>
    </row>
    <row r="6" spans="2:13" ht="27" customHeight="1" x14ac:dyDescent="0.2">
      <c r="B6" s="917"/>
      <c r="C6" s="16">
        <v>160</v>
      </c>
      <c r="D6" s="645">
        <v>4360</v>
      </c>
      <c r="E6" s="646">
        <v>4310</v>
      </c>
      <c r="F6" s="646">
        <v>4160</v>
      </c>
      <c r="G6" s="646">
        <v>4160</v>
      </c>
      <c r="H6" s="646">
        <v>4160</v>
      </c>
      <c r="I6" s="646">
        <v>4180</v>
      </c>
      <c r="J6" s="721">
        <v>4300</v>
      </c>
      <c r="K6"/>
      <c r="L6"/>
      <c r="M6"/>
    </row>
    <row r="7" spans="2:13" ht="27" customHeight="1" x14ac:dyDescent="0.2">
      <c r="B7" s="917"/>
      <c r="C7" s="16">
        <v>180</v>
      </c>
      <c r="D7" s="645">
        <v>4840</v>
      </c>
      <c r="E7" s="646">
        <v>4680</v>
      </c>
      <c r="F7" s="646">
        <v>4650</v>
      </c>
      <c r="G7" s="646">
        <v>4650</v>
      </c>
      <c r="H7" s="646">
        <v>4670</v>
      </c>
      <c r="I7" s="646">
        <v>4750</v>
      </c>
      <c r="J7" s="721">
        <v>5260</v>
      </c>
      <c r="K7"/>
      <c r="L7"/>
      <c r="M7"/>
    </row>
    <row r="8" spans="2:13" ht="27" customHeight="1" x14ac:dyDescent="0.2">
      <c r="B8" s="917"/>
      <c r="C8" s="16">
        <v>200</v>
      </c>
      <c r="D8" s="645">
        <v>5230</v>
      </c>
      <c r="E8" s="646">
        <v>5190</v>
      </c>
      <c r="F8" s="646">
        <v>5190</v>
      </c>
      <c r="G8" s="646">
        <v>5180</v>
      </c>
      <c r="H8" s="646">
        <v>5230</v>
      </c>
      <c r="I8" s="646">
        <v>5480</v>
      </c>
      <c r="J8" s="722">
        <f>I8</f>
        <v>5480</v>
      </c>
      <c r="K8"/>
      <c r="L8"/>
      <c r="M8"/>
    </row>
    <row r="9" spans="2:13" ht="27" customHeight="1" x14ac:dyDescent="0.2">
      <c r="B9" s="917"/>
      <c r="C9" s="16">
        <v>220</v>
      </c>
      <c r="D9" s="645">
        <v>5750</v>
      </c>
      <c r="E9" s="646">
        <v>5740</v>
      </c>
      <c r="F9" s="646">
        <v>5740</v>
      </c>
      <c r="G9" s="646">
        <v>5760</v>
      </c>
      <c r="H9" s="646">
        <v>5880</v>
      </c>
      <c r="I9" s="646">
        <v>6350</v>
      </c>
      <c r="J9" s="722">
        <f>I9</f>
        <v>6350</v>
      </c>
      <c r="K9"/>
      <c r="L9"/>
      <c r="M9"/>
    </row>
    <row r="10" spans="2:13" ht="27" customHeight="1" x14ac:dyDescent="0.2">
      <c r="B10" s="917"/>
      <c r="C10" s="16">
        <v>240</v>
      </c>
      <c r="D10" s="645">
        <v>6310</v>
      </c>
      <c r="E10" s="646">
        <v>6310</v>
      </c>
      <c r="F10" s="646">
        <v>6320</v>
      </c>
      <c r="G10" s="646">
        <v>6370</v>
      </c>
      <c r="H10" s="646">
        <v>6620</v>
      </c>
      <c r="I10" s="647">
        <f>H10</f>
        <v>6620</v>
      </c>
      <c r="J10" s="723">
        <v>6620</v>
      </c>
      <c r="K10"/>
      <c r="L10"/>
      <c r="M10"/>
    </row>
    <row r="11" spans="2:13" ht="27" customHeight="1" x14ac:dyDescent="0.2">
      <c r="B11" s="917"/>
      <c r="C11" s="16">
        <v>260</v>
      </c>
      <c r="D11" s="645">
        <v>6890</v>
      </c>
      <c r="E11" s="646">
        <v>6900</v>
      </c>
      <c r="F11" s="646">
        <v>6910</v>
      </c>
      <c r="G11" s="646">
        <v>7010</v>
      </c>
      <c r="H11" s="646">
        <v>7430</v>
      </c>
      <c r="I11" s="647">
        <f>H11</f>
        <v>7430</v>
      </c>
      <c r="J11" s="723">
        <v>7430</v>
      </c>
      <c r="K11"/>
      <c r="L11"/>
      <c r="M11"/>
    </row>
    <row r="12" spans="2:13" ht="27" customHeight="1" x14ac:dyDescent="0.2">
      <c r="B12" s="917"/>
      <c r="C12" s="16">
        <v>280</v>
      </c>
      <c r="D12" s="645">
        <v>7480</v>
      </c>
      <c r="E12" s="646">
        <v>7480</v>
      </c>
      <c r="F12" s="646">
        <v>7530</v>
      </c>
      <c r="G12" s="646">
        <v>7730</v>
      </c>
      <c r="H12" s="646">
        <v>8420</v>
      </c>
      <c r="I12" s="647">
        <f>H12</f>
        <v>8420</v>
      </c>
      <c r="J12" s="723">
        <v>8420</v>
      </c>
      <c r="K12"/>
      <c r="L12"/>
      <c r="M12"/>
    </row>
    <row r="13" spans="2:13" ht="27" customHeight="1" thickBot="1" x14ac:dyDescent="0.25">
      <c r="B13" s="918"/>
      <c r="C13" s="17">
        <v>300</v>
      </c>
      <c r="D13" s="651">
        <v>8080</v>
      </c>
      <c r="E13" s="652">
        <v>8090</v>
      </c>
      <c r="F13" s="652">
        <v>8160</v>
      </c>
      <c r="G13" s="652">
        <v>8510</v>
      </c>
      <c r="H13" s="653">
        <f>G13</f>
        <v>8510</v>
      </c>
      <c r="I13" s="653">
        <f>8510</f>
        <v>8510</v>
      </c>
      <c r="J13" s="724">
        <v>8510</v>
      </c>
      <c r="K13"/>
      <c r="L13"/>
      <c r="M13"/>
    </row>
    <row r="14" spans="2:13" ht="16" thickBot="1" x14ac:dyDescent="0.25"/>
    <row r="15" spans="2:13" ht="22.5" customHeight="1" x14ac:dyDescent="0.2">
      <c r="B15" s="919" t="s">
        <v>11</v>
      </c>
      <c r="C15" s="920"/>
      <c r="D15" s="5"/>
      <c r="E15" s="5"/>
      <c r="F15" s="5"/>
      <c r="G15" s="5"/>
      <c r="H15" s="18"/>
      <c r="I15" s="18"/>
      <c r="J15" s="18"/>
      <c r="K15" s="19"/>
    </row>
    <row r="16" spans="2:13" ht="23.25" customHeight="1" x14ac:dyDescent="0.2">
      <c r="B16" s="26" t="s">
        <v>12</v>
      </c>
      <c r="C16" s="22">
        <v>200</v>
      </c>
      <c r="D16" s="27" t="s">
        <v>13</v>
      </c>
      <c r="E16" s="6" t="s">
        <v>23</v>
      </c>
      <c r="F16" s="7"/>
      <c r="G16" s="7"/>
      <c r="H16" s="20"/>
      <c r="I16" s="20"/>
      <c r="J16" s="20"/>
      <c r="K16" s="21"/>
    </row>
    <row r="17" spans="2:13" ht="23.25" customHeight="1" x14ac:dyDescent="0.2">
      <c r="B17" s="26" t="s">
        <v>14</v>
      </c>
      <c r="C17" s="22">
        <v>210</v>
      </c>
      <c r="D17" s="27" t="s">
        <v>15</v>
      </c>
      <c r="E17" s="6" t="s">
        <v>24</v>
      </c>
      <c r="F17" s="7"/>
      <c r="G17" s="7"/>
      <c r="H17" s="20"/>
      <c r="I17" s="20"/>
      <c r="J17" s="20"/>
      <c r="K17" s="21"/>
    </row>
    <row r="18" spans="2:13" ht="14.25" customHeight="1" x14ac:dyDescent="0.2">
      <c r="B18" s="8"/>
      <c r="C18" s="9"/>
      <c r="D18" s="9"/>
      <c r="E18" s="9"/>
      <c r="F18" s="7"/>
      <c r="G18" s="7"/>
      <c r="H18" s="20"/>
      <c r="I18" s="20"/>
      <c r="J18" s="20"/>
      <c r="K18" s="21"/>
    </row>
    <row r="19" spans="2:13" ht="24" customHeight="1" x14ac:dyDescent="0.2">
      <c r="B19" s="26" t="s">
        <v>25</v>
      </c>
      <c r="C19" s="32" t="e">
        <f ca="1">BicubicInterpolation(C4:J13,C16,C17)</f>
        <v>#NAME?</v>
      </c>
      <c r="D19" s="27" t="s">
        <v>22</v>
      </c>
      <c r="E19" s="7"/>
      <c r="F19" s="7"/>
      <c r="G19" s="7"/>
      <c r="H19" s="20"/>
      <c r="I19" s="20"/>
      <c r="J19" s="20"/>
      <c r="K19" s="21"/>
    </row>
    <row r="20" spans="2:13" ht="17.5" customHeight="1" thickBot="1" x14ac:dyDescent="0.25">
      <c r="B20" s="26"/>
      <c r="C20" s="31"/>
      <c r="D20" s="27"/>
      <c r="E20" s="7"/>
      <c r="F20" s="7"/>
      <c r="G20" s="7"/>
      <c r="H20" s="20"/>
      <c r="I20" s="20"/>
      <c r="J20" s="20"/>
      <c r="K20" s="21"/>
    </row>
    <row r="21" spans="2:13" ht="19" customHeight="1" x14ac:dyDescent="0.2">
      <c r="B21" s="23" t="s">
        <v>20</v>
      </c>
      <c r="C21" s="934" t="s">
        <v>358</v>
      </c>
      <c r="D21" s="934"/>
      <c r="E21" s="934"/>
      <c r="F21" s="934"/>
      <c r="G21" s="934"/>
      <c r="H21" s="934"/>
      <c r="I21" s="934"/>
      <c r="J21" s="934"/>
      <c r="K21" s="935"/>
    </row>
    <row r="22" spans="2:13" ht="36" customHeight="1" thickBot="1" x14ac:dyDescent="0.25">
      <c r="B22" s="25"/>
      <c r="C22" s="960" t="s">
        <v>359</v>
      </c>
      <c r="D22" s="960"/>
      <c r="E22" s="960"/>
      <c r="F22" s="960"/>
      <c r="G22" s="960"/>
      <c r="H22" s="960"/>
      <c r="I22" s="960"/>
      <c r="J22" s="960"/>
      <c r="K22" s="961"/>
    </row>
    <row r="23" spans="2:13" ht="14.25" customHeight="1" x14ac:dyDescent="0.2">
      <c r="D23"/>
      <c r="E23"/>
      <c r="F23"/>
      <c r="G23"/>
      <c r="H23"/>
      <c r="I23"/>
      <c r="J23"/>
      <c r="K23"/>
      <c r="L23"/>
      <c r="M23"/>
    </row>
    <row r="24" spans="2:13" ht="52.5" customHeight="1" x14ac:dyDescent="0.2">
      <c r="D24"/>
      <c r="E24"/>
      <c r="F24"/>
      <c r="G24"/>
      <c r="H24"/>
      <c r="I24"/>
      <c r="J24"/>
      <c r="K24"/>
      <c r="L24"/>
      <c r="M24"/>
    </row>
    <row r="25" spans="2:13" x14ac:dyDescent="0.2">
      <c r="D25"/>
      <c r="E25"/>
      <c r="F25"/>
      <c r="G25"/>
      <c r="H25"/>
      <c r="I25"/>
      <c r="J25"/>
      <c r="K25"/>
      <c r="L25"/>
      <c r="M25"/>
    </row>
    <row r="26" spans="2:13" x14ac:dyDescent="0.2">
      <c r="D26"/>
      <c r="E26"/>
      <c r="F26"/>
      <c r="G26"/>
      <c r="H26"/>
      <c r="I26"/>
      <c r="J26"/>
      <c r="K26"/>
      <c r="L26"/>
      <c r="M26"/>
    </row>
    <row r="27" spans="2:13" x14ac:dyDescent="0.2">
      <c r="D27"/>
      <c r="E27"/>
      <c r="F27"/>
      <c r="G27"/>
      <c r="H27"/>
      <c r="I27"/>
      <c r="J27"/>
      <c r="K27"/>
      <c r="L27"/>
      <c r="M27"/>
    </row>
    <row r="28" spans="2:13" x14ac:dyDescent="0.2">
      <c r="D28"/>
      <c r="E28"/>
      <c r="F28"/>
      <c r="G28"/>
      <c r="H28"/>
      <c r="I28"/>
      <c r="J28"/>
      <c r="K28"/>
      <c r="L28"/>
      <c r="M28"/>
    </row>
    <row r="29" spans="2:13" x14ac:dyDescent="0.2">
      <c r="D29"/>
      <c r="E29"/>
      <c r="F29"/>
      <c r="G29"/>
      <c r="H29"/>
      <c r="I29"/>
      <c r="J29"/>
      <c r="K29"/>
      <c r="L29"/>
      <c r="M29"/>
    </row>
    <row r="30" spans="2:13" x14ac:dyDescent="0.2">
      <c r="D30"/>
      <c r="E30"/>
      <c r="F30"/>
      <c r="G30"/>
      <c r="H30"/>
      <c r="I30"/>
      <c r="J30"/>
      <c r="K30"/>
      <c r="L30"/>
      <c r="M30"/>
    </row>
    <row r="31" spans="2:13" x14ac:dyDescent="0.2">
      <c r="D31"/>
      <c r="E31"/>
      <c r="F31"/>
      <c r="G31"/>
      <c r="H31"/>
      <c r="I31"/>
      <c r="J31"/>
      <c r="K31"/>
      <c r="L31"/>
      <c r="M31"/>
    </row>
    <row r="32" spans="2:13" x14ac:dyDescent="0.2">
      <c r="D32"/>
      <c r="E32"/>
      <c r="F32"/>
      <c r="G32"/>
      <c r="H32"/>
      <c r="I32"/>
      <c r="J32"/>
      <c r="K32"/>
      <c r="L32"/>
      <c r="M32"/>
    </row>
    <row r="33" customFormat="1" x14ac:dyDescent="0.2"/>
    <row r="34" customFormat="1" ht="22.5" customHeight="1" x14ac:dyDescent="0.2"/>
    <row r="35" customFormat="1" ht="22.5" customHeight="1" x14ac:dyDescent="0.2"/>
    <row r="36" customFormat="1" ht="22.5" customHeight="1" x14ac:dyDescent="0.2"/>
    <row r="37" customFormat="1" ht="22.5" customHeight="1" x14ac:dyDescent="0.2"/>
    <row r="38" customFormat="1" ht="22.5" customHeight="1" x14ac:dyDescent="0.2"/>
    <row r="39" customFormat="1" x14ac:dyDescent="0.2"/>
    <row r="40" customFormat="1" x14ac:dyDescent="0.2"/>
    <row r="41" customFormat="1" ht="22.5" customHeight="1" x14ac:dyDescent="0.2"/>
    <row r="42" customFormat="1" ht="22.5" customHeight="1" x14ac:dyDescent="0.2"/>
    <row r="43" customFormat="1" ht="22.5" customHeight="1" x14ac:dyDescent="0.2"/>
    <row r="44" customFormat="1" ht="22.5" customHeight="1" x14ac:dyDescent="0.2"/>
    <row r="45" customFormat="1" x14ac:dyDescent="0.2"/>
    <row r="46" customFormat="1" x14ac:dyDescent="0.2"/>
    <row r="47" customFormat="1" x14ac:dyDescent="0.2"/>
    <row r="48" customFormat="1" x14ac:dyDescent="0.2"/>
    <row r="49" customFormat="1" x14ac:dyDescent="0.2"/>
    <row r="50" customFormat="1" x14ac:dyDescent="0.2"/>
    <row r="51" customFormat="1" x14ac:dyDescent="0.2"/>
    <row r="52" customFormat="1" ht="21.5" customHeight="1" x14ac:dyDescent="0.2"/>
    <row r="53" customFormat="1" ht="21.5" customHeight="1" x14ac:dyDescent="0.2"/>
    <row r="54" customFormat="1" x14ac:dyDescent="0.2"/>
    <row r="55" customFormat="1" ht="21.5" customHeight="1" x14ac:dyDescent="0.2"/>
    <row r="56" customFormat="1" x14ac:dyDescent="0.2"/>
    <row r="57" customFormat="1" x14ac:dyDescent="0.2"/>
    <row r="58" customFormat="1" x14ac:dyDescent="0.2"/>
    <row r="59" customFormat="1" x14ac:dyDescent="0.2"/>
    <row r="60" customFormat="1" x14ac:dyDescent="0.2"/>
    <row r="61" customFormat="1" x14ac:dyDescent="0.2"/>
    <row r="62" customFormat="1" x14ac:dyDescent="0.2"/>
    <row r="63" customFormat="1" x14ac:dyDescent="0.2"/>
    <row r="64" customFormat="1" x14ac:dyDescent="0.2"/>
    <row r="65" customFormat="1" x14ac:dyDescent="0.2"/>
    <row r="66" customFormat="1" x14ac:dyDescent="0.2"/>
    <row r="67" customFormat="1" x14ac:dyDescent="0.2"/>
    <row r="68" customFormat="1" x14ac:dyDescent="0.2"/>
    <row r="69" customFormat="1" x14ac:dyDescent="0.2"/>
    <row r="70" customFormat="1" x14ac:dyDescent="0.2"/>
    <row r="71" customFormat="1" x14ac:dyDescent="0.2"/>
    <row r="72" customFormat="1" x14ac:dyDescent="0.2"/>
    <row r="73" customFormat="1" x14ac:dyDescent="0.2"/>
    <row r="74" customFormat="1" x14ac:dyDescent="0.2"/>
    <row r="75" customFormat="1" x14ac:dyDescent="0.2"/>
    <row r="76" customFormat="1" x14ac:dyDescent="0.2"/>
    <row r="77" customFormat="1" x14ac:dyDescent="0.2"/>
    <row r="78" customFormat="1" x14ac:dyDescent="0.2"/>
    <row r="79" customFormat="1" x14ac:dyDescent="0.2"/>
    <row r="80" customFormat="1" x14ac:dyDescent="0.2"/>
    <row r="81" customFormat="1" x14ac:dyDescent="0.2"/>
    <row r="82" customFormat="1" x14ac:dyDescent="0.2"/>
    <row r="83" customFormat="1" x14ac:dyDescent="0.2"/>
    <row r="84" customFormat="1" x14ac:dyDescent="0.2"/>
    <row r="85" customFormat="1" x14ac:dyDescent="0.2"/>
    <row r="86" customFormat="1" x14ac:dyDescent="0.2"/>
    <row r="87" customFormat="1" x14ac:dyDescent="0.2"/>
    <row r="88" customFormat="1" x14ac:dyDescent="0.2"/>
    <row r="89" customFormat="1" x14ac:dyDescent="0.2"/>
    <row r="90" customFormat="1" x14ac:dyDescent="0.2"/>
    <row r="91" customFormat="1" x14ac:dyDescent="0.2"/>
    <row r="92" customFormat="1" x14ac:dyDescent="0.2"/>
    <row r="93" customFormat="1" x14ac:dyDescent="0.2"/>
    <row r="94" customFormat="1" x14ac:dyDescent="0.2"/>
    <row r="95" customFormat="1" x14ac:dyDescent="0.2"/>
    <row r="96" customFormat="1" x14ac:dyDescent="0.2"/>
    <row r="97" customFormat="1" x14ac:dyDescent="0.2"/>
    <row r="98" customFormat="1" x14ac:dyDescent="0.2"/>
    <row r="99" customFormat="1" x14ac:dyDescent="0.2"/>
    <row r="100" customFormat="1" x14ac:dyDescent="0.2"/>
    <row r="101" customFormat="1" x14ac:dyDescent="0.2"/>
    <row r="102" customFormat="1" x14ac:dyDescent="0.2"/>
    <row r="103" customFormat="1" x14ac:dyDescent="0.2"/>
    <row r="104" customFormat="1" x14ac:dyDescent="0.2"/>
    <row r="105" customFormat="1" x14ac:dyDescent="0.2"/>
    <row r="106" customFormat="1" x14ac:dyDescent="0.2"/>
    <row r="107" customFormat="1" x14ac:dyDescent="0.2"/>
    <row r="108" customFormat="1" x14ac:dyDescent="0.2"/>
    <row r="109" customFormat="1" x14ac:dyDescent="0.2"/>
    <row r="110" customFormat="1" x14ac:dyDescent="0.2"/>
    <row r="111" customFormat="1" x14ac:dyDescent="0.2"/>
    <row r="112" customFormat="1" x14ac:dyDescent="0.2"/>
    <row r="113" customFormat="1" x14ac:dyDescent="0.2"/>
    <row r="114" customFormat="1" x14ac:dyDescent="0.2"/>
    <row r="115" customFormat="1" x14ac:dyDescent="0.2"/>
    <row r="116" customFormat="1" x14ac:dyDescent="0.2"/>
    <row r="117" customFormat="1" x14ac:dyDescent="0.2"/>
    <row r="118" customFormat="1" x14ac:dyDescent="0.2"/>
    <row r="119" customFormat="1" x14ac:dyDescent="0.2"/>
    <row r="120" customFormat="1" x14ac:dyDescent="0.2"/>
    <row r="121" customFormat="1" x14ac:dyDescent="0.2"/>
    <row r="122" customFormat="1" x14ac:dyDescent="0.2"/>
    <row r="123" customFormat="1" x14ac:dyDescent="0.2"/>
    <row r="124" customFormat="1" x14ac:dyDescent="0.2"/>
    <row r="125" customFormat="1" x14ac:dyDescent="0.2"/>
    <row r="126" customFormat="1" x14ac:dyDescent="0.2"/>
    <row r="127" customFormat="1" x14ac:dyDescent="0.2"/>
    <row r="128" customFormat="1" x14ac:dyDescent="0.2"/>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sheetData>
  <mergeCells count="6">
    <mergeCell ref="C21:K21"/>
    <mergeCell ref="C22:K22"/>
    <mergeCell ref="D3:J3"/>
    <mergeCell ref="B2:J2"/>
    <mergeCell ref="B5:B13"/>
    <mergeCell ref="B15:C15"/>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B1:T25"/>
  <sheetViews>
    <sheetView topLeftCell="A6" zoomScale="80" zoomScaleNormal="80" workbookViewId="0">
      <selection activeCell="W23" sqref="W23"/>
    </sheetView>
  </sheetViews>
  <sheetFormatPr baseColWidth="10" defaultColWidth="8.83203125" defaultRowHeight="15" x14ac:dyDescent="0.2"/>
  <cols>
    <col min="1" max="1" width="8.6640625"/>
    <col min="2" max="2" width="16.33203125" customWidth="1"/>
  </cols>
  <sheetData>
    <row r="1" spans="2:20" ht="16" thickBot="1" x14ac:dyDescent="0.25"/>
    <row r="2" spans="2:20" ht="41" thickBot="1" x14ac:dyDescent="0.25">
      <c r="C2" s="226" t="s">
        <v>178</v>
      </c>
      <c r="D2" s="957" t="s">
        <v>10</v>
      </c>
      <c r="E2" s="957"/>
      <c r="F2" s="957"/>
      <c r="G2" s="957"/>
      <c r="H2" s="957"/>
      <c r="I2" s="957"/>
      <c r="J2" s="957"/>
      <c r="K2" s="957"/>
      <c r="L2" s="957"/>
      <c r="M2" s="957"/>
      <c r="N2" s="957"/>
      <c r="O2" s="957"/>
      <c r="P2" s="957"/>
      <c r="Q2" s="957"/>
      <c r="R2" s="957"/>
      <c r="S2" s="957"/>
      <c r="T2" s="958"/>
    </row>
    <row r="3" spans="2:20" ht="22" thickBot="1" x14ac:dyDescent="0.25">
      <c r="C3" s="227"/>
      <c r="D3" s="30">
        <v>270</v>
      </c>
      <c r="E3" s="30">
        <v>280</v>
      </c>
      <c r="F3" s="30">
        <v>290</v>
      </c>
      <c r="G3" s="30">
        <v>300</v>
      </c>
      <c r="H3" s="30">
        <v>310</v>
      </c>
      <c r="I3" s="30">
        <v>320</v>
      </c>
      <c r="J3" s="30">
        <v>330</v>
      </c>
      <c r="K3" s="30">
        <v>340</v>
      </c>
      <c r="L3" s="30">
        <v>350</v>
      </c>
      <c r="M3" s="30">
        <v>360</v>
      </c>
      <c r="N3" s="30">
        <v>370</v>
      </c>
      <c r="O3" s="30">
        <v>380</v>
      </c>
      <c r="P3" s="30">
        <v>390</v>
      </c>
      <c r="Q3" s="30">
        <v>400</v>
      </c>
      <c r="R3" s="30">
        <v>410</v>
      </c>
      <c r="S3" s="30">
        <v>420</v>
      </c>
      <c r="T3" s="14">
        <v>430</v>
      </c>
    </row>
    <row r="4" spans="2:20" ht="21" customHeight="1" x14ac:dyDescent="0.2">
      <c r="B4" s="965" t="s">
        <v>34</v>
      </c>
      <c r="C4" s="228">
        <v>160</v>
      </c>
      <c r="D4" s="240">
        <v>0.62341668839522912</v>
      </c>
      <c r="E4" s="240">
        <v>0.63991706242974311</v>
      </c>
      <c r="F4" s="240">
        <v>0.65193427977542051</v>
      </c>
      <c r="G4" s="240">
        <v>0.66103285627505581</v>
      </c>
      <c r="H4" s="240">
        <v>0.66876696679579117</v>
      </c>
      <c r="I4" s="240">
        <v>0.6765873287972366</v>
      </c>
      <c r="J4" s="240">
        <v>0.68573314953253428</v>
      </c>
      <c r="K4" s="240">
        <v>0.69711533556564786</v>
      </c>
      <c r="L4" s="240">
        <v>0.71120195586900081</v>
      </c>
      <c r="M4" s="240">
        <v>0.7279231122154517</v>
      </c>
      <c r="N4" s="240">
        <v>0.7465464807715918</v>
      </c>
      <c r="O4" s="240">
        <v>0.76574659289330782</v>
      </c>
      <c r="P4" s="240">
        <v>0.78393838792505122</v>
      </c>
      <c r="Q4" s="240">
        <v>0.79948016097271335</v>
      </c>
      <c r="R4" s="240">
        <v>0.81105602259139076</v>
      </c>
      <c r="S4" s="240">
        <v>0.81810881499647792</v>
      </c>
      <c r="T4" s="241">
        <v>0.82120210393782145</v>
      </c>
    </row>
    <row r="5" spans="2:20" ht="21" x14ac:dyDescent="0.2">
      <c r="B5" s="966"/>
      <c r="C5" s="228">
        <v>170</v>
      </c>
      <c r="D5" s="240">
        <v>0.64465796185059798</v>
      </c>
      <c r="E5" s="240">
        <v>0.65534080316551524</v>
      </c>
      <c r="F5" s="240">
        <v>0.66370386062414477</v>
      </c>
      <c r="G5" s="240">
        <v>0.67122554451887906</v>
      </c>
      <c r="H5" s="240">
        <v>0.67925229151749278</v>
      </c>
      <c r="I5" s="240">
        <v>0.6888929733296747</v>
      </c>
      <c r="J5" s="240">
        <v>0.70090789391372521</v>
      </c>
      <c r="K5" s="240">
        <v>0.71560418143891624</v>
      </c>
      <c r="L5" s="240">
        <v>0.73275536031357458</v>
      </c>
      <c r="M5" s="240">
        <v>0.75156964431444884</v>
      </c>
      <c r="N5" s="240">
        <v>0.7706666094398944</v>
      </c>
      <c r="O5" s="240">
        <v>0.78831849967584944</v>
      </c>
      <c r="P5" s="240">
        <v>0.80292768694427252</v>
      </c>
      <c r="Q5" s="240">
        <v>0.81333479942717446</v>
      </c>
      <c r="R5" s="240">
        <v>0.81924779180400265</v>
      </c>
      <c r="S5" s="240">
        <v>0.82155221125775313</v>
      </c>
      <c r="T5" s="241">
        <v>0.82222102881910075</v>
      </c>
    </row>
    <row r="6" spans="2:20" ht="21" x14ac:dyDescent="0.2">
      <c r="B6" s="966"/>
      <c r="C6" s="228">
        <v>180</v>
      </c>
      <c r="D6" s="240">
        <v>0.65786077748535909</v>
      </c>
      <c r="E6" s="240">
        <v>0.66576035870399886</v>
      </c>
      <c r="F6" s="240">
        <v>0.6732099018997042</v>
      </c>
      <c r="G6" s="240">
        <v>0.68146232204640445</v>
      </c>
      <c r="H6" s="240">
        <v>0.69151565002629223</v>
      </c>
      <c r="I6" s="240">
        <v>0.70400812208662167</v>
      </c>
      <c r="J6" s="240">
        <v>0.71912280907248682</v>
      </c>
      <c r="K6" s="240">
        <v>0.73651974675326137</v>
      </c>
      <c r="L6" s="240">
        <v>0.75531977396683203</v>
      </c>
      <c r="M6" s="240">
        <v>0.7741697280707438</v>
      </c>
      <c r="N6" s="240">
        <v>0.79136029337484359</v>
      </c>
      <c r="O6" s="240">
        <v>0.80524263518680428</v>
      </c>
      <c r="P6" s="240">
        <v>0.81478879681723981</v>
      </c>
      <c r="Q6" s="240">
        <v>0.8199130482852155</v>
      </c>
      <c r="R6" s="240">
        <v>0.82173243742869317</v>
      </c>
      <c r="S6" s="240">
        <v>0.82235327817386406</v>
      </c>
      <c r="T6" s="241">
        <v>0.82363374830785574</v>
      </c>
    </row>
    <row r="7" spans="2:20" ht="21" x14ac:dyDescent="0.2">
      <c r="B7" s="966"/>
      <c r="C7" s="228">
        <v>190</v>
      </c>
      <c r="D7" s="240">
        <v>0.66733325755770112</v>
      </c>
      <c r="E7" s="240">
        <v>0.67477506069376503</v>
      </c>
      <c r="F7" s="240">
        <v>0.68322474363927155</v>
      </c>
      <c r="G7" s="240">
        <v>0.69358955527215294</v>
      </c>
      <c r="H7" s="240">
        <v>0.70641271161078478</v>
      </c>
      <c r="I7" s="240">
        <v>0.72178613296712868</v>
      </c>
      <c r="J7" s="240">
        <v>0.7392926986744488</v>
      </c>
      <c r="K7" s="240">
        <v>0.75800154951443055</v>
      </c>
      <c r="L7" s="240">
        <v>0.77654466282248436</v>
      </c>
      <c r="M7" s="240">
        <v>0.79330369229735709</v>
      </c>
      <c r="N7" s="240">
        <v>0.80668445166648084</v>
      </c>
      <c r="O7" s="240">
        <v>0.8156596421095017</v>
      </c>
      <c r="P7" s="240">
        <v>0.82028484265197932</v>
      </c>
      <c r="Q7" s="240">
        <v>0.82182686157980811</v>
      </c>
      <c r="R7" s="240">
        <v>0.82245774670469984</v>
      </c>
      <c r="S7" s="240">
        <v>0.82383454860529071</v>
      </c>
      <c r="T7" s="241">
        <v>0.82359309788913038</v>
      </c>
    </row>
    <row r="8" spans="2:20" ht="21" x14ac:dyDescent="0.2">
      <c r="B8" s="966"/>
      <c r="C8" s="228">
        <v>200</v>
      </c>
      <c r="D8" s="240">
        <v>0.67595483581411786</v>
      </c>
      <c r="E8" s="240">
        <v>0.6845492359399632</v>
      </c>
      <c r="F8" s="240">
        <v>0.69512094851110584</v>
      </c>
      <c r="G8" s="240">
        <v>0.7081427758760519</v>
      </c>
      <c r="H8" s="240">
        <v>0.72364409250700845</v>
      </c>
      <c r="I8" s="240">
        <v>0.74116077848376882</v>
      </c>
      <c r="J8" s="240">
        <v>0.75973819238448748</v>
      </c>
      <c r="K8" s="240">
        <v>0.77801390924963165</v>
      </c>
      <c r="L8" s="240">
        <v>0.79440703127483303</v>
      </c>
      <c r="M8" s="240">
        <v>0.80743162468677099</v>
      </c>
      <c r="N8" s="240">
        <v>0.81609929213145449</v>
      </c>
      <c r="O8" s="240">
        <v>0.82046416396574529</v>
      </c>
      <c r="P8" s="240">
        <v>0.82187160510068225</v>
      </c>
      <c r="Q8" s="240">
        <v>0.8225205452597919</v>
      </c>
      <c r="R8" s="240">
        <v>0.82393834353545969</v>
      </c>
      <c r="S8" s="240">
        <v>0.82328654688572556</v>
      </c>
      <c r="T8" s="229"/>
    </row>
    <row r="9" spans="2:20" ht="21" x14ac:dyDescent="0.2">
      <c r="B9" s="966"/>
      <c r="C9" s="228">
        <v>210</v>
      </c>
      <c r="D9" s="240">
        <v>0.6854619833881106</v>
      </c>
      <c r="E9" s="240">
        <v>0.69613093293287376</v>
      </c>
      <c r="F9" s="240">
        <v>0.70923554609551598</v>
      </c>
      <c r="G9" s="240">
        <v>0.72475753621197914</v>
      </c>
      <c r="H9" s="240">
        <v>0.74221064386121327</v>
      </c>
      <c r="I9" s="240">
        <v>0.7606383534668737</v>
      </c>
      <c r="J9" s="240">
        <v>0.77869838060012242</v>
      </c>
      <c r="K9" s="240">
        <v>0.79484930751791438</v>
      </c>
      <c r="L9" s="240">
        <v>0.80765506282953936</v>
      </c>
      <c r="M9" s="240">
        <v>0.81619571040601357</v>
      </c>
      <c r="N9" s="240">
        <v>0.82050259743488851</v>
      </c>
      <c r="O9" s="240">
        <v>0.82188119427372897</v>
      </c>
      <c r="P9" s="240">
        <v>0.82253534706536868</v>
      </c>
      <c r="Q9" s="240">
        <v>0.82396104672361048</v>
      </c>
      <c r="R9" s="240">
        <v>0.82320865762613948</v>
      </c>
      <c r="S9" s="230"/>
      <c r="T9" s="229"/>
    </row>
    <row r="10" spans="2:20" ht="21" x14ac:dyDescent="0.2">
      <c r="B10" s="966"/>
      <c r="C10" s="228">
        <v>220</v>
      </c>
      <c r="D10" s="240">
        <v>0.69665147201129773</v>
      </c>
      <c r="E10" s="240">
        <v>0.70973797020153917</v>
      </c>
      <c r="F10" s="240">
        <v>0.72519148415858847</v>
      </c>
      <c r="G10" s="240">
        <v>0.74252409555511356</v>
      </c>
      <c r="H10" s="240">
        <v>0.76079483861583519</v>
      </c>
      <c r="I10" s="240">
        <v>0.77869231762080915</v>
      </c>
      <c r="J10" s="240">
        <v>0.79471459094723329</v>
      </c>
      <c r="K10" s="240">
        <v>0.8074609600476208</v>
      </c>
      <c r="L10" s="240">
        <v>0.81602482281097366</v>
      </c>
      <c r="M10" s="240">
        <v>0.82042024223897414</v>
      </c>
      <c r="N10" s="240">
        <v>0.82186062947070582</v>
      </c>
      <c r="O10" s="240">
        <v>0.82250420746383668</v>
      </c>
      <c r="P10" s="240">
        <v>0.82391251450994218</v>
      </c>
      <c r="Q10" s="240">
        <v>0.82337007393724093</v>
      </c>
      <c r="R10" s="230"/>
      <c r="S10" s="230"/>
      <c r="T10" s="229"/>
    </row>
    <row r="11" spans="2:20" ht="21" x14ac:dyDescent="0.2">
      <c r="B11" s="966"/>
      <c r="C11" s="228">
        <v>230</v>
      </c>
      <c r="D11" s="240">
        <v>0.7097022544885343</v>
      </c>
      <c r="E11" s="240">
        <v>0.7250113064907433</v>
      </c>
      <c r="F11" s="240">
        <v>0.7421762869197277</v>
      </c>
      <c r="G11" s="240">
        <v>0.76028593718909399</v>
      </c>
      <c r="H11" s="240">
        <v>0.77806825731936513</v>
      </c>
      <c r="I11" s="240">
        <v>0.79406047293323212</v>
      </c>
      <c r="J11" s="240">
        <v>0.80688530653998214</v>
      </c>
      <c r="K11" s="240">
        <v>0.81562460050076169</v>
      </c>
      <c r="L11" s="240">
        <v>0.82023002306964798</v>
      </c>
      <c r="M11" s="240">
        <v>0.82180930227545446</v>
      </c>
      <c r="N11" s="240">
        <v>0.82243565199330249</v>
      </c>
      <c r="O11" s="240">
        <v>0.82379507155495446</v>
      </c>
      <c r="P11" s="240">
        <v>0.82369131138227658</v>
      </c>
      <c r="Q11" s="230"/>
      <c r="R11" s="230"/>
      <c r="S11" s="230"/>
      <c r="T11" s="229"/>
    </row>
    <row r="12" spans="2:20" ht="21" x14ac:dyDescent="0.2">
      <c r="B12" s="966"/>
      <c r="C12" s="228">
        <v>240</v>
      </c>
      <c r="D12" s="240">
        <v>0.72428082918296166</v>
      </c>
      <c r="E12" s="240">
        <v>0.74123573276332166</v>
      </c>
      <c r="F12" s="240">
        <v>0.75917792031130027</v>
      </c>
      <c r="G12" s="240">
        <v>0.77688211633322268</v>
      </c>
      <c r="H12" s="240">
        <v>0.79292517285879427</v>
      </c>
      <c r="I12" s="240">
        <v>0.80594467593751773</v>
      </c>
      <c r="J12" s="240">
        <v>0.81499222600429277</v>
      </c>
      <c r="K12" s="240">
        <v>0.81992947586348208</v>
      </c>
      <c r="L12" s="240">
        <v>0.82172484868437579</v>
      </c>
      <c r="M12" s="240">
        <v>0.82234211514774813</v>
      </c>
      <c r="N12" s="240">
        <v>0.82361007150657883</v>
      </c>
      <c r="O12" s="240">
        <v>0.82404574258612229</v>
      </c>
      <c r="P12" s="230"/>
      <c r="Q12" s="230"/>
      <c r="R12" s="230"/>
      <c r="S12" s="230"/>
      <c r="T12" s="229"/>
    </row>
    <row r="13" spans="2:20" ht="21" x14ac:dyDescent="0.2">
      <c r="B13" s="966"/>
      <c r="C13" s="228">
        <v>250</v>
      </c>
      <c r="D13" s="240">
        <v>0.73976522176544002</v>
      </c>
      <c r="E13" s="240">
        <v>0.75752788602627241</v>
      </c>
      <c r="F13" s="240">
        <v>0.77517786423263502</v>
      </c>
      <c r="G13" s="240">
        <v>0.79133343890930519</v>
      </c>
      <c r="H13" s="240">
        <v>0.80464223411654956</v>
      </c>
      <c r="I13" s="240">
        <v>0.81411308482767453</v>
      </c>
      <c r="J13" s="240">
        <v>0.81949746526341016</v>
      </c>
      <c r="K13" s="240">
        <v>0.82159855346333899</v>
      </c>
      <c r="L13" s="240">
        <v>0.82223984666526917</v>
      </c>
      <c r="M13" s="240">
        <v>0.82336607281538932</v>
      </c>
      <c r="N13" s="240">
        <v>0.82430719640794337</v>
      </c>
      <c r="O13" s="230"/>
      <c r="P13" s="230"/>
      <c r="Q13" s="230"/>
      <c r="R13" s="230"/>
      <c r="S13" s="230"/>
      <c r="T13" s="229"/>
    </row>
    <row r="14" spans="2:20" ht="21" x14ac:dyDescent="0.2">
      <c r="B14" s="966"/>
      <c r="C14" s="228">
        <v>260</v>
      </c>
      <c r="D14" s="240">
        <v>0.75538650427577814</v>
      </c>
      <c r="E14" s="240">
        <v>0.77299158498154874</v>
      </c>
      <c r="F14" s="240">
        <v>0.78930139179654191</v>
      </c>
      <c r="G14" s="240">
        <v>0.80297247114729231</v>
      </c>
      <c r="H14" s="240">
        <v>0.81296424854946636</v>
      </c>
      <c r="I14" s="240">
        <v>0.81890494142561465</v>
      </c>
      <c r="J14" s="240">
        <v>0.82141190108865203</v>
      </c>
      <c r="K14" s="240">
        <v>0.82213793961315673</v>
      </c>
      <c r="L14" s="240">
        <v>0.82309087665244363</v>
      </c>
      <c r="M14" s="240">
        <v>0.82438743089500122</v>
      </c>
      <c r="N14" s="240">
        <v>0.81900861438646189</v>
      </c>
      <c r="O14" s="230"/>
      <c r="P14" s="230"/>
      <c r="Q14" s="230"/>
      <c r="R14" s="230"/>
      <c r="S14" s="230"/>
      <c r="T14" s="229"/>
    </row>
    <row r="15" spans="2:20" ht="21" x14ac:dyDescent="0.2">
      <c r="B15" s="966"/>
      <c r="C15" s="228">
        <v>270</v>
      </c>
      <c r="D15" s="240">
        <v>0.77035487814656634</v>
      </c>
      <c r="E15" s="240">
        <v>0.78684048750033142</v>
      </c>
      <c r="F15" s="240">
        <v>0.80092505556864779</v>
      </c>
      <c r="G15" s="240">
        <v>0.8115173800313471</v>
      </c>
      <c r="H15" s="240">
        <v>0.81811606369266343</v>
      </c>
      <c r="I15" s="240">
        <v>0.82113788800184295</v>
      </c>
      <c r="J15" s="240">
        <v>0.82203465641256912</v>
      </c>
      <c r="K15" s="240">
        <v>0.82281550988257379</v>
      </c>
      <c r="L15" s="240">
        <v>0.82426112361346782</v>
      </c>
      <c r="M15" s="240">
        <v>0.82155967654139772</v>
      </c>
      <c r="N15" s="230"/>
      <c r="O15" s="230"/>
      <c r="P15" s="230"/>
      <c r="Q15" s="230"/>
      <c r="R15" s="230"/>
      <c r="S15" s="230"/>
      <c r="T15" s="229"/>
    </row>
    <row r="16" spans="2:20" ht="21" x14ac:dyDescent="0.2">
      <c r="B16" s="966"/>
      <c r="C16" s="228">
        <v>280</v>
      </c>
      <c r="D16" s="240">
        <v>0.78396074595355003</v>
      </c>
      <c r="E16" s="240">
        <v>0.79848806992340116</v>
      </c>
      <c r="F16" s="240">
        <v>0.80974138080098257</v>
      </c>
      <c r="G16" s="240">
        <v>0.81708960458647795</v>
      </c>
      <c r="H16" s="240">
        <v>0.82074054758503223</v>
      </c>
      <c r="I16" s="240">
        <v>0.82191781894933058</v>
      </c>
      <c r="J16" s="240">
        <v>0.82256372740532413</v>
      </c>
      <c r="K16" s="240">
        <v>0.8239687509941831</v>
      </c>
      <c r="L16" s="240">
        <v>0.82325617253846417</v>
      </c>
      <c r="M16" s="230"/>
      <c r="N16" s="230"/>
      <c r="O16" s="230"/>
      <c r="P16" s="230"/>
      <c r="Q16" s="230"/>
      <c r="R16" s="230"/>
      <c r="S16" s="230"/>
      <c r="T16" s="229"/>
    </row>
    <row r="17" spans="2:20" ht="21" x14ac:dyDescent="0.2">
      <c r="B17" s="966"/>
      <c r="C17" s="231">
        <v>290</v>
      </c>
      <c r="D17" s="240">
        <v>0.79565077189295863</v>
      </c>
      <c r="E17" s="240">
        <v>0.80760492818429697</v>
      </c>
      <c r="F17" s="240">
        <v>0.81578076565781998</v>
      </c>
      <c r="G17" s="240">
        <v>0.82017535800201813</v>
      </c>
      <c r="H17" s="240">
        <v>0.82176266812030008</v>
      </c>
      <c r="I17" s="240">
        <v>0.82235126730765273</v>
      </c>
      <c r="J17" s="240">
        <v>0.82357775231545816</v>
      </c>
      <c r="K17" s="240">
        <v>0.82414181434899092</v>
      </c>
      <c r="L17" s="230"/>
      <c r="M17" s="230"/>
      <c r="N17" s="230"/>
      <c r="O17" s="230"/>
      <c r="P17" s="230"/>
      <c r="Q17" s="230"/>
      <c r="R17" s="230"/>
      <c r="S17" s="230"/>
      <c r="T17" s="229"/>
    </row>
    <row r="18" spans="2:20" ht="22" thickBot="1" x14ac:dyDescent="0.25">
      <c r="B18" s="967"/>
      <c r="C18" s="232">
        <v>300</v>
      </c>
      <c r="D18" s="242">
        <v>0.80507893098549133</v>
      </c>
      <c r="E18" s="242">
        <v>0.81414340075718883</v>
      </c>
      <c r="F18" s="242">
        <v>0.81939058843441614</v>
      </c>
      <c r="G18" s="242">
        <v>0.82153096059782627</v>
      </c>
      <c r="H18" s="242">
        <v>0.82217967131938963</v>
      </c>
      <c r="I18" s="242">
        <v>0.82316032614420465</v>
      </c>
      <c r="J18" s="242">
        <v>0.82438892207255776</v>
      </c>
      <c r="K18" s="233"/>
      <c r="L18" s="233"/>
      <c r="M18" s="233"/>
      <c r="N18" s="233"/>
      <c r="O18" s="233"/>
      <c r="P18" s="233"/>
      <c r="Q18" s="233"/>
      <c r="R18" s="233"/>
      <c r="S18" s="233"/>
      <c r="T18" s="234"/>
    </row>
    <row r="19" spans="2:20" ht="16" thickBot="1" x14ac:dyDescent="0.25"/>
    <row r="20" spans="2:20" ht="21" x14ac:dyDescent="0.2">
      <c r="B20" s="919" t="s">
        <v>11</v>
      </c>
      <c r="C20" s="920"/>
      <c r="D20" s="5"/>
      <c r="E20" s="5"/>
      <c r="F20" s="5"/>
      <c r="G20" s="5"/>
      <c r="H20" s="18"/>
      <c r="I20" s="18"/>
      <c r="J20" s="18"/>
      <c r="K20" s="19"/>
    </row>
    <row r="21" spans="2:20" ht="16" x14ac:dyDescent="0.2">
      <c r="B21" s="26" t="s">
        <v>12</v>
      </c>
      <c r="C21" s="22">
        <v>350</v>
      </c>
      <c r="D21" s="27" t="s">
        <v>13</v>
      </c>
      <c r="E21" s="6" t="s">
        <v>23</v>
      </c>
      <c r="F21" s="7"/>
      <c r="G21" s="7"/>
      <c r="H21" s="20"/>
      <c r="I21" s="20"/>
      <c r="J21" s="20"/>
      <c r="K21" s="21"/>
    </row>
    <row r="22" spans="2:20" ht="16" x14ac:dyDescent="0.2">
      <c r="B22" s="26" t="s">
        <v>14</v>
      </c>
      <c r="C22" s="22">
        <v>240</v>
      </c>
      <c r="D22" s="27" t="s">
        <v>15</v>
      </c>
      <c r="E22" s="6" t="s">
        <v>24</v>
      </c>
      <c r="F22" s="7"/>
      <c r="G22" s="7"/>
      <c r="H22" s="20"/>
      <c r="I22" s="20"/>
      <c r="J22" s="20"/>
      <c r="K22" s="21"/>
    </row>
    <row r="23" spans="2:20" ht="16" x14ac:dyDescent="0.2">
      <c r="B23" s="8"/>
      <c r="C23" s="9"/>
      <c r="D23" s="9"/>
      <c r="E23" s="9"/>
      <c r="F23" s="7"/>
      <c r="G23" s="7"/>
      <c r="H23" s="20"/>
      <c r="I23" s="20"/>
      <c r="J23" s="20"/>
      <c r="K23" s="21"/>
    </row>
    <row r="24" spans="2:20" ht="16" x14ac:dyDescent="0.2">
      <c r="B24" s="26" t="s">
        <v>27</v>
      </c>
      <c r="C24" s="43" t="e">
        <f ca="1">BicubicInterpolation(C3:T18,C21,C22)</f>
        <v>#NAME?</v>
      </c>
      <c r="D24" s="27" t="s">
        <v>182</v>
      </c>
      <c r="E24" s="7"/>
      <c r="F24" s="7"/>
      <c r="G24" s="7"/>
      <c r="H24" s="20"/>
      <c r="I24" s="20"/>
      <c r="J24" s="20"/>
      <c r="K24" s="21"/>
    </row>
    <row r="25" spans="2:20" ht="17" thickBot="1" x14ac:dyDescent="0.25">
      <c r="B25" s="37"/>
      <c r="C25" s="38"/>
      <c r="D25" s="39"/>
      <c r="E25" s="40"/>
      <c r="F25" s="40"/>
      <c r="G25" s="40"/>
      <c r="H25" s="41"/>
      <c r="I25" s="41"/>
      <c r="J25" s="41"/>
      <c r="K25" s="42"/>
    </row>
  </sheetData>
  <mergeCells count="3">
    <mergeCell ref="D2:T2"/>
    <mergeCell ref="B4:B18"/>
    <mergeCell ref="B20:C20"/>
  </mergeCell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B1:T25"/>
  <sheetViews>
    <sheetView zoomScale="80" zoomScaleNormal="80" workbookViewId="0">
      <selection activeCell="AB26" sqref="AB26"/>
    </sheetView>
  </sheetViews>
  <sheetFormatPr baseColWidth="10" defaultColWidth="8.83203125" defaultRowHeight="15" x14ac:dyDescent="0.2"/>
  <cols>
    <col min="1" max="1" width="8.6640625"/>
    <col min="2" max="2" width="16.33203125" customWidth="1"/>
  </cols>
  <sheetData>
    <row r="1" spans="2:20" ht="16" thickBot="1" x14ac:dyDescent="0.25"/>
    <row r="2" spans="2:20" ht="47" customHeight="1" thickBot="1" x14ac:dyDescent="0.25">
      <c r="C2" s="235" t="s">
        <v>179</v>
      </c>
      <c r="D2" s="957" t="s">
        <v>10</v>
      </c>
      <c r="E2" s="957"/>
      <c r="F2" s="957"/>
      <c r="G2" s="957"/>
      <c r="H2" s="957"/>
      <c r="I2" s="957"/>
      <c r="J2" s="957"/>
      <c r="K2" s="957"/>
      <c r="L2" s="957"/>
      <c r="M2" s="957"/>
      <c r="N2" s="957"/>
      <c r="O2" s="957"/>
      <c r="P2" s="957"/>
      <c r="Q2" s="957"/>
      <c r="R2" s="957"/>
      <c r="S2" s="957"/>
      <c r="T2" s="958"/>
    </row>
    <row r="3" spans="2:20" ht="22" thickBot="1" x14ac:dyDescent="0.25">
      <c r="C3" s="227"/>
      <c r="D3" s="30">
        <v>270</v>
      </c>
      <c r="E3" s="30">
        <v>280</v>
      </c>
      <c r="F3" s="30">
        <v>290</v>
      </c>
      <c r="G3" s="30">
        <v>300</v>
      </c>
      <c r="H3" s="30">
        <v>310</v>
      </c>
      <c r="I3" s="30">
        <v>320</v>
      </c>
      <c r="J3" s="30">
        <v>330</v>
      </c>
      <c r="K3" s="30">
        <v>340</v>
      </c>
      <c r="L3" s="30">
        <v>350</v>
      </c>
      <c r="M3" s="30">
        <v>360</v>
      </c>
      <c r="N3" s="30">
        <v>370</v>
      </c>
      <c r="O3" s="30">
        <v>380</v>
      </c>
      <c r="P3" s="30">
        <v>390</v>
      </c>
      <c r="Q3" s="30">
        <v>400</v>
      </c>
      <c r="R3" s="30">
        <v>410</v>
      </c>
      <c r="S3" s="30">
        <v>420</v>
      </c>
      <c r="T3" s="14">
        <v>430</v>
      </c>
    </row>
    <row r="4" spans="2:20" ht="21" x14ac:dyDescent="0.2">
      <c r="B4" s="965" t="s">
        <v>34</v>
      </c>
      <c r="C4" s="228">
        <v>160</v>
      </c>
      <c r="D4" s="712">
        <v>2355.6813229741479</v>
      </c>
      <c r="E4" s="712">
        <v>2364.2841366192383</v>
      </c>
      <c r="F4" s="712">
        <v>2356.359200972739</v>
      </c>
      <c r="G4" s="712">
        <v>2338.1443353870227</v>
      </c>
      <c r="H4" s="712">
        <v>2315.2599173060185</v>
      </c>
      <c r="I4" s="712">
        <v>2293.606690016567</v>
      </c>
      <c r="J4" s="712">
        <v>2278.1786234689689</v>
      </c>
      <c r="K4" s="712">
        <v>2273.326720176593</v>
      </c>
      <c r="L4" s="712">
        <v>2279.1936797049839</v>
      </c>
      <c r="M4" s="712">
        <v>2287.7038377877548</v>
      </c>
      <c r="N4" s="712">
        <v>2307.2859479602416</v>
      </c>
      <c r="O4" s="712">
        <v>2349.305375864044</v>
      </c>
      <c r="P4" s="712">
        <v>2393.3865166881665</v>
      </c>
      <c r="Q4" s="712">
        <v>2396.9264696048303</v>
      </c>
      <c r="R4" s="712">
        <v>2396.5047020309039</v>
      </c>
      <c r="S4" s="712">
        <v>2406.6434583669047</v>
      </c>
      <c r="T4" s="713">
        <v>2410.6977071993465</v>
      </c>
    </row>
    <row r="5" spans="2:20" ht="21" x14ac:dyDescent="0.2">
      <c r="B5" s="966"/>
      <c r="C5" s="228">
        <v>170</v>
      </c>
      <c r="D5" s="712">
        <v>2516.3364142573369</v>
      </c>
      <c r="E5" s="712">
        <v>2503.2842533959042</v>
      </c>
      <c r="F5" s="712">
        <v>2481.7463080069788</v>
      </c>
      <c r="G5" s="712">
        <v>2457.236642884176</v>
      </c>
      <c r="H5" s="712">
        <v>2435.8664811304252</v>
      </c>
      <c r="I5" s="712">
        <v>2422.5498066432719</v>
      </c>
      <c r="J5" s="712">
        <v>2421.1277891776499</v>
      </c>
      <c r="K5" s="712">
        <v>2429.2550745886165</v>
      </c>
      <c r="L5" s="712">
        <v>2437.6027462023803</v>
      </c>
      <c r="M5" s="712">
        <v>2448.1285215609596</v>
      </c>
      <c r="N5" s="712">
        <v>2499.4511044304554</v>
      </c>
      <c r="O5" s="712">
        <v>2534.8617213207167</v>
      </c>
      <c r="P5" s="712">
        <v>2532.1559938111291</v>
      </c>
      <c r="Q5" s="712">
        <v>2538.7575342928494</v>
      </c>
      <c r="R5" s="712">
        <v>2533.7275429741817</v>
      </c>
      <c r="S5" s="712">
        <v>2551.0873124940922</v>
      </c>
      <c r="T5" s="713">
        <v>2543.3694223184807</v>
      </c>
    </row>
    <row r="6" spans="2:20" ht="21" x14ac:dyDescent="0.2">
      <c r="B6" s="966"/>
      <c r="C6" s="228">
        <v>180</v>
      </c>
      <c r="D6" s="712">
        <v>2651.03823692682</v>
      </c>
      <c r="E6" s="712">
        <v>2626.8110873262385</v>
      </c>
      <c r="F6" s="712">
        <v>2601.3009636078159</v>
      </c>
      <c r="G6" s="712">
        <v>2580.424748535132</v>
      </c>
      <c r="H6" s="712">
        <v>2569.1619881198135</v>
      </c>
      <c r="I6" s="712">
        <v>2570.5852558080978</v>
      </c>
      <c r="J6" s="712">
        <v>2580.1471960344902</v>
      </c>
      <c r="K6" s="712">
        <v>2588.3675896337104</v>
      </c>
      <c r="L6" s="712">
        <v>2603.091210825402</v>
      </c>
      <c r="M6" s="712">
        <v>2646.937413409652</v>
      </c>
      <c r="N6" s="712">
        <v>2673.6568623314165</v>
      </c>
      <c r="O6" s="712">
        <v>2668.1817137152311</v>
      </c>
      <c r="P6" s="712">
        <v>2681.4999461205734</v>
      </c>
      <c r="Q6" s="712">
        <v>2666.4789763889135</v>
      </c>
      <c r="R6" s="712">
        <v>2683.9827321695043</v>
      </c>
      <c r="S6" s="712">
        <v>2683.8540687176587</v>
      </c>
      <c r="T6" s="713">
        <v>2720.8753366222395</v>
      </c>
    </row>
    <row r="7" spans="2:20" ht="21" x14ac:dyDescent="0.2">
      <c r="B7" s="966"/>
      <c r="C7" s="228">
        <v>190</v>
      </c>
      <c r="D7" s="712">
        <v>2773.7194836316198</v>
      </c>
      <c r="E7" s="712">
        <v>2747.4406844214041</v>
      </c>
      <c r="F7" s="712">
        <v>2727.0633047371589</v>
      </c>
      <c r="G7" s="712">
        <v>2717.5811598819987</v>
      </c>
      <c r="H7" s="712">
        <v>2721.2753278117893</v>
      </c>
      <c r="I7" s="712">
        <v>2731.7087263683488</v>
      </c>
      <c r="J7" s="712">
        <v>2740.1229171716764</v>
      </c>
      <c r="K7" s="712">
        <v>2759.1459009194423</v>
      </c>
      <c r="L7" s="712">
        <v>2806.0020891719469</v>
      </c>
      <c r="M7" s="712">
        <v>2812.702160348369</v>
      </c>
      <c r="N7" s="712">
        <v>2805.0689788619329</v>
      </c>
      <c r="O7" s="712">
        <v>2822.8182215867032</v>
      </c>
      <c r="P7" s="712">
        <v>2804.6735432385153</v>
      </c>
      <c r="Q7" s="712">
        <v>2817.6266039001603</v>
      </c>
      <c r="R7" s="712">
        <v>2824.2238650912641</v>
      </c>
      <c r="S7" s="712">
        <v>2868.4792574227513</v>
      </c>
      <c r="T7" s="713">
        <v>2922.3071230698856</v>
      </c>
    </row>
    <row r="8" spans="2:20" ht="21" x14ac:dyDescent="0.2">
      <c r="B8" s="966"/>
      <c r="C8" s="228">
        <v>200</v>
      </c>
      <c r="D8" s="712">
        <v>2895.5908510856207</v>
      </c>
      <c r="E8" s="712">
        <v>2875.5517529555395</v>
      </c>
      <c r="F8" s="712">
        <v>2867.4916342411789</v>
      </c>
      <c r="G8" s="712">
        <v>2872.8477589126037</v>
      </c>
      <c r="H8" s="712">
        <v>2883.7767395025626</v>
      </c>
      <c r="I8" s="712">
        <v>2892.5487104470089</v>
      </c>
      <c r="J8" s="712">
        <v>2915.4843087605477</v>
      </c>
      <c r="K8" s="712">
        <v>2964.1821129037289</v>
      </c>
      <c r="L8" s="712">
        <v>2967.1118454893312</v>
      </c>
      <c r="M8" s="712">
        <v>2943.7831029583272</v>
      </c>
      <c r="N8" s="712">
        <v>2962.3585140849232</v>
      </c>
      <c r="O8" s="712">
        <v>2944.0684204933873</v>
      </c>
      <c r="P8" s="712">
        <v>2953.6680677772606</v>
      </c>
      <c r="Q8" s="712">
        <v>2964.0375305101711</v>
      </c>
      <c r="R8" s="712">
        <v>3013.2170243111436</v>
      </c>
      <c r="S8" s="712">
        <v>3073.2714843101994</v>
      </c>
      <c r="T8" s="714"/>
    </row>
    <row r="9" spans="2:20" ht="21" x14ac:dyDescent="0.2">
      <c r="B9" s="966"/>
      <c r="C9" s="228">
        <v>210</v>
      </c>
      <c r="D9" s="712">
        <v>3025.6808032068916</v>
      </c>
      <c r="E9" s="712">
        <v>3018.5945896470798</v>
      </c>
      <c r="F9" s="712">
        <v>3025.1020968657426</v>
      </c>
      <c r="G9" s="712">
        <v>3036.4634733245357</v>
      </c>
      <c r="H9" s="712">
        <v>3045.6523455352562</v>
      </c>
      <c r="I9" s="712">
        <v>3071.7748540272833</v>
      </c>
      <c r="J9" s="712">
        <v>3122.0044784754859</v>
      </c>
      <c r="K9" s="712">
        <v>3123.2157281764985</v>
      </c>
      <c r="L9" s="712">
        <v>3098.9032201782629</v>
      </c>
      <c r="M9" s="712">
        <v>3102.3699834625322</v>
      </c>
      <c r="N9" s="712">
        <v>3081.9756019829097</v>
      </c>
      <c r="O9" s="712">
        <v>3091.0141927412587</v>
      </c>
      <c r="P9" s="712">
        <v>3102.7032691468521</v>
      </c>
      <c r="Q9" s="712">
        <v>3154.8849509772253</v>
      </c>
      <c r="R9" s="712">
        <v>3219.0057188469482</v>
      </c>
      <c r="S9" s="715"/>
      <c r="T9" s="714"/>
    </row>
    <row r="10" spans="2:20" ht="21" x14ac:dyDescent="0.2">
      <c r="B10" s="966"/>
      <c r="C10" s="228">
        <v>220</v>
      </c>
      <c r="D10" s="712">
        <v>3170.6775045550512</v>
      </c>
      <c r="E10" s="712">
        <v>3177.912516605752</v>
      </c>
      <c r="F10" s="712">
        <v>3189.7350348697437</v>
      </c>
      <c r="G10" s="712">
        <v>3199.3477029635164</v>
      </c>
      <c r="H10" s="712">
        <v>3227.1676063972036</v>
      </c>
      <c r="I10" s="712">
        <v>3279.6161118894183</v>
      </c>
      <c r="J10" s="712">
        <v>3281.115779931522</v>
      </c>
      <c r="K10" s="712">
        <v>3255.5652368389447</v>
      </c>
      <c r="L10" s="712">
        <v>3258.8938300115215</v>
      </c>
      <c r="M10" s="712">
        <v>3219.3756186878345</v>
      </c>
      <c r="N10" s="712">
        <v>3229.4632551344303</v>
      </c>
      <c r="O10" s="712">
        <v>3239.9262253962838</v>
      </c>
      <c r="P10" s="712">
        <v>3293.348939636322</v>
      </c>
      <c r="Q10" s="712">
        <v>3358.2716139710024</v>
      </c>
      <c r="R10" s="715"/>
      <c r="S10" s="715"/>
      <c r="T10" s="714"/>
    </row>
    <row r="11" spans="2:20" ht="21" x14ac:dyDescent="0.2">
      <c r="B11" s="966"/>
      <c r="C11" s="228">
        <v>230</v>
      </c>
      <c r="D11" s="712">
        <v>3331.1974106310281</v>
      </c>
      <c r="E11" s="712">
        <v>3343.5452300934953</v>
      </c>
      <c r="F11" s="712">
        <v>3353.5445040933005</v>
      </c>
      <c r="G11" s="712">
        <v>3381.3893322375893</v>
      </c>
      <c r="H11" s="712">
        <v>3436.9241164173663</v>
      </c>
      <c r="I11" s="712">
        <v>3440.7851034903974</v>
      </c>
      <c r="J11" s="712">
        <v>3413.8234582196728</v>
      </c>
      <c r="K11" s="712">
        <v>3415.957579118995</v>
      </c>
      <c r="L11" s="712">
        <v>3373.8704519638491</v>
      </c>
      <c r="M11" s="712">
        <v>3371.4457307560156</v>
      </c>
      <c r="N11" s="712">
        <v>3376.0519397334874</v>
      </c>
      <c r="O11" s="712">
        <v>3428.4278063583188</v>
      </c>
      <c r="P11" s="712">
        <v>3492.6101305912739</v>
      </c>
      <c r="Q11" s="715"/>
      <c r="R11" s="715"/>
      <c r="S11" s="715"/>
      <c r="T11" s="714"/>
    </row>
    <row r="12" spans="2:20" ht="21" x14ac:dyDescent="0.2">
      <c r="B12" s="966"/>
      <c r="C12" s="228">
        <v>240</v>
      </c>
      <c r="D12" s="712">
        <v>3497.8401217295163</v>
      </c>
      <c r="E12" s="712">
        <v>3508.2261737491945</v>
      </c>
      <c r="F12" s="712">
        <v>3534.8399862627266</v>
      </c>
      <c r="G12" s="712">
        <v>3593.619022200322</v>
      </c>
      <c r="H12" s="712">
        <v>3602.0712866507415</v>
      </c>
      <c r="I12" s="712">
        <v>3573.8558942662344</v>
      </c>
      <c r="J12" s="712">
        <v>3573.0437206626043</v>
      </c>
      <c r="K12" s="712">
        <v>3531.216502164084</v>
      </c>
      <c r="L12" s="712">
        <v>3534.792974398159</v>
      </c>
      <c r="M12" s="712">
        <v>3513.3393458319088</v>
      </c>
      <c r="N12" s="712">
        <v>3560.0734142807637</v>
      </c>
      <c r="O12" s="712">
        <v>3624.8765883598758</v>
      </c>
      <c r="P12" s="715"/>
      <c r="Q12" s="715"/>
      <c r="R12" s="715"/>
      <c r="S12" s="715"/>
      <c r="T12" s="714"/>
    </row>
    <row r="13" spans="2:20" ht="21" x14ac:dyDescent="0.2">
      <c r="B13" s="966"/>
      <c r="C13" s="228">
        <v>250</v>
      </c>
      <c r="D13" s="712">
        <v>3663.4169650417211</v>
      </c>
      <c r="E13" s="712">
        <v>3687.7849913796917</v>
      </c>
      <c r="F13" s="712">
        <v>3749.0977785857772</v>
      </c>
      <c r="G13" s="712">
        <v>3764.5848802839228</v>
      </c>
      <c r="H13" s="712">
        <v>3736.0734488499115</v>
      </c>
      <c r="I13" s="712">
        <v>3729.7601879535669</v>
      </c>
      <c r="J13" s="712">
        <v>3694.244470336545</v>
      </c>
      <c r="K13" s="712">
        <v>3700.9328042149864</v>
      </c>
      <c r="L13" s="712">
        <v>3669.9707866449035</v>
      </c>
      <c r="M13" s="712">
        <v>3690.8045917333075</v>
      </c>
      <c r="N13" s="712">
        <v>3757.2578145751545</v>
      </c>
      <c r="O13" s="715"/>
      <c r="P13" s="715"/>
      <c r="Q13" s="715"/>
      <c r="R13" s="715"/>
      <c r="S13" s="715"/>
      <c r="T13" s="714"/>
    </row>
    <row r="14" spans="2:20" ht="21" x14ac:dyDescent="0.2">
      <c r="B14" s="966"/>
      <c r="C14" s="228">
        <v>260</v>
      </c>
      <c r="D14" s="712">
        <v>3840.4199445102563</v>
      </c>
      <c r="E14" s="712">
        <v>3902.7912180281783</v>
      </c>
      <c r="F14" s="712">
        <v>3927.7462776892057</v>
      </c>
      <c r="G14" s="712">
        <v>3900.6705827762476</v>
      </c>
      <c r="H14" s="712">
        <v>3887.7529960704837</v>
      </c>
      <c r="I14" s="712">
        <v>3864.8363980031609</v>
      </c>
      <c r="J14" s="712">
        <v>3865.5654278897919</v>
      </c>
      <c r="K14" s="712">
        <v>3827.8087452768464</v>
      </c>
      <c r="L14" s="712">
        <v>3840.5283276217274</v>
      </c>
      <c r="M14" s="712">
        <v>3891.2245014392511</v>
      </c>
      <c r="N14" s="712">
        <v>4081.2769197181592</v>
      </c>
      <c r="O14" s="715"/>
      <c r="P14" s="715"/>
      <c r="Q14" s="715"/>
      <c r="R14" s="715"/>
      <c r="S14" s="715"/>
      <c r="T14" s="714"/>
    </row>
    <row r="15" spans="2:20" ht="21" x14ac:dyDescent="0.2">
      <c r="B15" s="966"/>
      <c r="C15" s="228">
        <v>270</v>
      </c>
      <c r="D15" s="712">
        <v>4054.2359932871573</v>
      </c>
      <c r="E15" s="712">
        <v>4090.7891596423442</v>
      </c>
      <c r="F15" s="712">
        <v>4067.6765227309961</v>
      </c>
      <c r="G15" s="712">
        <v>4047.0780970609317</v>
      </c>
      <c r="H15" s="712">
        <v>4040.6034793139183</v>
      </c>
      <c r="I15" s="712">
        <v>4022.3391421795759</v>
      </c>
      <c r="J15" s="712">
        <v>3986.6413308804977</v>
      </c>
      <c r="K15" s="712">
        <v>3992.2226946746832</v>
      </c>
      <c r="L15" s="712">
        <v>4043.3143278928392</v>
      </c>
      <c r="M15" s="712">
        <v>4140.6066594360891</v>
      </c>
      <c r="N15" s="715"/>
      <c r="O15" s="715"/>
      <c r="P15" s="715"/>
      <c r="Q15" s="715"/>
      <c r="R15" s="715"/>
      <c r="S15" s="715"/>
      <c r="T15" s="714"/>
    </row>
    <row r="16" spans="2:20" ht="21" x14ac:dyDescent="0.2">
      <c r="B16" s="966"/>
      <c r="C16" s="228">
        <v>280</v>
      </c>
      <c r="D16" s="712">
        <v>4252.6464441749613</v>
      </c>
      <c r="E16" s="712">
        <v>4236.7023080518666</v>
      </c>
      <c r="F16" s="712">
        <v>4208.6171655709322</v>
      </c>
      <c r="G16" s="712">
        <v>4213.962142312861</v>
      </c>
      <c r="H16" s="712">
        <v>4170.9077479298394</v>
      </c>
      <c r="I16" s="712">
        <v>4150.646781557798</v>
      </c>
      <c r="J16" s="712">
        <v>4145.5217361726154</v>
      </c>
      <c r="K16" s="712">
        <v>4191.341062419775</v>
      </c>
      <c r="L16" s="712">
        <v>4250.8670602511347</v>
      </c>
      <c r="M16" s="715"/>
      <c r="N16" s="715"/>
      <c r="O16" s="715"/>
      <c r="P16" s="715"/>
      <c r="Q16" s="715"/>
      <c r="R16" s="715"/>
      <c r="S16" s="715"/>
      <c r="T16" s="714"/>
    </row>
    <row r="17" spans="2:20" ht="21" x14ac:dyDescent="0.2">
      <c r="B17" s="966"/>
      <c r="C17" s="231">
        <v>290</v>
      </c>
      <c r="D17" s="712">
        <v>4407.170833575944</v>
      </c>
      <c r="E17" s="712">
        <v>4374.0624390954526</v>
      </c>
      <c r="F17" s="712">
        <v>4378.6267359566227</v>
      </c>
      <c r="G17" s="712">
        <v>4323.6727544031155</v>
      </c>
      <c r="H17" s="712">
        <v>4325.5541262996676</v>
      </c>
      <c r="I17" s="712">
        <v>4302.8568086439664</v>
      </c>
      <c r="J17" s="712">
        <v>4335.9210077222151</v>
      </c>
      <c r="K17" s="712">
        <v>4388.0919241968868</v>
      </c>
      <c r="L17" s="715"/>
      <c r="M17" s="715"/>
      <c r="N17" s="715"/>
      <c r="O17" s="715"/>
      <c r="P17" s="715"/>
      <c r="Q17" s="715"/>
      <c r="R17" s="715"/>
      <c r="S17" s="715"/>
      <c r="T17" s="714"/>
    </row>
    <row r="18" spans="2:20" ht="22" thickBot="1" x14ac:dyDescent="0.25">
      <c r="B18" s="967"/>
      <c r="C18" s="232">
        <v>300</v>
      </c>
      <c r="D18" s="719">
        <v>4543.2645814041462</v>
      </c>
      <c r="E18" s="719">
        <v>4536.9147835428012</v>
      </c>
      <c r="F18" s="719">
        <v>4495.6287096574988</v>
      </c>
      <c r="G18" s="719">
        <v>4505.27720624619</v>
      </c>
      <c r="H18" s="719">
        <v>4463.7974652340035</v>
      </c>
      <c r="I18" s="719">
        <v>4481.4383732545521</v>
      </c>
      <c r="J18" s="719">
        <v>4539.3853254869809</v>
      </c>
      <c r="K18" s="717"/>
      <c r="L18" s="717"/>
      <c r="M18" s="717"/>
      <c r="N18" s="717"/>
      <c r="O18" s="717"/>
      <c r="P18" s="717"/>
      <c r="Q18" s="717"/>
      <c r="R18" s="717"/>
      <c r="S18" s="717"/>
      <c r="T18" s="718"/>
    </row>
    <row r="19" spans="2:20" ht="16" thickBot="1" x14ac:dyDescent="0.25"/>
    <row r="20" spans="2:20" ht="21" x14ac:dyDescent="0.2">
      <c r="B20" s="919" t="s">
        <v>11</v>
      </c>
      <c r="C20" s="920"/>
      <c r="D20" s="5"/>
      <c r="E20" s="5"/>
      <c r="F20" s="5"/>
      <c r="G20" s="5"/>
      <c r="H20" s="18"/>
      <c r="I20" s="18"/>
      <c r="J20" s="18"/>
      <c r="K20" s="19"/>
    </row>
    <row r="21" spans="2:20" ht="16" x14ac:dyDescent="0.2">
      <c r="B21" s="26" t="s">
        <v>12</v>
      </c>
      <c r="C21" s="22">
        <v>350</v>
      </c>
      <c r="D21" s="27" t="s">
        <v>13</v>
      </c>
      <c r="E21" s="6" t="s">
        <v>23</v>
      </c>
      <c r="F21" s="7"/>
      <c r="G21" s="7"/>
      <c r="H21" s="20"/>
      <c r="I21" s="20"/>
      <c r="J21" s="20"/>
      <c r="K21" s="21"/>
    </row>
    <row r="22" spans="2:20" ht="16" x14ac:dyDescent="0.2">
      <c r="B22" s="26" t="s">
        <v>14</v>
      </c>
      <c r="C22" s="22">
        <v>240</v>
      </c>
      <c r="D22" s="27" t="s">
        <v>15</v>
      </c>
      <c r="E22" s="6" t="s">
        <v>24</v>
      </c>
      <c r="F22" s="7"/>
      <c r="G22" s="7"/>
      <c r="H22" s="20"/>
      <c r="I22" s="20"/>
      <c r="J22" s="20"/>
      <c r="K22" s="21"/>
    </row>
    <row r="23" spans="2:20" ht="16" x14ac:dyDescent="0.2">
      <c r="B23" s="8"/>
      <c r="C23" s="9"/>
      <c r="D23" s="9"/>
      <c r="E23" s="9"/>
      <c r="F23" s="7"/>
      <c r="G23" s="7"/>
      <c r="H23" s="20"/>
      <c r="I23" s="20"/>
      <c r="J23" s="20"/>
      <c r="K23" s="21"/>
    </row>
    <row r="24" spans="2:20" ht="16" x14ac:dyDescent="0.2">
      <c r="B24" s="26" t="s">
        <v>25</v>
      </c>
      <c r="C24" s="32" t="e">
        <f ca="1">BicubicInterpolation(C3:T18,C21,C22)</f>
        <v>#NAME?</v>
      </c>
      <c r="D24" s="27" t="s">
        <v>182</v>
      </c>
      <c r="E24" s="7"/>
      <c r="F24" s="7"/>
      <c r="G24" s="7"/>
      <c r="H24" s="20"/>
      <c r="I24" s="20"/>
      <c r="J24" s="20"/>
      <c r="K24" s="21"/>
    </row>
    <row r="25" spans="2:20" ht="17" thickBot="1" x14ac:dyDescent="0.25">
      <c r="B25" s="37"/>
      <c r="C25" s="38"/>
      <c r="D25" s="39"/>
      <c r="E25" s="40"/>
      <c r="F25" s="40"/>
      <c r="G25" s="40"/>
      <c r="H25" s="41"/>
      <c r="I25" s="41"/>
      <c r="J25" s="41"/>
      <c r="K25" s="42"/>
    </row>
  </sheetData>
  <mergeCells count="3">
    <mergeCell ref="D2:T2"/>
    <mergeCell ref="B4:B18"/>
    <mergeCell ref="B20:C20"/>
  </mergeCells>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B1:T25"/>
  <sheetViews>
    <sheetView zoomScale="80" zoomScaleNormal="80" workbookViewId="0">
      <selection activeCell="N38" sqref="N38"/>
    </sheetView>
  </sheetViews>
  <sheetFormatPr baseColWidth="10" defaultColWidth="8.83203125" defaultRowHeight="15" x14ac:dyDescent="0.2"/>
  <cols>
    <col min="1" max="1" width="8.6640625"/>
    <col min="2" max="2" width="16.33203125" customWidth="1"/>
  </cols>
  <sheetData>
    <row r="1" spans="2:20" ht="16" thickBot="1" x14ac:dyDescent="0.25"/>
    <row r="2" spans="2:20" ht="35" thickBot="1" x14ac:dyDescent="0.25">
      <c r="C2" s="235" t="s">
        <v>180</v>
      </c>
      <c r="D2" s="957" t="s">
        <v>10</v>
      </c>
      <c r="E2" s="957"/>
      <c r="F2" s="957"/>
      <c r="G2" s="957"/>
      <c r="H2" s="957"/>
      <c r="I2" s="957"/>
      <c r="J2" s="957"/>
      <c r="K2" s="957"/>
      <c r="L2" s="957"/>
      <c r="M2" s="957"/>
      <c r="N2" s="957"/>
      <c r="O2" s="957"/>
      <c r="P2" s="957"/>
      <c r="Q2" s="957"/>
      <c r="R2" s="957"/>
      <c r="S2" s="957"/>
      <c r="T2" s="958"/>
    </row>
    <row r="3" spans="2:20" ht="22" thickBot="1" x14ac:dyDescent="0.25">
      <c r="C3" s="227"/>
      <c r="D3" s="30">
        <v>270</v>
      </c>
      <c r="E3" s="30">
        <v>280</v>
      </c>
      <c r="F3" s="30">
        <v>290</v>
      </c>
      <c r="G3" s="30">
        <v>300</v>
      </c>
      <c r="H3" s="30">
        <v>310</v>
      </c>
      <c r="I3" s="30">
        <v>320</v>
      </c>
      <c r="J3" s="30">
        <v>330</v>
      </c>
      <c r="K3" s="30">
        <v>340</v>
      </c>
      <c r="L3" s="30">
        <v>350</v>
      </c>
      <c r="M3" s="30">
        <v>360</v>
      </c>
      <c r="N3" s="30">
        <v>370</v>
      </c>
      <c r="O3" s="30">
        <v>380</v>
      </c>
      <c r="P3" s="30">
        <v>390</v>
      </c>
      <c r="Q3" s="30">
        <v>400</v>
      </c>
      <c r="R3" s="30">
        <v>410</v>
      </c>
      <c r="S3" s="30">
        <v>420</v>
      </c>
      <c r="T3" s="14">
        <v>430</v>
      </c>
    </row>
    <row r="4" spans="2:20" ht="21" x14ac:dyDescent="0.2">
      <c r="B4" s="965" t="s">
        <v>34</v>
      </c>
      <c r="C4" s="228">
        <v>160</v>
      </c>
      <c r="D4" s="240">
        <v>0.67638148319437097</v>
      </c>
      <c r="E4" s="240">
        <v>0.6910926949428684</v>
      </c>
      <c r="F4" s="240">
        <v>0.70217432727895224</v>
      </c>
      <c r="G4" s="240">
        <v>0.71075511212562748</v>
      </c>
      <c r="H4" s="240">
        <v>0.71796846196901021</v>
      </c>
      <c r="I4" s="240">
        <v>0.72488621984715929</v>
      </c>
      <c r="J4" s="240">
        <v>0.73244058622460595</v>
      </c>
      <c r="K4" s="240">
        <v>0.74133815335206132</v>
      </c>
      <c r="L4" s="240">
        <v>0.751973347310678</v>
      </c>
      <c r="M4" s="240">
        <v>0.76435301322171756</v>
      </c>
      <c r="N4" s="240">
        <v>0.77799588624192917</v>
      </c>
      <c r="O4" s="240">
        <v>0.79197092054687424</v>
      </c>
      <c r="P4" s="240">
        <v>0.80512446022610684</v>
      </c>
      <c r="Q4" s="240">
        <v>0.81621527805385952</v>
      </c>
      <c r="R4" s="240">
        <v>0.82419027768816555</v>
      </c>
      <c r="S4" s="240">
        <v>0.82851605375662418</v>
      </c>
      <c r="T4" s="241">
        <v>0.82949560025582059</v>
      </c>
    </row>
    <row r="5" spans="2:20" ht="21" x14ac:dyDescent="0.2">
      <c r="B5" s="966"/>
      <c r="C5" s="228">
        <v>170</v>
      </c>
      <c r="D5" s="240">
        <v>0.69542293703833258</v>
      </c>
      <c r="E5" s="240">
        <v>0.70537588088661662</v>
      </c>
      <c r="F5" s="240">
        <v>0.71327172459992572</v>
      </c>
      <c r="G5" s="240">
        <v>0.72019305232940378</v>
      </c>
      <c r="H5" s="240">
        <v>0.72713981784446402</v>
      </c>
      <c r="I5" s="240">
        <v>0.73495262341982526</v>
      </c>
      <c r="J5" s="240">
        <v>0.74423042910899051</v>
      </c>
      <c r="K5" s="240">
        <v>0.75525061461904353</v>
      </c>
      <c r="L5" s="240">
        <v>0.76790365710898945</v>
      </c>
      <c r="M5" s="240">
        <v>0.78165978777841616</v>
      </c>
      <c r="N5" s="240">
        <v>0.79553857439679987</v>
      </c>
      <c r="O5" s="240">
        <v>0.80827066586127938</v>
      </c>
      <c r="P5" s="240">
        <v>0.81863382003876095</v>
      </c>
      <c r="Q5" s="240">
        <v>0.82567765381328084</v>
      </c>
      <c r="R5" s="240">
        <v>0.82905995435821245</v>
      </c>
      <c r="S5" s="240">
        <v>0.82933946929719093</v>
      </c>
      <c r="T5" s="241">
        <v>0.8280519912928781</v>
      </c>
    </row>
    <row r="6" spans="2:20" ht="21" x14ac:dyDescent="0.2">
      <c r="B6" s="966"/>
      <c r="C6" s="228">
        <v>180</v>
      </c>
      <c r="D6" s="240">
        <v>0.70775569524178805</v>
      </c>
      <c r="E6" s="240">
        <v>0.71519467828212036</v>
      </c>
      <c r="F6" s="240">
        <v>0.72195569825404171</v>
      </c>
      <c r="G6" s="240">
        <v>0.7289735170508238</v>
      </c>
      <c r="H6" s="240">
        <v>0.73701017098024169</v>
      </c>
      <c r="I6" s="240">
        <v>0.74657670522607555</v>
      </c>
      <c r="J6" s="240">
        <v>0.75785953266032269</v>
      </c>
      <c r="K6" s="240">
        <v>0.77066387654682655</v>
      </c>
      <c r="L6" s="240">
        <v>0.78439153257894823</v>
      </c>
      <c r="M6" s="240">
        <v>0.79807478341135063</v>
      </c>
      <c r="N6" s="240">
        <v>0.810448004465809</v>
      </c>
      <c r="O6" s="240">
        <v>0.82024216165703956</v>
      </c>
      <c r="P6" s="240">
        <v>0.8265953371033623</v>
      </c>
      <c r="Q6" s="240">
        <v>0.82931689696174715</v>
      </c>
      <c r="R6" s="240">
        <v>0.82915536347393493</v>
      </c>
      <c r="S6" s="240">
        <v>0.82780376952138135</v>
      </c>
      <c r="T6" s="241">
        <v>0.82729583832524478</v>
      </c>
    </row>
    <row r="7" spans="2:20" ht="21" x14ac:dyDescent="0.2">
      <c r="B7" s="966"/>
      <c r="C7" s="228">
        <v>190</v>
      </c>
      <c r="D7" s="240">
        <v>0.71665229275095743</v>
      </c>
      <c r="E7" s="240">
        <v>0.72332453920336448</v>
      </c>
      <c r="F7" s="240">
        <v>0.73041551439720298</v>
      </c>
      <c r="G7" s="240">
        <v>0.7386223873681369</v>
      </c>
      <c r="H7" s="240">
        <v>0.74838723467333712</v>
      </c>
      <c r="I7" s="240">
        <v>0.75982903630236698</v>
      </c>
      <c r="J7" s="240">
        <v>0.77269430786521065</v>
      </c>
      <c r="K7" s="240">
        <v>0.7863432063250051</v>
      </c>
      <c r="L7" s="240">
        <v>0.7997920380142215</v>
      </c>
      <c r="M7" s="240">
        <v>0.81183507529781729</v>
      </c>
      <c r="N7" s="240">
        <v>0.82123552586410531</v>
      </c>
      <c r="O7" s="240">
        <v>0.82712822498386984</v>
      </c>
      <c r="P7" s="240">
        <v>0.82942778725167399</v>
      </c>
      <c r="Q7" s="240">
        <v>0.82900881058381781</v>
      </c>
      <c r="R7" s="240">
        <v>0.82765752880540355</v>
      </c>
      <c r="S7" s="240">
        <v>0.82735693632684515</v>
      </c>
      <c r="T7" s="241">
        <v>0.8282837247956305</v>
      </c>
    </row>
    <row r="8" spans="2:20" ht="21" x14ac:dyDescent="0.2">
      <c r="B8" s="966"/>
      <c r="C8" s="228">
        <v>200</v>
      </c>
      <c r="D8" s="240">
        <v>0.72434396601407991</v>
      </c>
      <c r="E8" s="240">
        <v>0.73148853414369563</v>
      </c>
      <c r="F8" s="240">
        <v>0.73980554637252594</v>
      </c>
      <c r="G8" s="240">
        <v>0.74968551363516933</v>
      </c>
      <c r="H8" s="240">
        <v>0.76120062205871941</v>
      </c>
      <c r="I8" s="240">
        <v>0.77406093486981942</v>
      </c>
      <c r="J8" s="240">
        <v>0.78760623676049157</v>
      </c>
      <c r="K8" s="240">
        <v>0.80085343941874665</v>
      </c>
      <c r="L8" s="240">
        <v>0.81262093969833038</v>
      </c>
      <c r="M8" s="240">
        <v>0.82174725752331301</v>
      </c>
      <c r="N8" s="240">
        <v>0.82739113520146568</v>
      </c>
      <c r="O8" s="240">
        <v>0.82946919215838144</v>
      </c>
      <c r="P8" s="240">
        <v>0.82892348992220832</v>
      </c>
      <c r="Q8" s="240">
        <v>0.82758622004154048</v>
      </c>
      <c r="R8" s="240">
        <v>0.82740088556577707</v>
      </c>
      <c r="S8" s="240">
        <v>0.82830187476812811</v>
      </c>
      <c r="T8" s="236"/>
    </row>
    <row r="9" spans="2:20" ht="21" x14ac:dyDescent="0.2">
      <c r="B9" s="966"/>
      <c r="C9" s="228">
        <v>210</v>
      </c>
      <c r="D9" s="240">
        <v>0.73222308818446968</v>
      </c>
      <c r="E9" s="240">
        <v>0.74058278512658604</v>
      </c>
      <c r="F9" s="240">
        <v>0.75050384343728715</v>
      </c>
      <c r="G9" s="240">
        <v>0.76202173723209232</v>
      </c>
      <c r="H9" s="240">
        <v>0.77482857110056569</v>
      </c>
      <c r="I9" s="240">
        <v>0.7882606525039606</v>
      </c>
      <c r="J9" s="240">
        <v>0.80134763721871805</v>
      </c>
      <c r="K9" s="240">
        <v>0.81293559303442731</v>
      </c>
      <c r="L9" s="240">
        <v>0.82189983838746872</v>
      </c>
      <c r="M9" s="240">
        <v>0.82744816114305131</v>
      </c>
      <c r="N9" s="240">
        <v>0.82947680898758058</v>
      </c>
      <c r="O9" s="240">
        <v>0.8289037620279226</v>
      </c>
      <c r="P9" s="240">
        <v>0.82757096243227513</v>
      </c>
      <c r="Q9" s="240">
        <v>0.82741177925283638</v>
      </c>
      <c r="R9" s="240">
        <v>0.8283033981437633</v>
      </c>
      <c r="S9" s="237"/>
      <c r="T9" s="236"/>
    </row>
    <row r="10" spans="2:20" ht="21" x14ac:dyDescent="0.2">
      <c r="B10" s="966"/>
      <c r="C10" s="228">
        <v>220</v>
      </c>
      <c r="D10" s="240">
        <v>0.74098247384073568</v>
      </c>
      <c r="E10" s="240">
        <v>0.75087966976008524</v>
      </c>
      <c r="F10" s="240">
        <v>0.762341589904037</v>
      </c>
      <c r="G10" s="240">
        <v>0.77505770371353766</v>
      </c>
      <c r="H10" s="240">
        <v>0.78837439899276229</v>
      </c>
      <c r="I10" s="240">
        <v>0.80134326045131721</v>
      </c>
      <c r="J10" s="240">
        <v>0.81283977299339527</v>
      </c>
      <c r="K10" s="240">
        <v>0.82176730221935779</v>
      </c>
      <c r="L10" s="240">
        <v>0.82734692911088359</v>
      </c>
      <c r="M10" s="240">
        <v>0.82945991583615175</v>
      </c>
      <c r="N10" s="240">
        <v>0.82894543927115372</v>
      </c>
      <c r="O10" s="240">
        <v>0.82760372076643207</v>
      </c>
      <c r="P10" s="240">
        <v>0.8273890751036499</v>
      </c>
      <c r="Q10" s="240">
        <v>0.82829898953800218</v>
      </c>
      <c r="R10" s="237"/>
      <c r="S10" s="237"/>
      <c r="T10" s="236"/>
    </row>
    <row r="11" spans="2:20" ht="21" x14ac:dyDescent="0.2">
      <c r="B11" s="966"/>
      <c r="C11" s="228">
        <v>230</v>
      </c>
      <c r="D11" s="240">
        <v>0.75085296192932038</v>
      </c>
      <c r="E11" s="240">
        <v>0.76220879623496152</v>
      </c>
      <c r="F11" s="240">
        <v>0.77480345469587331</v>
      </c>
      <c r="G11" s="240">
        <v>0.78800446735406326</v>
      </c>
      <c r="H11" s="240">
        <v>0.80089268596867269</v>
      </c>
      <c r="I11" s="240">
        <v>0.81237423609286052</v>
      </c>
      <c r="J11" s="240">
        <v>0.82137330902397265</v>
      </c>
      <c r="K11" s="240">
        <v>0.82710707859559862</v>
      </c>
      <c r="L11" s="240">
        <v>0.82941338828881583</v>
      </c>
      <c r="M11" s="240">
        <v>0.82903935515250671</v>
      </c>
      <c r="N11" s="240">
        <v>0.82768537221281402</v>
      </c>
      <c r="O11" s="240">
        <v>0.82734254820230602</v>
      </c>
      <c r="P11" s="240">
        <v>0.82827270724186175</v>
      </c>
      <c r="Q11" s="237"/>
      <c r="R11" s="237"/>
      <c r="S11" s="237"/>
      <c r="T11" s="236"/>
    </row>
    <row r="12" spans="2:20" ht="21" x14ac:dyDescent="0.2">
      <c r="B12" s="966"/>
      <c r="C12" s="228">
        <v>240</v>
      </c>
      <c r="D12" s="240">
        <v>0.76167026242076941</v>
      </c>
      <c r="E12" s="240">
        <v>0.77411574926653237</v>
      </c>
      <c r="F12" s="240">
        <v>0.78719883131588231</v>
      </c>
      <c r="G12" s="240">
        <v>0.80003588709096729</v>
      </c>
      <c r="H12" s="240">
        <v>0.81156518852017479</v>
      </c>
      <c r="I12" s="240">
        <v>0.82072674955429925</v>
      </c>
      <c r="J12" s="240">
        <v>0.82672111200058751</v>
      </c>
      <c r="K12" s="240">
        <v>0.82932239172786804</v>
      </c>
      <c r="L12" s="240">
        <v>0.82916538816800378</v>
      </c>
      <c r="M12" s="240">
        <v>0.82782176535232266</v>
      </c>
      <c r="N12" s="240">
        <v>0.82729054959184334</v>
      </c>
      <c r="O12" s="240">
        <v>0.82819790567827578</v>
      </c>
      <c r="P12" s="237"/>
      <c r="Q12" s="237"/>
      <c r="R12" s="237"/>
      <c r="S12" s="237"/>
      <c r="T12" s="236"/>
    </row>
    <row r="13" spans="2:20" ht="21" x14ac:dyDescent="0.2">
      <c r="B13" s="966"/>
      <c r="C13" s="228">
        <v>250</v>
      </c>
      <c r="D13" s="240">
        <v>0.77304008118831535</v>
      </c>
      <c r="E13" s="240">
        <v>0.78599860698018542</v>
      </c>
      <c r="F13" s="240">
        <v>0.79880396823073863</v>
      </c>
      <c r="G13" s="240">
        <v>0.81042881386445398</v>
      </c>
      <c r="H13" s="240">
        <v>0.81982648202596398</v>
      </c>
      <c r="I13" s="240">
        <v>0.82617265046322363</v>
      </c>
      <c r="J13" s="240">
        <v>0.82916339618855961</v>
      </c>
      <c r="K13" s="240">
        <v>0.82930157312553776</v>
      </c>
      <c r="L13" s="240">
        <v>0.82801173857474641</v>
      </c>
      <c r="M13" s="240">
        <v>0.82725897783834001</v>
      </c>
      <c r="N13" s="240">
        <v>0.82805625324671706</v>
      </c>
      <c r="O13" s="237"/>
      <c r="P13" s="237"/>
      <c r="Q13" s="237"/>
      <c r="R13" s="237"/>
      <c r="S13" s="237"/>
      <c r="T13" s="236"/>
    </row>
    <row r="14" spans="2:20" ht="21" x14ac:dyDescent="0.2">
      <c r="B14" s="966"/>
      <c r="C14" s="228">
        <v>260</v>
      </c>
      <c r="D14" s="240">
        <v>0.78444011440363193</v>
      </c>
      <c r="E14" s="240">
        <v>0.79722222874058479</v>
      </c>
      <c r="F14" s="240">
        <v>0.80897498966847348</v>
      </c>
      <c r="G14" s="240">
        <v>0.81866506935514516</v>
      </c>
      <c r="H14" s="240">
        <v>0.82543933278912607</v>
      </c>
      <c r="I14" s="240">
        <v>0.82890715485309874</v>
      </c>
      <c r="J14" s="240">
        <v>0.82942521451264029</v>
      </c>
      <c r="K14" s="240">
        <v>0.82824954287872066</v>
      </c>
      <c r="L14" s="240">
        <v>0.82727715598552876</v>
      </c>
      <c r="M14" s="240">
        <v>0.82785180518072576</v>
      </c>
      <c r="N14" s="240">
        <v>0.82770045244945778</v>
      </c>
      <c r="O14" s="237"/>
      <c r="P14" s="237"/>
      <c r="Q14" s="237"/>
      <c r="R14" s="237"/>
      <c r="S14" s="237"/>
      <c r="T14" s="236"/>
    </row>
    <row r="15" spans="2:20" ht="21" x14ac:dyDescent="0.2">
      <c r="B15" s="966"/>
      <c r="C15" s="228">
        <v>270</v>
      </c>
      <c r="D15" s="240">
        <v>0.7953127153514663</v>
      </c>
      <c r="E15" s="240">
        <v>0.80721031392457199</v>
      </c>
      <c r="F15" s="240">
        <v>0.81723180683040342</v>
      </c>
      <c r="G15" s="240">
        <v>0.82449521611894572</v>
      </c>
      <c r="H15" s="240">
        <v>0.82851979948397569</v>
      </c>
      <c r="I15" s="240">
        <v>0.82950723221411005</v>
      </c>
      <c r="J15" s="240">
        <v>0.82852629490101415</v>
      </c>
      <c r="K15" s="240">
        <v>0.82736735892844904</v>
      </c>
      <c r="L15" s="240">
        <v>0.82762115991520735</v>
      </c>
      <c r="M15" s="240">
        <v>0.82817682073464316</v>
      </c>
      <c r="N15" s="237"/>
      <c r="O15" s="237"/>
      <c r="P15" s="237"/>
      <c r="Q15" s="237"/>
      <c r="R15" s="237"/>
      <c r="S15" s="237"/>
      <c r="T15" s="236"/>
    </row>
    <row r="16" spans="2:20" ht="21" x14ac:dyDescent="0.2">
      <c r="B16" s="966"/>
      <c r="C16" s="228">
        <v>280</v>
      </c>
      <c r="D16" s="240">
        <v>0.80514054753434061</v>
      </c>
      <c r="E16" s="240">
        <v>0.81551523163775153</v>
      </c>
      <c r="F16" s="240">
        <v>0.8233129195172233</v>
      </c>
      <c r="G16" s="240">
        <v>0.82796411911925383</v>
      </c>
      <c r="H16" s="240">
        <v>0.82951206401216449</v>
      </c>
      <c r="I16" s="240">
        <v>0.82882369269085632</v>
      </c>
      <c r="J16" s="240">
        <v>0.8275432218890505</v>
      </c>
      <c r="K16" s="240">
        <v>0.82741558897094269</v>
      </c>
      <c r="L16" s="240">
        <v>0.82830259662275907</v>
      </c>
      <c r="M16" s="237"/>
      <c r="N16" s="237"/>
      <c r="O16" s="237"/>
      <c r="P16" s="237"/>
      <c r="Q16" s="237"/>
      <c r="R16" s="237"/>
      <c r="S16" s="237"/>
      <c r="T16" s="236"/>
    </row>
    <row r="17" spans="2:20" ht="21" x14ac:dyDescent="0.2">
      <c r="B17" s="966"/>
      <c r="C17" s="231">
        <v>290</v>
      </c>
      <c r="D17" s="240">
        <v>0.81350522406731673</v>
      </c>
      <c r="E17" s="240">
        <v>0.82186562137476771</v>
      </c>
      <c r="F17" s="240">
        <v>0.82720110816926407</v>
      </c>
      <c r="G17" s="240">
        <v>0.82939829865652437</v>
      </c>
      <c r="H17" s="240">
        <v>0.82911299176805553</v>
      </c>
      <c r="I17" s="240">
        <v>0.82780697442689499</v>
      </c>
      <c r="J17" s="240">
        <v>0.82728396348281097</v>
      </c>
      <c r="K17" s="240">
        <v>0.82816150499596752</v>
      </c>
      <c r="L17" s="237"/>
      <c r="M17" s="237"/>
      <c r="N17" s="237"/>
      <c r="O17" s="237"/>
      <c r="P17" s="237"/>
      <c r="Q17" s="237"/>
      <c r="R17" s="237"/>
      <c r="S17" s="237"/>
      <c r="T17" s="236"/>
    </row>
    <row r="18" spans="2:20" ht="22" thickBot="1" x14ac:dyDescent="0.25">
      <c r="B18" s="967"/>
      <c r="C18" s="232">
        <v>300</v>
      </c>
      <c r="D18" s="242">
        <v>0.82012893336282999</v>
      </c>
      <c r="E18" s="242">
        <v>0.8261917646232706</v>
      </c>
      <c r="F18" s="242">
        <v>0.82912001632091126</v>
      </c>
      <c r="G18" s="242">
        <v>0.82935507469517988</v>
      </c>
      <c r="H18" s="242">
        <v>0.82814642131336702</v>
      </c>
      <c r="I18" s="242">
        <v>0.82726663105613696</v>
      </c>
      <c r="J18" s="242">
        <v>0.82787474328230803</v>
      </c>
      <c r="K18" s="238"/>
      <c r="L18" s="238"/>
      <c r="M18" s="238"/>
      <c r="N18" s="238"/>
      <c r="O18" s="238"/>
      <c r="P18" s="238"/>
      <c r="Q18" s="238"/>
      <c r="R18" s="238"/>
      <c r="S18" s="238"/>
      <c r="T18" s="239"/>
    </row>
    <row r="19" spans="2:20" ht="16" thickBot="1" x14ac:dyDescent="0.25"/>
    <row r="20" spans="2:20" ht="21" x14ac:dyDescent="0.2">
      <c r="B20" s="919" t="s">
        <v>11</v>
      </c>
      <c r="C20" s="920"/>
      <c r="D20" s="5"/>
      <c r="E20" s="5"/>
      <c r="F20" s="5"/>
      <c r="G20" s="5"/>
      <c r="H20" s="18"/>
      <c r="I20" s="18"/>
      <c r="J20" s="18"/>
      <c r="K20" s="19"/>
    </row>
    <row r="21" spans="2:20" ht="16" x14ac:dyDescent="0.2">
      <c r="B21" s="26" t="s">
        <v>12</v>
      </c>
      <c r="C21" s="22">
        <v>350</v>
      </c>
      <c r="D21" s="27" t="s">
        <v>13</v>
      </c>
      <c r="E21" s="6" t="s">
        <v>23</v>
      </c>
      <c r="F21" s="7"/>
      <c r="G21" s="7"/>
      <c r="H21" s="20"/>
      <c r="I21" s="20"/>
      <c r="J21" s="20"/>
      <c r="K21" s="21"/>
    </row>
    <row r="22" spans="2:20" ht="16" x14ac:dyDescent="0.2">
      <c r="B22" s="26" t="s">
        <v>14</v>
      </c>
      <c r="C22" s="22">
        <v>240</v>
      </c>
      <c r="D22" s="27" t="s">
        <v>15</v>
      </c>
      <c r="E22" s="6" t="s">
        <v>24</v>
      </c>
      <c r="F22" s="7"/>
      <c r="G22" s="7"/>
      <c r="H22" s="20"/>
      <c r="I22" s="20"/>
      <c r="J22" s="20"/>
      <c r="K22" s="21"/>
    </row>
    <row r="23" spans="2:20" ht="16" x14ac:dyDescent="0.2">
      <c r="B23" s="8"/>
      <c r="C23" s="9"/>
      <c r="D23" s="9"/>
      <c r="E23" s="9"/>
      <c r="F23" s="7"/>
      <c r="G23" s="7"/>
      <c r="H23" s="20"/>
      <c r="I23" s="20"/>
      <c r="J23" s="20"/>
      <c r="K23" s="21"/>
    </row>
    <row r="24" spans="2:20" ht="16" x14ac:dyDescent="0.2">
      <c r="B24" s="26" t="s">
        <v>27</v>
      </c>
      <c r="C24" s="43" t="e">
        <f ca="1">BicubicInterpolation(C3:T18,C21,C22)</f>
        <v>#NAME?</v>
      </c>
      <c r="D24" s="27" t="s">
        <v>182</v>
      </c>
      <c r="E24" s="7"/>
      <c r="F24" s="7"/>
      <c r="G24" s="7"/>
      <c r="H24" s="20"/>
      <c r="I24" s="20"/>
      <c r="J24" s="20"/>
      <c r="K24" s="21"/>
    </row>
    <row r="25" spans="2:20" ht="17" thickBot="1" x14ac:dyDescent="0.25">
      <c r="B25" s="37"/>
      <c r="C25" s="38"/>
      <c r="D25" s="39"/>
      <c r="E25" s="40"/>
      <c r="F25" s="40"/>
      <c r="G25" s="40"/>
      <c r="H25" s="41"/>
      <c r="I25" s="41"/>
      <c r="J25" s="41"/>
      <c r="K25" s="42"/>
    </row>
  </sheetData>
  <mergeCells count="3">
    <mergeCell ref="D2:T2"/>
    <mergeCell ref="B4:B18"/>
    <mergeCell ref="B20:C20"/>
  </mergeCell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B1:T25"/>
  <sheetViews>
    <sheetView zoomScale="80" zoomScaleNormal="80" workbookViewId="0">
      <selection activeCell="L21" sqref="L21"/>
    </sheetView>
  </sheetViews>
  <sheetFormatPr baseColWidth="10" defaultColWidth="8.83203125" defaultRowHeight="15" x14ac:dyDescent="0.2"/>
  <cols>
    <col min="2" max="2" width="16.33203125" customWidth="1"/>
  </cols>
  <sheetData>
    <row r="1" spans="2:20" ht="16" thickBot="1" x14ac:dyDescent="0.25"/>
    <row r="2" spans="2:20" ht="52" thickBot="1" x14ac:dyDescent="0.25">
      <c r="C2" s="235" t="s">
        <v>181</v>
      </c>
      <c r="D2" s="957" t="s">
        <v>10</v>
      </c>
      <c r="E2" s="957"/>
      <c r="F2" s="957"/>
      <c r="G2" s="957"/>
      <c r="H2" s="957"/>
      <c r="I2" s="957"/>
      <c r="J2" s="957"/>
      <c r="K2" s="957"/>
      <c r="L2" s="957"/>
      <c r="M2" s="957"/>
      <c r="N2" s="957"/>
      <c r="O2" s="957"/>
      <c r="P2" s="957"/>
      <c r="Q2" s="957"/>
      <c r="R2" s="957"/>
      <c r="S2" s="957"/>
      <c r="T2" s="958"/>
    </row>
    <row r="3" spans="2:20" ht="22" thickBot="1" x14ac:dyDescent="0.25">
      <c r="C3" s="227"/>
      <c r="D3" s="30">
        <v>270</v>
      </c>
      <c r="E3" s="30">
        <v>280</v>
      </c>
      <c r="F3" s="30">
        <v>290</v>
      </c>
      <c r="G3" s="30">
        <v>300</v>
      </c>
      <c r="H3" s="30">
        <v>310</v>
      </c>
      <c r="I3" s="30">
        <v>320</v>
      </c>
      <c r="J3" s="30">
        <v>330</v>
      </c>
      <c r="K3" s="30">
        <v>340</v>
      </c>
      <c r="L3" s="30">
        <v>350</v>
      </c>
      <c r="M3" s="30">
        <v>360</v>
      </c>
      <c r="N3" s="30">
        <v>370</v>
      </c>
      <c r="O3" s="30">
        <v>380</v>
      </c>
      <c r="P3" s="30">
        <v>390</v>
      </c>
      <c r="Q3" s="30">
        <v>400</v>
      </c>
      <c r="R3" s="30">
        <v>410</v>
      </c>
      <c r="S3" s="30">
        <v>420</v>
      </c>
      <c r="T3" s="14">
        <v>430</v>
      </c>
    </row>
    <row r="4" spans="2:20" ht="21" x14ac:dyDescent="0.2">
      <c r="B4" s="965" t="s">
        <v>34</v>
      </c>
      <c r="C4" s="228">
        <v>160</v>
      </c>
      <c r="D4" s="706">
        <v>2588.3321258502961</v>
      </c>
      <c r="E4" s="707">
        <v>2590.2386298540573</v>
      </c>
      <c r="F4" s="707">
        <v>2573.1790032755021</v>
      </c>
      <c r="G4" s="707">
        <v>2544.1004964738167</v>
      </c>
      <c r="H4" s="708">
        <v>2510.0815761238778</v>
      </c>
      <c r="I4" s="708">
        <v>2477.755216719665</v>
      </c>
      <c r="J4" s="708">
        <v>2452.0737039506739</v>
      </c>
      <c r="K4" s="708">
        <v>2434.343338809761</v>
      </c>
      <c r="L4" s="708">
        <v>2419.4085904149674</v>
      </c>
      <c r="M4" s="708">
        <v>2406.5546227990485</v>
      </c>
      <c r="N4" s="708">
        <v>2418.5302514022496</v>
      </c>
      <c r="O4" s="708">
        <v>2444.9954302533174</v>
      </c>
      <c r="P4" s="708">
        <v>2452.7344260279842</v>
      </c>
      <c r="Q4" s="708">
        <v>2442.9009992118272</v>
      </c>
      <c r="R4" s="708">
        <v>2445.2858732311388</v>
      </c>
      <c r="S4" s="708">
        <v>2434.421981982598</v>
      </c>
      <c r="T4" s="709">
        <v>2444.1738675563697</v>
      </c>
    </row>
    <row r="5" spans="2:20" ht="21" x14ac:dyDescent="0.2">
      <c r="B5" s="966"/>
      <c r="C5" s="228">
        <v>170</v>
      </c>
      <c r="D5" s="710">
        <v>2755.0375081005336</v>
      </c>
      <c r="E5" s="711">
        <v>2731.6281268487037</v>
      </c>
      <c r="F5" s="711">
        <v>2698.1803148205863</v>
      </c>
      <c r="G5" s="711">
        <v>2662.0906638088904</v>
      </c>
      <c r="H5" s="712">
        <v>2629.6260472072945</v>
      </c>
      <c r="I5" s="712">
        <v>2605.1797329625388</v>
      </c>
      <c r="J5" s="712">
        <v>2587.9263558299349</v>
      </c>
      <c r="K5" s="712">
        <v>2572.2839590960557</v>
      </c>
      <c r="L5" s="712">
        <v>2561.0827833627327</v>
      </c>
      <c r="M5" s="712">
        <v>2565.2825257842887</v>
      </c>
      <c r="N5" s="712">
        <v>2591.1985516403056</v>
      </c>
      <c r="O5" s="712">
        <v>2590.6474189514388</v>
      </c>
      <c r="P5" s="712">
        <v>2581.96238818547</v>
      </c>
      <c r="Q5" s="712">
        <v>2589.6944389837449</v>
      </c>
      <c r="R5" s="712">
        <v>2566.1307561552067</v>
      </c>
      <c r="S5" s="712">
        <v>2577.2664096450244</v>
      </c>
      <c r="T5" s="713">
        <v>2565.6158701599811</v>
      </c>
    </row>
    <row r="6" spans="2:20" ht="21" x14ac:dyDescent="0.2">
      <c r="B6" s="966"/>
      <c r="C6" s="228">
        <v>180</v>
      </c>
      <c r="D6" s="824">
        <v>2891</v>
      </c>
      <c r="E6" s="711">
        <v>2854.2752204723652</v>
      </c>
      <c r="F6" s="711">
        <v>2816.6673669623074</v>
      </c>
      <c r="G6" s="711">
        <v>2784.2234945697078</v>
      </c>
      <c r="H6" s="712">
        <v>2760.7309346724987</v>
      </c>
      <c r="I6" s="712">
        <v>2743.3411998889637</v>
      </c>
      <c r="J6" s="712">
        <v>2727.027012328917</v>
      </c>
      <c r="K6" s="712">
        <v>2717.7816792837043</v>
      </c>
      <c r="L6" s="712">
        <v>2725.9835222818392</v>
      </c>
      <c r="M6" s="712">
        <v>2736.2417126359524</v>
      </c>
      <c r="N6" s="712">
        <v>2728.6967072646762</v>
      </c>
      <c r="O6" s="712">
        <v>2722.2242061752718</v>
      </c>
      <c r="P6" s="712">
        <v>2732.1743500732309</v>
      </c>
      <c r="Q6" s="712">
        <v>2707.6337255317781</v>
      </c>
      <c r="R6" s="712">
        <v>2709.7452769434963</v>
      </c>
      <c r="S6" s="712">
        <v>2705.2835567999914</v>
      </c>
      <c r="T6" s="713">
        <v>2734.4824550783678</v>
      </c>
    </row>
    <row r="7" spans="2:20" ht="21" x14ac:dyDescent="0.2">
      <c r="B7" s="966"/>
      <c r="C7" s="228">
        <v>190</v>
      </c>
      <c r="D7" s="710">
        <v>3012.7800175384727</v>
      </c>
      <c r="E7" s="711">
        <v>2973.8250573640476</v>
      </c>
      <c r="F7" s="711">
        <v>2941.3838976388165</v>
      </c>
      <c r="G7" s="711">
        <v>2918.4124128195076</v>
      </c>
      <c r="H7" s="712">
        <v>2900.5186666642212</v>
      </c>
      <c r="I7" s="712">
        <v>2883.5236471432572</v>
      </c>
      <c r="J7" s="712">
        <v>2876.1981900853916</v>
      </c>
      <c r="K7" s="712">
        <v>2887.3923191833178</v>
      </c>
      <c r="L7" s="712">
        <v>2895.1160061413134</v>
      </c>
      <c r="M7" s="712">
        <v>2869.1978685989675</v>
      </c>
      <c r="N7" s="712">
        <v>2862.5846419215231</v>
      </c>
      <c r="O7" s="712">
        <v>2871.9611482363853</v>
      </c>
      <c r="P7" s="712">
        <v>2852.1977709991297</v>
      </c>
      <c r="Q7" s="712">
        <v>2845.8087682258438</v>
      </c>
      <c r="R7" s="712">
        <v>2845.7018292657358</v>
      </c>
      <c r="S7" s="712">
        <v>2882.1525424297852</v>
      </c>
      <c r="T7" s="713">
        <v>2945.0334535406832</v>
      </c>
    </row>
    <row r="8" spans="2:20" ht="21" x14ac:dyDescent="0.2">
      <c r="B8" s="966"/>
      <c r="C8" s="228">
        <v>200</v>
      </c>
      <c r="D8" s="710">
        <v>3133.5372796981101</v>
      </c>
      <c r="E8" s="711">
        <v>3100.8711935867882</v>
      </c>
      <c r="F8" s="711">
        <v>3077.9936510856069</v>
      </c>
      <c r="G8" s="711">
        <v>3059.3993383739326</v>
      </c>
      <c r="H8" s="712">
        <v>3041.9960124790196</v>
      </c>
      <c r="I8" s="712">
        <v>3036.1334788141216</v>
      </c>
      <c r="J8" s="712">
        <v>3049.2711105801732</v>
      </c>
      <c r="K8" s="712">
        <v>3054.6207791821093</v>
      </c>
      <c r="L8" s="712">
        <v>3026.2230567887259</v>
      </c>
      <c r="M8" s="712">
        <v>3004.5671723060509</v>
      </c>
      <c r="N8" s="712">
        <v>3010.8990413254646</v>
      </c>
      <c r="O8" s="712">
        <v>2995.2019711847247</v>
      </c>
      <c r="P8" s="712">
        <v>2983.8771745310491</v>
      </c>
      <c r="Q8" s="712">
        <v>2986.1154405537272</v>
      </c>
      <c r="R8" s="712">
        <v>3027.2650255284002</v>
      </c>
      <c r="S8" s="712">
        <v>3100.713541504294</v>
      </c>
      <c r="T8" s="714"/>
    </row>
    <row r="9" spans="2:20" ht="21" x14ac:dyDescent="0.2">
      <c r="B9" s="966"/>
      <c r="C9" s="228">
        <v>210</v>
      </c>
      <c r="D9" s="710">
        <v>3262.4739679129302</v>
      </c>
      <c r="E9" s="711">
        <v>3239.2669310394899</v>
      </c>
      <c r="F9" s="711">
        <v>3219.9235679528642</v>
      </c>
      <c r="G9" s="711">
        <v>3202.0817040538377</v>
      </c>
      <c r="H9" s="712">
        <v>3197.0945664020974</v>
      </c>
      <c r="I9" s="712">
        <v>3211.5384836005433</v>
      </c>
      <c r="J9" s="712">
        <v>3215.5861060221464</v>
      </c>
      <c r="K9" s="712">
        <v>3185.4032469221415</v>
      </c>
      <c r="L9" s="712">
        <v>3163.1890332680096</v>
      </c>
      <c r="M9" s="712">
        <v>3152.5872702515703</v>
      </c>
      <c r="N9" s="712">
        <v>3135.7725859489351</v>
      </c>
      <c r="O9" s="712">
        <v>3122.8846650356072</v>
      </c>
      <c r="P9" s="712">
        <v>3125.7334260412981</v>
      </c>
      <c r="Q9" s="712">
        <v>3169.5590614027742</v>
      </c>
      <c r="R9" s="712">
        <v>3248.721890992515</v>
      </c>
      <c r="S9" s="715"/>
      <c r="T9" s="714"/>
    </row>
    <row r="10" spans="2:20" ht="21" x14ac:dyDescent="0.2">
      <c r="B10" s="966"/>
      <c r="C10" s="228">
        <v>220</v>
      </c>
      <c r="D10" s="710">
        <v>3402.2711560967982</v>
      </c>
      <c r="E10" s="711">
        <v>3382.1099617101108</v>
      </c>
      <c r="F10" s="711">
        <v>3363.6657609472318</v>
      </c>
      <c r="G10" s="711">
        <v>3358.8761458611848</v>
      </c>
      <c r="H10" s="712">
        <v>3374.1462306444814</v>
      </c>
      <c r="I10" s="712">
        <v>3378.2647928231531</v>
      </c>
      <c r="J10" s="712">
        <v>3346.7423370633364</v>
      </c>
      <c r="K10" s="712">
        <v>3323.2647449778442</v>
      </c>
      <c r="L10" s="712">
        <v>3313.273615884902</v>
      </c>
      <c r="M10" s="712">
        <v>3275.4725963250526</v>
      </c>
      <c r="N10" s="712">
        <v>3262.5137376453431</v>
      </c>
      <c r="O10" s="712">
        <v>3264.3756551821484</v>
      </c>
      <c r="P10" s="712">
        <v>3308.8940129582988</v>
      </c>
      <c r="Q10" s="712">
        <v>3387.4390884050376</v>
      </c>
      <c r="R10" s="715"/>
      <c r="S10" s="715"/>
      <c r="T10" s="714"/>
    </row>
    <row r="11" spans="2:20" ht="21" x14ac:dyDescent="0.2">
      <c r="B11" s="966"/>
      <c r="C11" s="228">
        <v>230</v>
      </c>
      <c r="D11" s="710">
        <v>3545.992524835453</v>
      </c>
      <c r="E11" s="711">
        <v>3526.7005088087571</v>
      </c>
      <c r="F11" s="711">
        <v>3521.3832071145885</v>
      </c>
      <c r="G11" s="711">
        <v>3537.0319264330101</v>
      </c>
      <c r="H11" s="712">
        <v>3542.6516303056042</v>
      </c>
      <c r="I11" s="712">
        <v>3510.2605513557196</v>
      </c>
      <c r="J11" s="712">
        <v>3484.8470463348053</v>
      </c>
      <c r="K11" s="712">
        <v>3476.4940426174953</v>
      </c>
      <c r="L11" s="712">
        <v>3431.1531263941793</v>
      </c>
      <c r="M11" s="712">
        <v>3405.2728608735429</v>
      </c>
      <c r="N11" s="712">
        <v>3402.273657037385</v>
      </c>
      <c r="O11" s="712">
        <v>3445.1368211028916</v>
      </c>
      <c r="P11" s="712">
        <v>3518.781478132978</v>
      </c>
      <c r="Q11" s="715"/>
      <c r="R11" s="715"/>
      <c r="S11" s="715"/>
      <c r="T11" s="714"/>
    </row>
    <row r="12" spans="2:20" ht="21" x14ac:dyDescent="0.2">
      <c r="B12" s="966"/>
      <c r="C12" s="228">
        <v>240</v>
      </c>
      <c r="D12" s="710">
        <v>3691.1847217557579</v>
      </c>
      <c r="E12" s="711">
        <v>3684.6167314428785</v>
      </c>
      <c r="F12" s="711">
        <v>3700.1046120547398</v>
      </c>
      <c r="G12" s="711">
        <v>3708.5804484369546</v>
      </c>
      <c r="H12" s="712">
        <v>3675.9874973193969</v>
      </c>
      <c r="I12" s="712">
        <v>3648.067746741302</v>
      </c>
      <c r="J12" s="712">
        <v>3640.8217388027761</v>
      </c>
      <c r="K12" s="712">
        <v>3587.0496895960641</v>
      </c>
      <c r="L12" s="712">
        <v>3569.3387188943875</v>
      </c>
      <c r="M12" s="712">
        <v>3542.1226829550528</v>
      </c>
      <c r="N12" s="712">
        <v>3578.3250725727103</v>
      </c>
      <c r="O12" s="712">
        <v>3647.2584134668987</v>
      </c>
      <c r="P12" s="715"/>
      <c r="Q12" s="715"/>
      <c r="R12" s="715"/>
      <c r="S12" s="715"/>
      <c r="T12" s="714"/>
    </row>
    <row r="13" spans="2:20" ht="21" x14ac:dyDescent="0.2">
      <c r="B13" s="966"/>
      <c r="C13" s="228">
        <v>250</v>
      </c>
      <c r="D13" s="710">
        <v>3848.666830110601</v>
      </c>
      <c r="E13" s="711">
        <v>3863.2823739951159</v>
      </c>
      <c r="F13" s="711">
        <v>3875.1401624659734</v>
      </c>
      <c r="G13" s="711">
        <v>3843.9350990442267</v>
      </c>
      <c r="H13" s="712">
        <v>3813.0644256605392</v>
      </c>
      <c r="I13" s="712">
        <v>3804.9653675426557</v>
      </c>
      <c r="J13" s="712">
        <v>3746.1090590915933</v>
      </c>
      <c r="K13" s="712">
        <v>3738.7314199030702</v>
      </c>
      <c r="L13" s="712">
        <v>3702.3951591726022</v>
      </c>
      <c r="M13" s="712">
        <v>3711.0397069446649</v>
      </c>
      <c r="N13" s="712">
        <v>3776.5678336160395</v>
      </c>
      <c r="O13" s="715"/>
      <c r="P13" s="715"/>
      <c r="Q13" s="715"/>
      <c r="R13" s="715"/>
      <c r="S13" s="715"/>
      <c r="T13" s="714"/>
    </row>
    <row r="14" spans="2:20" ht="21" x14ac:dyDescent="0.2">
      <c r="B14" s="966"/>
      <c r="C14" s="228">
        <v>260</v>
      </c>
      <c r="D14" s="710">
        <v>4026.5088737634733</v>
      </c>
      <c r="E14" s="711">
        <v>4042.1856437575216</v>
      </c>
      <c r="F14" s="711">
        <v>4014.558162450453</v>
      </c>
      <c r="G14" s="711">
        <v>3979.7406377968223</v>
      </c>
      <c r="H14" s="712">
        <v>3968.5253128277695</v>
      </c>
      <c r="I14" s="712">
        <v>3912.2101777937578</v>
      </c>
      <c r="J14" s="712">
        <v>3911.8158130495049</v>
      </c>
      <c r="K14" s="712">
        <v>3864.7500163109589</v>
      </c>
      <c r="L14" s="712">
        <v>3863.4710522937539</v>
      </c>
      <c r="M14" s="712">
        <v>3908.5309942565532</v>
      </c>
      <c r="N14" s="712">
        <v>4172.1046431803443</v>
      </c>
      <c r="O14" s="715"/>
      <c r="P14" s="715"/>
      <c r="Q14" s="715"/>
      <c r="R14" s="715"/>
      <c r="S14" s="715"/>
      <c r="T14" s="714"/>
    </row>
    <row r="15" spans="2:20" ht="21" x14ac:dyDescent="0.2">
      <c r="B15" s="966"/>
      <c r="C15" s="228">
        <v>270</v>
      </c>
      <c r="D15" s="710">
        <v>4209.1722205009301</v>
      </c>
      <c r="E15" s="711">
        <v>4187.51757372266</v>
      </c>
      <c r="F15" s="711">
        <v>4149.0078892486672</v>
      </c>
      <c r="G15" s="711">
        <v>4132.1863652912671</v>
      </c>
      <c r="H15" s="712">
        <v>4088.9305226948745</v>
      </c>
      <c r="I15" s="712">
        <v>4082.9085566300446</v>
      </c>
      <c r="J15" s="712">
        <v>4028.7500840112707</v>
      </c>
      <c r="K15" s="712">
        <v>4018.4645466016318</v>
      </c>
      <c r="L15" s="712">
        <v>4061.159960949753</v>
      </c>
      <c r="M15" s="712">
        <v>4203.1717349969213</v>
      </c>
      <c r="N15" s="715"/>
      <c r="O15" s="715"/>
      <c r="P15" s="715"/>
      <c r="Q15" s="715"/>
      <c r="R15" s="715"/>
      <c r="S15" s="715"/>
      <c r="T15" s="714"/>
    </row>
    <row r="16" spans="2:20" ht="21" x14ac:dyDescent="0.2">
      <c r="B16" s="966"/>
      <c r="C16" s="228">
        <v>280</v>
      </c>
      <c r="D16" s="710">
        <v>4362.2243320362841</v>
      </c>
      <c r="E16" s="711">
        <v>4321.1481159633067</v>
      </c>
      <c r="F16" s="711">
        <v>4298.1797693578937</v>
      </c>
      <c r="G16" s="711">
        <v>4273.0033464086864</v>
      </c>
      <c r="H16" s="712">
        <v>4244.3016548295454</v>
      </c>
      <c r="I16" s="712">
        <v>4194.9673265502006</v>
      </c>
      <c r="J16" s="712">
        <v>4176.4209615027603</v>
      </c>
      <c r="K16" s="712">
        <v>4211.125320645765</v>
      </c>
      <c r="L16" s="712">
        <v>4290.0186369741841</v>
      </c>
      <c r="M16" s="715"/>
      <c r="N16" s="715"/>
      <c r="O16" s="715"/>
      <c r="P16" s="715"/>
      <c r="Q16" s="715"/>
      <c r="R16" s="715"/>
      <c r="S16" s="715"/>
      <c r="T16" s="714"/>
    </row>
    <row r="17" spans="2:20" ht="21" x14ac:dyDescent="0.2">
      <c r="B17" s="966"/>
      <c r="C17" s="231">
        <v>290</v>
      </c>
      <c r="D17" s="710">
        <v>4496.0979904028263</v>
      </c>
      <c r="E17" s="711">
        <v>4466.603523603495</v>
      </c>
      <c r="F17" s="711">
        <v>4455.6326844223349</v>
      </c>
      <c r="G17" s="711">
        <v>4397.2193884244889</v>
      </c>
      <c r="H17" s="712">
        <v>4368.6781592355464</v>
      </c>
      <c r="I17" s="712">
        <v>4338.2976481330033</v>
      </c>
      <c r="J17" s="712">
        <v>4358.570830131026</v>
      </c>
      <c r="K17" s="712">
        <v>4413.7718793195145</v>
      </c>
      <c r="L17" s="715"/>
      <c r="M17" s="715"/>
      <c r="N17" s="715"/>
      <c r="O17" s="715"/>
      <c r="P17" s="715"/>
      <c r="Q17" s="715"/>
      <c r="R17" s="715"/>
      <c r="S17" s="715"/>
      <c r="T17" s="714"/>
    </row>
    <row r="18" spans="2:20" ht="22" thickBot="1" x14ac:dyDescent="0.25">
      <c r="B18" s="967"/>
      <c r="C18" s="232">
        <v>300</v>
      </c>
      <c r="D18" s="716">
        <v>4638.2453450266594</v>
      </c>
      <c r="E18" s="716">
        <v>4629.1772316727911</v>
      </c>
      <c r="F18" s="716">
        <v>4557.5356931373726</v>
      </c>
      <c r="G18" s="716">
        <v>4553.9801350948092</v>
      </c>
      <c r="H18" s="716">
        <v>4505.6739233901817</v>
      </c>
      <c r="I18" s="716">
        <v>4507.8572093985304</v>
      </c>
      <c r="J18" s="716">
        <v>4559.979420270367</v>
      </c>
      <c r="K18" s="717"/>
      <c r="L18" s="717"/>
      <c r="M18" s="717"/>
      <c r="N18" s="717"/>
      <c r="O18" s="717"/>
      <c r="P18" s="717"/>
      <c r="Q18" s="717"/>
      <c r="R18" s="717"/>
      <c r="S18" s="717"/>
      <c r="T18" s="718"/>
    </row>
    <row r="19" spans="2:20" ht="16" thickBot="1" x14ac:dyDescent="0.25"/>
    <row r="20" spans="2:20" ht="21" x14ac:dyDescent="0.2">
      <c r="B20" s="919" t="s">
        <v>11</v>
      </c>
      <c r="C20" s="920"/>
      <c r="D20" s="5"/>
      <c r="E20" s="5"/>
      <c r="F20" s="5"/>
      <c r="G20" s="5"/>
      <c r="H20" s="18"/>
      <c r="I20" s="18"/>
      <c r="J20" s="18"/>
      <c r="K20" s="19"/>
    </row>
    <row r="21" spans="2:20" ht="16" x14ac:dyDescent="0.2">
      <c r="B21" s="26" t="s">
        <v>12</v>
      </c>
      <c r="C21" s="22">
        <v>350</v>
      </c>
      <c r="D21" s="27" t="s">
        <v>13</v>
      </c>
      <c r="E21" s="6" t="s">
        <v>23</v>
      </c>
      <c r="F21" s="7"/>
      <c r="G21" s="7"/>
      <c r="H21" s="20"/>
      <c r="I21" s="20"/>
      <c r="J21" s="20"/>
      <c r="K21" s="21"/>
    </row>
    <row r="22" spans="2:20" ht="16" x14ac:dyDescent="0.2">
      <c r="B22" s="26" t="s">
        <v>14</v>
      </c>
      <c r="C22" s="22">
        <v>240</v>
      </c>
      <c r="D22" s="27" t="s">
        <v>15</v>
      </c>
      <c r="E22" s="6" t="s">
        <v>24</v>
      </c>
      <c r="F22" s="7"/>
      <c r="G22" s="7"/>
      <c r="H22" s="20"/>
      <c r="I22" s="20"/>
      <c r="J22" s="20"/>
      <c r="K22" s="21"/>
    </row>
    <row r="23" spans="2:20" ht="16" x14ac:dyDescent="0.2">
      <c r="B23" s="8"/>
      <c r="C23" s="9"/>
      <c r="D23" s="9"/>
      <c r="E23" s="9"/>
      <c r="F23" s="7"/>
      <c r="G23" s="7"/>
      <c r="H23" s="20"/>
      <c r="I23" s="20"/>
      <c r="J23" s="20"/>
      <c r="K23" s="21"/>
    </row>
    <row r="24" spans="2:20" ht="16" x14ac:dyDescent="0.2">
      <c r="B24" s="26" t="s">
        <v>25</v>
      </c>
      <c r="C24" s="32" t="e">
        <f ca="1">BicubicInterpolation(C3:T18,C21,C22)</f>
        <v>#NAME?</v>
      </c>
      <c r="D24" s="27" t="s">
        <v>182</v>
      </c>
      <c r="E24" s="7"/>
      <c r="F24" s="7"/>
      <c r="G24" s="7"/>
      <c r="H24" s="20"/>
      <c r="I24" s="20"/>
      <c r="J24" s="20"/>
      <c r="K24" s="21"/>
    </row>
    <row r="25" spans="2:20" ht="17" thickBot="1" x14ac:dyDescent="0.25">
      <c r="B25" s="37"/>
      <c r="C25" s="38"/>
      <c r="D25" s="39"/>
      <c r="E25" s="40"/>
      <c r="F25" s="40"/>
      <c r="G25" s="40"/>
      <c r="H25" s="41"/>
      <c r="I25" s="41"/>
      <c r="J25" s="41"/>
      <c r="K25" s="42"/>
    </row>
  </sheetData>
  <mergeCells count="3">
    <mergeCell ref="D2:T2"/>
    <mergeCell ref="B4:B18"/>
    <mergeCell ref="B20:C20"/>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3</vt:i4>
      </vt:variant>
    </vt:vector>
  </HeadingPairs>
  <TitlesOfParts>
    <vt:vector size="27" baseType="lpstr">
      <vt:lpstr>Fuel Flow Model</vt:lpstr>
      <vt:lpstr>Endurance Model</vt:lpstr>
      <vt:lpstr>Endurance vs Range Plot</vt:lpstr>
      <vt:lpstr>Drag Coef Table</vt:lpstr>
      <vt:lpstr>TSFC Eff Table</vt:lpstr>
      <vt:lpstr>Figures</vt:lpstr>
      <vt:lpstr>LRC Mach</vt:lpstr>
      <vt:lpstr>LRC KIAS</vt:lpstr>
      <vt:lpstr>LRC FF</vt:lpstr>
      <vt:lpstr>LRC Tables</vt:lpstr>
      <vt:lpstr>M0.84 Mach</vt:lpstr>
      <vt:lpstr>M0.84 KIAS</vt:lpstr>
      <vt:lpstr>M0.84 FF</vt:lpstr>
      <vt:lpstr>Holding KIAS</vt:lpstr>
      <vt:lpstr>Holding Mach</vt:lpstr>
      <vt:lpstr>Holding FF</vt:lpstr>
      <vt:lpstr>LRC INOP Mach</vt:lpstr>
      <vt:lpstr>LRC INOP FF</vt:lpstr>
      <vt:lpstr>Holding INOP Mach</vt:lpstr>
      <vt:lpstr>Holding INOP FF</vt:lpstr>
      <vt:lpstr>MRC Mach</vt:lpstr>
      <vt:lpstr>MRC FF</vt:lpstr>
      <vt:lpstr>CI=52 Mach</vt:lpstr>
      <vt:lpstr>CI=52 FF</vt:lpstr>
      <vt:lpstr>'Endurance Model'!Print_Area</vt:lpstr>
      <vt:lpstr>'Fuel Flow Model'!Print_Area</vt:lpstr>
      <vt:lpstr>'LRC Mach'!Print_Area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2013-01-15T23:16:12Z</dcterms:created>
  <dcterms:modified xsi:type="dcterms:W3CDTF">2026-08-09T23:19:24Z</dcterms:modified>
</cp:coreProperties>
</file>