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comments13.xml" ContentType="application/vnd.openxmlformats-officedocument.spreadsheetml.comments+xml"/>
  <Override PartName="/xl/drawings/drawing15.xml" ContentType="application/vnd.openxmlformats-officedocument.drawing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1" codeName="{00000000-0000-0000-0000-000000000000}"/>
  <workbookPr showInkAnnotation="0" updateLinks="always"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gmlestruturascombr.sharepoint.com/sites/GML/Shared Documents/5- PROJETOS 2025/HANBAI MOTOR_Est Met_Barreiro/COMPRAS/"/>
    </mc:Choice>
  </mc:AlternateContent>
  <xr:revisionPtr revIDLastSave="0" documentId="8_{7AC1AD3A-3675-4C26-A454-4A167C88938E}" xr6:coauthVersionLast="47" xr6:coauthVersionMax="47" xr10:uidLastSave="{00000000-0000-0000-0000-000000000000}"/>
  <bookViews>
    <workbookView xWindow="-103" yWindow="-103" windowWidth="22149" windowHeight="13320" tabRatio="887" firstSheet="14" activeTab="9" xr2:uid="{00000000-000D-0000-FFFF-FFFF00000000}"/>
  </bookViews>
  <sheets>
    <sheet name="Demanda Eventual" sheetId="33" state="hidden" r:id="rId1"/>
    <sheet name="Instruções" sheetId="28" r:id="rId2"/>
    <sheet name="Tabela BDI e Tributos" sheetId="1" r:id="rId3"/>
    <sheet name="Tabela Encargos Sociais" sheetId="4" r:id="rId4"/>
    <sheet name="Tabela Mão de obra" sheetId="8" r:id="rId5"/>
    <sheet name="Composição Global" sheetId="24" state="hidden" r:id="rId6"/>
    <sheet name="QQP_Cliente" sheetId="77" r:id="rId7"/>
    <sheet name="Mobilização" sheetId="35" r:id="rId8"/>
    <sheet name="Desmobilização" sheetId="36" r:id="rId9"/>
    <sheet name="Mao Obra_Fabricação" sheetId="56" r:id="rId10"/>
    <sheet name="Mao Obra_Montagem" sheetId="83" r:id="rId11"/>
    <sheet name="Materiais Basicos_Deck e Telha" sheetId="84" r:id="rId12"/>
    <sheet name="Materiais Basicos" sheetId="80" state="hidden" r:id="rId13"/>
    <sheet name="MP Basico_Perfil e Chapas" sheetId="85" r:id="rId14"/>
    <sheet name="Materiais_Jato e Pintura" sheetId="81" r:id="rId15"/>
    <sheet name="Lista Consumiveis" sheetId="51" r:id="rId16"/>
    <sheet name="Ferramentas Manual" sheetId="68" r:id="rId17"/>
    <sheet name="Ferramentas Eletricas" sheetId="67" r:id="rId18"/>
    <sheet name="PONTO DE EQUILIBRIO" sheetId="52" state="hidden" r:id="rId19"/>
  </sheets>
  <externalReferences>
    <externalReference r:id="rId20"/>
  </externalReferences>
  <definedNames>
    <definedName name="_xlnm._FilterDatabase" localSheetId="15" hidden="1">'Lista Consumiveis'!$A$2:$J$2</definedName>
    <definedName name="_xlnm.Print_Area" localSheetId="5">'Composição Global'!$A$1:$J$71</definedName>
    <definedName name="_xlnm.Print_Area" localSheetId="0">'Demanda Eventual'!$A$1:$H$20</definedName>
    <definedName name="_xlnm.Print_Area" localSheetId="8">Desmobilização!$A$1:$I$56</definedName>
    <definedName name="_xlnm.Print_Area" localSheetId="1">Instruções!$A$1:$M$62</definedName>
    <definedName name="_xlnm.Print_Area" localSheetId="9">'Mao Obra_Fabricação'!$A$2:$G$28</definedName>
    <definedName name="_xlnm.Print_Area" localSheetId="10">'Mao Obra_Montagem'!$A$2:$G$28</definedName>
    <definedName name="_xlnm.Print_Area" localSheetId="7">Mobilização!$A$1:$I$62</definedName>
    <definedName name="_xlnm.Print_Area" localSheetId="6">QQP_Cliente!$A$1:$AB$56</definedName>
    <definedName name="_xlnm.Print_Area" localSheetId="2">'Tabela BDI e Tributos'!$A$1:$J$41</definedName>
    <definedName name="_xlnm.Print_Area" localSheetId="3">'Tabela Encargos Sociais'!$A$1:$O$50</definedName>
    <definedName name="_xlnm.Print_Area" localSheetId="4">'Tabela Mão de obra'!$A$1:$P$34</definedName>
    <definedName name="codservn" localSheetId="0">#N/A</definedName>
    <definedName name="codservn">#N/A</definedName>
    <definedName name="Moedas" localSheetId="0">#N/A</definedName>
    <definedName name="Moedas">#N/A</definedName>
    <definedName name="wrn.PENDENCIAS." localSheetId="0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81" l="1"/>
  <c r="G59" i="85"/>
  <c r="H58" i="85"/>
  <c r="F60" i="85"/>
  <c r="F59" i="85"/>
  <c r="F58" i="85"/>
  <c r="H39" i="36"/>
  <c r="H29" i="35"/>
  <c r="G27" i="35"/>
  <c r="H27" i="35" s="1"/>
  <c r="G26" i="35"/>
  <c r="H26" i="35"/>
  <c r="H28" i="35"/>
  <c r="H23" i="35"/>
  <c r="E76" i="85"/>
  <c r="D76" i="85"/>
  <c r="F75" i="85"/>
  <c r="H75" i="85" s="1"/>
  <c r="F74" i="85"/>
  <c r="H74" i="85" s="1"/>
  <c r="F73" i="85"/>
  <c r="H73" i="85" s="1"/>
  <c r="F72" i="85"/>
  <c r="H72" i="85" s="1"/>
  <c r="F71" i="85"/>
  <c r="H71" i="85" s="1"/>
  <c r="F70" i="85"/>
  <c r="H70" i="85" s="1"/>
  <c r="F69" i="85"/>
  <c r="H69" i="85" s="1"/>
  <c r="F68" i="85"/>
  <c r="H68" i="85" s="1"/>
  <c r="F67" i="85"/>
  <c r="H67" i="85" s="1"/>
  <c r="F66" i="85"/>
  <c r="F76" i="85" s="1"/>
  <c r="H66" i="85"/>
  <c r="H76" i="85" s="1"/>
  <c r="F58" i="35"/>
  <c r="M34" i="77"/>
  <c r="M35" i="77"/>
  <c r="M37" i="77"/>
  <c r="H59" i="85"/>
  <c r="G44" i="85"/>
  <c r="F43" i="85"/>
  <c r="F44" i="85" s="1"/>
  <c r="H44" i="85" s="1"/>
  <c r="G17" i="67"/>
  <c r="H57" i="85"/>
  <c r="H56" i="85"/>
  <c r="H55" i="85"/>
  <c r="H54" i="85"/>
  <c r="H53" i="85"/>
  <c r="H52" i="85"/>
  <c r="H51" i="85"/>
  <c r="H50" i="85"/>
  <c r="H49" i="85"/>
  <c r="H60" i="85" s="1"/>
  <c r="H42" i="85"/>
  <c r="H41" i="85"/>
  <c r="H40" i="85"/>
  <c r="H39" i="85"/>
  <c r="H38" i="85"/>
  <c r="H37" i="85"/>
  <c r="H36" i="85"/>
  <c r="H35" i="85"/>
  <c r="H34" i="85"/>
  <c r="H33" i="85"/>
  <c r="H32" i="85"/>
  <c r="H31" i="85"/>
  <c r="H30" i="85"/>
  <c r="H29" i="85"/>
  <c r="H28" i="85"/>
  <c r="H27" i="85"/>
  <c r="H26" i="85"/>
  <c r="H25" i="85"/>
  <c r="H24" i="85"/>
  <c r="H23" i="85"/>
  <c r="H22" i="85"/>
  <c r="H21" i="85"/>
  <c r="H20" i="85"/>
  <c r="H19" i="85"/>
  <c r="H18" i="85"/>
  <c r="H17" i="85"/>
  <c r="H16" i="85"/>
  <c r="H15" i="85"/>
  <c r="H14" i="85"/>
  <c r="H13" i="85"/>
  <c r="H12" i="85"/>
  <c r="H11" i="85"/>
  <c r="H10" i="85"/>
  <c r="H9" i="85"/>
  <c r="H8" i="85"/>
  <c r="H7" i="85"/>
  <c r="H6" i="85"/>
  <c r="H5" i="85"/>
  <c r="H4" i="85"/>
  <c r="H3" i="85"/>
  <c r="F54" i="84"/>
  <c r="J44" i="84"/>
  <c r="J42" i="84"/>
  <c r="G20" i="84"/>
  <c r="G21" i="84"/>
  <c r="G22" i="84"/>
  <c r="G23" i="84"/>
  <c r="G24" i="84"/>
  <c r="G25" i="84"/>
  <c r="G26" i="84"/>
  <c r="G27" i="84"/>
  <c r="G28" i="84"/>
  <c r="G29" i="84"/>
  <c r="G30" i="84"/>
  <c r="G31" i="84"/>
  <c r="G32" i="84"/>
  <c r="G33" i="84"/>
  <c r="G19" i="84"/>
  <c r="G41" i="84" s="1"/>
  <c r="F20" i="84"/>
  <c r="F21" i="84"/>
  <c r="F22" i="84"/>
  <c r="F23" i="84"/>
  <c r="F24" i="84"/>
  <c r="F25" i="84"/>
  <c r="F26" i="84"/>
  <c r="F27" i="84"/>
  <c r="F28" i="84"/>
  <c r="F29" i="84"/>
  <c r="F30" i="84"/>
  <c r="F31" i="84"/>
  <c r="F32" i="84"/>
  <c r="F33" i="84"/>
  <c r="F19" i="84"/>
  <c r="D34" i="84"/>
  <c r="J12" i="84"/>
  <c r="J43" i="84"/>
  <c r="I15" i="77" s="1"/>
  <c r="E34" i="77" s="1"/>
  <c r="G13" i="84"/>
  <c r="J13" i="84" s="1"/>
  <c r="F13" i="84"/>
  <c r="H54" i="84"/>
  <c r="E18" i="83"/>
  <c r="E17" i="83"/>
  <c r="E16" i="83"/>
  <c r="E15" i="83"/>
  <c r="E14" i="83"/>
  <c r="E13" i="83"/>
  <c r="E12" i="83"/>
  <c r="E11" i="83"/>
  <c r="E10" i="83"/>
  <c r="H21" i="35"/>
  <c r="H22" i="35"/>
  <c r="H24" i="35"/>
  <c r="H25" i="35"/>
  <c r="E16" i="56"/>
  <c r="E13" i="56"/>
  <c r="N21" i="8"/>
  <c r="I21" i="8"/>
  <c r="C21" i="8"/>
  <c r="D21" i="8"/>
  <c r="E21" i="8"/>
  <c r="C17" i="8"/>
  <c r="G26" i="81"/>
  <c r="B13" i="81"/>
  <c r="N14" i="80"/>
  <c r="J15" i="80" s="1"/>
  <c r="N13" i="80"/>
  <c r="H15" i="80" s="1"/>
  <c r="F18" i="67"/>
  <c r="B5" i="81"/>
  <c r="I16" i="81"/>
  <c r="L20" i="81"/>
  <c r="N21" i="81" s="1"/>
  <c r="K26" i="81" s="1"/>
  <c r="N24" i="81" s="1"/>
  <c r="I3" i="81"/>
  <c r="L7" i="81"/>
  <c r="N8" i="81" s="1"/>
  <c r="C26" i="80"/>
  <c r="E18" i="80"/>
  <c r="E19" i="80" s="1"/>
  <c r="K27" i="80"/>
  <c r="E27" i="80"/>
  <c r="D27" i="80"/>
  <c r="P26" i="80"/>
  <c r="G26" i="80"/>
  <c r="G27" i="80" s="1"/>
  <c r="P25" i="80"/>
  <c r="G25" i="80"/>
  <c r="K19" i="80"/>
  <c r="D19" i="80"/>
  <c r="P17" i="80"/>
  <c r="P18" i="80" s="1"/>
  <c r="H43" i="85" l="1"/>
  <c r="J45" i="84"/>
  <c r="J14" i="84"/>
  <c r="E24" i="77"/>
  <c r="L15" i="80"/>
  <c r="E23" i="77" s="1"/>
  <c r="C24" i="80"/>
  <c r="N24" i="80" s="1"/>
  <c r="O24" i="80" s="1"/>
  <c r="C25" i="80"/>
  <c r="N25" i="80" s="1"/>
  <c r="O25" i="80" s="1"/>
  <c r="N26" i="80"/>
  <c r="O26" i="80" s="1"/>
  <c r="N17" i="80"/>
  <c r="P19" i="80"/>
  <c r="P27" i="80"/>
  <c r="M18" i="80"/>
  <c r="Q18" i="80" s="1"/>
  <c r="M26" i="80"/>
  <c r="Q26" i="80" s="1"/>
  <c r="N18" i="80"/>
  <c r="O18" i="80" s="1"/>
  <c r="C21" i="80"/>
  <c r="M17" i="80"/>
  <c r="H45" i="85" l="1"/>
  <c r="I14" i="77" s="1"/>
  <c r="Q17" i="80"/>
  <c r="O17" i="80"/>
  <c r="M24" i="80"/>
  <c r="Q24" i="80" s="1"/>
  <c r="M25" i="80"/>
  <c r="Q25" i="80" s="1"/>
  <c r="M21" i="80"/>
  <c r="Q21" i="80" s="1"/>
  <c r="N21" i="80"/>
  <c r="O21" i="80" s="1"/>
  <c r="M14" i="77" l="1"/>
  <c r="L14" i="77"/>
  <c r="K14" i="77"/>
  <c r="E33" i="77"/>
  <c r="M33" i="77" s="1"/>
  <c r="E22" i="81"/>
  <c r="G22" i="81" s="1"/>
  <c r="Q30" i="80"/>
  <c r="O5" i="80" s="1"/>
  <c r="N30" i="80"/>
  <c r="G30" i="81" l="1"/>
  <c r="G33" i="81" s="1"/>
  <c r="E21" i="81"/>
  <c r="G21" i="81" s="1"/>
  <c r="K13" i="81"/>
  <c r="N11" i="81" s="1"/>
  <c r="D20" i="83"/>
  <c r="F19" i="83"/>
  <c r="F8" i="83"/>
  <c r="G8" i="83" s="1"/>
  <c r="B4" i="83"/>
  <c r="F21" i="83"/>
  <c r="E18" i="56"/>
  <c r="E17" i="56"/>
  <c r="E15" i="56"/>
  <c r="E12" i="56"/>
  <c r="E11" i="56"/>
  <c r="E10" i="56"/>
  <c r="E14" i="56"/>
  <c r="N38" i="4"/>
  <c r="N24" i="4"/>
  <c r="D20" i="56"/>
  <c r="F31" i="51"/>
  <c r="F32" i="51"/>
  <c r="F30" i="51"/>
  <c r="F29" i="51"/>
  <c r="D43" i="35"/>
  <c r="F20" i="35"/>
  <c r="H20" i="35" s="1"/>
  <c r="F28" i="83"/>
  <c r="F27" i="83"/>
  <c r="F26" i="83"/>
  <c r="F25" i="83"/>
  <c r="F24" i="83"/>
  <c r="F23" i="83"/>
  <c r="F22" i="83"/>
  <c r="F19" i="56"/>
  <c r="F21" i="56"/>
  <c r="F22" i="56"/>
  <c r="F23" i="56"/>
  <c r="F24" i="56"/>
  <c r="F25" i="56"/>
  <c r="F26" i="56"/>
  <c r="F27" i="56"/>
  <c r="F28" i="56"/>
  <c r="B4" i="56"/>
  <c r="B5" i="56" s="1"/>
  <c r="B7" i="81"/>
  <c r="B6" i="80"/>
  <c r="F3" i="51"/>
  <c r="F10" i="51"/>
  <c r="F25" i="51"/>
  <c r="F26" i="51"/>
  <c r="F13" i="51"/>
  <c r="F14" i="51"/>
  <c r="F17" i="51"/>
  <c r="F12" i="51"/>
  <c r="F7" i="51"/>
  <c r="F15" i="51"/>
  <c r="F8" i="51"/>
  <c r="F24" i="51"/>
  <c r="F6" i="51"/>
  <c r="F19" i="51"/>
  <c r="F16" i="51"/>
  <c r="F9" i="51"/>
  <c r="F4" i="51"/>
  <c r="F18" i="51"/>
  <c r="F11" i="51"/>
  <c r="F21" i="51"/>
  <c r="F22" i="51"/>
  <c r="F23" i="51"/>
  <c r="F20" i="51"/>
  <c r="F27" i="51"/>
  <c r="F28" i="51"/>
  <c r="F5" i="51"/>
  <c r="F23" i="36"/>
  <c r="E29" i="81" l="1"/>
  <c r="G29" i="81" s="1"/>
  <c r="F31" i="81"/>
  <c r="B7" i="83"/>
  <c r="B6" i="83"/>
  <c r="B5" i="83"/>
  <c r="E20" i="83"/>
  <c r="E20" i="56"/>
  <c r="B7" i="56"/>
  <c r="B6" i="56"/>
  <c r="N4" i="51"/>
  <c r="N5" i="51"/>
  <c r="N3" i="51"/>
  <c r="B6" i="81"/>
  <c r="B8" i="81"/>
  <c r="B7" i="80"/>
  <c r="B8" i="80"/>
  <c r="M23" i="8"/>
  <c r="M16" i="8"/>
  <c r="G15" i="67"/>
  <c r="M21" i="8"/>
  <c r="I8" i="1"/>
  <c r="H21" i="8"/>
  <c r="G21" i="8"/>
  <c r="F21" i="8"/>
  <c r="H17" i="8"/>
  <c r="G17" i="8"/>
  <c r="F17" i="8"/>
  <c r="H43" i="35"/>
  <c r="G12" i="68"/>
  <c r="H25" i="24"/>
  <c r="G20" i="24"/>
  <c r="J20" i="24" s="1"/>
  <c r="G17" i="24"/>
  <c r="G19" i="24" s="1"/>
  <c r="G14" i="36"/>
  <c r="G16" i="36"/>
  <c r="G15" i="36"/>
  <c r="G11" i="36"/>
  <c r="C9" i="36"/>
  <c r="C8" i="36"/>
  <c r="N21" i="4"/>
  <c r="N20" i="4"/>
  <c r="N19" i="4"/>
  <c r="N18" i="4"/>
  <c r="N17" i="4"/>
  <c r="N16" i="4"/>
  <c r="N15" i="4"/>
  <c r="F13" i="35"/>
  <c r="O31" i="8"/>
  <c r="N31" i="8"/>
  <c r="M31" i="8"/>
  <c r="L31" i="8"/>
  <c r="K31" i="8"/>
  <c r="J31" i="8"/>
  <c r="I31" i="8"/>
  <c r="H31" i="8"/>
  <c r="G31" i="8"/>
  <c r="E31" i="8"/>
  <c r="F31" i="8"/>
  <c r="D31" i="8"/>
  <c r="K11" i="8"/>
  <c r="J11" i="8"/>
  <c r="I11" i="8"/>
  <c r="E11" i="8"/>
  <c r="M11" i="8"/>
  <c r="L11" i="8"/>
  <c r="H11" i="8"/>
  <c r="G11" i="8"/>
  <c r="F11" i="8"/>
  <c r="C11" i="8"/>
  <c r="D11" i="8"/>
  <c r="G32" i="81" l="1"/>
  <c r="E6" i="81" s="1"/>
  <c r="N6" i="51"/>
  <c r="O3" i="51" s="1"/>
  <c r="H42" i="35"/>
  <c r="J17" i="24"/>
  <c r="M17" i="8"/>
  <c r="M25" i="8"/>
  <c r="M9" i="8"/>
  <c r="G28" i="24"/>
  <c r="G16" i="8"/>
  <c r="G29" i="8"/>
  <c r="G28" i="8" s="1"/>
  <c r="G18" i="24"/>
  <c r="F11" i="24"/>
  <c r="B8" i="68"/>
  <c r="B7" i="68"/>
  <c r="B6" i="68"/>
  <c r="O4" i="51" l="1"/>
  <c r="O5" i="51"/>
  <c r="G21" i="24"/>
  <c r="G22" i="24" s="1"/>
  <c r="J18" i="24"/>
  <c r="O6" i="51" l="1"/>
  <c r="G23" i="24"/>
  <c r="J23" i="24" s="1"/>
  <c r="J22" i="24"/>
  <c r="J19" i="24"/>
  <c r="J21" i="24"/>
  <c r="I11" i="24"/>
  <c r="L29" i="8"/>
  <c r="K29" i="8"/>
  <c r="J29" i="8"/>
  <c r="I29" i="8"/>
  <c r="H29" i="8"/>
  <c r="F29" i="8"/>
  <c r="F28" i="8" s="1"/>
  <c r="E29" i="8"/>
  <c r="D29" i="8"/>
  <c r="C29" i="8"/>
  <c r="L25" i="8"/>
  <c r="K25" i="8"/>
  <c r="J25" i="8"/>
  <c r="I25" i="8"/>
  <c r="H25" i="8"/>
  <c r="G25" i="8"/>
  <c r="G24" i="8" s="1"/>
  <c r="F25" i="8"/>
  <c r="L16" i="8"/>
  <c r="K16" i="8"/>
  <c r="J16" i="8"/>
  <c r="I16" i="8"/>
  <c r="H16" i="8"/>
  <c r="F16" i="8"/>
  <c r="F15" i="8" s="1"/>
  <c r="E16" i="8"/>
  <c r="D16" i="8"/>
  <c r="C16" i="8"/>
  <c r="I32" i="24"/>
  <c r="G33" i="24"/>
  <c r="G32" i="24"/>
  <c r="L17" i="8"/>
  <c r="K17" i="8"/>
  <c r="J17" i="8"/>
  <c r="I17" i="8"/>
  <c r="E17" i="8"/>
  <c r="D17" i="8"/>
  <c r="E25" i="8"/>
  <c r="D25" i="8"/>
  <c r="C25" i="8"/>
  <c r="F35" i="24"/>
  <c r="G35" i="24" s="1"/>
  <c r="F34" i="24"/>
  <c r="G34" i="24" s="1"/>
  <c r="G18" i="67"/>
  <c r="C63" i="24"/>
  <c r="C62" i="24"/>
  <c r="C61" i="24"/>
  <c r="E35" i="24"/>
  <c r="G11" i="68"/>
  <c r="G14" i="67"/>
  <c r="G12" i="67"/>
  <c r="B10" i="68"/>
  <c r="B5" i="67"/>
  <c r="E29" i="67"/>
  <c r="E28" i="67" s="1"/>
  <c r="E27" i="67"/>
  <c r="E24" i="67"/>
  <c r="E23" i="67"/>
  <c r="G23" i="67" s="1"/>
  <c r="E22" i="67"/>
  <c r="E21" i="67"/>
  <c r="B6" i="67" l="1"/>
  <c r="B8" i="67"/>
  <c r="B7" i="67"/>
  <c r="G25" i="24"/>
  <c r="E26" i="67"/>
  <c r="G29" i="67"/>
  <c r="G28" i="67" s="1"/>
  <c r="G27" i="67"/>
  <c r="D15" i="8"/>
  <c r="G36" i="24"/>
  <c r="G21" i="67"/>
  <c r="G22" i="67"/>
  <c r="I35" i="24"/>
  <c r="G14" i="68"/>
  <c r="G13" i="68"/>
  <c r="G15" i="68"/>
  <c r="E20" i="67"/>
  <c r="G24" i="67"/>
  <c r="G13" i="67"/>
  <c r="G16" i="67"/>
  <c r="G11" i="67" l="1"/>
  <c r="G10" i="68"/>
  <c r="F6" i="68" s="1"/>
  <c r="G26" i="67"/>
  <c r="F6" i="67"/>
  <c r="G6" i="67" s="1"/>
  <c r="G20" i="67"/>
  <c r="E19" i="67"/>
  <c r="G6" i="68" l="1"/>
  <c r="G19" i="67"/>
  <c r="H23" i="36" l="1"/>
  <c r="O4" i="52"/>
  <c r="O5" i="52"/>
  <c r="O6" i="52"/>
  <c r="O7" i="52"/>
  <c r="O8" i="52"/>
  <c r="O9" i="52"/>
  <c r="O10" i="52"/>
  <c r="O11" i="52"/>
  <c r="O12" i="52"/>
  <c r="O13" i="52"/>
  <c r="O14" i="52"/>
  <c r="O3" i="52"/>
  <c r="B7" i="52" l="1"/>
  <c r="M7" i="52" s="1"/>
  <c r="F23" i="8"/>
  <c r="F22" i="8" s="1"/>
  <c r="D23" i="8"/>
  <c r="D22" i="8" s="1"/>
  <c r="I16" i="1"/>
  <c r="E7" i="81" s="1"/>
  <c r="AB21" i="52"/>
  <c r="AC21" i="52" s="1"/>
  <c r="H25" i="36"/>
  <c r="H23" i="8"/>
  <c r="H22" i="8" s="1"/>
  <c r="G23" i="8"/>
  <c r="G22" i="8" s="1"/>
  <c r="C23" i="8"/>
  <c r="C22" i="8" s="1"/>
  <c r="D20" i="8"/>
  <c r="C15" i="8"/>
  <c r="C28" i="8"/>
  <c r="F8" i="56"/>
  <c r="F14" i="35"/>
  <c r="O11" i="8"/>
  <c r="N11" i="8"/>
  <c r="F9" i="8"/>
  <c r="F12" i="8" s="1"/>
  <c r="G9" i="8"/>
  <c r="H9" i="8"/>
  <c r="I9" i="8"/>
  <c r="J9" i="8"/>
  <c r="K9" i="8"/>
  <c r="L9" i="8"/>
  <c r="N9" i="8"/>
  <c r="O9" i="8"/>
  <c r="C9" i="8"/>
  <c r="J28" i="8"/>
  <c r="M29" i="8"/>
  <c r="M28" i="8" s="1"/>
  <c r="N29" i="8"/>
  <c r="N28" i="8" s="1"/>
  <c r="O29" i="8"/>
  <c r="O28" i="8" s="1"/>
  <c r="E23" i="8"/>
  <c r="E22" i="8" s="1"/>
  <c r="I23" i="8"/>
  <c r="I22" i="8" s="1"/>
  <c r="J23" i="8"/>
  <c r="J22" i="8" s="1"/>
  <c r="K23" i="8"/>
  <c r="K22" i="8" s="1"/>
  <c r="L23" i="8"/>
  <c r="L22" i="8" s="1"/>
  <c r="M22" i="8"/>
  <c r="N23" i="8"/>
  <c r="N22" i="8" s="1"/>
  <c r="O23" i="8"/>
  <c r="O22" i="8" s="1"/>
  <c r="E15" i="8"/>
  <c r="G15" i="8"/>
  <c r="H15" i="8"/>
  <c r="I15" i="8"/>
  <c r="J15" i="8"/>
  <c r="K15" i="8"/>
  <c r="L15" i="8"/>
  <c r="M15" i="8"/>
  <c r="N15" i="8"/>
  <c r="O15" i="8"/>
  <c r="C8" i="35"/>
  <c r="O25" i="8"/>
  <c r="O24" i="8" s="1"/>
  <c r="E24" i="8"/>
  <c r="I24" i="8"/>
  <c r="K24" i="8"/>
  <c r="M24" i="8"/>
  <c r="N25" i="8"/>
  <c r="N24" i="8" s="1"/>
  <c r="L28" i="8"/>
  <c r="I28" i="8"/>
  <c r="H28" i="8"/>
  <c r="D28" i="8"/>
  <c r="E28" i="8"/>
  <c r="C20" i="8"/>
  <c r="K28" i="8"/>
  <c r="D26" i="8"/>
  <c r="E26" i="8"/>
  <c r="F26" i="8"/>
  <c r="G26" i="8"/>
  <c r="H26" i="8"/>
  <c r="I26" i="8"/>
  <c r="J26" i="8"/>
  <c r="K26" i="8"/>
  <c r="L26" i="8"/>
  <c r="M26" i="8"/>
  <c r="N26" i="8"/>
  <c r="O26" i="8"/>
  <c r="E20" i="8"/>
  <c r="F20" i="8"/>
  <c r="G20" i="8"/>
  <c r="H20" i="8"/>
  <c r="I20" i="8"/>
  <c r="J20" i="8"/>
  <c r="K20" i="8"/>
  <c r="L20" i="8"/>
  <c r="M20" i="8"/>
  <c r="N20" i="8"/>
  <c r="O20" i="8"/>
  <c r="O30" i="8"/>
  <c r="N30" i="8"/>
  <c r="K30" i="8"/>
  <c r="J30" i="8"/>
  <c r="E30" i="8"/>
  <c r="C26" i="8"/>
  <c r="C24" i="8"/>
  <c r="H38" i="35"/>
  <c r="L24" i="8"/>
  <c r="J24" i="8"/>
  <c r="H24" i="8"/>
  <c r="F24" i="8"/>
  <c r="D24" i="8"/>
  <c r="E9" i="8"/>
  <c r="I43" i="24"/>
  <c r="I44" i="24"/>
  <c r="I45" i="24"/>
  <c r="I46" i="24"/>
  <c r="H43" i="36"/>
  <c r="H42" i="36"/>
  <c r="H41" i="36"/>
  <c r="H40" i="36"/>
  <c r="H35" i="36"/>
  <c r="H34" i="36"/>
  <c r="H33" i="36"/>
  <c r="H32" i="36"/>
  <c r="H31" i="36"/>
  <c r="H27" i="36"/>
  <c r="H26" i="36"/>
  <c r="H24" i="36"/>
  <c r="E50" i="35"/>
  <c r="H37" i="35"/>
  <c r="H36" i="35"/>
  <c r="H35" i="35"/>
  <c r="H34" i="35"/>
  <c r="A11" i="33"/>
  <c r="A12" i="33" s="1"/>
  <c r="A13" i="33" s="1"/>
  <c r="A14" i="33" s="1"/>
  <c r="A15" i="33" s="1"/>
  <c r="A16" i="33" s="1"/>
  <c r="A17" i="33" s="1"/>
  <c r="A18" i="33" s="1"/>
  <c r="A19" i="33" s="1"/>
  <c r="D9" i="8"/>
  <c r="I55" i="24"/>
  <c r="I56" i="24"/>
  <c r="I57" i="24"/>
  <c r="I47" i="24"/>
  <c r="I33" i="24"/>
  <c r="I34" i="24"/>
  <c r="I54" i="24"/>
  <c r="I53" i="24"/>
  <c r="Z26" i="1"/>
  <c r="I26" i="1" s="1"/>
  <c r="I38" i="1" s="1"/>
  <c r="O8" i="80" s="1"/>
  <c r="R8" i="4"/>
  <c r="T22" i="4" s="1"/>
  <c r="S8" i="4"/>
  <c r="V18" i="4"/>
  <c r="W18" i="4"/>
  <c r="N14" i="4"/>
  <c r="V21" i="4"/>
  <c r="W21" i="4" s="1"/>
  <c r="V17" i="4"/>
  <c r="W17" i="4" s="1"/>
  <c r="V19" i="4"/>
  <c r="W19" i="4"/>
  <c r="H17" i="36"/>
  <c r="H18" i="36"/>
  <c r="E36" i="36" l="1"/>
  <c r="G49" i="36" s="1"/>
  <c r="O7" i="80"/>
  <c r="N12" i="4"/>
  <c r="N46" i="4" s="1"/>
  <c r="N44" i="4" s="1"/>
  <c r="N48" i="4" s="1"/>
  <c r="Q5" i="80"/>
  <c r="Q6" i="80" s="1"/>
  <c r="V14" i="4"/>
  <c r="W14" i="4" s="1"/>
  <c r="O12" i="8"/>
  <c r="F14" i="8"/>
  <c r="E44" i="36"/>
  <c r="G50" i="36" s="1"/>
  <c r="N22" i="4"/>
  <c r="L14" i="8"/>
  <c r="L12" i="8"/>
  <c r="V20" i="4"/>
  <c r="W20" i="4" s="1"/>
  <c r="F7" i="68"/>
  <c r="F7" i="67"/>
  <c r="G7" i="67" s="1"/>
  <c r="F66" i="24"/>
  <c r="E14" i="52"/>
  <c r="N12" i="8"/>
  <c r="J12" i="8"/>
  <c r="E12" i="8"/>
  <c r="M12" i="8"/>
  <c r="G12" i="8"/>
  <c r="K12" i="8"/>
  <c r="D12" i="8"/>
  <c r="M14" i="8"/>
  <c r="C12" i="8"/>
  <c r="H12" i="8"/>
  <c r="I12" i="8"/>
  <c r="H14" i="8"/>
  <c r="I36" i="24"/>
  <c r="I37" i="24" s="1"/>
  <c r="D14" i="8"/>
  <c r="G14" i="8"/>
  <c r="I14" i="8"/>
  <c r="C14" i="8"/>
  <c r="O14" i="8"/>
  <c r="N14" i="8"/>
  <c r="K14" i="8"/>
  <c r="J14" i="8"/>
  <c r="E14" i="8"/>
  <c r="B8" i="52"/>
  <c r="M8" i="52" s="1"/>
  <c r="B4" i="52"/>
  <c r="M4" i="52" s="1"/>
  <c r="B3" i="52"/>
  <c r="E58" i="24"/>
  <c r="B6" i="52"/>
  <c r="M6" i="52" s="1"/>
  <c r="F33" i="51"/>
  <c r="F68" i="24"/>
  <c r="G56" i="35"/>
  <c r="F52" i="36"/>
  <c r="H19" i="35"/>
  <c r="E31" i="35" s="1"/>
  <c r="E39" i="35"/>
  <c r="G55" i="35" s="1"/>
  <c r="E28" i="36"/>
  <c r="G48" i="36" s="1"/>
  <c r="G8" i="56"/>
  <c r="B5" i="52"/>
  <c r="M5" i="52" s="1"/>
  <c r="Q7" i="80" l="1"/>
  <c r="Q8" i="80"/>
  <c r="I16" i="77"/>
  <c r="E35" i="77" s="1"/>
  <c r="V22" i="4"/>
  <c r="W22" i="4" s="1"/>
  <c r="F54" i="36"/>
  <c r="F8" i="67"/>
  <c r="G8" i="67" s="1"/>
  <c r="F8" i="68"/>
  <c r="G7" i="68"/>
  <c r="I38" i="24"/>
  <c r="I39" i="24"/>
  <c r="H62" i="24" s="1"/>
  <c r="P14" i="52"/>
  <c r="Q14" i="52" s="1"/>
  <c r="X14" i="52" s="1"/>
  <c r="F14" i="52"/>
  <c r="W14" i="52" s="1"/>
  <c r="E13" i="52"/>
  <c r="G54" i="35"/>
  <c r="V16" i="4"/>
  <c r="W16" i="4" s="1"/>
  <c r="V15" i="4"/>
  <c r="W15" i="4" s="1"/>
  <c r="C13" i="8" l="1"/>
  <c r="C33" i="8" s="1"/>
  <c r="C37" i="8" s="1"/>
  <c r="F13" i="8"/>
  <c r="F33" i="8" s="1"/>
  <c r="F37" i="8" s="1"/>
  <c r="F5" i="68"/>
  <c r="G5" i="68" s="1"/>
  <c r="I18" i="77" s="1"/>
  <c r="E37" i="77" s="1"/>
  <c r="F5" i="67"/>
  <c r="G5" i="67" s="1"/>
  <c r="G8" i="68"/>
  <c r="Y14" i="52"/>
  <c r="P13" i="52"/>
  <c r="Q13" i="52" s="1"/>
  <c r="X13" i="52" s="1"/>
  <c r="F13" i="52"/>
  <c r="W13" i="52" s="1"/>
  <c r="N34" i="35"/>
  <c r="N13" i="8"/>
  <c r="N33" i="8" s="1"/>
  <c r="O13" i="8"/>
  <c r="O33" i="8" s="1"/>
  <c r="I13" i="8"/>
  <c r="I33" i="8" s="1"/>
  <c r="I37" i="8" s="1"/>
  <c r="K13" i="8"/>
  <c r="K33" i="8" s="1"/>
  <c r="K37" i="8" s="1"/>
  <c r="G13" i="8"/>
  <c r="G33" i="8" s="1"/>
  <c r="G37" i="8" s="1"/>
  <c r="M13" i="8"/>
  <c r="M33" i="8" s="1"/>
  <c r="M37" i="8" s="1"/>
  <c r="J13" i="8"/>
  <c r="J33" i="8" s="1"/>
  <c r="J37" i="8" s="1"/>
  <c r="H13" i="8"/>
  <c r="H33" i="8" s="1"/>
  <c r="H37" i="8" s="1"/>
  <c r="L13" i="8"/>
  <c r="L33" i="8" s="1"/>
  <c r="L37" i="8" s="1"/>
  <c r="E13" i="8"/>
  <c r="E33" i="8" s="1"/>
  <c r="E37" i="8" s="1"/>
  <c r="D13" i="8"/>
  <c r="D33" i="8" s="1"/>
  <c r="D37" i="8" s="1"/>
  <c r="O34" i="8" l="1"/>
  <c r="O35" i="8" s="1"/>
  <c r="O37" i="8"/>
  <c r="M34" i="8"/>
  <c r="N34" i="8"/>
  <c r="F17" i="83" s="1"/>
  <c r="G17" i="83" s="1"/>
  <c r="N37" i="8"/>
  <c r="E8" i="52"/>
  <c r="E5" i="52"/>
  <c r="J34" i="8"/>
  <c r="E6" i="52"/>
  <c r="E7" i="52"/>
  <c r="K34" i="8"/>
  <c r="Y13" i="52"/>
  <c r="E3" i="52"/>
  <c r="L34" i="8"/>
  <c r="F14" i="36" s="1"/>
  <c r="H14" i="36" s="1"/>
  <c r="E4" i="52"/>
  <c r="I34" i="8"/>
  <c r="F13" i="83" s="1"/>
  <c r="G13" i="83" s="1"/>
  <c r="E34" i="8"/>
  <c r="F18" i="83" s="1"/>
  <c r="G18" i="83" s="1"/>
  <c r="G34" i="8"/>
  <c r="F14" i="83" s="1"/>
  <c r="G14" i="83" s="1"/>
  <c r="F34" i="8"/>
  <c r="F12" i="83" s="1"/>
  <c r="G12" i="83" s="1"/>
  <c r="H34" i="8"/>
  <c r="F15" i="83" s="1"/>
  <c r="G15" i="83" s="1"/>
  <c r="D34" i="8"/>
  <c r="F11" i="83" s="1"/>
  <c r="G11" i="83" s="1"/>
  <c r="C34" i="8"/>
  <c r="H14" i="35"/>
  <c r="F10" i="83" l="1"/>
  <c r="G10" i="83" s="1"/>
  <c r="F10" i="56"/>
  <c r="G10" i="56" s="1"/>
  <c r="F16" i="56"/>
  <c r="G16" i="56" s="1"/>
  <c r="F16" i="83"/>
  <c r="G16" i="83" s="1"/>
  <c r="F15" i="24"/>
  <c r="I19" i="77"/>
  <c r="E38" i="77" s="1"/>
  <c r="M38" i="77" s="1"/>
  <c r="G9" i="83"/>
  <c r="F5" i="83" s="1"/>
  <c r="F14" i="24"/>
  <c r="M18" i="77" s="1"/>
  <c r="M15" i="77"/>
  <c r="F8" i="36"/>
  <c r="H8" i="36" s="1"/>
  <c r="F8" i="35"/>
  <c r="H8" i="35" s="1"/>
  <c r="F11" i="56"/>
  <c r="G11" i="56" s="1"/>
  <c r="F15" i="56"/>
  <c r="G15" i="56" s="1"/>
  <c r="F15" i="36"/>
  <c r="H15" i="36" s="1"/>
  <c r="F18" i="56"/>
  <c r="G18" i="56" s="1"/>
  <c r="I35" i="8"/>
  <c r="I36" i="8" s="1"/>
  <c r="F13" i="56"/>
  <c r="G13" i="56" s="1"/>
  <c r="F16" i="36"/>
  <c r="H16" i="36" s="1"/>
  <c r="F17" i="56"/>
  <c r="G17" i="56" s="1"/>
  <c r="F12" i="56"/>
  <c r="G12" i="56" s="1"/>
  <c r="F14" i="56"/>
  <c r="G14" i="56" s="1"/>
  <c r="F11" i="36"/>
  <c r="H11" i="36" s="1"/>
  <c r="F35" i="8"/>
  <c r="F36" i="8" s="1"/>
  <c r="F10" i="36"/>
  <c r="H10" i="36" s="1"/>
  <c r="F13" i="36"/>
  <c r="H13" i="36" s="1"/>
  <c r="C35" i="8"/>
  <c r="C36" i="8" s="1"/>
  <c r="D35" i="8"/>
  <c r="D36" i="8" s="1"/>
  <c r="F9" i="36"/>
  <c r="H9" i="36" s="1"/>
  <c r="F12" i="36"/>
  <c r="H12" i="36" s="1"/>
  <c r="N35" i="8"/>
  <c r="N36" i="8" s="1"/>
  <c r="E35" i="8"/>
  <c r="E36" i="8" s="1"/>
  <c r="M35" i="8"/>
  <c r="L35" i="8"/>
  <c r="F12" i="35"/>
  <c r="G35" i="8"/>
  <c r="G36" i="8" s="1"/>
  <c r="F10" i="35"/>
  <c r="H10" i="35" s="1"/>
  <c r="D17" i="33"/>
  <c r="K35" i="8"/>
  <c r="D15" i="33"/>
  <c r="J35" i="8"/>
  <c r="H35" i="8"/>
  <c r="H36" i="8" s="1"/>
  <c r="F9" i="35"/>
  <c r="H9" i="35" s="1"/>
  <c r="D16" i="33"/>
  <c r="D14" i="33"/>
  <c r="F6" i="52"/>
  <c r="P6" i="52"/>
  <c r="F5" i="52"/>
  <c r="W5" i="52" s="1"/>
  <c r="P5" i="52"/>
  <c r="D12" i="33"/>
  <c r="P3" i="52"/>
  <c r="Q3" i="52" s="1"/>
  <c r="X3" i="52" s="1"/>
  <c r="F3" i="52"/>
  <c r="W3" i="52" s="1"/>
  <c r="F7" i="52"/>
  <c r="W7" i="52" s="1"/>
  <c r="P7" i="52"/>
  <c r="Q7" i="52" s="1"/>
  <c r="X7" i="52" s="1"/>
  <c r="F8" i="52"/>
  <c r="W8" i="52" s="1"/>
  <c r="P8" i="52"/>
  <c r="F4" i="52"/>
  <c r="W4" i="52" s="1"/>
  <c r="P4" i="52"/>
  <c r="Q4" i="52" s="1"/>
  <c r="X4" i="52" s="1"/>
  <c r="D10" i="33"/>
  <c r="D13" i="33"/>
  <c r="H13" i="35"/>
  <c r="D11" i="33"/>
  <c r="N34" i="77" l="1"/>
  <c r="I34" i="77"/>
  <c r="N33" i="77"/>
  <c r="I33" i="77"/>
  <c r="G9" i="56"/>
  <c r="F5" i="56" s="1"/>
  <c r="M19" i="77"/>
  <c r="G5" i="83"/>
  <c r="F6" i="83"/>
  <c r="G6" i="83" s="1"/>
  <c r="F17" i="24"/>
  <c r="M36" i="8"/>
  <c r="F23" i="24"/>
  <c r="F21" i="24"/>
  <c r="I21" i="24" s="1"/>
  <c r="F22" i="24"/>
  <c r="I22" i="24" s="1"/>
  <c r="F18" i="24"/>
  <c r="F19" i="24" s="1"/>
  <c r="I19" i="24" s="1"/>
  <c r="F20" i="24"/>
  <c r="H12" i="35"/>
  <c r="F11" i="35"/>
  <c r="H11" i="35" s="1"/>
  <c r="E19" i="36"/>
  <c r="G47" i="36" s="1"/>
  <c r="G51" i="36" s="1"/>
  <c r="Y3" i="52"/>
  <c r="W6" i="52"/>
  <c r="H5" i="52"/>
  <c r="I5" i="52" s="1"/>
  <c r="F7" i="83" l="1"/>
  <c r="N37" i="77"/>
  <c r="I37" i="77"/>
  <c r="F6" i="56"/>
  <c r="F7" i="56" s="1"/>
  <c r="G5" i="56"/>
  <c r="I17" i="24"/>
  <c r="E15" i="35"/>
  <c r="N33" i="35" s="1"/>
  <c r="N35" i="35" s="1"/>
  <c r="I18" i="24"/>
  <c r="I20" i="24"/>
  <c r="I23" i="24"/>
  <c r="F25" i="24"/>
  <c r="G52" i="36"/>
  <c r="G53" i="36" s="1"/>
  <c r="G55" i="36" s="1"/>
  <c r="F10" i="24"/>
  <c r="G7" i="83" l="1"/>
  <c r="F4" i="83"/>
  <c r="G4" i="83" s="1"/>
  <c r="F4" i="56"/>
  <c r="G4" i="56" s="1"/>
  <c r="I20" i="77" s="1"/>
  <c r="G6" i="56"/>
  <c r="G7" i="56"/>
  <c r="I21" i="77"/>
  <c r="F12" i="24"/>
  <c r="I13" i="77"/>
  <c r="E32" i="77" s="1"/>
  <c r="M32" i="77" s="1"/>
  <c r="G53" i="35"/>
  <c r="G57" i="35" s="1"/>
  <c r="E9" i="52" s="1"/>
  <c r="F9" i="52" s="1"/>
  <c r="W9" i="52" s="1"/>
  <c r="L15" i="77"/>
  <c r="K15" i="77"/>
  <c r="K16" i="77"/>
  <c r="L16" i="77"/>
  <c r="M16" i="77"/>
  <c r="I25" i="24"/>
  <c r="I10" i="24"/>
  <c r="G54" i="36"/>
  <c r="E10" i="52"/>
  <c r="F10" i="52" s="1"/>
  <c r="W10" i="52" s="1"/>
  <c r="O35" i="35"/>
  <c r="N36" i="35" s="1"/>
  <c r="O36" i="35" s="1"/>
  <c r="O37" i="35" s="1"/>
  <c r="M20" i="77" l="1"/>
  <c r="E39" i="77"/>
  <c r="M39" i="77" s="1"/>
  <c r="M21" i="77"/>
  <c r="E40" i="77"/>
  <c r="M40" i="77" s="1"/>
  <c r="N35" i="77"/>
  <c r="L13" i="77"/>
  <c r="M13" i="77"/>
  <c r="I35" i="77"/>
  <c r="N39" i="77"/>
  <c r="K13" i="77"/>
  <c r="G58" i="35"/>
  <c r="G59" i="35" s="1"/>
  <c r="G61" i="35" s="1"/>
  <c r="E12" i="52"/>
  <c r="F12" i="52" s="1"/>
  <c r="W12" i="52" s="1"/>
  <c r="P10" i="52"/>
  <c r="Q10" i="52" s="1"/>
  <c r="X10" i="52" s="1"/>
  <c r="N40" i="77" l="1"/>
  <c r="I40" i="77"/>
  <c r="I39" i="77"/>
  <c r="F9" i="24"/>
  <c r="I12" i="77"/>
  <c r="P9" i="52"/>
  <c r="Q9" i="52" s="1"/>
  <c r="P12" i="52"/>
  <c r="E11" i="52"/>
  <c r="P11" i="52" s="1"/>
  <c r="H8" i="52"/>
  <c r="I8" i="52" s="1"/>
  <c r="S8" i="52"/>
  <c r="T8" i="52" s="1"/>
  <c r="G60" i="35"/>
  <c r="Q8" i="52"/>
  <c r="X8" i="52" s="1"/>
  <c r="M12" i="77" l="1"/>
  <c r="E31" i="77"/>
  <c r="M31" i="77" s="1"/>
  <c r="K12" i="77"/>
  <c r="L12" i="77"/>
  <c r="F11" i="52"/>
  <c r="W11" i="52" s="1"/>
  <c r="W15" i="52" s="1"/>
  <c r="Y20" i="52" s="1"/>
  <c r="P18" i="52"/>
  <c r="Q11" i="52"/>
  <c r="Y8" i="52"/>
  <c r="I12" i="24"/>
  <c r="Q12" i="52"/>
  <c r="Q5" i="52"/>
  <c r="X5" i="52" s="1"/>
  <c r="Q6" i="52"/>
  <c r="X6" i="52" s="1"/>
  <c r="Y6" i="52" s="1"/>
  <c r="I31" i="77" l="1"/>
  <c r="N31" i="77"/>
  <c r="N38" i="77"/>
  <c r="I38" i="77"/>
  <c r="F15" i="52"/>
  <c r="X11" i="52"/>
  <c r="Y11" i="52" s="1"/>
  <c r="I15" i="24"/>
  <c r="X12" i="52"/>
  <c r="H10" i="52"/>
  <c r="I10" i="52" s="1"/>
  <c r="H9" i="52"/>
  <c r="I9" i="52" s="1"/>
  <c r="Y5" i="52"/>
  <c r="Y4" i="52"/>
  <c r="S5" i="52"/>
  <c r="T5" i="52" s="1"/>
  <c r="S10" i="52"/>
  <c r="T10" i="52" s="1"/>
  <c r="S9" i="52"/>
  <c r="T9" i="52" s="1"/>
  <c r="Y12" i="52" l="1"/>
  <c r="Y10" i="52"/>
  <c r="I14" i="24"/>
  <c r="X9" i="52" l="1"/>
  <c r="Q15" i="52"/>
  <c r="S7" i="52"/>
  <c r="T7" i="52" s="1"/>
  <c r="H7" i="52"/>
  <c r="I7" i="52" s="1"/>
  <c r="Y9" i="52" l="1"/>
  <c r="X15" i="52"/>
  <c r="AB24" i="52"/>
  <c r="AB22" i="52"/>
  <c r="I9" i="24"/>
  <c r="I27" i="24" s="1"/>
  <c r="Y7" i="52"/>
  <c r="H61" i="24" l="1"/>
  <c r="Y15" i="52"/>
  <c r="Y16" i="52" s="1"/>
  <c r="Y18" i="52"/>
  <c r="Y22" i="52"/>
  <c r="Y23" i="52" s="1"/>
  <c r="Y17" i="52"/>
  <c r="Y19" i="52" l="1"/>
  <c r="Y21" i="52" s="1"/>
  <c r="Y26" i="52" s="1"/>
  <c r="Y25" i="52" l="1"/>
  <c r="Y24" i="52"/>
  <c r="I48" i="24" l="1"/>
  <c r="H63" i="24" s="1"/>
  <c r="H65" i="24" s="1"/>
  <c r="D48" i="24" l="1"/>
  <c r="H66" i="24"/>
  <c r="H67" i="24" s="1"/>
  <c r="H69" i="24" s="1"/>
  <c r="H68" i="24" s="1"/>
  <c r="J62" i="24"/>
  <c r="J63" i="24"/>
  <c r="J61" i="24"/>
  <c r="E8" i="81" l="1"/>
  <c r="E5" i="81"/>
  <c r="F5" i="81" s="1"/>
  <c r="F6" i="81" l="1"/>
  <c r="F8" i="81" l="1"/>
  <c r="F7" i="81"/>
  <c r="I17" i="77"/>
  <c r="L17" i="77" l="1"/>
  <c r="E36" i="77"/>
  <c r="M36" i="77" s="1"/>
  <c r="M41" i="77" s="1"/>
  <c r="K17" i="77"/>
  <c r="M17" i="77"/>
  <c r="M22" i="77" s="1"/>
  <c r="J17" i="77"/>
  <c r="I36" i="77" l="1"/>
  <c r="N36" i="77"/>
  <c r="E41" i="77"/>
  <c r="H34" i="77"/>
  <c r="I24" i="77"/>
  <c r="N32" i="77"/>
  <c r="N41" i="77" s="1"/>
  <c r="I32" i="77"/>
  <c r="I41" i="77" s="1"/>
  <c r="E43" i="77" l="1"/>
  <c r="H40" i="77"/>
  <c r="H32" i="77"/>
  <c r="H31" i="77"/>
  <c r="H33" i="77"/>
  <c r="I23" i="77"/>
  <c r="H38" i="77"/>
  <c r="H35" i="77"/>
  <c r="H37" i="77"/>
  <c r="H36" i="77"/>
  <c r="H39" i="77"/>
  <c r="H41" i="7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Seziane Silva</author>
  </authors>
  <commentList>
    <comment ref="D8" authorId="0" shapeId="0" xr:uid="{00000000-0006-0000-0000-000001000000}">
      <text>
        <r>
          <rPr>
            <sz val="9"/>
            <color indexed="81"/>
            <rFont val="Segoe UI"/>
            <family val="2"/>
          </rPr>
          <t xml:space="preserve">Preencher a Hora Extra conforme % da categoria.
</t>
        </r>
        <r>
          <rPr>
            <sz val="9"/>
            <color indexed="10"/>
            <rFont val="Segoe UI"/>
            <family val="2"/>
          </rPr>
          <t>Ex.: 75%, 100%, 150% etc</t>
        </r>
        <r>
          <rPr>
            <sz val="9"/>
            <color indexed="81"/>
            <rFont val="Segoe UI"/>
            <family val="2"/>
          </rPr>
          <t xml:space="preserve">
Os valores da Hora estão na planilha Mão de Obra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Seziane Silva</author>
    <author>Vale</author>
  </authors>
  <commentList>
    <comment ref="I8" authorId="0" shapeId="0" xr:uid="{00000000-0006-0000-0200-000001000000}">
      <text>
        <r>
          <rPr>
            <sz val="9"/>
            <color indexed="81"/>
            <rFont val="Segoe UI"/>
            <family val="2"/>
          </rPr>
          <t>Digitar % de Lucro previsto para este escopo</t>
        </r>
      </text>
    </comment>
    <comment ref="I11" authorId="0" shapeId="0" xr:uid="{00000000-0006-0000-0200-000002000000}">
      <text>
        <r>
          <rPr>
            <sz val="9"/>
            <color indexed="81"/>
            <rFont val="Segoe UI"/>
            <family val="2"/>
          </rPr>
          <t xml:space="preserve">Digitar o % que este escopo representa na sua adminstração central </t>
        </r>
        <r>
          <rPr>
            <sz val="9"/>
            <color indexed="10"/>
            <rFont val="Segoe UI"/>
            <family val="2"/>
          </rPr>
          <t>(ex: financeiro, RH, Outros)</t>
        </r>
      </text>
    </comment>
    <comment ref="I12" authorId="0" shapeId="0" xr:uid="{00000000-0006-0000-0200-000003000000}">
      <text>
        <r>
          <rPr>
            <sz val="9"/>
            <color indexed="81"/>
            <rFont val="Segoe UI"/>
            <family val="2"/>
          </rPr>
          <t xml:space="preserve">Digitar o % que este escopo representa no local </t>
        </r>
        <r>
          <rPr>
            <sz val="9"/>
            <color indexed="10"/>
            <rFont val="Segoe UI"/>
            <family val="2"/>
          </rPr>
          <t>(ex.: exceto quanto o QQP tiver linha para Mobilização)</t>
        </r>
      </text>
    </comment>
    <comment ref="I13" authorId="0" shapeId="0" xr:uid="{00000000-0006-0000-0200-000004000000}">
      <text>
        <r>
          <rPr>
            <sz val="9"/>
            <color indexed="81"/>
            <rFont val="Segoe UI"/>
            <family val="2"/>
          </rPr>
          <t xml:space="preserve">Digitar o % </t>
        </r>
      </text>
    </comment>
    <comment ref="I14" authorId="0" shapeId="0" xr:uid="{00000000-0006-0000-0200-000005000000}">
      <text>
        <r>
          <rPr>
            <sz val="9"/>
            <color indexed="81"/>
            <rFont val="Segoe UI"/>
            <family val="2"/>
          </rPr>
          <t xml:space="preserve">Digitar o % </t>
        </r>
      </text>
    </comment>
    <comment ref="I22" authorId="0" shapeId="0" xr:uid="{00000000-0006-0000-0200-000006000000}">
      <text>
        <r>
          <rPr>
            <sz val="9"/>
            <color indexed="81"/>
            <rFont val="Segoe UI"/>
            <family val="2"/>
          </rPr>
          <t xml:space="preserve">Escolher a opção tributária da empresa (tipo de lucro: real, presumido ou optante do SIMPLES)
</t>
        </r>
      </text>
    </comment>
    <comment ref="I26" authorId="0" shapeId="0" xr:uid="{00000000-0006-0000-0200-000007000000}">
      <text>
        <r>
          <rPr>
            <sz val="9"/>
            <color indexed="81"/>
            <rFont val="Segoe UI"/>
            <family val="2"/>
          </rPr>
          <t xml:space="preserve">Escolher a alíquota do ISS do município no qual será prestado o serviço
</t>
        </r>
      </text>
    </comment>
    <comment ref="B30" authorId="0" shapeId="0" xr:uid="{00000000-0006-0000-0200-000008000000}">
      <text>
        <r>
          <rPr>
            <sz val="9"/>
            <color indexed="81"/>
            <rFont val="Segoe UI"/>
            <family val="2"/>
          </rPr>
          <t xml:space="preserve">Digitar as taxas de COFINS, PIS, CSSL e IRPJ de acordo com a opção tributária da empresa
</t>
        </r>
      </text>
    </comment>
    <comment ref="I32" authorId="0" shapeId="0" xr:uid="{00000000-0006-0000-0200-000009000000}">
      <text>
        <r>
          <rPr>
            <sz val="9"/>
            <color indexed="81"/>
            <rFont val="Segoe UI"/>
            <family val="2"/>
          </rPr>
          <t xml:space="preserve">Lucro Presumido: 3% **** Lucro Real: 7,60%
</t>
        </r>
      </text>
    </comment>
    <comment ref="I33" authorId="0" shapeId="0" xr:uid="{00000000-0006-0000-0200-00000A000000}">
      <text>
        <r>
          <rPr>
            <sz val="9"/>
            <color indexed="81"/>
            <rFont val="Segoe UI"/>
            <family val="2"/>
          </rPr>
          <t>Lucro Presumido: 0,65% **** Lucro Real: 1,65%</t>
        </r>
        <r>
          <rPr>
            <b/>
            <sz val="9"/>
            <color indexed="81"/>
            <rFont val="Segoe UI"/>
            <family val="2"/>
          </rPr>
          <t xml:space="preserve">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I36" authorId="0" shapeId="0" xr:uid="{00000000-0006-0000-0200-00000B000000}">
      <text>
        <r>
          <rPr>
            <sz val="9"/>
            <color indexed="81"/>
            <rFont val="Segoe UI"/>
            <family val="2"/>
          </rPr>
          <t xml:space="preserve">Empresas optante do SIMPLES deverão preencher o total dos tributos
</t>
        </r>
      </text>
    </comment>
    <comment ref="I37" authorId="1" shapeId="0" xr:uid="{00000000-0006-0000-0200-00000C000000}">
      <text>
        <r>
          <rPr>
            <sz val="9"/>
            <color indexed="81"/>
            <rFont val="Segoe UI"/>
            <family val="2"/>
          </rPr>
          <t xml:space="preserve">Necessário preenchimento apenas pelas empresas que comprovadamente possuem Desoneração na Folha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Vale</author>
    <author>Seziane Silva</author>
  </authors>
  <commentList>
    <comment ref="N14" authorId="0" shapeId="0" xr:uid="{00000000-0006-0000-0300-000001000000}">
      <text>
        <r>
          <rPr>
            <sz val="9"/>
            <color indexed="81"/>
            <rFont val="Segoe UI"/>
            <family val="2"/>
          </rPr>
          <t xml:space="preserve">Para empresas que possuem desoneração da folha não preencher este item.
</t>
        </r>
      </text>
    </comment>
    <comment ref="N26" authorId="1" shapeId="0" xr:uid="{00000000-0006-0000-0300-000002000000}">
      <text>
        <r>
          <rPr>
            <sz val="9"/>
            <color indexed="81"/>
            <rFont val="Segoe UI"/>
            <family val="2"/>
          </rPr>
          <t xml:space="preserve">Marcar a Opção da sua empresa (Horista ou Mensalista)
</t>
        </r>
      </text>
    </comment>
    <comment ref="N30" authorId="1" shapeId="0" xr:uid="{00000000-0006-0000-0300-000003000000}">
      <text>
        <r>
          <rPr>
            <sz val="9"/>
            <color indexed="81"/>
            <rFont val="Segoe UI"/>
            <family val="2"/>
          </rPr>
          <t>Este item é a falta abonada mediante apresentação de atestado médico. Os 15 primeiros dias são pagos pela empresa. O cálculo para os dias úteis de afastamento por enfermidade, através desta fórmula, leva em consideração os dias equivalentes ao salário médio, devido a profissões diversas que resulta em salários diferenciados nas empresas</t>
        </r>
      </text>
    </comment>
    <comment ref="N31" authorId="1" shapeId="0" xr:uid="{00000000-0006-0000-0300-000004000000}">
      <text>
        <r>
          <rPr>
            <sz val="9"/>
            <color indexed="81"/>
            <rFont val="Segoe UI"/>
            <family val="2"/>
          </rPr>
          <t xml:space="preserve">Aplicável apenas para HORISTA
</t>
        </r>
      </text>
    </comment>
    <comment ref="N33" authorId="1" shapeId="0" xr:uid="{00000000-0006-0000-0300-000005000000}">
      <text>
        <r>
          <rPr>
            <sz val="9"/>
            <color indexed="81"/>
            <rFont val="Segoe UI"/>
            <family val="2"/>
          </rPr>
          <t>Aplicável apenas para HORISTA</t>
        </r>
      </text>
    </comment>
    <comment ref="N40" authorId="1" shapeId="0" xr:uid="{00000000-0006-0000-0300-000006000000}">
      <text>
        <r>
          <rPr>
            <sz val="9"/>
            <color indexed="81"/>
            <rFont val="Segoe UI"/>
            <family val="2"/>
          </rPr>
          <t xml:space="preserve">50% sobre o FGTS, ou seja, 4%
</t>
        </r>
      </text>
    </comment>
    <comment ref="N42" authorId="1" shapeId="0" xr:uid="{00000000-0006-0000-0300-000007000000}">
      <text>
        <r>
          <rPr>
            <sz val="9"/>
            <color indexed="81"/>
            <rFont val="Segoe UI"/>
            <family val="2"/>
          </rPr>
          <t>Devida apenas quando a rescisão ocorre nos 30 dd que antecedem a data base da categoria. Neste caso, a rescisão é paga em dobro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tc={0EFC77FB-7232-400A-B060-FEC040CED519}</author>
    <author>tc={DDEB7B21-E098-4D27-99D7-C30EC29C8B16}</author>
    <author>Deusmar</author>
  </authors>
  <commentList>
    <comment ref="C19" authorId="0" shapeId="0" xr:uid="{0EFC77FB-7232-400A-B060-FEC040CED519}">
      <text>
        <t>[Threaded comment]
Your version of Excel allows you to read this threaded comment; however, any edits to it will get removed if the file is opened in a newer version of Excel. Learn more: https://go.microsoft.com/fwlink/?linkid=870924
Comment:
    o valor da sexta basica era de 200,00 reais</t>
      </text>
    </comment>
    <comment ref="C28" authorId="1" shapeId="0" xr:uid="{DDEB7B21-E098-4D27-99D7-C30EC29C8B16}">
      <text>
        <t>[Threaded comment]
Your version of Excel allows you to read this threaded comment; however, any edits to it will get removed if the file is opened in a newer version of Excel. Learn more: https://go.microsoft.com/fwlink/?linkid=870924
Comment:
    Custo=Cinto+Camisa+Calça+Bota+capacete+oculos+luvas</t>
      </text>
    </comment>
    <comment ref="C31" authorId="2" shapeId="0" xr:uid="{638EC984-2343-46C4-8FA1-4A91894B0095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Valor de referencia 184 
h mes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Seziane Silva</author>
    <author>Deusmar</author>
  </authors>
  <commentList>
    <comment ref="E7" authorId="0" shapeId="0" xr:uid="{00000000-0006-0000-0500-000001000000}">
      <text>
        <r>
          <rPr>
            <sz val="9"/>
            <color indexed="81"/>
            <rFont val="Segoe UI"/>
            <family val="2"/>
          </rPr>
          <t xml:space="preserve">Informe como será medida a função
</t>
        </r>
        <r>
          <rPr>
            <sz val="9"/>
            <color indexed="10"/>
            <rFont val="Segoe UI"/>
            <family val="2"/>
          </rPr>
          <t>Ex: Hora, Mês etc...</t>
        </r>
      </text>
    </comment>
    <comment ref="F7" authorId="0" shapeId="0" xr:uid="{00000000-0006-0000-0500-000002000000}">
      <text>
        <r>
          <rPr>
            <sz val="9"/>
            <color indexed="81"/>
            <rFont val="Segoe UI"/>
            <family val="2"/>
          </rPr>
          <t>Informar o Custo Homem hora sem BDI ou Total dos custos de mão de obra sem BDI, valores encontrados na aba Mão de Obra</t>
        </r>
      </text>
    </comment>
    <comment ref="G7" authorId="0" shapeId="0" xr:uid="{07F8507F-137F-4F38-8BF7-F12FA7C0C578}">
      <text>
        <r>
          <rPr>
            <sz val="9"/>
            <color indexed="81"/>
            <rFont val="Segoe UI"/>
            <family val="2"/>
          </rPr>
          <t xml:space="preserve">Informe a quantidade de tempo de utilização da função neste contrato
</t>
        </r>
        <r>
          <rPr>
            <sz val="9"/>
            <color indexed="10"/>
            <rFont val="Segoe UI"/>
            <family val="2"/>
          </rPr>
          <t>Ex: caso seja medido por hora, informar a quantidade de horas utilizadas, caso seja medido por mês, informar o número de meses etc..</t>
        </r>
      </text>
    </comment>
    <comment ref="H7" authorId="0" shapeId="0" xr:uid="{00000000-0006-0000-0500-000003000000}">
      <text>
        <r>
          <rPr>
            <sz val="9"/>
            <color indexed="81"/>
            <rFont val="Segoe UI"/>
            <family val="2"/>
          </rPr>
          <t xml:space="preserve">Informe a quantidade de tempo de utilização da função neste contrato
</t>
        </r>
        <r>
          <rPr>
            <sz val="9"/>
            <color indexed="10"/>
            <rFont val="Segoe UI"/>
            <family val="2"/>
          </rPr>
          <t>Ex: caso seja medido por hora, informar a quantidade de horas utilizadas, caso seja medido por mês, informar o número de meses etc..</t>
        </r>
      </text>
    </comment>
    <comment ref="F11" authorId="1" shapeId="0" xr:uid="{DFC02D03-81D5-4F7B-B467-AF868BF320C7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Valor + BDI+ IMP</t>
        </r>
      </text>
    </comment>
    <comment ref="E31" authorId="0" shapeId="0" xr:uid="{1A25B3FF-6A90-4167-9D5F-219CA9AA2C2C}">
      <text>
        <r>
          <rPr>
            <sz val="9"/>
            <color indexed="81"/>
            <rFont val="Segoe UI"/>
            <family val="2"/>
          </rPr>
          <t xml:space="preserve">Informe como será medida a função
</t>
        </r>
        <r>
          <rPr>
            <sz val="9"/>
            <color indexed="10"/>
            <rFont val="Segoe UI"/>
            <family val="2"/>
          </rPr>
          <t>Ex: Hora, Mês etc...</t>
        </r>
      </text>
    </comment>
    <comment ref="F31" authorId="0" shapeId="0" xr:uid="{00000000-0006-0000-0500-000005000000}">
      <text>
        <r>
          <rPr>
            <sz val="9"/>
            <color indexed="81"/>
            <rFont val="Segoe UI"/>
            <family val="2"/>
          </rPr>
          <t xml:space="preserve">Informe o valor de acordo com a utilização do equipamento
</t>
        </r>
        <r>
          <rPr>
            <sz val="9"/>
            <color indexed="10"/>
            <rFont val="Segoe UI"/>
            <family val="2"/>
          </rPr>
          <t>Ex: se for medido por hora, informar o valor por hora, se for medido por dia, informar o valor da diária e etc.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31" authorId="0" shapeId="0" xr:uid="{3A5BA375-D63C-45A9-A8C1-816C97399470}">
      <text>
        <r>
          <rPr>
            <sz val="9"/>
            <color indexed="81"/>
            <rFont val="Segoe UI"/>
            <family val="2"/>
          </rPr>
          <t xml:space="preserve">Informe a quantidade de tempo de utilização do equipamento neste contrato
</t>
        </r>
        <r>
          <rPr>
            <sz val="9"/>
            <color indexed="10"/>
            <rFont val="Segoe UI"/>
            <family val="2"/>
          </rPr>
          <t>Ex: caso seja medido por hora, informar a quantidade de horas utilizadas.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H31" authorId="0" shapeId="0" xr:uid="{00000000-0006-0000-0500-000006000000}">
      <text>
        <r>
          <rPr>
            <sz val="9"/>
            <color indexed="81"/>
            <rFont val="Segoe UI"/>
            <family val="2"/>
          </rPr>
          <t xml:space="preserve">Informe a quantidade de tempo de utilização do equipamento neste contrato
</t>
        </r>
        <r>
          <rPr>
            <sz val="9"/>
            <color indexed="10"/>
            <rFont val="Segoe UI"/>
            <family val="2"/>
          </rPr>
          <t>Ex: caso seja medido por hora, informar a quantidade de horas utilizadas.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42" authorId="0" shapeId="0" xr:uid="{00000000-0006-0000-0500-000007000000}">
      <text>
        <r>
          <rPr>
            <sz val="9"/>
            <color indexed="81"/>
            <rFont val="Segoe UI"/>
            <family val="2"/>
          </rPr>
          <t xml:space="preserve">Informe como será medido o material
</t>
        </r>
        <r>
          <rPr>
            <sz val="9"/>
            <color indexed="10"/>
            <rFont val="Segoe UI"/>
            <family val="2"/>
          </rPr>
          <t>Ex: Unidade, Kg, Metro, Verba etc...</t>
        </r>
      </text>
    </comment>
    <comment ref="F42" authorId="0" shapeId="0" xr:uid="{00000000-0006-0000-0500-000008000000}">
      <text>
        <r>
          <rPr>
            <sz val="9"/>
            <color indexed="81"/>
            <rFont val="Segoe UI"/>
            <family val="2"/>
          </rPr>
          <t xml:space="preserve">Informe o valor de acordo com a unidade de medição do material neste contrato
</t>
        </r>
        <r>
          <rPr>
            <sz val="9"/>
            <color indexed="10"/>
            <rFont val="Segoe UI"/>
            <family val="2"/>
          </rPr>
          <t>Ex: se for medido por unidade, informar o valor por unidade, se for medido por verba, informar o valor da verba e etc.</t>
        </r>
      </text>
    </comment>
    <comment ref="E52" authorId="0" shapeId="0" xr:uid="{00000000-0006-0000-0500-000009000000}">
      <text>
        <r>
          <rPr>
            <sz val="9"/>
            <color indexed="81"/>
            <rFont val="Segoe UI"/>
            <family val="2"/>
          </rPr>
          <t>Sugestão para utilização: Verba, Unidade, Dia, Hora, Mês, Semana, etc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Vinicius Magalhaes</author>
  </authors>
  <commentList>
    <comment ref="J11" authorId="0" shapeId="0" xr:uid="{288F1C27-EE64-4CD8-8768-AF1A5DB945BA}">
      <text>
        <r>
          <rPr>
            <b/>
            <sz val="9"/>
            <color indexed="81"/>
            <rFont val="Segoe UI"/>
            <family val="2"/>
          </rPr>
          <t>As duas primeiras horas serão 50%</t>
        </r>
      </text>
    </comment>
    <comment ref="K11" authorId="0" shapeId="0" xr:uid="{497AA359-B31F-418C-ACED-7D7EB1862FC1}">
      <text>
        <r>
          <rPr>
            <b/>
            <sz val="9"/>
            <color indexed="81"/>
            <rFont val="Segoe UI"/>
            <family val="2"/>
          </rPr>
          <t>As duas primeiras horas serão 50%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Seziane Silva</author>
    <author>tc={3FA35A2A-7C17-49C6-9EB3-5877716A3700}</author>
  </authors>
  <commentList>
    <comment ref="E7" authorId="0" shapeId="0" xr:uid="{00000000-0006-0000-0700-000001000000}">
      <text>
        <r>
          <rPr>
            <sz val="9"/>
            <color indexed="81"/>
            <rFont val="Segoe UI"/>
            <family val="2"/>
          </rPr>
          <t xml:space="preserve">Informe como será medida a função
</t>
        </r>
        <r>
          <rPr>
            <sz val="9"/>
            <color indexed="10"/>
            <rFont val="Segoe UI"/>
            <family val="2"/>
          </rPr>
          <t>Ex: Hora, Mês etc...</t>
        </r>
      </text>
    </comment>
    <comment ref="F7" authorId="0" shapeId="0" xr:uid="{00000000-0006-0000-0700-000002000000}">
      <text>
        <r>
          <rPr>
            <sz val="9"/>
            <color indexed="81"/>
            <rFont val="Segoe UI"/>
            <family val="2"/>
          </rPr>
          <t>Informar o Custo Homem hora sem BDI ou Total dos custos de mão de obra sem BDI, valores encontrados na aba Mão de Obra</t>
        </r>
      </text>
    </comment>
    <comment ref="G7" authorId="0" shapeId="0" xr:uid="{00000000-0006-0000-0700-000003000000}">
      <text>
        <r>
          <rPr>
            <sz val="9"/>
            <color indexed="81"/>
            <rFont val="Segoe UI"/>
            <family val="2"/>
          </rPr>
          <t xml:space="preserve">Informe a quantidade de tempo de utilização da função neste contrato
</t>
        </r>
        <r>
          <rPr>
            <sz val="9"/>
            <color indexed="10"/>
            <rFont val="Segoe UI"/>
            <family val="2"/>
          </rPr>
          <t>Ex: caso seja medido por hora, informar a quantidade de horas utilizadas, caso seja medido por mês, informar o número de meses etc..</t>
        </r>
      </text>
    </comment>
    <comment ref="G8" authorId="1" shapeId="0" xr:uid="{3FA35A2A-7C17-49C6-9EB3-5877716A3700}">
      <text>
        <t>[Threaded comment]
Your version of Excel allows you to read this threaded comment; however, any edits to it will get removed if the file is opened in a newer version of Excel. Learn more: https://go.microsoft.com/fwlink/?linkid=870924
Comment:
    Memoria Calculo:
QTD Profissional x QTD Dias X QTD Horas/dia.</t>
      </text>
    </comment>
    <comment ref="E18" authorId="0" shapeId="0" xr:uid="{00000000-0006-0000-0700-000004000000}">
      <text>
        <r>
          <rPr>
            <sz val="9"/>
            <color indexed="81"/>
            <rFont val="Segoe UI"/>
            <family val="2"/>
          </rPr>
          <t xml:space="preserve">Informe como será medido o tempo de uso do equipamento neste contrato
</t>
        </r>
        <r>
          <rPr>
            <sz val="9"/>
            <color indexed="10"/>
            <rFont val="Segoe UI"/>
            <family val="2"/>
          </rPr>
          <t>Ex: Hora, Dia, Semana, Mês Ano etc...</t>
        </r>
      </text>
    </comment>
    <comment ref="F18" authorId="0" shapeId="0" xr:uid="{00000000-0006-0000-0700-000005000000}">
      <text>
        <r>
          <rPr>
            <sz val="9"/>
            <color indexed="81"/>
            <rFont val="Segoe UI"/>
            <family val="2"/>
          </rPr>
          <t xml:space="preserve">Informe o valor de acordo com a utilização do equipamento
</t>
        </r>
        <r>
          <rPr>
            <sz val="9"/>
            <color indexed="10"/>
            <rFont val="Segoe UI"/>
            <family val="2"/>
          </rPr>
          <t>Ex: se for medido por hora, informar o valor por hora, se for medido por dia, informar o valor da diária e etc.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18" authorId="0" shapeId="0" xr:uid="{00000000-0006-0000-0700-000006000000}">
      <text>
        <r>
          <rPr>
            <sz val="9"/>
            <color indexed="81"/>
            <rFont val="Segoe UI"/>
            <family val="2"/>
          </rPr>
          <t xml:space="preserve">Informe a quantidade de tempo de utilização do equipamento neste contrato
</t>
        </r>
        <r>
          <rPr>
            <sz val="9"/>
            <color indexed="10"/>
            <rFont val="Segoe UI"/>
            <family val="2"/>
          </rPr>
          <t>Ex: caso seja medido por hora, informar a quantidade de horas utilizadas.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33" authorId="0" shapeId="0" xr:uid="{00000000-0006-0000-0700-000007000000}">
      <text>
        <r>
          <rPr>
            <sz val="9"/>
            <color indexed="81"/>
            <rFont val="Segoe UI"/>
            <family val="2"/>
          </rPr>
          <t xml:space="preserve">Informe como será medido o material
</t>
        </r>
        <r>
          <rPr>
            <sz val="9"/>
            <color indexed="10"/>
            <rFont val="Segoe UI"/>
            <family val="2"/>
          </rPr>
          <t>Ex: Unidade, Kg, Metro, Verba etc...</t>
        </r>
      </text>
    </comment>
    <comment ref="F33" authorId="0" shapeId="0" xr:uid="{00000000-0006-0000-0700-000008000000}">
      <text>
        <r>
          <rPr>
            <sz val="9"/>
            <color indexed="81"/>
            <rFont val="Segoe UI"/>
            <family val="2"/>
          </rPr>
          <t xml:space="preserve">Informe o valor de acordo com a unidade de medição do material neste contrato
</t>
        </r>
        <r>
          <rPr>
            <sz val="9"/>
            <color indexed="10"/>
            <rFont val="Segoe UI"/>
            <family val="2"/>
          </rPr>
          <t>Ex: se for medido por unidade, informar o valor por unidade, se for medido por verba, informar o valor da verba e etc.</t>
        </r>
      </text>
    </comment>
    <comment ref="E41" authorId="0" shapeId="0" xr:uid="{00000000-0006-0000-0700-000009000000}">
      <text>
        <r>
          <rPr>
            <sz val="9"/>
            <color indexed="81"/>
            <rFont val="Segoe UI"/>
            <family val="2"/>
          </rPr>
          <t>Sugestão para utilização: Verba, Unidade, Dia, Hora, Mês, Semana, etc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Seziane Silva</author>
    <author>tc={3FA35A2A-7C17-49C7-9EB3-5877716A3700}</author>
    <author>tc={8C00206A-3C83-4426-BCFC-81C98B2628D6}</author>
  </authors>
  <commentList>
    <comment ref="E7" authorId="0" shapeId="0" xr:uid="{9B570714-AA2B-4CA3-BBD1-CE577BAC857B}">
      <text>
        <r>
          <rPr>
            <sz val="9"/>
            <color indexed="81"/>
            <rFont val="Segoe UI"/>
            <family val="2"/>
          </rPr>
          <t xml:space="preserve">Informe como será medida a função
</t>
        </r>
        <r>
          <rPr>
            <sz val="9"/>
            <color indexed="10"/>
            <rFont val="Segoe UI"/>
            <family val="2"/>
          </rPr>
          <t>Ex: Hora, Mês etc...</t>
        </r>
      </text>
    </comment>
    <comment ref="F7" authorId="0" shapeId="0" xr:uid="{D1340795-71C1-4A73-96FF-9F3576E4CB4A}">
      <text>
        <r>
          <rPr>
            <sz val="9"/>
            <color indexed="81"/>
            <rFont val="Segoe UI"/>
            <family val="2"/>
          </rPr>
          <t>Informar o Custo Homem hora sem BDI ou Total dos custos de mão de obra sem BDI, valores encontrados na aba Mão de Obra</t>
        </r>
      </text>
    </comment>
    <comment ref="G7" authorId="0" shapeId="0" xr:uid="{DEFAAC13-8D57-45A9-99F9-519EABF129F3}">
      <text>
        <r>
          <rPr>
            <sz val="9"/>
            <color indexed="81"/>
            <rFont val="Segoe UI"/>
            <family val="2"/>
          </rPr>
          <t xml:space="preserve">Informe a quantidade de tempo de utilização da função neste contrato
</t>
        </r>
        <r>
          <rPr>
            <sz val="9"/>
            <color indexed="10"/>
            <rFont val="Segoe UI"/>
            <family val="2"/>
          </rPr>
          <t>Ex: caso seja medido por hora, informar a quantidade de horas utilizadas, caso seja medido por mês, informar o número de meses etc..</t>
        </r>
      </text>
    </comment>
    <comment ref="G8" authorId="1" shapeId="0" xr:uid="{7A81EDA3-0F87-48DE-9C59-05D7D5BD45F7}">
      <text>
        <t>[Threaded comment]
Your version of Excel allows you to read this threaded comment; however, any edits to it will get removed if the file is opened in a newer version of Excel. Learn more: https://go.microsoft.com/fwlink/?linkid=870924
Comment:
    Memoria Calculo:
QTD Profissional x QTD Dias X QTD Horas/dia.</t>
      </text>
    </comment>
    <comment ref="G15" authorId="2" shapeId="0" xr:uid="{659DA3AA-5781-4392-8DD2-DFD28A102852}">
      <text>
        <t>[Threaded comment]
Your version of Excel allows you to read this threaded comment; however, any edits to it will get removed if the file is opened in a newer version of Excel. Learn more: https://go.microsoft.com/fwlink/?linkid=870924
Comment:
    Memoria Calculo:
QTD Profissional x QTD Dias X QTD Horas/dia.</t>
      </text>
    </comment>
    <comment ref="E22" authorId="0" shapeId="0" xr:uid="{00000000-0006-0000-0800-000004000000}">
      <text>
        <r>
          <rPr>
            <sz val="9"/>
            <color indexed="81"/>
            <rFont val="Segoe UI"/>
            <family val="2"/>
          </rPr>
          <t xml:space="preserve">Informe como será medido o tempo de uso do equipamento neste contrato
</t>
        </r>
        <r>
          <rPr>
            <sz val="9"/>
            <color indexed="10"/>
            <rFont val="Segoe UI"/>
            <family val="2"/>
          </rPr>
          <t>Ex: Hora, Dia, Semana, Mês Ano etc...</t>
        </r>
      </text>
    </comment>
    <comment ref="F22" authorId="0" shapeId="0" xr:uid="{00000000-0006-0000-0800-000005000000}">
      <text>
        <r>
          <rPr>
            <sz val="9"/>
            <color indexed="81"/>
            <rFont val="Segoe UI"/>
            <family val="2"/>
          </rPr>
          <t xml:space="preserve">Informe o valor de acordo com a utilização do equipamento
</t>
        </r>
        <r>
          <rPr>
            <sz val="9"/>
            <color indexed="10"/>
            <rFont val="Segoe UI"/>
            <family val="2"/>
          </rPr>
          <t>Ex: se for medido por hora, informar o valor por hora, se for medido por dia, informar o valor da diária e etc.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G22" authorId="0" shapeId="0" xr:uid="{00000000-0006-0000-0800-000006000000}">
      <text>
        <r>
          <rPr>
            <sz val="9"/>
            <color indexed="81"/>
            <rFont val="Segoe UI"/>
            <family val="2"/>
          </rPr>
          <t xml:space="preserve">Informe a quantidade de tempo de utilização do equipamento neste contrato
</t>
        </r>
        <r>
          <rPr>
            <sz val="9"/>
            <color indexed="10"/>
            <rFont val="Segoe UI"/>
            <family val="2"/>
          </rPr>
          <t>Ex: caso seja medido por hora, informar a quantidade de horas utilizadas.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30" authorId="0" shapeId="0" xr:uid="{00000000-0006-0000-0800-000007000000}">
      <text>
        <r>
          <rPr>
            <sz val="9"/>
            <color indexed="81"/>
            <rFont val="Segoe UI"/>
            <family val="2"/>
          </rPr>
          <t xml:space="preserve">Informe como será medido o material
</t>
        </r>
        <r>
          <rPr>
            <sz val="9"/>
            <color indexed="10"/>
            <rFont val="Segoe UI"/>
            <family val="2"/>
          </rPr>
          <t>Ex: Unidade, Kg, Metro, Verba etc...</t>
        </r>
      </text>
    </comment>
    <comment ref="F30" authorId="0" shapeId="0" xr:uid="{00000000-0006-0000-0800-000008000000}">
      <text>
        <r>
          <rPr>
            <sz val="9"/>
            <color indexed="81"/>
            <rFont val="Segoe UI"/>
            <family val="2"/>
          </rPr>
          <t xml:space="preserve">Informe o valor de acordo com a unidade de medição do material neste contrato
</t>
        </r>
        <r>
          <rPr>
            <sz val="9"/>
            <color indexed="10"/>
            <rFont val="Segoe UI"/>
            <family val="2"/>
          </rPr>
          <t>Ex: se for medido por unidade, informar o valor por unidade, se for medido por verba, informar o valor da verba e etc.</t>
        </r>
      </text>
    </comment>
    <comment ref="E38" authorId="0" shapeId="0" xr:uid="{00000000-0006-0000-0800-000009000000}">
      <text>
        <r>
          <rPr>
            <sz val="9"/>
            <color indexed="81"/>
            <rFont val="Segoe UI"/>
            <family val="2"/>
          </rPr>
          <t xml:space="preserve">Sugestão para utilização: Verba, Unidade, Dia, Hora, Mês, Semana, etc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Cristiano Melo Santos</author>
    <author>Deusmar</author>
  </authors>
  <commentList>
    <comment ref="G3" authorId="0" shapeId="0" xr:uid="{A658E6ED-85E7-478A-8326-BFA26F3242C5}">
      <text>
        <r>
          <rPr>
            <b/>
            <sz val="8"/>
            <color indexed="9"/>
            <rFont val="Tahoma"/>
            <family val="2"/>
          </rPr>
          <t>Escolha a moeda do contrato</t>
        </r>
      </text>
    </comment>
    <comment ref="F21" authorId="1" shapeId="0" xr:uid="{28921E01-2368-477E-B4E8-29294E99FB71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2" authorId="1" shapeId="0" xr:uid="{5DB2094B-2279-47A3-8EA8-7DEED23524EF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3" authorId="1" shapeId="0" xr:uid="{4CBB2E59-6247-4498-8A98-3FDFDB12E1AA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4" authorId="1" shapeId="0" xr:uid="{04805C68-2678-4275-BB86-E1C8E5328E99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5" authorId="1" shapeId="0" xr:uid="{EA502FB3-A7F6-4CE0-A0C6-CD183F09E3ED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6" authorId="1" shapeId="0" xr:uid="{44DB336E-88A2-4BC8-89E8-51F0F569A42A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7" authorId="1" shapeId="0" xr:uid="{7C798DE9-203D-42D8-A91A-6B5A9FD5C5ED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8" authorId="1" shapeId="0" xr:uid="{0E091F3C-C350-4E1D-A173-08F1B9D67633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Cristiano Melo Santos</author>
    <author>Deusmar</author>
  </authors>
  <commentList>
    <comment ref="G3" authorId="0" shapeId="0" xr:uid="{F4EF316A-13D8-46AA-8B2B-D90B73E33E45}">
      <text>
        <r>
          <rPr>
            <b/>
            <sz val="8"/>
            <color indexed="9"/>
            <rFont val="Tahoma"/>
            <family val="2"/>
          </rPr>
          <t>Escolha a moeda do contrato</t>
        </r>
      </text>
    </comment>
    <comment ref="F21" authorId="1" shapeId="0" xr:uid="{26755D78-39DF-4CFA-923F-DE0366741472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2" authorId="1" shapeId="0" xr:uid="{4CA6430D-D8D2-4ECD-961A-656F6F2F0036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3" authorId="1" shapeId="0" xr:uid="{09951D96-0F1D-4BFC-A524-096382DB527A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4" authorId="1" shapeId="0" xr:uid="{012F7371-77E8-468C-9E84-BCD433F9E935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5" authorId="1" shapeId="0" xr:uid="{A329E4AC-937F-40DE-84B6-0EF4E3D2C9AF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6" authorId="1" shapeId="0" xr:uid="{F67DBE87-0B22-411E-B8F2-20BA5BEE810A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7" authorId="1" shapeId="0" xr:uid="{2EC717E1-D5F0-42CF-A253-1E97A0DBCC80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  <comment ref="F28" authorId="1" shapeId="0" xr:uid="{EB52FB96-259F-4205-BE28-CAD465B78192}">
      <text>
        <r>
          <rPr>
            <b/>
            <sz val="9"/>
            <color indexed="81"/>
            <rFont val="Segoe UI"/>
            <family val="2"/>
          </rPr>
          <t>Deusmar:</t>
        </r>
        <r>
          <rPr>
            <sz val="9"/>
            <color indexed="81"/>
            <rFont val="Segoe UI"/>
            <family val="2"/>
          </rPr>
          <t xml:space="preserve">
Custo/Consumo 7 km litroX50 km x 22 dias + 4500 locação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Cristiano Melo Santos</author>
    <author>Deusmar  Rodrigues | Engenharia | GML</author>
  </authors>
  <commentList>
    <comment ref="M2" authorId="0" shapeId="0" xr:uid="{5CFB3C2E-A711-471F-9372-314A89968136}">
      <text>
        <r>
          <rPr>
            <b/>
            <sz val="8"/>
            <color indexed="9"/>
            <rFont val="Tahoma"/>
            <family val="2"/>
          </rPr>
          <t xml:space="preserve">Caso o código SAP seja informado na coluna "D" é necessário informar manualmente a unidade de medida para os itens de materiais. Confira se todas as unidades dos itens cadastrados estão conforme o cadastro no SAP.
</t>
        </r>
      </text>
    </comment>
    <comment ref="Q4" authorId="0" shapeId="0" xr:uid="{0A85B0F6-C166-426B-96A7-D6E4ED5F7F0E}">
      <text>
        <r>
          <rPr>
            <b/>
            <sz val="8"/>
            <color indexed="9"/>
            <rFont val="Tahoma"/>
            <family val="2"/>
          </rPr>
          <t>Escolha a moeda do contrato</t>
        </r>
      </text>
    </comment>
    <comment ref="N30" authorId="1" shapeId="0" xr:uid="{D9A1D94C-8479-4A7D-9666-33EBA33D18A2}">
      <text>
        <r>
          <rPr>
            <sz val="11"/>
            <color theme="1"/>
            <rFont val="Calibri"/>
            <family val="2"/>
            <scheme val="minor"/>
          </rPr>
          <t xml:space="preserve">Para cobrar pintura, fornecedor está cobrando tela x 2 lados 
somente a Nexo cobra de 1 lado
</t>
        </r>
      </text>
    </comment>
    <comment ref="Q30" authorId="1" shapeId="0" xr:uid="{EC9E9B01-12A9-4750-B691-F63DE0FB1129}">
      <text>
        <r>
          <rPr>
            <sz val="11"/>
            <color theme="1"/>
            <rFont val="Calibri"/>
            <family val="2"/>
            <scheme val="minor"/>
          </rPr>
          <t xml:space="preserve">Para cobrar pintura, fornecedor está cobrando tela x 2 lados 
somente a Nexo cobra de 1 lado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Cristiano Melo Santos</author>
    <author>Deusmar  Rodrigues | Engenharia | GML</author>
  </authors>
  <commentList>
    <comment ref="C2" authorId="0" shapeId="0" xr:uid="{5194D227-0CB7-41B9-9227-DEBEF793655F}">
      <text>
        <r>
          <rPr>
            <b/>
            <sz val="8"/>
            <color indexed="9"/>
            <rFont val="Tahoma"/>
            <family val="2"/>
          </rPr>
          <t xml:space="preserve">Caso o código SAP seja informado na coluna "D" é necessário informar manualmente a unidade de medida para os itens de materiais. Confira se todas as unidades dos itens cadastrados estão conforme o cadastro no SAP.
</t>
        </r>
      </text>
    </comment>
    <comment ref="F4" authorId="0" shapeId="0" xr:uid="{9EF3AAC5-AD46-428E-9A5D-9379D773C005}">
      <text>
        <r>
          <rPr>
            <b/>
            <sz val="8"/>
            <color indexed="9"/>
            <rFont val="Tahoma"/>
            <family val="2"/>
          </rPr>
          <t>Escolha a moeda do contrato</t>
        </r>
      </text>
    </comment>
    <comment ref="E14" authorId="1" shapeId="0" xr:uid="{5A46B20C-4BA3-47D7-81BC-F560D599CA62}">
      <text>
        <r>
          <rPr>
            <sz val="11"/>
            <color theme="1"/>
            <rFont val="Calibri"/>
            <family val="2"/>
            <scheme val="minor"/>
          </rPr>
          <t xml:space="preserve">Para cobrar pintura, fornecedor está cobrando tela x 2 lados 
somente a Nexo cobra de 1 lado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Cristiano Melo Santos</author>
  </authors>
  <commentList>
    <comment ref="C2" authorId="0" shapeId="0" xr:uid="{AA6130AA-B03D-42D3-AA92-AAE24CA3185B}">
      <text>
        <r>
          <rPr>
            <b/>
            <sz val="8"/>
            <color indexed="9"/>
            <rFont val="Tahoma"/>
            <family val="2"/>
          </rPr>
          <t xml:space="preserve">Caso o código SAP seja informado na coluna "D" é necessário informar manualmente a unidade de medida para os itens de materiais. Confira se todas as unidades dos itens cadastrados estão conforme o cadastro no SAP.
</t>
        </r>
      </text>
    </comment>
    <comment ref="G4" authorId="0" shapeId="0" xr:uid="{00D6F424-7A6C-4E08-916F-DFE6A7E51EE1}">
      <text>
        <r>
          <rPr>
            <b/>
            <sz val="8"/>
            <color indexed="9"/>
            <rFont val="Tahoma"/>
            <family val="2"/>
          </rPr>
          <t>Escolha a moeda do contrato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Cristiano Melo Santos</author>
  </authors>
  <commentList>
    <comment ref="C2" authorId="0" shapeId="0" xr:uid="{54841598-524E-49FE-9E68-049B6D21F66D}">
      <text>
        <r>
          <rPr>
            <b/>
            <sz val="8"/>
            <color indexed="9"/>
            <rFont val="Tahoma"/>
            <family val="2"/>
          </rPr>
          <t xml:space="preserve">Caso o código SAP seja informado na coluna "D" é necessário informar manualmente a unidade de medida para os itens de materiais. Confira se todas as unidades dos itens cadastrados estão conforme o cadastro no SAP.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tc={5D6E961F-A753-4998-941E-AF6FEF511465}</author>
    <author>tc={701BEC48-2A00-4C6A-B1E4-1C70473B988C}</author>
    <author>tc={0C33AE93-1D6E-4D79-AA3B-0F581E3F56B5}</author>
    <author>tc={7433C5A3-43FC-4257-BE79-C3314485F8E4}</author>
    <author>tc={4C218640-DC8B-4EAE-BF51-8781D4749B06}</author>
    <author>tc={7B86939D-F3B4-4EC1-830F-4152354825E6}</author>
  </authors>
  <commentList>
    <comment ref="E5" authorId="0" shapeId="0" xr:uid="{5D6E961F-A753-4998-941E-AF6FEF511465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estimado a ser pago por hora trabalhada.</t>
      </text>
    </comment>
    <comment ref="E6" authorId="1" shapeId="0" xr:uid="{701BEC48-2A00-4C6A-B1E4-1C70473B988C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estimado a ser pago por hora trabalhada.</t>
      </text>
    </comment>
    <comment ref="E8" authorId="2" shapeId="0" xr:uid="{0C33AE93-1D6E-4D79-AA3B-0F581E3F56B5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estimado a ser pago por hora trabalhada.</t>
      </text>
    </comment>
    <comment ref="AB21" authorId="3" shapeId="0" xr:uid="{7433C5A3-43FC-4257-BE79-C3314485F8E4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quantidade de funcionários</t>
      </text>
    </comment>
    <comment ref="AC21" authorId="4" shapeId="0" xr:uid="{4C218640-DC8B-4EAE-BF51-8781D4749B06}">
      <text>
        <t>[Threaded comment]
Your version of Excel allows you to read this threaded comment; however, any edits to it will get removed if the file is opened in a newer version of Excel. Learn more: https://go.microsoft.com/fwlink/?linkid=870924
Comment:
    quantidade de horas trabalhadas em um mês</t>
      </text>
    </comment>
    <comment ref="AB24" authorId="5" shapeId="0" xr:uid="{7B86939D-F3B4-4EC1-830F-4152354825E6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ada hora de cada funcionário</t>
      </text>
    </comment>
  </commentList>
</comments>
</file>

<file path=xl/sharedStrings.xml><?xml version="1.0" encoding="utf-8"?>
<sst xmlns="http://schemas.openxmlformats.org/spreadsheetml/2006/main" count="1498" uniqueCount="750">
  <si>
    <t>DEMANDA EVENTUAL</t>
  </si>
  <si>
    <t>Item</t>
  </si>
  <si>
    <t>Função (descrever a função)</t>
  </si>
  <si>
    <t>Unidade</t>
  </si>
  <si>
    <t>Valor da Hora Normal e Extra</t>
  </si>
  <si>
    <t>Hora Normal</t>
  </si>
  <si>
    <t xml:space="preserve">Hora Extra 1 </t>
  </si>
  <si>
    <t>Hora Extra 2</t>
  </si>
  <si>
    <t xml:space="preserve">Hora Extra 3 </t>
  </si>
  <si>
    <t>Supervisor Obra</t>
  </si>
  <si>
    <t>Hora</t>
  </si>
  <si>
    <t>Lider Equipe Mecanica</t>
  </si>
  <si>
    <t>Caldeireiro</t>
  </si>
  <si>
    <t>Mec. Ajustador</t>
  </si>
  <si>
    <t>Soldador</t>
  </si>
  <si>
    <t>Pedreiro</t>
  </si>
  <si>
    <t>Ajudante Montagem</t>
  </si>
  <si>
    <t>Servente Pedreiro</t>
  </si>
  <si>
    <t>INSTRUÇÕES GERAIS DE PREENCHIMENTO</t>
  </si>
  <si>
    <t>BDI</t>
  </si>
  <si>
    <t xml:space="preserve">BDI  é  uma  sigla  que  se  refere  às  Bonificações  (ou  Benefícios)  e Despesas  Indiretas  nas  planilhas  de  custos  e  que  identifica  um percentual  a  ser aplicado  sobre  os  custos  diretos  com  o  intuito  de  financiar  os  demais  custos envolvidos na realização de serviços ou obras.
Esse  percentual  visa  estimar,  o mais  próximo  possível  da  realidade, aqueles  custos  que  não  possuem  relação  direta  com a  execução  do  serviço,  por exemplo,  os  custos  de  manutenção  do  escritório  da  empresa,  assim  como  os tributos incidentes sobre o faturamento da empresa e o próprio lucro do negócio.
Observa-se que a base para aplicação do BDI compõe-se dos custos envolvidos efetivamente na execução do serviço, ou seja, os custos diretos. Nesse mesmo  sentido,  o  Tribunal  de  Contas  da  União  considera  que  “o  BDI  é  definido como um percentual aplicado sobre o custo direto para chegar ao preço de venda a ser apresentado ao cliente” (Decisão 255/1999 – TCU – 1ª Câmara). 
Os  custos  diretos  envolvem  os  gastos  com  mão-de-obra (salários, adicionais e encargos sociais), usualmente definidos como “Montante A”, e os  insumos  para  a  execução  do  serviço  (uniformes,  vale-refeição,  vale-transporte, entre outros), denominados “Montante B”. </t>
  </si>
  <si>
    <t>TRIBUTOS</t>
  </si>
  <si>
    <r>
      <t>Abaixo estão as orientações de como são feitos os cálculos dos tributos:</t>
    </r>
    <r>
      <rPr>
        <sz val="10"/>
        <rFont val="Arial"/>
        <family val="2"/>
      </rPr>
      <t xml:space="preserve">
</t>
    </r>
    <r>
      <rPr>
        <b/>
        <sz val="10"/>
        <rFont val="Arial"/>
        <family val="2"/>
      </rPr>
      <t xml:space="preserve">
</t>
    </r>
    <r>
      <rPr>
        <b/>
        <u/>
        <sz val="10"/>
        <rFont val="Arial"/>
        <family val="2"/>
      </rPr>
      <t>Lucro Presumido</t>
    </r>
    <r>
      <rPr>
        <sz val="10"/>
        <rFont val="Arial"/>
        <family val="2"/>
      </rPr>
      <t xml:space="preserve">
A expressão Lucro Presumido representa uma modalidade de apuração de </t>
    </r>
    <r>
      <rPr>
        <b/>
        <u/>
        <sz val="10"/>
        <rFont val="Arial"/>
        <family val="2"/>
      </rPr>
      <t>apenas 2 tributos</t>
    </r>
    <r>
      <rPr>
        <sz val="10"/>
        <rFont val="Arial"/>
        <family val="2"/>
      </rPr>
      <t xml:space="preserve">: Imposto de Renda – Pessoa Jurídica </t>
    </r>
    <r>
      <rPr>
        <b/>
        <sz val="10"/>
        <rFont val="Arial"/>
        <family val="2"/>
      </rPr>
      <t xml:space="preserve">(IRPJ) </t>
    </r>
    <r>
      <rPr>
        <sz val="10"/>
        <rFont val="Arial"/>
        <family val="2"/>
      </rPr>
      <t xml:space="preserve">e Contribuição Social sobre o Lucro Líquido </t>
    </r>
    <r>
      <rPr>
        <b/>
        <sz val="10"/>
        <rFont val="Arial"/>
        <family val="2"/>
      </rPr>
      <t>(CSLL)</t>
    </r>
    <r>
      <rPr>
        <sz val="10"/>
        <rFont val="Arial"/>
        <family val="2"/>
      </rPr>
      <t xml:space="preserve">, pagos </t>
    </r>
    <r>
      <rPr>
        <b/>
        <sz val="10"/>
        <rFont val="Arial"/>
        <family val="2"/>
      </rPr>
      <t>trimestralmente.</t>
    </r>
    <r>
      <rPr>
        <sz val="10"/>
        <rFont val="Arial"/>
        <family val="2"/>
      </rPr>
      <t xml:space="preserve">
As </t>
    </r>
    <r>
      <rPr>
        <b/>
        <sz val="10"/>
        <rFont val="Arial"/>
        <family val="2"/>
      </rPr>
      <t xml:space="preserve">alíquotas </t>
    </r>
    <r>
      <rPr>
        <sz val="10"/>
        <rFont val="Arial"/>
        <family val="2"/>
      </rPr>
      <t xml:space="preserve">dos tributos são aplicadas sobre um </t>
    </r>
    <r>
      <rPr>
        <b/>
        <sz val="10"/>
        <rFont val="Arial"/>
        <family val="2"/>
      </rPr>
      <t>lucro que se presume</t>
    </r>
    <r>
      <rPr>
        <sz val="10"/>
        <rFont val="Arial"/>
        <family val="2"/>
      </rPr>
      <t>, que constitui a b</t>
    </r>
    <r>
      <rPr>
        <b/>
        <sz val="10"/>
        <rFont val="Arial"/>
        <family val="2"/>
      </rPr>
      <t>ase de cálculo</t>
    </r>
    <r>
      <rPr>
        <sz val="10"/>
        <rFont val="Arial"/>
        <family val="2"/>
      </rPr>
      <t xml:space="preserve"> do </t>
    </r>
    <r>
      <rPr>
        <b/>
        <sz val="10"/>
        <rFont val="Arial"/>
        <family val="2"/>
      </rPr>
      <t xml:space="preserve">IRPJ </t>
    </r>
    <r>
      <rPr>
        <sz val="10"/>
        <rFont val="Arial"/>
        <family val="2"/>
      </rPr>
      <t xml:space="preserve">e da </t>
    </r>
    <r>
      <rPr>
        <b/>
        <sz val="10"/>
        <rFont val="Arial"/>
        <family val="2"/>
      </rPr>
      <t>CSLL.</t>
    </r>
    <r>
      <rPr>
        <sz val="10"/>
        <rFont val="Arial"/>
        <family val="2"/>
      </rPr>
      <t xml:space="preserve"> Para as empresas de prestação de serviços, de modo geral, a base de cálculo do </t>
    </r>
    <r>
      <rPr>
        <b/>
        <sz val="10"/>
        <rFont val="Arial"/>
        <family val="2"/>
      </rPr>
      <t>Lucro Presumido</t>
    </r>
    <r>
      <rPr>
        <sz val="10"/>
        <rFont val="Arial"/>
        <family val="2"/>
      </rPr>
      <t xml:space="preserve"> é de </t>
    </r>
    <r>
      <rPr>
        <b/>
        <sz val="10"/>
        <rFont val="Arial"/>
        <family val="2"/>
      </rPr>
      <t>32%</t>
    </r>
    <r>
      <rPr>
        <sz val="10"/>
        <rFont val="Arial"/>
        <family val="2"/>
      </rPr>
      <t xml:space="preserve"> do faturamento mensal.
Essas </t>
    </r>
    <r>
      <rPr>
        <b/>
        <sz val="10"/>
        <rFont val="Arial"/>
        <family val="2"/>
      </rPr>
      <t>alíquotas</t>
    </r>
    <r>
      <rPr>
        <sz val="10"/>
        <rFont val="Arial"/>
        <family val="2"/>
      </rPr>
      <t xml:space="preserve"> são:
·      </t>
    </r>
    <r>
      <rPr>
        <b/>
        <sz val="10"/>
        <rFont val="Arial"/>
        <family val="2"/>
      </rPr>
      <t xml:space="preserve">   IRPJ: 15% </t>
    </r>
    <r>
      <rPr>
        <sz val="10"/>
        <rFont val="Arial"/>
        <family val="2"/>
      </rPr>
      <t xml:space="preserve">para faturamento trimestral até </t>
    </r>
    <r>
      <rPr>
        <b/>
        <sz val="10"/>
        <rFont val="Arial"/>
        <family val="2"/>
      </rPr>
      <t>R$ 187.500,00</t>
    </r>
    <r>
      <rPr>
        <sz val="10"/>
        <rFont val="Arial"/>
        <family val="2"/>
      </rPr>
      <t xml:space="preserve">;
·         </t>
    </r>
    <r>
      <rPr>
        <b/>
        <sz val="10"/>
        <rFont val="Arial"/>
        <family val="2"/>
      </rPr>
      <t>IRPJ: 25%</t>
    </r>
    <r>
      <rPr>
        <sz val="10"/>
        <rFont val="Arial"/>
        <family val="2"/>
      </rPr>
      <t xml:space="preserve"> sobre a parcela do faturamento trimestral superior a </t>
    </r>
    <r>
      <rPr>
        <b/>
        <sz val="10"/>
        <rFont val="Arial"/>
        <family val="2"/>
      </rPr>
      <t>R$ 187.500,00</t>
    </r>
    <r>
      <rPr>
        <sz val="10"/>
        <rFont val="Arial"/>
        <family val="2"/>
      </rPr>
      <t xml:space="preserve">;
·         </t>
    </r>
    <r>
      <rPr>
        <b/>
        <sz val="10"/>
        <rFont val="Arial"/>
        <family val="2"/>
      </rPr>
      <t>CSLL: 9%</t>
    </r>
    <r>
      <rPr>
        <sz val="10"/>
        <rFont val="Arial"/>
        <family val="2"/>
      </rPr>
      <t xml:space="preserve"> sobre qualquer valor de faturamento.
Tais alíquotas são aplicáveis sobre a base de cálculo presumida de </t>
    </r>
    <r>
      <rPr>
        <b/>
        <sz val="10"/>
        <rFont val="Arial"/>
        <family val="2"/>
      </rPr>
      <t>32%</t>
    </r>
    <r>
      <rPr>
        <sz val="10"/>
        <rFont val="Arial"/>
        <family val="2"/>
      </rPr>
      <t xml:space="preserve">. Portanto, </t>
    </r>
    <r>
      <rPr>
        <b/>
        <sz val="10"/>
        <rFont val="Arial"/>
        <family val="2"/>
      </rPr>
      <t>15% X 32%</t>
    </r>
    <r>
      <rPr>
        <sz val="10"/>
        <rFont val="Arial"/>
        <family val="2"/>
      </rPr>
      <t xml:space="preserve"> é igual a </t>
    </r>
    <r>
      <rPr>
        <b/>
        <sz val="10"/>
        <rFont val="Arial"/>
        <family val="2"/>
      </rPr>
      <t xml:space="preserve">4,8% </t>
    </r>
    <r>
      <rPr>
        <sz val="10"/>
        <rFont val="Arial"/>
        <family val="2"/>
      </rPr>
      <t xml:space="preserve">do Faturamento mensal. E </t>
    </r>
    <r>
      <rPr>
        <b/>
        <sz val="10"/>
        <rFont val="Arial"/>
        <family val="2"/>
      </rPr>
      <t>25%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X 32%</t>
    </r>
    <r>
      <rPr>
        <sz val="10"/>
        <rFont val="Arial"/>
        <family val="2"/>
      </rPr>
      <t xml:space="preserve"> é igual a </t>
    </r>
    <r>
      <rPr>
        <b/>
        <sz val="10"/>
        <rFont val="Arial"/>
        <family val="2"/>
      </rPr>
      <t>8%</t>
    </r>
    <r>
      <rPr>
        <sz val="10"/>
        <rFont val="Arial"/>
        <family val="2"/>
      </rPr>
      <t xml:space="preserve"> do valor acima de </t>
    </r>
    <r>
      <rPr>
        <b/>
        <sz val="10"/>
        <rFont val="Arial"/>
        <family val="2"/>
      </rPr>
      <t>R$ 187.500,00.</t>
    </r>
    <r>
      <rPr>
        <sz val="10"/>
        <rFont val="Arial"/>
        <family val="2"/>
      </rPr>
      <t xml:space="preserve">
A opção pelo Lucro Presumido é vantajosa para as empresas cujo Lucro (Receitas (-) Despesas) é igual ou </t>
    </r>
    <r>
      <rPr>
        <b/>
        <sz val="10"/>
        <rFont val="Arial"/>
        <family val="2"/>
      </rPr>
      <t>superior</t>
    </r>
    <r>
      <rPr>
        <sz val="10"/>
        <rFont val="Arial"/>
        <family val="2"/>
      </rPr>
      <t xml:space="preserve"> a </t>
    </r>
    <r>
      <rPr>
        <b/>
        <sz val="10"/>
        <rFont val="Arial"/>
        <family val="2"/>
      </rPr>
      <t>32%</t>
    </r>
    <r>
      <rPr>
        <sz val="10"/>
        <rFont val="Arial"/>
        <family val="2"/>
      </rPr>
      <t xml:space="preserve">.
Quando a margem de lucro é inferior a </t>
    </r>
    <r>
      <rPr>
        <b/>
        <sz val="10"/>
        <rFont val="Arial"/>
        <family val="2"/>
      </rPr>
      <t>32%</t>
    </r>
    <r>
      <rPr>
        <sz val="10"/>
        <rFont val="Arial"/>
        <family val="2"/>
      </rPr>
      <t xml:space="preserve"> é mais vantajoso optar pelo pagamento dos tributos acima com base no </t>
    </r>
    <r>
      <rPr>
        <b/>
        <sz val="10"/>
        <rFont val="Arial"/>
        <family val="2"/>
      </rPr>
      <t>Lucro Real.
Ainda no Lucro Presumido o PIS é 0,65% e o COFINS é 3%</t>
    </r>
  </si>
  <si>
    <r>
      <t>Lucro Real</t>
    </r>
    <r>
      <rPr>
        <sz val="10"/>
        <rFont val="Arial"/>
        <family val="2"/>
      </rPr>
      <t xml:space="preserve">
Essa opção deve ser adotada quando o </t>
    </r>
    <r>
      <rPr>
        <b/>
        <sz val="10"/>
        <rFont val="Arial"/>
        <family val="2"/>
      </rPr>
      <t>Lucro</t>
    </r>
    <r>
      <rPr>
        <sz val="10"/>
        <rFont val="Arial"/>
        <family val="2"/>
      </rPr>
      <t xml:space="preserve"> efetivo (Receitas menos Despesas efetivamente comprovadas) é</t>
    </r>
    <r>
      <rPr>
        <b/>
        <sz val="10"/>
        <rFont val="Arial"/>
        <family val="2"/>
      </rPr>
      <t xml:space="preserve"> inferior</t>
    </r>
    <r>
      <rPr>
        <sz val="10"/>
        <rFont val="Arial"/>
        <family val="2"/>
      </rPr>
      <t xml:space="preserve"> a </t>
    </r>
    <r>
      <rPr>
        <b/>
        <sz val="10"/>
        <rFont val="Arial"/>
        <family val="2"/>
      </rPr>
      <t>32%</t>
    </r>
    <r>
      <rPr>
        <sz val="10"/>
        <rFont val="Arial"/>
        <family val="2"/>
      </rPr>
      <t xml:space="preserve"> do Faturamento do período e pode ser apurado </t>
    </r>
    <r>
      <rPr>
        <b/>
        <sz val="10"/>
        <rFont val="Arial"/>
        <family val="2"/>
      </rPr>
      <t xml:space="preserve">trimestral </t>
    </r>
    <r>
      <rPr>
        <sz val="10"/>
        <rFont val="Arial"/>
        <family val="2"/>
      </rPr>
      <t xml:space="preserve">ou </t>
    </r>
    <r>
      <rPr>
        <b/>
        <sz val="10"/>
        <rFont val="Arial"/>
        <family val="2"/>
      </rPr>
      <t xml:space="preserve">anualmente. </t>
    </r>
    <r>
      <rPr>
        <sz val="10"/>
        <rFont val="Arial"/>
        <family val="2"/>
      </rPr>
      <t xml:space="preserve">
As </t>
    </r>
    <r>
      <rPr>
        <b/>
        <sz val="10"/>
        <rFont val="Arial"/>
        <family val="2"/>
      </rPr>
      <t xml:space="preserve">alíquotas </t>
    </r>
    <r>
      <rPr>
        <sz val="10"/>
        <rFont val="Arial"/>
        <family val="2"/>
      </rPr>
      <t xml:space="preserve">dos tributos para cálculo do IRPJ e da CSLL nessa modalidade são:
·        </t>
    </r>
    <r>
      <rPr>
        <b/>
        <sz val="10"/>
        <rFont val="Arial"/>
        <family val="2"/>
      </rPr>
      <t xml:space="preserve"> IRPJ: 15%</t>
    </r>
    <r>
      <rPr>
        <sz val="10"/>
        <rFont val="Arial"/>
        <family val="2"/>
      </rPr>
      <t xml:space="preserve"> para Lucro até </t>
    </r>
    <r>
      <rPr>
        <b/>
        <sz val="10"/>
        <rFont val="Arial"/>
        <family val="2"/>
      </rPr>
      <t>R$ 20.000,00/mês;</t>
    </r>
    <r>
      <rPr>
        <sz val="10"/>
        <rFont val="Arial"/>
        <family val="2"/>
      </rPr>
      <t xml:space="preserve">
·         </t>
    </r>
    <r>
      <rPr>
        <b/>
        <sz val="10"/>
        <rFont val="Arial"/>
        <family val="2"/>
      </rPr>
      <t>IRPJ: 25%</t>
    </r>
    <r>
      <rPr>
        <sz val="10"/>
        <rFont val="Arial"/>
        <family val="2"/>
      </rPr>
      <t xml:space="preserve"> para Lucro acima de </t>
    </r>
    <r>
      <rPr>
        <b/>
        <sz val="10"/>
        <rFont val="Arial"/>
        <family val="2"/>
      </rPr>
      <t>R$ 20.000,00/mês;</t>
    </r>
    <r>
      <rPr>
        <sz val="10"/>
        <rFont val="Arial"/>
        <family val="2"/>
      </rPr>
      <t xml:space="preserve">
·         </t>
    </r>
    <r>
      <rPr>
        <b/>
        <sz val="10"/>
        <rFont val="Arial"/>
        <family val="2"/>
      </rPr>
      <t>CSLL: 9%</t>
    </r>
    <r>
      <rPr>
        <sz val="10"/>
        <rFont val="Arial"/>
        <family val="2"/>
      </rPr>
      <t xml:space="preserve"> sobre qualquer </t>
    </r>
    <r>
      <rPr>
        <b/>
        <sz val="10"/>
        <rFont val="Arial"/>
        <family val="2"/>
      </rPr>
      <t>Lucro</t>
    </r>
    <r>
      <rPr>
        <sz val="10"/>
        <rFont val="Arial"/>
        <family val="2"/>
      </rPr>
      <t xml:space="preserve"> apurado.
Em resumo, no </t>
    </r>
    <r>
      <rPr>
        <b/>
        <sz val="10"/>
        <rFont val="Arial"/>
        <family val="2"/>
      </rPr>
      <t>Lucro Real</t>
    </r>
    <r>
      <rPr>
        <sz val="10"/>
        <rFont val="Arial"/>
        <family val="2"/>
      </rPr>
      <t xml:space="preserve"> os dois tributos variam de </t>
    </r>
    <r>
      <rPr>
        <b/>
        <sz val="10"/>
        <rFont val="Arial"/>
        <family val="2"/>
      </rPr>
      <t xml:space="preserve">24% </t>
    </r>
    <r>
      <rPr>
        <sz val="10"/>
        <rFont val="Arial"/>
        <family val="2"/>
      </rPr>
      <t xml:space="preserve">(9% + 15%) a </t>
    </r>
    <r>
      <rPr>
        <b/>
        <sz val="10"/>
        <rFont val="Arial"/>
        <family val="2"/>
      </rPr>
      <t>34%</t>
    </r>
    <r>
      <rPr>
        <sz val="10"/>
        <rFont val="Arial"/>
        <family val="2"/>
      </rPr>
      <t xml:space="preserve"> (9% + 25%), aplicados sobre o </t>
    </r>
    <r>
      <rPr>
        <b/>
        <sz val="10"/>
        <rFont val="Arial"/>
        <family val="2"/>
      </rPr>
      <t>Lucro</t>
    </r>
    <r>
      <rPr>
        <sz val="10"/>
        <rFont val="Arial"/>
        <family val="2"/>
      </rPr>
      <t xml:space="preserve"> e não sobre o faturamento.
A apuração pelo </t>
    </r>
    <r>
      <rPr>
        <b/>
        <sz val="10"/>
        <rFont val="Arial"/>
        <family val="2"/>
      </rPr>
      <t>Lucro Real</t>
    </r>
    <r>
      <rPr>
        <sz val="10"/>
        <rFont val="Arial"/>
        <family val="2"/>
      </rPr>
      <t xml:space="preserve"> pode ser trimestral ou anual.
A apuração pelo </t>
    </r>
    <r>
      <rPr>
        <b/>
        <sz val="10"/>
        <rFont val="Arial"/>
        <family val="2"/>
      </rPr>
      <t>Lucro Real trimestral</t>
    </r>
    <r>
      <rPr>
        <sz val="10"/>
        <rFont val="Arial"/>
        <family val="2"/>
      </rPr>
      <t xml:space="preserve"> só é recomendada quando a empresa apresenta resultados relativamente uniformes durante o ano. Quando há sazonalidade em suas operações, em que num mês ocorre Lucro e em outro Prejuízo, este Prejuízo só é </t>
    </r>
    <r>
      <rPr>
        <b/>
        <sz val="10"/>
        <rFont val="Arial"/>
        <family val="2"/>
      </rPr>
      <t>compensado</t>
    </r>
    <r>
      <rPr>
        <sz val="10"/>
        <rFont val="Arial"/>
        <family val="2"/>
      </rPr>
      <t xml:space="preserve"> no limite de 30% do lucro do período.
Já na apuração pelo </t>
    </r>
    <r>
      <rPr>
        <b/>
        <sz val="10"/>
        <rFont val="Arial"/>
        <family val="2"/>
      </rPr>
      <t>Lucro Real Anual</t>
    </r>
    <r>
      <rPr>
        <sz val="10"/>
        <rFont val="Arial"/>
        <family val="2"/>
      </rPr>
      <t xml:space="preserve"> a empresa pode levantar balanços mensais acumulados, cujos resultados positivos (lucros) e negativos (prejuízos) são compensados automaticamente no período de apuração, sem limitação.
Apurando-se o </t>
    </r>
    <r>
      <rPr>
        <b/>
        <sz val="10"/>
        <rFont val="Arial"/>
        <family val="2"/>
      </rPr>
      <t>Lucro Real</t>
    </r>
    <r>
      <rPr>
        <sz val="10"/>
        <rFont val="Arial"/>
        <family val="2"/>
      </rPr>
      <t xml:space="preserve">, aplicam-se as alíquotas do </t>
    </r>
    <r>
      <rPr>
        <b/>
        <sz val="10"/>
        <rFont val="Arial"/>
        <family val="2"/>
      </rPr>
      <t>IRPJ</t>
    </r>
    <r>
      <rPr>
        <sz val="10"/>
        <rFont val="Arial"/>
        <family val="2"/>
      </rPr>
      <t xml:space="preserve"> e da </t>
    </r>
    <r>
      <rPr>
        <b/>
        <sz val="10"/>
        <rFont val="Arial"/>
        <family val="2"/>
      </rPr>
      <t>CSLL</t>
    </r>
    <r>
      <rPr>
        <sz val="10"/>
        <rFont val="Arial"/>
        <family val="2"/>
      </rPr>
      <t xml:space="preserve"> acima descritas.
No caso de opção pelo </t>
    </r>
    <r>
      <rPr>
        <b/>
        <sz val="10"/>
        <rFont val="Arial"/>
        <family val="2"/>
      </rPr>
      <t>Lucro Real</t>
    </r>
    <r>
      <rPr>
        <sz val="10"/>
        <rFont val="Arial"/>
        <family val="2"/>
      </rPr>
      <t xml:space="preserve">, a alíquota do </t>
    </r>
    <r>
      <rPr>
        <b/>
        <sz val="10"/>
        <rFont val="Arial"/>
        <family val="2"/>
      </rPr>
      <t>PIS</t>
    </r>
    <r>
      <rPr>
        <sz val="10"/>
        <rFont val="Arial"/>
        <family val="2"/>
      </rPr>
      <t xml:space="preserve"> muda: passa de </t>
    </r>
    <r>
      <rPr>
        <b/>
        <sz val="10"/>
        <rFont val="Arial"/>
        <family val="2"/>
      </rPr>
      <t>0,65%</t>
    </r>
    <r>
      <rPr>
        <sz val="10"/>
        <rFont val="Arial"/>
        <family val="2"/>
      </rPr>
      <t xml:space="preserve"> para </t>
    </r>
    <r>
      <rPr>
        <b/>
        <sz val="10"/>
        <rFont val="Arial"/>
        <family val="2"/>
      </rPr>
      <t>1,65%</t>
    </r>
    <r>
      <rPr>
        <sz val="10"/>
        <rFont val="Arial"/>
        <family val="2"/>
      </rPr>
      <t xml:space="preserve">. Já a alíquota da COFINS passa de </t>
    </r>
    <r>
      <rPr>
        <b/>
        <sz val="10"/>
        <rFont val="Arial"/>
        <family val="2"/>
      </rPr>
      <t>3%</t>
    </r>
    <r>
      <rPr>
        <sz val="10"/>
        <rFont val="Arial"/>
        <family val="2"/>
      </rPr>
      <t xml:space="preserve"> para </t>
    </r>
    <r>
      <rPr>
        <b/>
        <sz val="10"/>
        <rFont val="Arial"/>
        <family val="2"/>
      </rPr>
      <t xml:space="preserve">7,6% </t>
    </r>
    <r>
      <rPr>
        <sz val="10"/>
        <rFont val="Arial"/>
        <family val="2"/>
      </rPr>
      <t xml:space="preserve">da Receita. Só que,neste caso, podem ser feitas deduções da base de cálculo da Receita sobre alguns pagamentos feitos a outras pessoas jurídicas,diretamente ligados à produção dos serviços,  com o que a alíquota efetiva passa a ser inferior a </t>
    </r>
    <r>
      <rPr>
        <b/>
        <sz val="10"/>
        <rFont val="Arial"/>
        <family val="2"/>
      </rPr>
      <t>1,65%</t>
    </r>
    <r>
      <rPr>
        <sz val="10"/>
        <rFont val="Arial"/>
        <family val="2"/>
      </rPr>
      <t xml:space="preserve"> ou a 7,6%. Essas deduções ou recuperações do chamado </t>
    </r>
    <r>
      <rPr>
        <b/>
        <sz val="10"/>
        <rFont val="Arial"/>
        <family val="2"/>
      </rPr>
      <t>PIS</t>
    </r>
    <r>
      <rPr>
        <sz val="10"/>
        <rFont val="Arial"/>
        <family val="2"/>
      </rPr>
      <t xml:space="preserve"> não cumulativo e </t>
    </r>
    <r>
      <rPr>
        <b/>
        <sz val="10"/>
        <rFont val="Arial"/>
        <family val="2"/>
      </rPr>
      <t>COFINS</t>
    </r>
    <r>
      <rPr>
        <sz val="10"/>
        <rFont val="Arial"/>
        <family val="2"/>
      </rPr>
      <t xml:space="preserve"> não cumulativa na área de prestação de serviços acabam representando um percentual igual ou menor a 1,65% ou 7,6%, dependendo dos custos de cada empresa.
</t>
    </r>
  </si>
  <si>
    <t>ENCARGOS SOCIAIS</t>
  </si>
  <si>
    <r>
      <rPr>
        <b/>
        <sz val="10"/>
        <rFont val="Arial"/>
        <family val="2"/>
      </rPr>
      <t>1º passo: Verificar legislações aplicáveis aos Encargos Grupo A</t>
    </r>
    <r>
      <rPr>
        <sz val="10"/>
        <rFont val="Arial"/>
        <family val="2"/>
      </rPr>
      <t xml:space="preserve">
INSS (20%)  - Lei nº 7.78777 de 30/06/89, publicada no D.O.U em 03/07/89.
FGTS (8%)  - Artigos 439,449,477 a 486, 497 e 502 da C.L.T e Decreto nº 59.820 de 20/12/66.
SESI/SESC (1,50%) - Decreto nº 60.446 de 14/05/67.
SENAI/SENAC (1,00%) - Decreto nº 60.446 de 14/05/67. Adicional SENAI (0,20) para empresas com mais de 500 empregados.
INCRA (0,20%) - Decreto nº 60.446 de 14/05/67.
SALÁRIO EDUCAÇÃO (2,50%)  - Decreto nº 60.446 de 14/05/67.
SEGURO ACIDENTE/RAT - Varia conforme o risco do local em que o empregado trabalha : 1%, para risco leve, de 2%,  para risco médio, e de 3% para risco grave. O grau de risco é conforme o mapeamento de risco onde os trabalhos serão executados. RAT - variável. Considerar o risco para cada empresa. 
SEBRAE (0,60%) - Decreto nº 60.446 de 14/05/67.
SECONCI (1%) - Aplicável apenas em algumas localidades. Art.577 CLT.Este encargo é pago ao sindicato da construcao civil, portando não existe em outras atividades que não seja a construção civil.Aplicável em algumas localidades.
</t>
    </r>
    <r>
      <rPr>
        <b/>
        <sz val="10"/>
        <rFont val="Arial"/>
        <family val="2"/>
      </rPr>
      <t xml:space="preserve">
2º passo: Preencher encargos do Grupo B e C conforme legislação e realidade da empresa</t>
    </r>
    <r>
      <rPr>
        <sz val="10"/>
        <rFont val="Arial"/>
        <family val="2"/>
      </rPr>
      <t xml:space="preserve">
A PROPONENTE deverá selecionar se seus empregados (M.O exclusiva para a execução dos serviços) serão</t>
    </r>
    <r>
      <rPr>
        <b/>
        <sz val="10"/>
        <rFont val="Arial"/>
        <family val="2"/>
      </rPr>
      <t xml:space="preserve"> MENSALISTAS </t>
    </r>
    <r>
      <rPr>
        <sz val="10"/>
        <rFont val="Arial"/>
        <family val="2"/>
      </rPr>
      <t xml:space="preserve">ou </t>
    </r>
    <r>
      <rPr>
        <b/>
        <sz val="10"/>
        <rFont val="Arial"/>
        <family val="2"/>
      </rPr>
      <t>HORISTAS.
Obs: Empresas optante do SIMPLES deverão considerar encargos conforme legislação, sendo obrigatório no</t>
    </r>
    <r>
      <rPr>
        <b/>
        <sz val="10"/>
        <color indexed="10"/>
        <rFont val="Arial"/>
        <family val="2"/>
      </rPr>
      <t xml:space="preserve"> Grupo A </t>
    </r>
    <r>
      <rPr>
        <b/>
        <sz val="10"/>
        <rFont val="Arial"/>
        <family val="2"/>
      </rPr>
      <t xml:space="preserve">somente o FGTS (8%), com exceção para empresa de Construção Civil que devem preencher o INSS e RAT. Empresa de Construção Civil que optar pelo "Simples Nacional" terá o recolhimento da CPP conforme empresa não optante do "Simples" e haverá retenção do INSS de 11% ou 3,5% se optar pela "Desoneração". 
Se optar pela "Desoneração", exclui INSS e RAT dos Encargos Sociais e inclui nos tributos o % para Desoneração na Folha (CPRB-Contribuição Social Sobre a Receita Bruta)
</t>
    </r>
  </si>
  <si>
    <t>MÃO DE OBRA</t>
  </si>
  <si>
    <t>FUNÇÃO:</t>
  </si>
  <si>
    <t>Informar a função do funcionário (Exemplo: Mecanico, Engenheiro, Caldeireiro, Pintor e etc)</t>
  </si>
  <si>
    <t>SALÁRIO MENSAL  (SEM ENCARGOS SOCIAIS):</t>
  </si>
  <si>
    <t>Informar o valor do salário pago ao empregado (Valor por hora ou por mês sem Encargo Social, BDI e Tributos)</t>
  </si>
  <si>
    <t>PERICULOSIDADE:</t>
  </si>
  <si>
    <t>Selecionar se possui ou não periculosidade (SIM ou NÃO). O valor será calculado automaticamente (30% sobre o valor do salário)</t>
  </si>
  <si>
    <t>INSALUBRIDADE:</t>
  </si>
  <si>
    <r>
      <t xml:space="preserve">Selecionar o grau da insalubridade (Mínimo, Médio ou Máximo) e o cálculo será gerado automaticamente.
</t>
    </r>
    <r>
      <rPr>
        <b/>
        <u/>
        <sz val="10"/>
        <rFont val="Arial"/>
        <family val="2"/>
      </rPr>
      <t>Graus de insalubridade:</t>
    </r>
    <r>
      <rPr>
        <sz val="10"/>
        <rFont val="Arial"/>
        <family val="2"/>
      </rPr>
      <t xml:space="preserve"> 
a) </t>
    </r>
    <r>
      <rPr>
        <b/>
        <sz val="10"/>
        <rFont val="Arial"/>
        <family val="2"/>
      </rPr>
      <t xml:space="preserve">Mínimo </t>
    </r>
    <r>
      <rPr>
        <sz val="10"/>
        <rFont val="Arial"/>
        <family val="2"/>
      </rPr>
      <t xml:space="preserve">(adicional de </t>
    </r>
    <r>
      <rPr>
        <b/>
        <sz val="10"/>
        <rFont val="Arial"/>
        <family val="2"/>
      </rPr>
      <t>10%</t>
    </r>
    <r>
      <rPr>
        <sz val="10"/>
        <rFont val="Arial"/>
        <family val="2"/>
      </rPr>
      <t xml:space="preserve"> sobre o </t>
    </r>
    <r>
      <rPr>
        <b/>
        <sz val="10"/>
        <rFont val="Arial"/>
        <family val="2"/>
      </rPr>
      <t>salário mínimo</t>
    </r>
    <r>
      <rPr>
        <sz val="10"/>
        <rFont val="Arial"/>
        <family val="2"/>
      </rPr>
      <t xml:space="preserve">) – agentes químicos (pode chegar ao grau médio ou máximo).
b) </t>
    </r>
    <r>
      <rPr>
        <b/>
        <sz val="10"/>
        <rFont val="Arial"/>
        <family val="2"/>
      </rPr>
      <t>Médio</t>
    </r>
    <r>
      <rPr>
        <sz val="10"/>
        <rFont val="Arial"/>
        <family val="2"/>
      </rPr>
      <t xml:space="preserve"> (adicional de </t>
    </r>
    <r>
      <rPr>
        <b/>
        <sz val="10"/>
        <rFont val="Arial"/>
        <family val="2"/>
      </rPr>
      <t>20%</t>
    </r>
    <r>
      <rPr>
        <sz val="10"/>
        <rFont val="Arial"/>
        <family val="2"/>
      </rPr>
      <t xml:space="preserve"> sobre o </t>
    </r>
    <r>
      <rPr>
        <b/>
        <sz val="10"/>
        <rFont val="Arial"/>
        <family val="2"/>
      </rPr>
      <t>salário mínimo</t>
    </r>
    <r>
      <rPr>
        <sz val="10"/>
        <rFont val="Arial"/>
        <family val="2"/>
      </rPr>
      <t xml:space="preserve">) – agentes biológicos (pode chegar ao grau máximo), ruídos contínuos ou intermitentes, ruído de impacto, calor radiante, radiações não ionizantes, vibrações, frio e umidade.
c) </t>
    </r>
    <r>
      <rPr>
        <b/>
        <sz val="10"/>
        <rFont val="Arial"/>
        <family val="2"/>
      </rPr>
      <t>Máximo (</t>
    </r>
    <r>
      <rPr>
        <sz val="10"/>
        <rFont val="Arial"/>
        <family val="2"/>
      </rPr>
      <t>adicional de</t>
    </r>
    <r>
      <rPr>
        <b/>
        <sz val="10"/>
        <rFont val="Arial"/>
        <family val="2"/>
      </rPr>
      <t xml:space="preserve"> 40% </t>
    </r>
    <r>
      <rPr>
        <sz val="10"/>
        <rFont val="Arial"/>
        <family val="2"/>
      </rPr>
      <t>sobre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 xml:space="preserve">o </t>
    </r>
    <r>
      <rPr>
        <b/>
        <sz val="10"/>
        <rFont val="Arial"/>
        <family val="2"/>
      </rPr>
      <t>salário mínimo)</t>
    </r>
    <r>
      <rPr>
        <sz val="10"/>
        <rFont val="Arial"/>
        <family val="2"/>
      </rPr>
      <t xml:space="preserve"> – radiações ionizantes, pressões hiperbáricas, poeiras minerais.
  </t>
    </r>
  </si>
  <si>
    <t>CUSTOS DIVERSOS:</t>
  </si>
  <si>
    <t xml:space="preserve">Informar os custos com Alimentação (se for pela responsabilidade da Contratada), Transporte, Uniforme, Despesas Admissionais, Assistência Médica, EPI's e Outros </t>
  </si>
  <si>
    <t>Maiores detalhes na planilha de Mão de obra</t>
  </si>
  <si>
    <t>COMPOSIÇÃO GLOBAL</t>
  </si>
  <si>
    <t>MÃO DE OBRA:</t>
  </si>
  <si>
    <t xml:space="preserve">Este item deverá ser preenchido com a Mão de Obra (direta) na execução dos serviços. </t>
  </si>
  <si>
    <t>EQUIPAMENTOS:</t>
  </si>
  <si>
    <t>Este item deverá ser preenchido com os equipamentos utilizados diretamente na execução dos serviços. Exemplos: Caminhão Munck, Pá Carregadeira, Computadores, Conteiners e etc.</t>
  </si>
  <si>
    <t>MATERIAIS:</t>
  </si>
  <si>
    <t>Este item deverá ser preenchido com materiais utilizados diretamente na execução dos serviços. Exemplos: Concreto, ferragens, tintas, Miscelâneas e etc.</t>
  </si>
  <si>
    <t>OUTROS:</t>
  </si>
  <si>
    <t>Este item deverá ser preenchido com itens utilizados na execução dos serviços. Exemplos: Passagem Aérea, Combustível etc.</t>
  </si>
  <si>
    <t>LUCRO</t>
  </si>
  <si>
    <t>DESPESAS INDIRETAS</t>
  </si>
  <si>
    <t>2.1</t>
  </si>
  <si>
    <t>ADMINISTRAÇÃO CENTRAL</t>
  </si>
  <si>
    <t>2.2</t>
  </si>
  <si>
    <t>ADMINISTRAÇÃO LOCAL</t>
  </si>
  <si>
    <t>2.3</t>
  </si>
  <si>
    <t xml:space="preserve">SEGURO </t>
  </si>
  <si>
    <t>2.4</t>
  </si>
  <si>
    <t>DESPESAS GERAIS</t>
  </si>
  <si>
    <t>TOTAL BDI</t>
  </si>
  <si>
    <t>Sua empresa é optante por:</t>
  </si>
  <si>
    <t>ISS ( Selecione alíquota =&gt; )</t>
  </si>
  <si>
    <t>Informe a cidade / estado</t>
  </si>
  <si>
    <t>Preencher percentuais de acordo com a opção tributária da empresa</t>
  </si>
  <si>
    <t>COFINS</t>
  </si>
  <si>
    <t>PIS</t>
  </si>
  <si>
    <t>CSLL</t>
  </si>
  <si>
    <t>IRPJ</t>
  </si>
  <si>
    <t>SIMPLES NACIONAL</t>
  </si>
  <si>
    <t>Desoneração na Folha (CPRB-Contribuição Social Sobre a Receita Bruta)</t>
  </si>
  <si>
    <t>TOTAL TRIBUTOS</t>
  </si>
  <si>
    <t>Maiores detalhes na planilha de Instruções</t>
  </si>
  <si>
    <t xml:space="preserve"> </t>
  </si>
  <si>
    <t xml:space="preserve"> - Empresa optante pelo Simples Nacional ?</t>
  </si>
  <si>
    <t>SIM</t>
  </si>
  <si>
    <t>Os percentuais abaixo são orientativos, caso sua empresa aplique outros favor justificar. Acompanhe a legislação (vide comentários).</t>
  </si>
  <si>
    <t>A</t>
  </si>
  <si>
    <t>ENCARGOS SOCIAIS BÁSICOS</t>
  </si>
  <si>
    <t>A.1</t>
  </si>
  <si>
    <t>INSS</t>
  </si>
  <si>
    <t>A.2</t>
  </si>
  <si>
    <t>FGTS</t>
  </si>
  <si>
    <t>A.3</t>
  </si>
  <si>
    <t>SESI / SESC</t>
  </si>
  <si>
    <t>A.4</t>
  </si>
  <si>
    <t>SENAI / SENAC</t>
  </si>
  <si>
    <t>x</t>
  </si>
  <si>
    <t>A.5</t>
  </si>
  <si>
    <t>INCRA</t>
  </si>
  <si>
    <t>A.6</t>
  </si>
  <si>
    <t>SALÁRIO EDUCAÇÃO</t>
  </si>
  <si>
    <t>A.7</t>
  </si>
  <si>
    <t>SEGURO ACIDENTE / RAT</t>
  </si>
  <si>
    <t>A.8</t>
  </si>
  <si>
    <t>SEBRAE</t>
  </si>
  <si>
    <t>A.9</t>
  </si>
  <si>
    <t>SECONCI</t>
  </si>
  <si>
    <t>B</t>
  </si>
  <si>
    <t>ENCARGOS QUE RECEBEM INCIDÊNCIA DE "A"</t>
  </si>
  <si>
    <t xml:space="preserve"> - Mão de Obra Tipo:</t>
  </si>
  <si>
    <t>B.1</t>
  </si>
  <si>
    <t>FÉRIAS + 1/3 FÉRIAS (separar férias e abono)</t>
  </si>
  <si>
    <t>B.2</t>
  </si>
  <si>
    <t>13º  SALÁRIO</t>
  </si>
  <si>
    <t>B.3</t>
  </si>
  <si>
    <t>AUXÍLIO ENFERMIDADES</t>
  </si>
  <si>
    <t>B.4</t>
  </si>
  <si>
    <t>FERIADOS / DIAS NÃO TRABALHADOS</t>
  </si>
  <si>
    <t>B.5</t>
  </si>
  <si>
    <t>LICENÇA PATERNIDADE</t>
  </si>
  <si>
    <t>B.6</t>
  </si>
  <si>
    <t>REPOUSO SEMANAL REMUNERADO</t>
  </si>
  <si>
    <t>B.7</t>
  </si>
  <si>
    <t>AVISO PRÉVIO TRABALHADO</t>
  </si>
  <si>
    <t>B.8</t>
  </si>
  <si>
    <t>ACIDENTE DE TRABALHO</t>
  </si>
  <si>
    <t>B.9</t>
  </si>
  <si>
    <t>FALTAS JUSTIFICADAS</t>
  </si>
  <si>
    <t>C</t>
  </si>
  <si>
    <t>ENCARGOS QUE NÃO RECEBEM INCIDÊNCIA DE "A"</t>
  </si>
  <si>
    <t>C.1</t>
  </si>
  <si>
    <t>PROVISÃO PARA RESCISÃO SEM JUSTA CAUSA</t>
  </si>
  <si>
    <t>C.2</t>
  </si>
  <si>
    <t>AVISO PRÉVIO INDENIZADO</t>
  </si>
  <si>
    <t>C.3</t>
  </si>
  <si>
    <t>INDENIZAÇÃO ADICONAL</t>
  </si>
  <si>
    <t>D</t>
  </si>
  <si>
    <t xml:space="preserve"> TAXA DE REINCIDÊNCIA 
(Incidência do % do Grupo A sobre o % do Grupo B)</t>
  </si>
  <si>
    <t>D.1</t>
  </si>
  <si>
    <t>TAXA DE REINCIDÊNCIA</t>
  </si>
  <si>
    <t>E</t>
  </si>
  <si>
    <t xml:space="preserve">TOTAL  = "A" + "B" + "C" + "D" </t>
  </si>
  <si>
    <t>Sim</t>
  </si>
  <si>
    <t>Mínimo</t>
  </si>
  <si>
    <t>Não</t>
  </si>
  <si>
    <t>Médio</t>
  </si>
  <si>
    <t>Máximo</t>
  </si>
  <si>
    <t>Anote o valor do salario minimo para insalubridade -&gt;</t>
  </si>
  <si>
    <t xml:space="preserve">FUNÇÃO (descrever a função): </t>
  </si>
  <si>
    <t>SUPERVISOR OBRA</t>
  </si>
  <si>
    <t>LIDER EQUIPE</t>
  </si>
  <si>
    <t>PCP</t>
  </si>
  <si>
    <t>CALDEIREIRO</t>
  </si>
  <si>
    <t>MEC.MANUTENÇÃO</t>
  </si>
  <si>
    <t>SOLDADOR</t>
  </si>
  <si>
    <t>AJUD. GERAL</t>
  </si>
  <si>
    <t>PINTOR</t>
  </si>
  <si>
    <t>SERVENTE PEDREIRO</t>
  </si>
  <si>
    <t>TEC. SEGURANÇA</t>
  </si>
  <si>
    <t>ELETRICISTA</t>
  </si>
  <si>
    <t>MOTORISTA</t>
  </si>
  <si>
    <t>OP. MUNCK</t>
  </si>
  <si>
    <t>OBS</t>
  </si>
  <si>
    <t>A) Salário mensal (sem encargos)</t>
  </si>
  <si>
    <r>
      <t xml:space="preserve">Possui Periculosidade ?
</t>
    </r>
    <r>
      <rPr>
        <b/>
        <i/>
        <sz val="8"/>
        <color indexed="30"/>
        <rFont val="Arial"/>
        <family val="2"/>
      </rPr>
      <t>[ Selecionar Sim ou Não ]</t>
    </r>
  </si>
  <si>
    <t>B) Periculosidade</t>
  </si>
  <si>
    <r>
      <t xml:space="preserve">Informe o grau de insalubridade
</t>
    </r>
    <r>
      <rPr>
        <b/>
        <i/>
        <sz val="8"/>
        <color indexed="30"/>
        <rFont val="Arial"/>
        <family val="2"/>
      </rPr>
      <t>[ Selecionar Mínimo, Médio ou Máximo ]</t>
    </r>
  </si>
  <si>
    <t>C) Insalubridade</t>
  </si>
  <si>
    <t>D) Total do Salário</t>
  </si>
  <si>
    <t xml:space="preserve">E) Encargos sociais </t>
  </si>
  <si>
    <t>F) Custos Diversos (soma F1+F2+F3+F4+F5+F6+F7)</t>
  </si>
  <si>
    <t>F1) Alimentação (R$)</t>
  </si>
  <si>
    <t>Café da manhã: Preço unitário x quantidade mensal</t>
  </si>
  <si>
    <r>
      <t xml:space="preserve">Almoço: Preço unitário x quantidade mensal 
</t>
    </r>
    <r>
      <rPr>
        <b/>
        <i/>
        <sz val="8"/>
        <color indexed="30"/>
        <rFont val="Arial"/>
        <family val="2"/>
      </rPr>
      <t xml:space="preserve">[ Se alimentação for de responsabilidade Vale preencher com 0,00 </t>
    </r>
  </si>
  <si>
    <t>Janta: Preço unitário x quantidade mensal</t>
  </si>
  <si>
    <t>Cesta Basica</t>
  </si>
  <si>
    <t>F2) Transporte (R$)</t>
  </si>
  <si>
    <t>Discriminar o cálculo e o meio utilizado</t>
  </si>
  <si>
    <t>F3) Uniforme (R$)</t>
  </si>
  <si>
    <t>Discriminar valor unitário/número de jogos/vida útil</t>
  </si>
  <si>
    <t>F4) Despesas Admissionais (R$)</t>
  </si>
  <si>
    <t>Discriminar tipo e valor</t>
  </si>
  <si>
    <t>F5) Assistência Médica (R$)</t>
  </si>
  <si>
    <t>Discriminar qual a entidade e o custo mensal</t>
  </si>
  <si>
    <t>F6) EPI´s / EPC - (R$)</t>
  </si>
  <si>
    <t>Discriminar o tipo, valor e a vida útil</t>
  </si>
  <si>
    <t>F7) Outros (discriminar se houver) (R$)</t>
  </si>
  <si>
    <r>
      <t xml:space="preserve">G) Nº de horas Trabalhadas no mês
</t>
    </r>
    <r>
      <rPr>
        <b/>
        <i/>
        <sz val="8"/>
        <color indexed="30"/>
        <rFont val="Arial"/>
        <family val="2"/>
      </rPr>
      <t>[ Utilizar 184h ou 176h (para Mensalista) ou 220h (para Horista) ]</t>
    </r>
  </si>
  <si>
    <t>CÁLCULO DO CUSTO DO HOMEM</t>
  </si>
  <si>
    <t>H) Total dos custos de mão-de-obra sem BDI (D + E + F)</t>
  </si>
  <si>
    <t>Custo homem hora sem BDI (H / G)</t>
  </si>
  <si>
    <t xml:space="preserve">Custo homem hora COM  BDI (H / G) </t>
  </si>
  <si>
    <t>Percentual Custo HH SEM BDI (H / G) dividido Preço COM BDI (H / G)</t>
  </si>
  <si>
    <t>Percentual sobre o valor de carteira declarado na linha 9</t>
  </si>
  <si>
    <t>MEMORIA  de Preços PRATICADOS  nas ultimas proposta de HH</t>
  </si>
  <si>
    <t>o933</t>
  </si>
  <si>
    <t>A - Mão de Obra / Mobilizações / Maquinas / Ferramentas</t>
  </si>
  <si>
    <t>DESCRIÇÃO</t>
  </si>
  <si>
    <t xml:space="preserve">Unidade de Medição </t>
  </si>
  <si>
    <t>Valor (R$) Unid.</t>
  </si>
  <si>
    <t>Quantidade por tipo de recurso - HH</t>
  </si>
  <si>
    <t>Qde. Necessária - HH ou HH Mensal</t>
  </si>
  <si>
    <t>Custo Total (R$)</t>
  </si>
  <si>
    <t>Mobilização (01 evento por contrato)</t>
  </si>
  <si>
    <t xml:space="preserve">Anual </t>
  </si>
  <si>
    <t>Transp. Pessoal (11 pessoas)</t>
  </si>
  <si>
    <t>mês</t>
  </si>
  <si>
    <t xml:space="preserve">Veiculo de apoio operacional  1x </t>
  </si>
  <si>
    <t>Desmobilização (01 evento por contrato)</t>
  </si>
  <si>
    <t>Ferramentas Manuais - Ver lista</t>
  </si>
  <si>
    <t>Equipamentos Eletricos - ver lista</t>
  </si>
  <si>
    <t>HH total</t>
  </si>
  <si>
    <t>HH</t>
  </si>
  <si>
    <t>Tec. Segurança</t>
  </si>
  <si>
    <t>Almoxarife</t>
  </si>
  <si>
    <t>Lider/Encarregado</t>
  </si>
  <si>
    <t>Mecanico Montador</t>
  </si>
  <si>
    <t xml:space="preserve">Caldeireiro </t>
  </si>
  <si>
    <t xml:space="preserve">Soldador </t>
  </si>
  <si>
    <t>Totais --&gt;</t>
  </si>
  <si>
    <t>TOTAL --&gt;</t>
  </si>
  <si>
    <t>A.1 Histograma (número total de profissionais neste contrato):</t>
  </si>
  <si>
    <t>B – Equipamentos de Elevação de carga e Pessoas</t>
  </si>
  <si>
    <t>Equipamento</t>
  </si>
  <si>
    <t>Quantidade de Equipamentos</t>
  </si>
  <si>
    <t>Valor (R$)</t>
  </si>
  <si>
    <t>Valor com BDI e Imposto</t>
  </si>
  <si>
    <t>Quantidade de tempo de utilização do equipamento</t>
  </si>
  <si>
    <t>Equipamento de movimentação de carga - MUNCK</t>
  </si>
  <si>
    <t>Diária</t>
  </si>
  <si>
    <t>Equipamento de movimentação de carga - GUINDASTE</t>
  </si>
  <si>
    <t>Equipamento de elevação de pessoas tipo- PTA 16 m</t>
  </si>
  <si>
    <t>Mês</t>
  </si>
  <si>
    <t>Equipamento de elevação de pessoas tipo- PTA 32 m</t>
  </si>
  <si>
    <t>total</t>
  </si>
  <si>
    <t>Impostos</t>
  </si>
  <si>
    <t>B - Custo Total de Equipamentos:</t>
  </si>
  <si>
    <t>C – Materiais</t>
  </si>
  <si>
    <t>Material</t>
  </si>
  <si>
    <t>Unidade de Medição</t>
  </si>
  <si>
    <t>Quantidade por unidade de medição</t>
  </si>
  <si>
    <t>Valor por kg</t>
  </si>
  <si>
    <t>kg</t>
  </si>
  <si>
    <t>C - Custo Total de Materiais, com BDI e Impostos:</t>
  </si>
  <si>
    <t xml:space="preserve">Peso do projeto e listas </t>
  </si>
  <si>
    <t>D – Outros</t>
  </si>
  <si>
    <t>Descriminação</t>
  </si>
  <si>
    <t>D - Custo Total de Outros:</t>
  </si>
  <si>
    <t>Custo Total</t>
  </si>
  <si>
    <t>[transportar subtotal A - Mão de Obra]</t>
  </si>
  <si>
    <t>[transportar subtotal B - Equipamentos]</t>
  </si>
  <si>
    <t>[transportar subtotal C - Materiais]</t>
  </si>
  <si>
    <t>Outros</t>
  </si>
  <si>
    <t>[transportar subtotal D - Outros]</t>
  </si>
  <si>
    <t>Subtotal: Aqui já incluso BDI e Imposto</t>
  </si>
  <si>
    <t>Cobrado em cada item - não cobrar aqui</t>
  </si>
  <si>
    <t xml:space="preserve">BDI  </t>
  </si>
  <si>
    <t>Subtotal:</t>
  </si>
  <si>
    <t>Tributos</t>
  </si>
  <si>
    <t>Soma Serviço do QQP:</t>
  </si>
  <si>
    <t xml:space="preserve">GMX SOLUÇOES INDUSTRIAIS      </t>
  </si>
  <si>
    <t>Projeto:</t>
  </si>
  <si>
    <t>Fabricação e Montagem de Estrutura Metalica - Predio Multiplo Andar</t>
  </si>
  <si>
    <t>Data: 06/08/2024</t>
  </si>
  <si>
    <t>Local:</t>
  </si>
  <si>
    <t>Barreiro/BH - MG</t>
  </si>
  <si>
    <t>Rev.: 00</t>
  </si>
  <si>
    <t>FORNECEDOR - GMX</t>
  </si>
  <si>
    <t>Planilha de Quantidades e Preços</t>
  </si>
  <si>
    <t>Serviços</t>
  </si>
  <si>
    <t>QTD Mensal</t>
  </si>
  <si>
    <t>QTD Anual</t>
  </si>
  <si>
    <t>Duração Meses</t>
  </si>
  <si>
    <t>Preço Unitário Horas Normais</t>
  </si>
  <si>
    <t>Preço Unitário Horas Extra Adic. Noturno</t>
  </si>
  <si>
    <t>Preço Unitário Horas Extra 75%</t>
  </si>
  <si>
    <t>Preço Unitário Horas Extra 100%</t>
  </si>
  <si>
    <t>Preço Total</t>
  </si>
  <si>
    <t>Observação</t>
  </si>
  <si>
    <t>Mobilização ( 01 Evento por contrato)</t>
  </si>
  <si>
    <t>VB</t>
  </si>
  <si>
    <t>Desmobilização ( 01 Evento por contrato)</t>
  </si>
  <si>
    <t>Materiais Basicos - Perfil e Chapas</t>
  </si>
  <si>
    <t>Materiais Basicos - Steel Deck, Telhas</t>
  </si>
  <si>
    <t>Materiais - Consumiveis</t>
  </si>
  <si>
    <t>Materiais - Pintura (Tintas e Solventes)</t>
  </si>
  <si>
    <t>Ferramentas Manuais (Conforme lista)</t>
  </si>
  <si>
    <t>X</t>
  </si>
  <si>
    <t>Ferramentas elétricas (Conforme lista)</t>
  </si>
  <si>
    <t>Mão Obra - Fabricação</t>
  </si>
  <si>
    <t>08 pessoa(s)</t>
  </si>
  <si>
    <t>Mão Obra - Montagem</t>
  </si>
  <si>
    <t>06 pessoa(s)</t>
  </si>
  <si>
    <t>Total</t>
  </si>
  <si>
    <t>metragem quadrada somada na aba materiais -&gt;</t>
  </si>
  <si>
    <t>Valor por m2</t>
  </si>
  <si>
    <t xml:space="preserve">metragem linear </t>
  </si>
  <si>
    <t>valorpor m Linear</t>
  </si>
  <si>
    <t>RELATORIO SINTETICO POR CENTRO  CUSTO - CUSTO POR PESO/ML/M2</t>
  </si>
  <si>
    <t>Peso</t>
  </si>
  <si>
    <t>ML</t>
  </si>
  <si>
    <t>M2</t>
  </si>
  <si>
    <t>Analise Financeira</t>
  </si>
  <si>
    <t>Valor</t>
  </si>
  <si>
    <t>%</t>
  </si>
  <si>
    <t>MOBILIZAÇÃO</t>
  </si>
  <si>
    <t>A - Mão de Obra somente para mobilização</t>
  </si>
  <si>
    <t>Função</t>
  </si>
  <si>
    <t>QTD Pessoas</t>
  </si>
  <si>
    <t>Medição da Mão de Obra</t>
  </si>
  <si>
    <t>Quantidade por unidade de medição - Horas</t>
  </si>
  <si>
    <t>A - Custo Total de Mão de Obra:</t>
  </si>
  <si>
    <t>B – Equipamentos pra Mobilização</t>
  </si>
  <si>
    <t>QTD de Equipamentos</t>
  </si>
  <si>
    <t>Medição dos Equipamentos</t>
  </si>
  <si>
    <t>Veiculo Passageiro apoio Operacional</t>
  </si>
  <si>
    <t>Mes</t>
  </si>
  <si>
    <t>Veiculo/Transporte Pessoal</t>
  </si>
  <si>
    <t>Container Almox. Escritorio - (Locação)</t>
  </si>
  <si>
    <t>Transporte Container(s) 1x</t>
  </si>
  <si>
    <t>Transporte Maquinas e Equipamentos</t>
  </si>
  <si>
    <t>UNID</t>
  </si>
  <si>
    <t>Transporte Materiais (GMX x Ombrellone)</t>
  </si>
  <si>
    <t>Transporte Materiais (Pintura X Obra)</t>
  </si>
  <si>
    <t>Locação Munck</t>
  </si>
  <si>
    <t>Locação Guindaste</t>
  </si>
  <si>
    <t>Locação Plataforma Elevatoria - 16mts</t>
  </si>
  <si>
    <t>Locação Plataforma Elevatoria - Tesoura</t>
  </si>
  <si>
    <t>C - Custo Total de Materiais:</t>
  </si>
  <si>
    <t>QTD</t>
  </si>
  <si>
    <t>Hospedagem - Equipe mobilização</t>
  </si>
  <si>
    <t>Alimentação Equipe mobilização</t>
  </si>
  <si>
    <t>Mão de Obra</t>
  </si>
  <si>
    <t>Equipamentos</t>
  </si>
  <si>
    <t>Materiais</t>
  </si>
  <si>
    <t xml:space="preserve">Subtotal: </t>
  </si>
  <si>
    <t>Item Mobilização do QQP:</t>
  </si>
  <si>
    <t>DESMOBILIZAÇÃO</t>
  </si>
  <si>
    <t>A - Mão de Obra (Equipe Mínima para Desmobilizar)</t>
  </si>
  <si>
    <t>B – Equipamentos</t>
  </si>
  <si>
    <t>Van/Transporte Pessoal</t>
  </si>
  <si>
    <t>Transporte Material, Maquinas e Equipamentos</t>
  </si>
  <si>
    <t>Item Desmobilização do QQP:</t>
  </si>
  <si>
    <t>Descrição</t>
  </si>
  <si>
    <t>Unidade Medida</t>
  </si>
  <si>
    <t>Valor Unitario</t>
  </si>
  <si>
    <t>Quantidade</t>
  </si>
  <si>
    <t>Preço Unitário</t>
  </si>
  <si>
    <t>Valor total (R$)</t>
  </si>
  <si>
    <t>1.1</t>
  </si>
  <si>
    <t>1.2</t>
  </si>
  <si>
    <t>1.3</t>
  </si>
  <si>
    <t>MÃO DE OBRA - FABRICAÇÃO</t>
  </si>
  <si>
    <t>QTD/Dias Úteis</t>
  </si>
  <si>
    <t>QTD/MO</t>
  </si>
  <si>
    <t>QTD/HH</t>
  </si>
  <si>
    <t>R$/HH</t>
  </si>
  <si>
    <t>5.1</t>
  </si>
  <si>
    <t>5.2</t>
  </si>
  <si>
    <t>Lider Equipe</t>
  </si>
  <si>
    <t>5.3</t>
  </si>
  <si>
    <t>5.4</t>
  </si>
  <si>
    <t>Ajud. Geral</t>
  </si>
  <si>
    <t>5.5</t>
  </si>
  <si>
    <t>Mec.Manutenção</t>
  </si>
  <si>
    <t>Pintor</t>
  </si>
  <si>
    <t>5.6</t>
  </si>
  <si>
    <t>Motorista</t>
  </si>
  <si>
    <t>5.7</t>
  </si>
  <si>
    <t>5.9</t>
  </si>
  <si>
    <t>5.10</t>
  </si>
  <si>
    <t>5.11</t>
  </si>
  <si>
    <t>5.12</t>
  </si>
  <si>
    <t>5.13</t>
  </si>
  <si>
    <t>5.14</t>
  </si>
  <si>
    <t>5.15</t>
  </si>
  <si>
    <t>5.16</t>
  </si>
  <si>
    <t>MÃO DE OBRA - MONTAGEM</t>
  </si>
  <si>
    <t>216-Hanbai Comericio de Motos LTDA - R0</t>
  </si>
  <si>
    <t>TELHA TERMOACUSTICA LARGURA UTIL DE 1000mm</t>
  </si>
  <si>
    <t>MARCA</t>
  </si>
  <si>
    <t>PERFIL</t>
  </si>
  <si>
    <t>MATERIAL</t>
  </si>
  <si>
    <t>QUANT.</t>
  </si>
  <si>
    <t>COMP.(mm)</t>
  </si>
  <si>
    <t>COMP. TOTAL(m)</t>
  </si>
  <si>
    <t>ÁREA TOTAL (m²)</t>
  </si>
  <si>
    <t>PESO TOTAL (Kg)</t>
  </si>
  <si>
    <t>Preço</t>
  </si>
  <si>
    <t>R$ Total</t>
  </si>
  <si>
    <t>TH1</t>
  </si>
  <si>
    <t>TELHA TERMOACUSTICA, TELHA/ENCHIMENTO EPS/TELHA, ESPESSURA 0.43, SUPERIOR TRAPEZOIDAL GALVALUME NATURAL, INFERIOR FORRO PINTURA BRANCO RAL 9003</t>
  </si>
  <si>
    <t>GALV.</t>
  </si>
  <si>
    <t>TH2</t>
  </si>
  <si>
    <t>TH3</t>
  </si>
  <si>
    <t>TH4</t>
  </si>
  <si>
    <t>TH5</t>
  </si>
  <si>
    <t>TH6</t>
  </si>
  <si>
    <t>TELHA TERMOACUSTICA</t>
  </si>
  <si>
    <t>TH7</t>
  </si>
  <si>
    <t> </t>
  </si>
  <si>
    <t>INSTALAÇÃO</t>
  </si>
  <si>
    <t>TOTAL MP + MO</t>
  </si>
  <si>
    <t>FORMA STEEL DECK LARGURA UTIL DE 920mm</t>
  </si>
  <si>
    <t>SD1</t>
  </si>
  <si>
    <t>STEEL DECK SD50X0.8</t>
  </si>
  <si>
    <t>ZAR 280</t>
  </si>
  <si>
    <t>SD2</t>
  </si>
  <si>
    <t>SD3</t>
  </si>
  <si>
    <t>SD4</t>
  </si>
  <si>
    <t>SD5</t>
  </si>
  <si>
    <t>SD6</t>
  </si>
  <si>
    <t>SD7</t>
  </si>
  <si>
    <t>SD8</t>
  </si>
  <si>
    <t>SD9</t>
  </si>
  <si>
    <t>SD10</t>
  </si>
  <si>
    <t>SD11</t>
  </si>
  <si>
    <t>SD12</t>
  </si>
  <si>
    <t>SD13</t>
  </si>
  <si>
    <t>SD14</t>
  </si>
  <si>
    <t>SD15</t>
  </si>
  <si>
    <t>ST19</t>
  </si>
  <si>
    <t>STUD BOLT 19mm</t>
  </si>
  <si>
    <t>ARREM</t>
  </si>
  <si>
    <t>MÃO FRANCESA ARREMATE P06</t>
  </si>
  <si>
    <t>ARREMATES NIVEL 929</t>
  </si>
  <si>
    <t>ARREMATES NIVEL 932</t>
  </si>
  <si>
    <t>ARREMATES NIVEL 933</t>
  </si>
  <si>
    <t>ARREMATES NIVEL 936</t>
  </si>
  <si>
    <t>ARREMATES NIVEL 937</t>
  </si>
  <si>
    <t xml:space="preserve">MEMÓRIA DE CALCULO DAS ÁREAS DO STEEL DECK - PELO PROJETO </t>
  </si>
  <si>
    <t>NIVEIS</t>
  </si>
  <si>
    <t>ALTURAS</t>
  </si>
  <si>
    <t>LARG-1</t>
  </si>
  <si>
    <t>COMP-2</t>
  </si>
  <si>
    <t>AREA -M2</t>
  </si>
  <si>
    <t>.- AREA  SUBTRAIDA</t>
  </si>
  <si>
    <t>NÍVEL  +929.66</t>
  </si>
  <si>
    <t>NÍVEL  +932,89</t>
  </si>
  <si>
    <t>NÍVEL  +933.84</t>
  </si>
  <si>
    <t>NÍVEL  +936,34</t>
  </si>
  <si>
    <t>NÍVEL  +937,66</t>
  </si>
  <si>
    <t>TOTAL DE ÁREAS</t>
  </si>
  <si>
    <t>&lt;&lt;M2</t>
  </si>
  <si>
    <t xml:space="preserve">SENDO O GASTO MEDIO DE </t>
  </si>
  <si>
    <t>PÇ DE STUD BOLT X M2</t>
  </si>
  <si>
    <t>il</t>
  </si>
  <si>
    <t>Quant</t>
  </si>
  <si>
    <t>MATERIA PRIMA - DA LISTA PROJETO</t>
  </si>
  <si>
    <t>GUARDA CORPO - Modelo com Tela</t>
  </si>
  <si>
    <t>OBRA-CRASA - SANTANA- AEROPORTO - GUARDA CORPO</t>
  </si>
  <si>
    <t>Descrição geral &gt;</t>
  </si>
  <si>
    <t>Guarda Corpo em tela e tubos - com medidas de Larg.&gt;</t>
  </si>
  <si>
    <t>mm</t>
  </si>
  <si>
    <t>Altura &gt;</t>
  </si>
  <si>
    <t>Metragem quadrada -&gt;&gt;</t>
  </si>
  <si>
    <t>.+</t>
  </si>
  <si>
    <t>Igual m2</t>
  </si>
  <si>
    <t>ITEM</t>
  </si>
  <si>
    <t>POSIÇÃO</t>
  </si>
  <si>
    <t>Qde</t>
  </si>
  <si>
    <t>ESP</t>
  </si>
  <si>
    <t>Medida</t>
  </si>
  <si>
    <t>KG</t>
  </si>
  <si>
    <t>M²</t>
  </si>
  <si>
    <t>LTS</t>
  </si>
  <si>
    <t>R$ UNIT</t>
  </si>
  <si>
    <t>R$ TOTAL</t>
  </si>
  <si>
    <t>Tabuleiro E</t>
  </si>
  <si>
    <t>TB</t>
  </si>
  <si>
    <t>Tabuleiro D</t>
  </si>
  <si>
    <t>prencher ref. 1 brs &gt;</t>
  </si>
  <si>
    <t>peso por barra -&gt;</t>
  </si>
  <si>
    <t>&lt;&lt; peso de 01 barra</t>
  </si>
  <si>
    <t>SAPATA</t>
  </si>
  <si>
    <t>CH</t>
  </si>
  <si>
    <t>CANTONEIRA</t>
  </si>
  <si>
    <t>MED.</t>
  </si>
  <si>
    <t>Travessa</t>
  </si>
  <si>
    <t>W</t>
  </si>
  <si>
    <t>Montante</t>
  </si>
  <si>
    <t>L</t>
  </si>
  <si>
    <t>m2 - desenvolvida item x item&gt;</t>
  </si>
  <si>
    <t>m2</t>
  </si>
  <si>
    <t>Peso por peça incluso peso de tela--&gt;</t>
  </si>
  <si>
    <t>kg total</t>
  </si>
  <si>
    <t>Peso por m2 sem considerar peso de tela--&gt;</t>
  </si>
  <si>
    <t>kg m2</t>
  </si>
  <si>
    <t>Item,Qtd,Descrição,Tipo,ESP (mm),Medida (mm),KG Total,M² Pintura</t>
  </si>
  <si>
    <t>1,1,"1""Ø HEAVY HEX NUT",Elemento de Fixação,,,99.1,4.11</t>
  </si>
  <si>
    <t>2,1,"1""Ø WASHER",Elemento de Fixação,,,25.0,1.56</t>
  </si>
  <si>
    <t>3,1,C50X25X2.00,Perfil C,2.00,2350,354.2,46.11</t>
  </si>
  <si>
    <t>4,1,C142X40X2.65,Perfil C,2.65,6430,289.8,28.24</t>
  </si>
  <si>
    <t>5,1,C150X50X3.75,Perfil C,3.75,3470,247.7,17.09</t>
  </si>
  <si>
    <t>6,1,C150X50X4.75,Perfil C,4.75,3470,311.2,17.03</t>
  </si>
  <si>
    <t>7,1,"FERRO Ø1",Barra Redonda,,14940,593.1,11.74</t>
  </si>
  <si>
    <t>8,1,"FERRO Ø1/2",Barra Redonda,,36370,360.0,14.15</t>
  </si>
  <si>
    <t>9,1,"FERRO Ø3/8",Barra Redonda,,7130,39.9,2.08</t>
  </si>
  <si>
    <t>10,1,HP250X62.0,Perfil HP,,4550,2822.7,66.93</t>
  </si>
  <si>
    <t>11,1,"L1.3/4'X1/8'",Cantoneira,3.2,2600,5.6,0.48</t>
  </si>
  <si>
    <t>12,1,"L2.1/2'X1/4'",Cantoneira,6.35,2940,179.3,7.74</t>
  </si>
  <si>
    <t>13,1,"L3'X3/8'",Cantoneira,9.5,4000,42.8,1.25</t>
  </si>
  <si>
    <t>14,1,"L3'X5/16'",Cantoneira,7.9,4700,42.8,1.48</t>
  </si>
  <si>
    <t>15,1,L44X44X3.2,Cantoneira,3.2,8020,171.5,14.30</t>
  </si>
  <si>
    <t>16,1,L45X45X2,Cantoneira,2.0,7650,105.8,13.83</t>
  </si>
  <si>
    <t>17,1,"TUBO Ø323X7.14",Tubo,7.14,1210,672.8,12.27</t>
  </si>
  <si>
    <t>18,1,UE150X60X20X2.00,Perfil U Enrijecido,2.00,15260,723.4,92.79</t>
  </si>
  <si>
    <t>19,1,UE150X60X20X2.25,Perfil U Enrijecido,2.25,9280,493.5,56.31</t>
  </si>
  <si>
    <t>20,1,UE150X60X20X2.65,Perfil U Enrijecido,2.65,14180,883.1,85.67</t>
  </si>
  <si>
    <t>21,1,UE200X75X20X2.00,Perfil U Enrijecido,2.00,6890,413.2,52.92</t>
  </si>
  <si>
    <t>22,1,UE200X75X20X2.00,Perfil U Enrijecido,2.00,9650,578.5,74.09</t>
  </si>
  <si>
    <t>23,1,W150X13.0,Viga W,,11600,1369.3,77.72</t>
  </si>
  <si>
    <t>24,1,W150X18.0,Viga W,,1400,251.3,9.63</t>
  </si>
  <si>
    <t>25,1,W150X22.5,Viga W,,12570,2827.4,110.58</t>
  </si>
  <si>
    <t>26,1,W200X15.0,Viga W,,5030,754.5,38.73</t>
  </si>
  <si>
    <t>27,1,W200X26.6,Viga W,,9370,2492.2,86.20</t>
  </si>
  <si>
    <t>28,1,W200X35.9,Viga W,,260,92.8,2.66</t>
  </si>
  <si>
    <t>29,1,W200X35.9,Viga W,,15760,5659.4,162.37</t>
  </si>
  <si>
    <t>30,1,W200X46.1,Viga W,,1870,862.0,22.25</t>
  </si>
  <si>
    <t>31,1,W200X52.0,Viga W,,2040,1062.7,24.32</t>
  </si>
  <si>
    <t>32,1,W250X17.9,Viga W,,53000,9487.3,466.41</t>
  </si>
  <si>
    <t>33,1,W310X21.0,Viga W,,23640,4965.0,231.70</t>
  </si>
  <si>
    <t>34,1,W310X28.3,Viga W,,14210,4021.5,142.10</t>
  </si>
  <si>
    <t>35,1,W310X38.7,Viga W,,2050,793.9,25.64</t>
  </si>
  <si>
    <t>36,1,W360X32.9,Viga W,,8820,2903.4,103.25</t>
  </si>
  <si>
    <t>37,1,W410X38.8,Viga W,,10660,4134.2,140.65</t>
  </si>
  <si>
    <t>38,1,W460X60.0,Viga W,,4700,2822.7,70.10</t>
  </si>
  <si>
    <t>39,1,W530X66.0,Viga W,,800,527.5,13.35</t>
  </si>
  <si>
    <t>40,1,WT100X13.3,Viga T,,200,26.5,0.95</t>
  </si>
  <si>
    <t>41,1,CH.3,Chapa,3.0,19388,2268.8,193.88</t>
  </si>
  <si>
    <t>42,1,CH.5,Chapa,5.0,659,139.3,8.10</t>
  </si>
  <si>
    <t>43,1,CH.6,Chapa,6.0,331,148.8,6.76</t>
  </si>
  <si>
    <t>44,1,CH.8,Chapa,8.0,999,466.4,16.59</t>
  </si>
  <si>
    <t>45,1,CH.10,Chapa,10.0,715,357.5,10.60</t>
  </si>
  <si>
    <t>46,1,CH.13,Chapa,13.0,1800,868.4,19.56</t>
  </si>
  <si>
    <t>47,1,CH.16,Chapa,16.0,254,138.7,2.54</t>
  </si>
  <si>
    <t>48,1,CH.32,Chapa,32.0,1216,1287.1,12.16</t>
  </si>
  <si>
    <t>49,1,CH.38,Chapa,38.0,152,190.9,1.52</t>
  </si>
  <si>
    <t>🧱 ITENS METÁLICOS – BARRAS, PERFIS, CANTONEIRAS E TUBOS</t>
  </si>
  <si>
    <t>Comprimento/Área (m/m²)</t>
  </si>
  <si>
    <t>Área Pintura (m²)</t>
  </si>
  <si>
    <t>Peso (kg)</t>
  </si>
  <si>
    <t>R$/KG</t>
  </si>
  <si>
    <t>R$/TOTAL</t>
  </si>
  <si>
    <t>1"Ø HEAVY HEX NUT</t>
  </si>
  <si>
    <t>A36</t>
  </si>
  <si>
    <t>1"Ø WASHER</t>
  </si>
  <si>
    <t>C50X25X2,00</t>
  </si>
  <si>
    <t>C142X40X2,65</t>
  </si>
  <si>
    <t>C150X50X3,75</t>
  </si>
  <si>
    <t>C150X50X4,75</t>
  </si>
  <si>
    <t>FERRO Ø1</t>
  </si>
  <si>
    <t>FERRO Ø1/2</t>
  </si>
  <si>
    <t>FERRO Ø3/8</t>
  </si>
  <si>
    <t>HP250X62,0</t>
  </si>
  <si>
    <t>A572-50</t>
  </si>
  <si>
    <t>L1,3/4"X1/8"</t>
  </si>
  <si>
    <t>L2,1/2"X1/4"</t>
  </si>
  <si>
    <t>L3"X3/8"</t>
  </si>
  <si>
    <t>L3"X5/16"</t>
  </si>
  <si>
    <t>L44X44X3,2</t>
  </si>
  <si>
    <t>L45X45X2</t>
  </si>
  <si>
    <t>TUBO Ø323X7,14</t>
  </si>
  <si>
    <t>A500-GR,B</t>
  </si>
  <si>
    <t>UE150X60X20X2,00</t>
  </si>
  <si>
    <t>UE150X60X20X2,25</t>
  </si>
  <si>
    <t>UE150X60X20X2,65</t>
  </si>
  <si>
    <t>UE200X75X20X2,00</t>
  </si>
  <si>
    <t>W150X13,0</t>
  </si>
  <si>
    <t>W150X18,0</t>
  </si>
  <si>
    <t>W150X22,5</t>
  </si>
  <si>
    <t>W200X15,0</t>
  </si>
  <si>
    <t>W200X26,6</t>
  </si>
  <si>
    <t>W200X35,9</t>
  </si>
  <si>
    <t>W200X46,1</t>
  </si>
  <si>
    <t>W200X52,0</t>
  </si>
  <si>
    <t>W250X17,9</t>
  </si>
  <si>
    <t>W310X21,0</t>
  </si>
  <si>
    <t>W310X28,3</t>
  </si>
  <si>
    <t>W310X38,7</t>
  </si>
  <si>
    <t>W360X32,9</t>
  </si>
  <si>
    <t>W410X38,8</t>
  </si>
  <si>
    <t>W460X60,0</t>
  </si>
  <si>
    <t>W530X66,0</t>
  </si>
  <si>
    <t>WT100X13,3</t>
  </si>
  <si>
    <t>PESO TOTAL</t>
  </si>
  <si>
    <t>SOBRA</t>
  </si>
  <si>
    <t>TOTAL</t>
  </si>
  <si>
    <t>📄 CHAPAS - USADOS DO ESTOQUE</t>
  </si>
  <si>
    <t>Área (m²)</t>
  </si>
  <si>
    <t>CH,3</t>
  </si>
  <si>
    <t>CH,5</t>
  </si>
  <si>
    <t>CH,6</t>
  </si>
  <si>
    <t>CH,8</t>
  </si>
  <si>
    <t>CH,10</t>
  </si>
  <si>
    <t>CH,13</t>
  </si>
  <si>
    <t>CH,16</t>
  </si>
  <si>
    <t>CH,32</t>
  </si>
  <si>
    <t>CH,38</t>
  </si>
  <si>
    <t>CHAPAS</t>
  </si>
  <si>
    <t>TOTAL PERFIL + CHAPAS</t>
  </si>
  <si>
    <t>🧱 ITENS METÁLICOS – BARRAS, PERFIS, USADOS DO ESTOQUE</t>
  </si>
  <si>
    <t>Estoque</t>
  </si>
  <si>
    <t>Tamanho</t>
  </si>
  <si>
    <t>O cálculo do rendimento teórico de uma tinta é feito utilizando a seguinte equação:</t>
  </si>
  <si>
    <r>
      <t>Rendimento Teórico  -1º Etapa da  formula -</t>
    </r>
    <r>
      <rPr>
        <b/>
        <sz val="11"/>
        <color rgb="FFC00000"/>
        <rFont val="Klavika"/>
      </rPr>
      <t xml:space="preserve"> Projeto pede se </t>
    </r>
  </si>
  <si>
    <t>Dados do serviço  &gt;</t>
  </si>
  <si>
    <t xml:space="preserve">Fundo primer Epoxi </t>
  </si>
  <si>
    <t>Tinta com ? % Solidos por volume --&gt;</t>
  </si>
  <si>
    <t>SV</t>
  </si>
  <si>
    <t xml:space="preserve"> Aplicado na espessura de ? µm. (Micras)</t>
  </si>
  <si>
    <t>µm</t>
  </si>
  <si>
    <t xml:space="preserve"> Aplicação de demãos</t>
  </si>
  <si>
    <t xml:space="preserve">Total de </t>
  </si>
  <si>
    <r>
      <t>RT</t>
    </r>
    <r>
      <rPr>
        <sz val="10"/>
        <color rgb="FF666666"/>
        <rFont val="Klavika"/>
      </rPr>
      <t> = </t>
    </r>
    <r>
      <rPr>
        <b/>
        <sz val="10"/>
        <color rgb="FF666666"/>
        <rFont val="Klavika"/>
      </rPr>
      <t>R</t>
    </r>
    <r>
      <rPr>
        <sz val="10"/>
        <color rgb="FF666666"/>
        <rFont val="Klavika"/>
      </rPr>
      <t>endimento </t>
    </r>
    <r>
      <rPr>
        <b/>
        <sz val="10"/>
        <color rgb="FF666666"/>
        <rFont val="Klavika"/>
      </rPr>
      <t>T</t>
    </r>
    <r>
      <rPr>
        <sz val="10"/>
        <color rgb="FF666666"/>
        <rFont val="Klavika"/>
      </rPr>
      <t>eórico expresso em m²/l.</t>
    </r>
  </si>
  <si>
    <t xml:space="preserve"> m²/l.</t>
  </si>
  <si>
    <t xml:space="preserve"> (metros quadrado por litro).</t>
  </si>
  <si>
    <r>
      <t>SV</t>
    </r>
    <r>
      <rPr>
        <sz val="10"/>
        <color rgb="FF666666"/>
        <rFont val="Klavika"/>
      </rPr>
      <t> = </t>
    </r>
    <r>
      <rPr>
        <b/>
        <sz val="10"/>
        <color rgb="FF666666"/>
        <rFont val="Klavika"/>
      </rPr>
      <t>S</t>
    </r>
    <r>
      <rPr>
        <sz val="10"/>
        <color rgb="FF666666"/>
        <rFont val="Klavika"/>
      </rPr>
      <t>ólidos por </t>
    </r>
    <r>
      <rPr>
        <b/>
        <sz val="10"/>
        <color rgb="FF666666"/>
        <rFont val="Klavika"/>
      </rPr>
      <t>V</t>
    </r>
    <r>
      <rPr>
        <sz val="10"/>
        <color rgb="FF666666"/>
        <rFont val="Klavika"/>
      </rPr>
      <t>olume da tinta em %</t>
    </r>
  </si>
  <si>
    <r>
      <t>EFS</t>
    </r>
    <r>
      <rPr>
        <sz val="10"/>
        <color rgb="FF666666"/>
        <rFont val="Klavika"/>
      </rPr>
      <t> = </t>
    </r>
    <r>
      <rPr>
        <b/>
        <sz val="10"/>
        <color rgb="FF666666"/>
        <rFont val="Klavika"/>
      </rPr>
      <t>E</t>
    </r>
    <r>
      <rPr>
        <sz val="10"/>
        <color rgb="FF666666"/>
        <rFont val="Klavika"/>
      </rPr>
      <t>spessura do </t>
    </r>
    <r>
      <rPr>
        <b/>
        <sz val="10"/>
        <color rgb="FF666666"/>
        <rFont val="Klavika"/>
      </rPr>
      <t>F</t>
    </r>
    <r>
      <rPr>
        <sz val="10"/>
        <color rgb="FF666666"/>
        <rFont val="Klavika"/>
      </rPr>
      <t>ilme </t>
    </r>
    <r>
      <rPr>
        <b/>
        <sz val="10"/>
        <color rgb="FF666666"/>
        <rFont val="Klavika"/>
      </rPr>
      <t>S</t>
    </r>
    <r>
      <rPr>
        <sz val="10"/>
        <color rgb="FF666666"/>
        <rFont val="Klavika"/>
      </rPr>
      <t>eco em µm</t>
    </r>
  </si>
  <si>
    <t>Rendimento Prático  - 2º Etapa da  formula</t>
  </si>
  <si>
    <r>
      <t>RP</t>
    </r>
    <r>
      <rPr>
        <sz val="10"/>
        <color rgb="FF666666"/>
        <rFont val="Klavika"/>
      </rPr>
      <t xml:space="preserve">  =        </t>
    </r>
    <r>
      <rPr>
        <b/>
        <sz val="10"/>
        <color rgb="FF666666"/>
        <rFont val="Klavika"/>
      </rPr>
      <t xml:space="preserve">RT        </t>
    </r>
    <r>
      <rPr>
        <sz val="10"/>
        <color rgb="FF666666"/>
        <rFont val="Klavika"/>
      </rPr>
      <t xml:space="preserve"> –      </t>
    </r>
    <r>
      <rPr>
        <b/>
        <sz val="10"/>
        <color rgb="FF666666"/>
        <rFont val="Klavika"/>
      </rPr>
      <t>FP</t>
    </r>
  </si>
  <si>
    <r>
      <t>RP</t>
    </r>
    <r>
      <rPr>
        <sz val="10"/>
        <color theme="4" tint="-0.249977111117893"/>
        <rFont val="Klavika"/>
      </rPr>
      <t> = </t>
    </r>
    <r>
      <rPr>
        <b/>
        <sz val="10"/>
        <color theme="4" tint="-0.249977111117893"/>
        <rFont val="Klavika"/>
      </rPr>
      <t>&gt;</t>
    </r>
  </si>
  <si>
    <t>_-</t>
  </si>
  <si>
    <t>m2 - desenvolvida Larg x Altura</t>
  </si>
  <si>
    <t>m2 LxA</t>
  </si>
  <si>
    <t>Peso total das peças &gt;&gt;</t>
  </si>
  <si>
    <t xml:space="preserve">Acabamento </t>
  </si>
  <si>
    <t>1.1.1</t>
  </si>
  <si>
    <t>JATEAMENTO E PINTURA</t>
  </si>
  <si>
    <t>1.1.1.2</t>
  </si>
  <si>
    <t>PINTURA - (DOUGLAS)</t>
  </si>
  <si>
    <t>Dimensão</t>
  </si>
  <si>
    <t>Unid.</t>
  </si>
  <si>
    <t>Qtde.</t>
  </si>
  <si>
    <t>Custo/Unit</t>
  </si>
  <si>
    <t>Custo/Total</t>
  </si>
  <si>
    <t>Pintura - *Estimativa - Valor por M²</t>
  </si>
  <si>
    <t>m²(desenv)</t>
  </si>
  <si>
    <t>Pintura - *Estimativa 2 - Valor por KG &gt;</t>
  </si>
  <si>
    <t>Por peso &gt;</t>
  </si>
  <si>
    <t>2.1.1</t>
  </si>
  <si>
    <t>CONSUMIVEIS PARA EMBALAGENS</t>
  </si>
  <si>
    <t>-</t>
  </si>
  <si>
    <r>
      <t xml:space="preserve">   RP</t>
    </r>
    <r>
      <rPr>
        <sz val="10"/>
        <color rgb="FF666666"/>
        <rFont val="Klavika"/>
      </rPr>
      <t xml:space="preserve">  =      </t>
    </r>
    <r>
      <rPr>
        <b/>
        <sz val="10"/>
        <color rgb="FF666666"/>
        <rFont val="Klavika"/>
      </rPr>
      <t xml:space="preserve">RT      </t>
    </r>
    <r>
      <rPr>
        <sz val="10"/>
        <color rgb="FF666666"/>
        <rFont val="Klavika"/>
      </rPr>
      <t xml:space="preserve"> –      </t>
    </r>
    <r>
      <rPr>
        <b/>
        <sz val="10"/>
        <color rgb="FF666666"/>
        <rFont val="Klavika"/>
      </rPr>
      <t>FP</t>
    </r>
  </si>
  <si>
    <t>2.1.1.2</t>
  </si>
  <si>
    <t xml:space="preserve">MADEIRA PINUS SARRAFIADO 3,00x0,05x0,023 </t>
  </si>
  <si>
    <t>un.</t>
  </si>
  <si>
    <t>3.1.1</t>
  </si>
  <si>
    <t>SOMA DAS TINTAS NECESSÁRIO</t>
  </si>
  <si>
    <t>3.1.1.3</t>
  </si>
  <si>
    <t>Fundo Epoxi - Cinza N 6,5</t>
  </si>
  <si>
    <t>lt</t>
  </si>
  <si>
    <t>3.1.1.2</t>
  </si>
  <si>
    <t>TOTAL PARA PINTURA E MÃO DE OBRA JATO x M2&gt;</t>
  </si>
  <si>
    <t>TOTAL PARA PINTURA E MÃO DE OBRA JATO x KG    &gt;</t>
  </si>
  <si>
    <t>ACESSORIOS E CONSUMIVEIS</t>
  </si>
  <si>
    <t>peso</t>
  </si>
  <si>
    <t>R$ UNIT.</t>
  </si>
  <si>
    <t>% ACUM.</t>
  </si>
  <si>
    <t>CLASSE</t>
  </si>
  <si>
    <t>FONTE</t>
  </si>
  <si>
    <t>CRITERIO</t>
  </si>
  <si>
    <t>R$</t>
  </si>
  <si>
    <t>ARAME TUBULAR E-71T1 1,6MM SPARK cx 15KG</t>
  </si>
  <si>
    <t>GRUPO A</t>
  </si>
  <si>
    <t>ELETRODO MGM 6013 FS - 3,25MM</t>
  </si>
  <si>
    <t>GRUPO B</t>
  </si>
  <si>
    <t>ARAME TUBULAR E-71T1 1,2MM SPARK cx 15KG</t>
  </si>
  <si>
    <t>GRUPO C</t>
  </si>
  <si>
    <t>DISCO DESB.BOSCH IMP3.METAL 7X1/4X7/8</t>
  </si>
  <si>
    <t>DISCO CORTE ACO INOX 7X1,6X7/8</t>
  </si>
  <si>
    <t>DISCO CORTE BOSCH METAL 7X1/8X7/8</t>
  </si>
  <si>
    <t>DISCO FLAP 115 NYLON RETO GR 80 ECOPLUS 7"</t>
  </si>
  <si>
    <t>ANTI-RESPINGO EM PASTA 350GR</t>
  </si>
  <si>
    <t>ESCOVA DE ACO CARB.TRANC.4.1/2X1/2X7/8</t>
  </si>
  <si>
    <t>DIFUSOR TOCHA MIG/MAG MB406 ROSCA M8</t>
  </si>
  <si>
    <t>BICO DE CORTE 1503 NR04</t>
  </si>
  <si>
    <t>BICO DE CORTE 1503 NR06</t>
  </si>
  <si>
    <t>DISCO CORTE BOSCH METAL 4.1/2X1/8X7/8</t>
  </si>
  <si>
    <t>DISCO FLAP 115 NYLON RETO GR 80 ECOPLUS 4.1/2"</t>
  </si>
  <si>
    <t>BOCAL CONICO 13MM SBME235/450/470 13X65MM</t>
  </si>
  <si>
    <t>ESCOVA DE ACO CARB.MANUAL C/CABO 3 FIL.</t>
  </si>
  <si>
    <t>DISCO DESBASTE 4.1/2 X 3/16</t>
  </si>
  <si>
    <t>PONTA MONTADA A12 NORTON</t>
  </si>
  <si>
    <t>MARCADOR INDUSTRIAL AMARELO TRACOFORTE 3MM/60ML</t>
  </si>
  <si>
    <t>MARCADOR INDUSTRIAL VERDE TRACOFORTE 3MM/60ML</t>
  </si>
  <si>
    <t>MARCADOR INDUSTRIAL BRANCO TRACOFORTE 3MM/60ML</t>
  </si>
  <si>
    <t>DISCO CORTE INOX 4.1/2x1/16x7/8</t>
  </si>
  <si>
    <t>BICO CTO M8 1,20MM MB401/501/SBME450/470 D10 X 30 MM</t>
  </si>
  <si>
    <t>BICO CTO M8 1,60MM CUCRZR MB401/SBME470 D10 X 30 MM</t>
  </si>
  <si>
    <t xml:space="preserve">ARAME COBREADO 70S6 1.0 </t>
  </si>
  <si>
    <t>ARAME COBREADO 70S6 1.2</t>
  </si>
  <si>
    <t>OXIGENIO</t>
  </si>
  <si>
    <t>ACETILENO</t>
  </si>
  <si>
    <t>GLP</t>
  </si>
  <si>
    <t>MISTURA MIG</t>
  </si>
  <si>
    <t>Valor Global</t>
  </si>
  <si>
    <t>KIT Ferramentas Manuais</t>
  </si>
  <si>
    <t>Ferramentas Manuais - Diversas (Broca - Sargento - ETC)</t>
  </si>
  <si>
    <t>Ferramentas Manuais - Caixa Ferramentas</t>
  </si>
  <si>
    <t>Conjunto Maçarico - Exceto gases</t>
  </si>
  <si>
    <t>Catraca Manual - 500kgs</t>
  </si>
  <si>
    <t>Talha Manual - 3 ton</t>
  </si>
  <si>
    <t>Mensal</t>
  </si>
  <si>
    <t>Ferramentas Eletricas - Lixadeira 7"</t>
  </si>
  <si>
    <t xml:space="preserve">Mês </t>
  </si>
  <si>
    <t>Ferramentas Eletricas - Lixadeira 4"</t>
  </si>
  <si>
    <t>Maquinas Solda 200A - Locação</t>
  </si>
  <si>
    <t>Serra Tico-Tico</t>
  </si>
  <si>
    <t>Furadeira Industrial</t>
  </si>
  <si>
    <t>Maquina Aplicação Studo Bolt</t>
  </si>
  <si>
    <t>Quinzena</t>
  </si>
  <si>
    <t>Extensões 20 metros com tomadas Steck - QDE - Aquisição</t>
  </si>
  <si>
    <t>Mobilização</t>
  </si>
  <si>
    <t>6.1</t>
  </si>
  <si>
    <t>Alimentação</t>
  </si>
  <si>
    <t>6.2</t>
  </si>
  <si>
    <t>Desjejum</t>
  </si>
  <si>
    <t>UN</t>
  </si>
  <si>
    <t>6.3</t>
  </si>
  <si>
    <t>Almoço</t>
  </si>
  <si>
    <t>6.4</t>
  </si>
  <si>
    <t>Jantar</t>
  </si>
  <si>
    <t>6.5</t>
  </si>
  <si>
    <t>Lanche</t>
  </si>
  <si>
    <t>6.6</t>
  </si>
  <si>
    <t>Transporte Pessoal</t>
  </si>
  <si>
    <t>6.6.1</t>
  </si>
  <si>
    <t>Transporte pessoal</t>
  </si>
  <si>
    <t>6.7</t>
  </si>
  <si>
    <t>Hospedagem</t>
  </si>
  <si>
    <t>6.7.1</t>
  </si>
  <si>
    <t>Hospedagem pessoal</t>
  </si>
  <si>
    <t>RESUMO ORÇAMENTO - CUSTO DIRETO PREVISTO POR DIA</t>
  </si>
  <si>
    <t>RESUMO ORÇAMENTO - PREVISTO FATURAMENTO POR DIA</t>
  </si>
  <si>
    <t>R$/UNIT.</t>
  </si>
  <si>
    <t>R$/TOTAL PREVISTO</t>
  </si>
  <si>
    <t>R$/TOTAL REALIZADO</t>
  </si>
  <si>
    <t>R$ DIFERENÇA</t>
  </si>
  <si>
    <t>INDICADOR</t>
  </si>
  <si>
    <t>LUCRO OPERACIONAL</t>
  </si>
  <si>
    <t>DIA</t>
  </si>
  <si>
    <t>Supervisor =&gt; 1</t>
  </si>
  <si>
    <t>Desmobilização</t>
  </si>
  <si>
    <t>Ferramentas Manuais</t>
  </si>
  <si>
    <t>Ferramentas Eletricas</t>
  </si>
  <si>
    <t>Transporte Colaboradores (12 lugares)</t>
  </si>
  <si>
    <t>Custo direto sem IMPOSTOS E BDI</t>
  </si>
  <si>
    <t>% LUCRO OPERAC.</t>
  </si>
  <si>
    <t>TOTAL S/ IMPOSTOS</t>
  </si>
  <si>
    <t>IMPOSTOS</t>
  </si>
  <si>
    <t>CUSTO SERVIÇOS</t>
  </si>
  <si>
    <t>QUANT. FUNC.</t>
  </si>
  <si>
    <t>QUAT. H / MÊS</t>
  </si>
  <si>
    <t>LUCRO LIQUIDO</t>
  </si>
  <si>
    <t>FATURAMENTO MENSAL (4X2)</t>
  </si>
  <si>
    <t>EQUIPE POR DIA</t>
  </si>
  <si>
    <t>FATURAMENTO ANUAL (12X)</t>
  </si>
  <si>
    <t>% LUCRO LIQ.</t>
  </si>
  <si>
    <t xml:space="preserve"> VAL.FUNC/ HORA</t>
  </si>
  <si>
    <t>LUCRO OP./MES (4x2)</t>
  </si>
  <si>
    <t>LUCRO OP./ANO (12X)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</si>
</sst>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(* #,##0.00_);_(* \(#,##0.00\);_(* &quot;-&quot;??_);_(@_)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-&quot;R$&quot;* #,##0.00_-;\-&quot;R$&quot;* #,##0.00_-;_-&quot;R$&quot;* &quot;-&quot;??_-;_-@_-"/>
    <numFmt numFmtId="168" formatCode="0.0%"/>
    <numFmt numFmtId="169" formatCode="_(* #,##0.000_);_(* \(#,##0.000\);_(* &quot;-&quot;??_);_(@_)"/>
    <numFmt numFmtId="170" formatCode="_(* #,##0_);_(* \(#,##0\);_(* &quot;-&quot;??_);_(@_)"/>
    <numFmt numFmtId="171" formatCode="_([$€-2]* #,##0.00_);_([$€-2]* \(#,##0.00\);_([$€-2]* &quot;-&quot;??_)"/>
    <numFmt numFmtId="172" formatCode="0.0"/>
    <numFmt numFmtId="173" formatCode="&quot;R$&quot;\ #,##0.00"/>
    <numFmt numFmtId="174" formatCode="_-[$R$-416]\ * #,##0.00_-;\-[$R$-416]\ * #,##0.00_-;_-[$R$-416]\ * &quot;-&quot;??_-;_-@_-"/>
    <numFmt numFmtId="175" formatCode="&quot;R$ &quot;#,##0.00"/>
    <numFmt numFmtId="176" formatCode="_(* #,##0.0_);_(* \(#,##0.0\);_(* &quot;-&quot;??_);_(@_)"/>
    <numFmt numFmtId="177" formatCode="[$R$-416]\ #,##0.00"/>
  </numFmts>
  <fonts count="136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14"/>
      <color indexed="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11"/>
      <color indexed="9"/>
      <name val="Calibri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indexed="10"/>
      <name val="Geneva"/>
    </font>
    <font>
      <sz val="10"/>
      <name val="MS Sans Serif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9"/>
      <color indexed="81"/>
      <name val="Segoe UI"/>
      <family val="2"/>
    </font>
    <font>
      <sz val="9"/>
      <color indexed="10"/>
      <name val="Segoe UI"/>
      <family val="2"/>
    </font>
    <font>
      <b/>
      <u/>
      <sz val="10"/>
      <name val="Arial"/>
      <family val="2"/>
    </font>
    <font>
      <sz val="9"/>
      <color indexed="10"/>
      <name val="Arial"/>
      <family val="2"/>
    </font>
    <font>
      <b/>
      <sz val="11"/>
      <name val="Arial"/>
      <family val="2"/>
    </font>
    <font>
      <sz val="9"/>
      <color indexed="9"/>
      <name val="Arial"/>
      <family val="2"/>
    </font>
    <font>
      <b/>
      <sz val="9"/>
      <color indexed="9"/>
      <name val="Arial"/>
      <family val="2"/>
    </font>
    <font>
      <i/>
      <sz val="8"/>
      <name val="Arial"/>
      <family val="2"/>
    </font>
    <font>
      <b/>
      <sz val="9"/>
      <color indexed="81"/>
      <name val="Segoe UI"/>
      <family val="2"/>
    </font>
    <font>
      <b/>
      <i/>
      <sz val="8"/>
      <color indexed="3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i/>
      <sz val="8"/>
      <name val="Arial"/>
      <family val="2"/>
    </font>
    <font>
      <b/>
      <sz val="8"/>
      <color indexed="9"/>
      <name val="Tahoma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8"/>
      <color theme="0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8"/>
      <color theme="0"/>
      <name val="Arial"/>
      <family val="2"/>
    </font>
    <font>
      <b/>
      <sz val="14"/>
      <color theme="0"/>
      <name val="Arial"/>
      <family val="2"/>
    </font>
    <font>
      <sz val="10"/>
      <color rgb="FFFF0000"/>
      <name val="Arial"/>
      <family val="2"/>
    </font>
    <font>
      <b/>
      <i/>
      <sz val="8"/>
      <color rgb="FFFF0000"/>
      <name val="Arial"/>
      <family val="2"/>
    </font>
    <font>
      <b/>
      <sz val="12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theme="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i/>
      <sz val="10"/>
      <color rgb="FFFFFFFF"/>
      <name val="Arial"/>
      <family val="2"/>
    </font>
    <font>
      <b/>
      <i/>
      <sz val="12"/>
      <name val="Arial"/>
      <family val="2"/>
    </font>
    <font>
      <b/>
      <i/>
      <sz val="12"/>
      <color rgb="FFFFFFFF"/>
      <name val="Arial"/>
      <family val="2"/>
    </font>
    <font>
      <b/>
      <u/>
      <sz val="10"/>
      <color rgb="FFFF0000"/>
      <name val="Arial"/>
      <family val="2"/>
    </font>
    <font>
      <sz val="11"/>
      <color rgb="FFC00000"/>
      <name val="Calibri"/>
      <family val="2"/>
      <scheme val="minor"/>
    </font>
    <font>
      <b/>
      <sz val="10"/>
      <color rgb="FFFF0000"/>
      <name val="Arial"/>
      <family val="2"/>
    </font>
    <font>
      <sz val="8"/>
      <color rgb="FFC00000"/>
      <name val="Arial"/>
      <family val="2"/>
    </font>
    <font>
      <sz val="9"/>
      <color rgb="FFC00000"/>
      <name val="Arial"/>
      <family val="2"/>
    </font>
    <font>
      <b/>
      <sz val="8"/>
      <color rgb="FF0070C0"/>
      <name val="Arial"/>
      <family val="2"/>
    </font>
    <font>
      <sz val="8"/>
      <color rgb="FF0070C0"/>
      <name val="Arial"/>
      <family val="2"/>
    </font>
    <font>
      <b/>
      <sz val="10"/>
      <color rgb="FF0070C0"/>
      <name val="Arial"/>
      <family val="2"/>
    </font>
    <font>
      <sz val="10"/>
      <color theme="9" tint="-0.499984740745262"/>
      <name val="Arial"/>
      <family val="2"/>
    </font>
    <font>
      <b/>
      <sz val="9"/>
      <color rgb="FFC00000"/>
      <name val="Arial"/>
      <family val="2"/>
    </font>
    <font>
      <b/>
      <sz val="8"/>
      <color theme="5"/>
      <name val="Arial"/>
      <family val="2"/>
    </font>
    <font>
      <sz val="8"/>
      <color theme="5" tint="-0.249977111117893"/>
      <name val="Arial"/>
      <family val="2"/>
    </font>
    <font>
      <sz val="22"/>
      <color theme="5" tint="-0.249977111117893"/>
      <name val="Arial"/>
      <family val="2"/>
    </font>
    <font>
      <b/>
      <i/>
      <sz val="8"/>
      <color theme="5" tint="-0.249977111117893"/>
      <name val="Arial"/>
      <family val="2"/>
    </font>
    <font>
      <sz val="9"/>
      <color rgb="FF000000"/>
      <name val="Arial"/>
      <family val="2"/>
    </font>
    <font>
      <sz val="9"/>
      <color rgb="FF000000"/>
      <name val="Roboto"/>
      <charset val="1"/>
    </font>
    <font>
      <sz val="10"/>
      <name val="Aptos Display"/>
      <family val="2"/>
    </font>
    <font>
      <sz val="9"/>
      <color rgb="FF000000"/>
      <name val="Aptos Display"/>
      <family val="2"/>
    </font>
    <font>
      <b/>
      <sz val="12"/>
      <name val="Aptos Display"/>
      <family val="2"/>
    </font>
    <font>
      <b/>
      <i/>
      <sz val="8"/>
      <color rgb="FF0070C0"/>
      <name val="Arial"/>
      <family val="2"/>
    </font>
    <font>
      <b/>
      <sz val="8"/>
      <color theme="1"/>
      <name val="Arial"/>
      <family val="2"/>
    </font>
    <font>
      <b/>
      <i/>
      <sz val="11"/>
      <color rgb="FF002060"/>
      <name val="Arial"/>
      <family val="2"/>
    </font>
    <font>
      <b/>
      <sz val="11"/>
      <color rgb="FF002060"/>
      <name val="Arial"/>
      <family val="2"/>
    </font>
    <font>
      <b/>
      <sz val="10"/>
      <color theme="6" tint="-0.249977111117893"/>
      <name val="Arial"/>
      <family val="2"/>
    </font>
    <font>
      <sz val="10"/>
      <color theme="4"/>
      <name val="Arial"/>
      <family val="2"/>
    </font>
    <font>
      <b/>
      <sz val="10"/>
      <color indexed="18"/>
      <name val="Arial"/>
      <family val="2"/>
    </font>
    <font>
      <sz val="10"/>
      <color theme="5"/>
      <name val="Calibri"/>
      <family val="2"/>
      <scheme val="minor"/>
    </font>
    <font>
      <b/>
      <sz val="11"/>
      <color rgb="FF666666"/>
      <name val="Klavika"/>
    </font>
    <font>
      <sz val="10"/>
      <color rgb="FFC00000"/>
      <name val="Arial"/>
      <family val="2"/>
    </font>
    <font>
      <b/>
      <sz val="20"/>
      <name val="Arial"/>
      <family val="2"/>
    </font>
    <font>
      <sz val="12"/>
      <color rgb="FFFF0000"/>
      <name val="Arial"/>
      <family val="2"/>
    </font>
    <font>
      <b/>
      <sz val="10"/>
      <color theme="3" tint="0.499984740745262"/>
      <name val="Arial"/>
      <family val="2"/>
    </font>
    <font>
      <sz val="11"/>
      <color rgb="FFFF0000"/>
      <name val="Arial"/>
      <family val="2"/>
    </font>
    <font>
      <b/>
      <sz val="10"/>
      <color theme="6" tint="0.39997558519241921"/>
      <name val="Arial"/>
      <family val="2"/>
    </font>
    <font>
      <sz val="14"/>
      <color theme="1"/>
      <name val="Calibri"/>
      <family val="2"/>
      <scheme val="minor"/>
    </font>
    <font>
      <b/>
      <sz val="11"/>
      <color theme="6" tint="-0.249977111117893"/>
      <name val="Arial"/>
      <family val="2"/>
    </font>
    <font>
      <sz val="10"/>
      <color theme="6" tint="-0.249977111117893"/>
      <name val="Arial"/>
      <family val="2"/>
    </font>
    <font>
      <b/>
      <sz val="11"/>
      <color rgb="FFC00000"/>
      <name val="Arial"/>
      <family val="2"/>
    </font>
    <font>
      <b/>
      <sz val="11"/>
      <color theme="3" tint="0.499984740745262"/>
      <name val="Arial"/>
      <family val="2"/>
    </font>
    <font>
      <b/>
      <sz val="11"/>
      <color theme="4" tint="-0.249977111117893"/>
      <name val="Calibri"/>
      <family val="2"/>
      <scheme val="minor"/>
    </font>
    <font>
      <b/>
      <sz val="10"/>
      <color rgb="FF666666"/>
      <name val="Klavika"/>
    </font>
    <font>
      <sz val="10"/>
      <color rgb="FF666666"/>
      <name val="Klavika"/>
    </font>
    <font>
      <b/>
      <sz val="10"/>
      <color theme="4" tint="-0.249977111117893"/>
      <name val="Klavika"/>
    </font>
    <font>
      <sz val="10"/>
      <color theme="4" tint="-0.249977111117893"/>
      <name val="Klavika"/>
    </font>
    <font>
      <b/>
      <sz val="11"/>
      <color rgb="FFC00000"/>
      <name val="Klavika"/>
    </font>
    <font>
      <b/>
      <sz val="10"/>
      <color theme="1"/>
      <name val="Arial"/>
      <family val="2"/>
    </font>
    <font>
      <b/>
      <sz val="10"/>
      <color theme="1"/>
      <name val="Klavika"/>
    </font>
    <font>
      <b/>
      <sz val="11"/>
      <color rgb="FF00B0F0"/>
      <name val="Klavika"/>
    </font>
    <font>
      <sz val="10"/>
      <color rgb="FF00B0F0"/>
      <name val="Arial"/>
      <family val="2"/>
    </font>
    <font>
      <b/>
      <sz val="10"/>
      <color rgb="FF00B0F0"/>
      <name val="Klavika"/>
    </font>
    <font>
      <b/>
      <sz val="14"/>
      <color theme="4" tint="-0.249977111117893"/>
      <name val="Calibri"/>
      <family val="2"/>
      <scheme val="minor"/>
    </font>
    <font>
      <b/>
      <sz val="11"/>
      <color rgb="FF000000"/>
      <name val="Arial"/>
      <family val="2"/>
    </font>
    <font>
      <b/>
      <sz val="11"/>
      <color theme="3"/>
      <name val="Arial"/>
      <family val="2"/>
    </font>
    <font>
      <sz val="9"/>
      <color theme="3" tint="0.249977111117893"/>
      <name val="Arial"/>
      <family val="2"/>
    </font>
    <font>
      <sz val="9"/>
      <color theme="3" tint="0.249977111117893"/>
      <name val="Calibri"/>
      <family val="2"/>
      <scheme val="minor"/>
    </font>
    <font>
      <sz val="9"/>
      <color theme="5"/>
      <name val="Calibri"/>
      <family val="2"/>
      <scheme val="minor"/>
    </font>
    <font>
      <sz val="10"/>
      <color theme="3" tint="0.39997558519241921"/>
      <name val="Arial"/>
      <family val="2"/>
    </font>
    <font>
      <b/>
      <sz val="9"/>
      <color theme="3" tint="-0.249977111117893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.5"/>
      <name val="Arial"/>
    </font>
    <font>
      <b/>
      <sz val="10"/>
      <name val="Arial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2"/>
      <color rgb="FF000000"/>
      <name val="Calibri"/>
      <family val="2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2"/>
      <color rgb="FFFF0000"/>
      <name val="Calibri"/>
      <family val="2"/>
    </font>
    <font>
      <sz val="10"/>
      <name val="Arial"/>
    </font>
    <font>
      <b/>
      <sz val="13.5"/>
      <color theme="0"/>
      <name val="Arial"/>
      <family val="2"/>
    </font>
    <font>
      <b/>
      <i/>
      <sz val="11"/>
      <color rgb="FF000000"/>
      <name val="Aptos Display"/>
      <family val="2"/>
    </font>
    <font>
      <b/>
      <sz val="11"/>
      <color theme="5" tint="0.39997558519241921"/>
      <name val="Aptos Display"/>
    </font>
    <font>
      <sz val="11"/>
      <name val="Aptos Display"/>
    </font>
    <font>
      <b/>
      <sz val="11"/>
      <color rgb="FF0070C0"/>
      <name val="Aptos Display"/>
    </font>
    <font>
      <b/>
      <sz val="11"/>
      <name val="Aptos Display"/>
    </font>
    <font>
      <b/>
      <sz val="11"/>
      <color indexed="9"/>
      <name val="Aptos Display"/>
    </font>
    <font>
      <sz val="11"/>
      <color indexed="9"/>
      <name val="Aptos Display"/>
    </font>
    <font>
      <b/>
      <i/>
      <sz val="11"/>
      <name val="Aptos Display"/>
    </font>
    <font>
      <sz val="11"/>
      <color rgb="FF000000"/>
      <name val="Aptos Display"/>
      <family val="2"/>
    </font>
    <font>
      <b/>
      <sz val="10"/>
      <color theme="0"/>
      <name val="Arial"/>
    </font>
    <font>
      <sz val="10"/>
      <color theme="0"/>
      <name val="Arial"/>
    </font>
    <font>
      <sz val="11"/>
      <color theme="0"/>
      <name val="Aptos Display"/>
      <family val="2"/>
    </font>
    <font>
      <b/>
      <i/>
      <sz val="11"/>
      <color theme="0"/>
      <name val="Aptos Display"/>
      <family val="2"/>
    </font>
  </fonts>
  <fills count="32">
    <fill>
      <patternFill patternType="none"/>
    </fill>
    <fill>
      <patternFill patternType="gray125"/>
    </fill>
    <fill>
      <patternFill patternType="solid">
        <fgColor indexed="10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EECE1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2060"/>
        <bgColor indexed="64"/>
      </patternFill>
    </fill>
  </fills>
  <borders count="178">
    <border>
      <left/>
      <right/>
      <top/>
      <bottom/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21"/>
      </top>
      <bottom style="double">
        <color indexed="21"/>
      </bottom>
      <diagonal/>
    </border>
    <border>
      <left/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double">
        <color indexed="21"/>
      </left>
      <right/>
      <top/>
      <bottom style="double">
        <color indexed="21"/>
      </bottom>
      <diagonal/>
    </border>
    <border>
      <left/>
      <right/>
      <top/>
      <bottom style="double">
        <color indexed="21"/>
      </bottom>
      <diagonal/>
    </border>
    <border>
      <left/>
      <right style="double">
        <color indexed="21"/>
      </right>
      <top/>
      <bottom style="double">
        <color indexed="21"/>
      </bottom>
      <diagonal/>
    </border>
    <border>
      <left/>
      <right/>
      <top style="double">
        <color indexed="21"/>
      </top>
      <bottom/>
      <diagonal/>
    </border>
    <border>
      <left/>
      <right style="double">
        <color indexed="21"/>
      </right>
      <top style="double">
        <color indexed="21"/>
      </top>
      <bottom/>
      <diagonal/>
    </border>
    <border>
      <left style="double">
        <color indexed="21"/>
      </left>
      <right/>
      <top style="double">
        <color indexed="2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21"/>
      </left>
      <right/>
      <top/>
      <bottom/>
      <diagonal/>
    </border>
    <border>
      <left/>
      <right style="double">
        <color indexed="21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/>
      <top style="double">
        <color indexed="21"/>
      </top>
      <bottom/>
      <diagonal/>
    </border>
    <border>
      <left style="medium">
        <color rgb="FF000000"/>
      </left>
      <right/>
      <top/>
      <bottom style="double">
        <color indexed="21"/>
      </bottom>
      <diagonal/>
    </border>
    <border>
      <left style="medium">
        <color rgb="FF000000"/>
      </left>
      <right/>
      <top style="double">
        <color indexed="21"/>
      </top>
      <bottom style="double">
        <color indexed="21"/>
      </bottom>
      <diagonal/>
    </border>
    <border>
      <left style="medium">
        <color rgb="FF000000"/>
      </left>
      <right/>
      <top style="double">
        <color indexed="21"/>
      </top>
      <bottom style="medium">
        <color rgb="FF000000"/>
      </bottom>
      <diagonal/>
    </border>
    <border>
      <left/>
      <right/>
      <top style="double">
        <color indexed="21"/>
      </top>
      <bottom style="medium">
        <color rgb="FF000000"/>
      </bottom>
      <diagonal/>
    </border>
    <border>
      <left/>
      <right style="double">
        <color indexed="21"/>
      </right>
      <top style="double">
        <color indexed="21"/>
      </top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hair">
        <color indexed="64"/>
      </bottom>
      <diagonal/>
    </border>
    <border>
      <left style="medium">
        <color rgb="FF000000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rgb="FF000000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rgb="FF000000"/>
      </right>
      <top style="hair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 style="hair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rgb="FF000000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</borders>
  <cellStyleXfs count="27">
    <xf numFmtId="0" fontId="0" fillId="0" borderId="0"/>
    <xf numFmtId="0" fontId="15" fillId="0" borderId="0"/>
    <xf numFmtId="0" fontId="12" fillId="2" borderId="0" applyNumberFormat="0" applyBorder="0" applyAlignment="0" applyProtection="0"/>
    <xf numFmtId="171" fontId="7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34" fillId="0" borderId="0"/>
    <xf numFmtId="0" fontId="16" fillId="0" borderId="0"/>
    <xf numFmtId="0" fontId="16" fillId="0" borderId="0"/>
    <xf numFmtId="0" fontId="16" fillId="0" borderId="0" applyProtection="0"/>
    <xf numFmtId="0" fontId="7" fillId="0" borderId="0"/>
    <xf numFmtId="0" fontId="7" fillId="0" borderId="0"/>
    <xf numFmtId="0" fontId="16" fillId="0" borderId="0" applyProtection="0"/>
    <xf numFmtId="0" fontId="16" fillId="0" borderId="0" applyProtection="0"/>
    <xf numFmtId="0" fontId="16" fillId="0" borderId="0" applyProtection="0"/>
    <xf numFmtId="0" fontId="16" fillId="0" borderId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8" fillId="0" borderId="0" applyFont="0" applyFill="0" applyBorder="0" applyAlignment="0" applyProtection="0"/>
  </cellStyleXfs>
  <cellXfs count="1189">
    <xf numFmtId="0" fontId="0" fillId="0" borderId="0" xfId="0"/>
    <xf numFmtId="0" fontId="7" fillId="0" borderId="0" xfId="0" applyFont="1"/>
    <xf numFmtId="0" fontId="10" fillId="0" borderId="0" xfId="0" applyFont="1"/>
    <xf numFmtId="10" fontId="4" fillId="3" borderId="1" xfId="18" applyNumberFormat="1" applyFont="1" applyFill="1" applyBorder="1" applyAlignment="1">
      <alignment horizontal="center" vertical="center"/>
    </xf>
    <xf numFmtId="10" fontId="4" fillId="4" borderId="1" xfId="18" applyNumberFormat="1" applyFont="1" applyFill="1" applyBorder="1" applyAlignment="1">
      <alignment horizontal="center" vertical="center"/>
    </xf>
    <xf numFmtId="43" fontId="11" fillId="5" borderId="0" xfId="22" applyFont="1" applyFill="1" applyAlignment="1">
      <alignment horizontal="center"/>
    </xf>
    <xf numFmtId="169" fontId="11" fillId="5" borderId="0" xfId="22" applyNumberFormat="1" applyFont="1" applyFill="1"/>
    <xf numFmtId="10" fontId="11" fillId="5" borderId="0" xfId="18" applyNumberFormat="1" applyFont="1" applyFill="1" applyBorder="1"/>
    <xf numFmtId="168" fontId="11" fillId="0" borderId="0" xfId="18" applyNumberFormat="1" applyFont="1"/>
    <xf numFmtId="0" fontId="11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10" fontId="4" fillId="0" borderId="2" xfId="18" applyNumberFormat="1" applyFont="1" applyFill="1" applyBorder="1" applyAlignment="1">
      <alignment horizontal="center" vertical="center"/>
    </xf>
    <xf numFmtId="10" fontId="4" fillId="0" borderId="4" xfId="18" applyNumberFormat="1" applyFont="1" applyFill="1" applyBorder="1" applyAlignment="1">
      <alignment horizontal="center" vertical="center"/>
    </xf>
    <xf numFmtId="10" fontId="4" fillId="0" borderId="5" xfId="18" applyNumberFormat="1" applyFont="1" applyFill="1" applyBorder="1" applyAlignment="1">
      <alignment horizontal="center" vertical="center"/>
    </xf>
    <xf numFmtId="10" fontId="4" fillId="0" borderId="6" xfId="18" applyNumberFormat="1" applyFont="1" applyFill="1" applyBorder="1" applyAlignment="1">
      <alignment horizontal="center" vertical="center"/>
    </xf>
    <xf numFmtId="10" fontId="4" fillId="0" borderId="7" xfId="18" applyNumberFormat="1" applyFont="1" applyFill="1" applyBorder="1" applyAlignment="1">
      <alignment horizontal="center" vertical="center"/>
    </xf>
    <xf numFmtId="10" fontId="4" fillId="0" borderId="8" xfId="18" applyNumberFormat="1" applyFont="1" applyFill="1" applyBorder="1" applyAlignment="1">
      <alignment horizontal="center" vertical="center"/>
    </xf>
    <xf numFmtId="10" fontId="4" fillId="7" borderId="1" xfId="18" applyNumberFormat="1" applyFont="1" applyFill="1" applyBorder="1" applyAlignment="1">
      <alignment horizontal="center" vertical="center"/>
    </xf>
    <xf numFmtId="10" fontId="4" fillId="8" borderId="9" xfId="18" applyNumberFormat="1" applyFont="1" applyFill="1" applyBorder="1" applyAlignment="1">
      <alignment horizontal="center" vertical="center"/>
    </xf>
    <xf numFmtId="10" fontId="4" fillId="8" borderId="10" xfId="18" applyNumberFormat="1" applyFont="1" applyFill="1" applyBorder="1" applyAlignment="1">
      <alignment horizontal="center" vertical="center"/>
    </xf>
    <xf numFmtId="10" fontId="4" fillId="8" borderId="7" xfId="18" applyNumberFormat="1" applyFont="1" applyFill="1" applyBorder="1" applyAlignment="1">
      <alignment horizontal="center" vertical="center"/>
    </xf>
    <xf numFmtId="10" fontId="4" fillId="8" borderId="8" xfId="18" applyNumberFormat="1" applyFont="1" applyFill="1" applyBorder="1" applyAlignment="1">
      <alignment horizontal="center" vertical="center"/>
    </xf>
    <xf numFmtId="10" fontId="4" fillId="8" borderId="4" xfId="18" applyNumberFormat="1" applyFont="1" applyFill="1" applyBorder="1" applyAlignment="1">
      <alignment horizontal="center" vertical="center"/>
    </xf>
    <xf numFmtId="10" fontId="4" fillId="8" borderId="5" xfId="18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/>
    <xf numFmtId="0" fontId="2" fillId="0" borderId="2" xfId="0" applyFont="1" applyBorder="1" applyAlignment="1">
      <alignment horizontal="right" vertical="center"/>
    </xf>
    <xf numFmtId="10" fontId="4" fillId="0" borderId="1" xfId="18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3" fontId="3" fillId="0" borderId="0" xfId="0" applyNumberFormat="1" applyFont="1" applyAlignment="1">
      <alignment horizontal="center" vertical="center"/>
    </xf>
    <xf numFmtId="43" fontId="3" fillId="0" borderId="3" xfId="0" applyNumberFormat="1" applyFont="1" applyBorder="1" applyAlignment="1">
      <alignment horizontal="left" vertical="center"/>
    </xf>
    <xf numFmtId="43" fontId="3" fillId="0" borderId="0" xfId="22" applyFont="1" applyFill="1" applyBorder="1" applyAlignment="1">
      <alignment horizontal="center" vertical="center"/>
    </xf>
    <xf numFmtId="43" fontId="3" fillId="4" borderId="1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7" borderId="4" xfId="0" applyFont="1" applyFill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3" fillId="0" borderId="0" xfId="0" applyFont="1"/>
    <xf numFmtId="0" fontId="3" fillId="9" borderId="15" xfId="0" applyFont="1" applyFill="1" applyBorder="1" applyAlignment="1">
      <alignment horizontal="left" vertical="top"/>
    </xf>
    <xf numFmtId="0" fontId="3" fillId="9" borderId="16" xfId="0" applyFont="1" applyFill="1" applyBorder="1" applyAlignment="1">
      <alignment horizontal="left" vertical="top"/>
    </xf>
    <xf numFmtId="10" fontId="3" fillId="0" borderId="3" xfId="18" applyNumberFormat="1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horizontal="center" vertical="top"/>
    </xf>
    <xf numFmtId="0" fontId="3" fillId="9" borderId="19" xfId="0" applyFont="1" applyFill="1" applyBorder="1" applyAlignment="1">
      <alignment horizontal="left" vertical="top"/>
    </xf>
    <xf numFmtId="0" fontId="22" fillId="0" borderId="0" xfId="0" applyFont="1"/>
    <xf numFmtId="10" fontId="14" fillId="4" borderId="1" xfId="18" applyNumberFormat="1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left" vertical="center"/>
    </xf>
    <xf numFmtId="0" fontId="24" fillId="6" borderId="4" xfId="0" applyFont="1" applyFill="1" applyBorder="1" applyAlignment="1">
      <alignment horizontal="left" vertical="center"/>
    </xf>
    <xf numFmtId="0" fontId="24" fillId="6" borderId="5" xfId="0" applyFont="1" applyFill="1" applyBorder="1" applyAlignment="1">
      <alignment horizontal="left" vertical="center"/>
    </xf>
    <xf numFmtId="0" fontId="35" fillId="0" borderId="0" xfId="0" applyFont="1"/>
    <xf numFmtId="0" fontId="11" fillId="0" borderId="0" xfId="0" applyFont="1"/>
    <xf numFmtId="0" fontId="11" fillId="8" borderId="0" xfId="0" applyFont="1" applyFill="1"/>
    <xf numFmtId="0" fontId="11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0" xfId="0" applyFont="1"/>
    <xf numFmtId="0" fontId="5" fillId="0" borderId="0" xfId="0" applyFont="1"/>
    <xf numFmtId="0" fontId="5" fillId="5" borderId="0" xfId="0" applyFont="1" applyFill="1"/>
    <xf numFmtId="0" fontId="2" fillId="3" borderId="11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3" borderId="20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21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9" fontId="11" fillId="0" borderId="0" xfId="18" applyFont="1" applyAlignment="1">
      <alignment horizontal="left" vertical="center"/>
    </xf>
    <xf numFmtId="43" fontId="11" fillId="5" borderId="0" xfId="22" applyFont="1" applyFill="1"/>
    <xf numFmtId="9" fontId="11" fillId="0" borderId="0" xfId="18" applyFont="1" applyFill="1" applyAlignment="1">
      <alignment horizontal="left" vertical="center"/>
    </xf>
    <xf numFmtId="49" fontId="11" fillId="5" borderId="0" xfId="22" applyNumberFormat="1" applyFont="1" applyFill="1" applyBorder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/>
    <xf numFmtId="0" fontId="11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43" fontId="2" fillId="3" borderId="25" xfId="0" applyNumberFormat="1" applyFont="1" applyFill="1" applyBorder="1" applyAlignment="1">
      <alignment horizontal="center" vertical="center"/>
    </xf>
    <xf numFmtId="43" fontId="2" fillId="3" borderId="26" xfId="0" applyNumberFormat="1" applyFont="1" applyFill="1" applyBorder="1" applyAlignment="1">
      <alignment horizontal="center" vertical="center"/>
    </xf>
    <xf numFmtId="43" fontId="2" fillId="3" borderId="3" xfId="0" applyNumberFormat="1" applyFont="1" applyFill="1" applyBorder="1" applyAlignment="1">
      <alignment horizontal="center" vertical="center"/>
    </xf>
    <xf numFmtId="43" fontId="2" fillId="0" borderId="0" xfId="0" applyNumberFormat="1" applyFont="1" applyAlignment="1">
      <alignment horizontal="right" vertical="center"/>
    </xf>
    <xf numFmtId="43" fontId="4" fillId="0" borderId="0" xfId="0" applyNumberFormat="1" applyFont="1" applyAlignment="1">
      <alignment horizontal="center" vertical="center"/>
    </xf>
    <xf numFmtId="4" fontId="4" fillId="7" borderId="28" xfId="0" applyNumberFormat="1" applyFont="1" applyFill="1" applyBorder="1" applyAlignment="1">
      <alignment horizontal="center" vertical="center"/>
    </xf>
    <xf numFmtId="4" fontId="2" fillId="7" borderId="28" xfId="0" applyNumberFormat="1" applyFont="1" applyFill="1" applyBorder="1" applyAlignment="1">
      <alignment horizontal="center" vertical="center"/>
    </xf>
    <xf numFmtId="4" fontId="4" fillId="10" borderId="28" xfId="0" applyNumberFormat="1" applyFont="1" applyFill="1" applyBorder="1" applyAlignment="1">
      <alignment horizontal="center" vertical="center"/>
    </xf>
    <xf numFmtId="4" fontId="4" fillId="10" borderId="29" xfId="0" applyNumberFormat="1" applyFont="1" applyFill="1" applyBorder="1" applyAlignment="1">
      <alignment horizontal="center" vertical="center"/>
    </xf>
    <xf numFmtId="4" fontId="2" fillId="7" borderId="30" xfId="0" applyNumberFormat="1" applyFont="1" applyFill="1" applyBorder="1" applyAlignment="1">
      <alignment horizontal="center" vertical="center"/>
    </xf>
    <xf numFmtId="0" fontId="2" fillId="8" borderId="0" xfId="0" applyFont="1" applyFill="1"/>
    <xf numFmtId="9" fontId="11" fillId="0" borderId="0" xfId="18" applyFont="1"/>
    <xf numFmtId="0" fontId="2" fillId="7" borderId="4" xfId="0" applyFont="1" applyFill="1" applyBorder="1" applyAlignment="1">
      <alignment horizontal="left" vertical="center"/>
    </xf>
    <xf numFmtId="0" fontId="2" fillId="7" borderId="5" xfId="0" applyFont="1" applyFill="1" applyBorder="1" applyAlignment="1">
      <alignment horizontal="left" vertical="center"/>
    </xf>
    <xf numFmtId="0" fontId="26" fillId="0" borderId="0" xfId="0" applyFont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0" borderId="4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8" fillId="6" borderId="4" xfId="0" applyFont="1" applyFill="1" applyBorder="1" applyAlignment="1">
      <alignment vertical="center"/>
    </xf>
    <xf numFmtId="0" fontId="17" fillId="6" borderId="5" xfId="0" applyFon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35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43" fontId="3" fillId="10" borderId="31" xfId="22" applyFont="1" applyFill="1" applyBorder="1" applyAlignment="1">
      <alignment horizontal="center" vertical="center"/>
    </xf>
    <xf numFmtId="10" fontId="4" fillId="4" borderId="1" xfId="18" applyNumberFormat="1" applyFont="1" applyFill="1" applyBorder="1" applyAlignment="1" applyProtection="1">
      <alignment horizontal="center" vertical="center"/>
    </xf>
    <xf numFmtId="0" fontId="7" fillId="0" borderId="0" xfId="5" applyAlignment="1">
      <alignment horizontal="center" vertical="center"/>
    </xf>
    <xf numFmtId="2" fontId="7" fillId="7" borderId="19" xfId="5" applyNumberFormat="1" applyFill="1" applyBorder="1" applyAlignment="1">
      <alignment horizontal="center" vertical="center"/>
    </xf>
    <xf numFmtId="2" fontId="7" fillId="7" borderId="34" xfId="5" applyNumberFormat="1" applyFill="1" applyBorder="1" applyAlignment="1">
      <alignment horizontal="center" vertical="center"/>
    </xf>
    <xf numFmtId="2" fontId="7" fillId="7" borderId="35" xfId="5" applyNumberFormat="1" applyFill="1" applyBorder="1" applyAlignment="1">
      <alignment horizontal="center" vertical="center"/>
    </xf>
    <xf numFmtId="2" fontId="7" fillId="7" borderId="15" xfId="5" applyNumberFormat="1" applyFill="1" applyBorder="1" applyAlignment="1">
      <alignment horizontal="center" vertical="center"/>
    </xf>
    <xf numFmtId="2" fontId="7" fillId="7" borderId="3" xfId="5" applyNumberFormat="1" applyFill="1" applyBorder="1" applyAlignment="1">
      <alignment horizontal="center" vertical="center"/>
    </xf>
    <xf numFmtId="2" fontId="7" fillId="7" borderId="13" xfId="5" applyNumberFormat="1" applyFill="1" applyBorder="1" applyAlignment="1">
      <alignment horizontal="center" vertical="center"/>
    </xf>
    <xf numFmtId="2" fontId="7" fillId="7" borderId="16" xfId="5" applyNumberFormat="1" applyFill="1" applyBorder="1" applyAlignment="1">
      <alignment horizontal="center" vertical="center"/>
    </xf>
    <xf numFmtId="2" fontId="7" fillId="7" borderId="17" xfId="5" applyNumberFormat="1" applyFill="1" applyBorder="1" applyAlignment="1">
      <alignment horizontal="center" vertical="center"/>
    </xf>
    <xf numFmtId="2" fontId="7" fillId="7" borderId="31" xfId="5" applyNumberFormat="1" applyFill="1" applyBorder="1" applyAlignment="1">
      <alignment horizontal="center" vertical="center"/>
    </xf>
    <xf numFmtId="43" fontId="2" fillId="10" borderId="13" xfId="0" applyNumberFormat="1" applyFont="1" applyFill="1" applyBorder="1" applyAlignment="1">
      <alignment horizontal="center" vertical="center"/>
    </xf>
    <xf numFmtId="0" fontId="7" fillId="7" borderId="25" xfId="5" applyFill="1" applyBorder="1" applyAlignment="1">
      <alignment horizontal="center" vertical="center"/>
    </xf>
    <xf numFmtId="0" fontId="7" fillId="7" borderId="36" xfId="5" applyFill="1" applyBorder="1" applyAlignment="1">
      <alignment horizontal="center" vertical="center"/>
    </xf>
    <xf numFmtId="0" fontId="7" fillId="10" borderId="37" xfId="5" applyFill="1" applyBorder="1" applyAlignment="1">
      <alignment horizontal="center" vertical="center"/>
    </xf>
    <xf numFmtId="0" fontId="7" fillId="10" borderId="24" xfId="5" applyFill="1" applyBorder="1" applyAlignment="1">
      <alignment horizontal="center" vertical="center"/>
    </xf>
    <xf numFmtId="0" fontId="7" fillId="10" borderId="38" xfId="5" applyFill="1" applyBorder="1" applyAlignment="1">
      <alignment horizontal="center" vertical="center"/>
    </xf>
    <xf numFmtId="0" fontId="3" fillId="7" borderId="12" xfId="5" applyFont="1" applyFill="1" applyBorder="1" applyAlignment="1">
      <alignment horizontal="center" vertical="center" wrapText="1"/>
    </xf>
    <xf numFmtId="0" fontId="3" fillId="7" borderId="43" xfId="5" applyFont="1" applyFill="1" applyBorder="1" applyAlignment="1">
      <alignment horizontal="center" vertical="center" wrapText="1"/>
    </xf>
    <xf numFmtId="0" fontId="7" fillId="7" borderId="19" xfId="5" applyFill="1" applyBorder="1" applyAlignment="1">
      <alignment horizontal="center" vertical="center"/>
    </xf>
    <xf numFmtId="0" fontId="7" fillId="7" borderId="15" xfId="5" applyFill="1" applyBorder="1" applyAlignment="1">
      <alignment horizontal="center" vertical="center"/>
    </xf>
    <xf numFmtId="0" fontId="7" fillId="7" borderId="16" xfId="5" applyFill="1" applyBorder="1" applyAlignment="1">
      <alignment horizontal="center" vertical="center"/>
    </xf>
    <xf numFmtId="170" fontId="2" fillId="7" borderId="15" xfId="0" applyNumberFormat="1" applyFont="1" applyFill="1" applyBorder="1" applyAlignment="1">
      <alignment horizontal="center" vertical="center"/>
    </xf>
    <xf numFmtId="0" fontId="1" fillId="7" borderId="46" xfId="5" applyFont="1" applyFill="1" applyBorder="1" applyAlignment="1">
      <alignment horizontal="center" vertical="center"/>
    </xf>
    <xf numFmtId="0" fontId="1" fillId="7" borderId="25" xfId="5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43" fontId="2" fillId="3" borderId="25" xfId="0" applyNumberFormat="1" applyFont="1" applyFill="1" applyBorder="1" applyAlignment="1">
      <alignment horizontal="left" vertical="center"/>
    </xf>
    <xf numFmtId="43" fontId="2" fillId="3" borderId="26" xfId="0" applyNumberFormat="1" applyFont="1" applyFill="1" applyBorder="1" applyAlignment="1">
      <alignment horizontal="left" vertical="center"/>
    </xf>
    <xf numFmtId="43" fontId="2" fillId="3" borderId="25" xfId="0" applyNumberFormat="1" applyFont="1" applyFill="1" applyBorder="1" applyAlignment="1">
      <alignment horizontal="left" vertical="center" wrapText="1"/>
    </xf>
    <xf numFmtId="43" fontId="2" fillId="3" borderId="26" xfId="0" applyNumberFormat="1" applyFont="1" applyFill="1" applyBorder="1" applyAlignment="1">
      <alignment horizontal="left" vertical="center" wrapText="1"/>
    </xf>
    <xf numFmtId="170" fontId="2" fillId="7" borderId="15" xfId="0" applyNumberFormat="1" applyFont="1" applyFill="1" applyBorder="1" applyAlignment="1">
      <alignment vertical="center"/>
    </xf>
    <xf numFmtId="43" fontId="2" fillId="0" borderId="0" xfId="0" applyNumberFormat="1" applyFont="1" applyAlignment="1">
      <alignment vertical="center"/>
    </xf>
    <xf numFmtId="0" fontId="2" fillId="13" borderId="3" xfId="13" applyFont="1" applyFill="1" applyBorder="1" applyAlignment="1">
      <alignment horizontal="center"/>
    </xf>
    <xf numFmtId="0" fontId="2" fillId="13" borderId="3" xfId="13" applyFont="1" applyFill="1" applyBorder="1" applyAlignment="1">
      <alignment horizontal="center" vertical="center"/>
    </xf>
    <xf numFmtId="0" fontId="2" fillId="13" borderId="3" xfId="13" applyFont="1" applyFill="1" applyBorder="1" applyAlignment="1" applyProtection="1">
      <alignment horizontal="center" vertical="center"/>
      <protection locked="0"/>
    </xf>
    <xf numFmtId="0" fontId="31" fillId="14" borderId="3" xfId="13" applyFont="1" applyFill="1" applyBorder="1" applyAlignment="1" applyProtection="1">
      <alignment vertical="center" wrapText="1"/>
      <protection locked="0"/>
    </xf>
    <xf numFmtId="0" fontId="31" fillId="14" borderId="3" xfId="13" applyFont="1" applyFill="1" applyBorder="1" applyAlignment="1" applyProtection="1">
      <alignment horizontal="center" vertical="center"/>
      <protection locked="0"/>
    </xf>
    <xf numFmtId="1" fontId="31" fillId="14" borderId="3" xfId="13" applyNumberFormat="1" applyFont="1" applyFill="1" applyBorder="1" applyAlignment="1" applyProtection="1">
      <alignment horizontal="center" vertical="center"/>
      <protection locked="0"/>
    </xf>
    <xf numFmtId="4" fontId="31" fillId="14" borderId="3" xfId="4" applyNumberFormat="1" applyFont="1" applyFill="1" applyBorder="1" applyAlignment="1" applyProtection="1">
      <alignment horizontal="center" vertical="center"/>
      <protection locked="0"/>
    </xf>
    <xf numFmtId="4" fontId="31" fillId="14" borderId="3" xfId="13" applyNumberFormat="1" applyFont="1" applyFill="1" applyBorder="1" applyAlignment="1" applyProtection="1">
      <alignment horizontal="center" vertical="center"/>
      <protection locked="0"/>
    </xf>
    <xf numFmtId="0" fontId="2" fillId="15" borderId="3" xfId="13" applyFont="1" applyFill="1" applyBorder="1" applyAlignment="1" applyProtection="1">
      <alignment vertical="center" wrapText="1"/>
      <protection locked="0"/>
    </xf>
    <xf numFmtId="0" fontId="2" fillId="15" borderId="3" xfId="13" applyFont="1" applyFill="1" applyBorder="1" applyAlignment="1" applyProtection="1">
      <alignment horizontal="center" vertical="center"/>
      <protection locked="0"/>
    </xf>
    <xf numFmtId="1" fontId="2" fillId="15" borderId="3" xfId="13" applyNumberFormat="1" applyFont="1" applyFill="1" applyBorder="1" applyAlignment="1" applyProtection="1">
      <alignment horizontal="center" vertical="center"/>
      <protection locked="0"/>
    </xf>
    <xf numFmtId="0" fontId="2" fillId="13" borderId="3" xfId="13" applyFont="1" applyFill="1" applyBorder="1" applyAlignment="1" applyProtection="1">
      <alignment vertical="center" wrapText="1"/>
      <protection locked="0"/>
    </xf>
    <xf numFmtId="1" fontId="2" fillId="13" borderId="3" xfId="13" applyNumberFormat="1" applyFont="1" applyFill="1" applyBorder="1" applyAlignment="1" applyProtection="1">
      <alignment horizontal="center" vertical="center"/>
      <protection locked="0"/>
    </xf>
    <xf numFmtId="4" fontId="2" fillId="13" borderId="3" xfId="4" applyNumberFormat="1" applyFont="1" applyFill="1" applyBorder="1" applyAlignment="1" applyProtection="1">
      <alignment horizontal="center" vertical="center"/>
      <protection locked="0"/>
    </xf>
    <xf numFmtId="4" fontId="2" fillId="13" borderId="3" xfId="13" applyNumberFormat="1" applyFont="1" applyFill="1" applyBorder="1" applyAlignment="1" applyProtection="1">
      <alignment horizontal="center" vertical="center"/>
      <protection locked="0"/>
    </xf>
    <xf numFmtId="4" fontId="2" fillId="13" borderId="3" xfId="4" applyNumberFormat="1" applyFont="1" applyFill="1" applyBorder="1" applyAlignment="1" applyProtection="1">
      <alignment horizontal="center" vertical="center"/>
    </xf>
    <xf numFmtId="4" fontId="2" fillId="13" borderId="3" xfId="13" applyNumberFormat="1" applyFont="1" applyFill="1" applyBorder="1" applyAlignment="1">
      <alignment horizontal="center" vertical="center"/>
    </xf>
    <xf numFmtId="0" fontId="2" fillId="16" borderId="3" xfId="13" applyFont="1" applyFill="1" applyBorder="1" applyAlignment="1" applyProtection="1">
      <alignment vertical="center" wrapText="1"/>
      <protection locked="0"/>
    </xf>
    <xf numFmtId="0" fontId="2" fillId="16" borderId="3" xfId="13" applyFont="1" applyFill="1" applyBorder="1" applyAlignment="1" applyProtection="1">
      <alignment horizontal="center" vertical="center"/>
      <protection locked="0"/>
    </xf>
    <xf numFmtId="3" fontId="2" fillId="16" borderId="3" xfId="4" applyNumberFormat="1" applyFont="1" applyFill="1" applyBorder="1" applyAlignment="1" applyProtection="1">
      <alignment horizontal="center" vertical="center"/>
      <protection locked="0"/>
    </xf>
    <xf numFmtId="4" fontId="2" fillId="16" borderId="3" xfId="4" applyNumberFormat="1" applyFont="1" applyFill="1" applyBorder="1" applyAlignment="1" applyProtection="1">
      <alignment horizontal="center" vertical="center"/>
      <protection locked="0"/>
    </xf>
    <xf numFmtId="166" fontId="31" fillId="14" borderId="3" xfId="13" applyNumberFormat="1" applyFont="1" applyFill="1" applyBorder="1" applyAlignment="1" applyProtection="1">
      <alignment vertical="center" wrapText="1"/>
      <protection locked="0"/>
    </xf>
    <xf numFmtId="4" fontId="2" fillId="15" borderId="3" xfId="4" applyNumberFormat="1" applyFont="1" applyFill="1" applyBorder="1" applyAlignment="1" applyProtection="1">
      <alignment horizontal="center" vertical="center"/>
    </xf>
    <xf numFmtId="4" fontId="2" fillId="15" borderId="3" xfId="13" applyNumberFormat="1" applyFont="1" applyFill="1" applyBorder="1" applyAlignment="1">
      <alignment horizontal="center" vertical="center"/>
    </xf>
    <xf numFmtId="0" fontId="33" fillId="0" borderId="0" xfId="0" applyFont="1"/>
    <xf numFmtId="0" fontId="1" fillId="0" borderId="0" xfId="0" applyFont="1" applyAlignment="1">
      <alignment horizontal="left" vertical="top"/>
    </xf>
    <xf numFmtId="0" fontId="1" fillId="0" borderId="18" xfId="0" applyFont="1" applyBorder="1" applyAlignment="1">
      <alignment horizontal="left" vertical="top"/>
    </xf>
    <xf numFmtId="0" fontId="1" fillId="0" borderId="12" xfId="0" applyFont="1" applyBorder="1" applyAlignment="1">
      <alignment horizontal="left" vertical="top"/>
    </xf>
    <xf numFmtId="0" fontId="1" fillId="0" borderId="0" xfId="0" applyFont="1"/>
    <xf numFmtId="43" fontId="1" fillId="0" borderId="15" xfId="0" applyNumberFormat="1" applyFont="1" applyBorder="1" applyAlignment="1">
      <alignment horizontal="center" vertical="center"/>
    </xf>
    <xf numFmtId="43" fontId="1" fillId="0" borderId="3" xfId="0" applyNumberFormat="1" applyFont="1" applyBorder="1" applyAlignment="1">
      <alignment horizontal="center" vertical="center" wrapText="1"/>
    </xf>
    <xf numFmtId="43" fontId="1" fillId="0" borderId="13" xfId="0" applyNumberFormat="1" applyFont="1" applyBorder="1" applyAlignment="1">
      <alignment horizontal="center" vertical="center"/>
    </xf>
    <xf numFmtId="43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43" fontId="1" fillId="0" borderId="14" xfId="0" applyNumberFormat="1" applyFont="1" applyBorder="1" applyAlignment="1">
      <alignment horizontal="center" vertical="center" wrapText="1"/>
    </xf>
    <xf numFmtId="43" fontId="1" fillId="0" borderId="3" xfId="0" applyNumberFormat="1" applyFont="1" applyBorder="1" applyAlignment="1">
      <alignment horizontal="center" vertical="center"/>
    </xf>
    <xf numFmtId="43" fontId="1" fillId="0" borderId="3" xfId="0" applyNumberFormat="1" applyFont="1" applyBorder="1" applyAlignment="1">
      <alignment horizontal="left" vertical="center"/>
    </xf>
    <xf numFmtId="43" fontId="1" fillId="4" borderId="13" xfId="0" applyNumberFormat="1" applyFont="1" applyFill="1" applyBorder="1" applyAlignment="1">
      <alignment horizontal="center" vertical="center"/>
    </xf>
    <xf numFmtId="10" fontId="1" fillId="10" borderId="3" xfId="18" applyNumberFormat="1" applyFont="1" applyFill="1" applyBorder="1" applyAlignment="1">
      <alignment horizontal="center" vertical="center"/>
    </xf>
    <xf numFmtId="43" fontId="1" fillId="10" borderId="13" xfId="0" applyNumberFormat="1" applyFont="1" applyFill="1" applyBorder="1" applyAlignment="1">
      <alignment horizontal="center" vertical="center"/>
    </xf>
    <xf numFmtId="43" fontId="1" fillId="0" borderId="16" xfId="0" applyNumberFormat="1" applyFont="1" applyBorder="1" applyAlignment="1">
      <alignment horizontal="center" vertical="center"/>
    </xf>
    <xf numFmtId="43" fontId="1" fillId="0" borderId="17" xfId="0" applyNumberFormat="1" applyFont="1" applyBorder="1" applyAlignment="1">
      <alignment horizontal="center" vertical="center"/>
    </xf>
    <xf numFmtId="43" fontId="1" fillId="0" borderId="15" xfId="0" applyNumberFormat="1" applyFont="1" applyBorder="1" applyAlignment="1">
      <alignment vertical="center"/>
    </xf>
    <xf numFmtId="43" fontId="1" fillId="0" borderId="16" xfId="0" applyNumberFormat="1" applyFont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45" fillId="0" borderId="32" xfId="0" applyFont="1" applyBorder="1" applyAlignment="1">
      <alignment horizontal="center" vertical="center"/>
    </xf>
    <xf numFmtId="167" fontId="0" fillId="0" borderId="64" xfId="4" applyFont="1" applyBorder="1" applyAlignment="1">
      <alignment horizontal="center" vertical="center"/>
    </xf>
    <xf numFmtId="167" fontId="0" fillId="0" borderId="3" xfId="4" applyFont="1" applyBorder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65" xfId="4" applyNumberFormat="1" applyFont="1" applyBorder="1" applyAlignment="1">
      <alignment horizontal="center" vertical="center"/>
    </xf>
    <xf numFmtId="167" fontId="0" fillId="0" borderId="51" xfId="4" applyFont="1" applyBorder="1"/>
    <xf numFmtId="0" fontId="0" fillId="0" borderId="66" xfId="0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0" fillId="0" borderId="13" xfId="0" applyBorder="1"/>
    <xf numFmtId="0" fontId="1" fillId="0" borderId="68" xfId="0" applyFont="1" applyBorder="1" applyAlignment="1">
      <alignment horizontal="center" vertical="center"/>
    </xf>
    <xf numFmtId="0" fontId="0" fillId="0" borderId="67" xfId="0" applyBorder="1"/>
    <xf numFmtId="0" fontId="0" fillId="0" borderId="18" xfId="0" applyBorder="1"/>
    <xf numFmtId="0" fontId="0" fillId="0" borderId="3" xfId="0" applyBorder="1" applyAlignment="1">
      <alignment horizontal="center"/>
    </xf>
    <xf numFmtId="0" fontId="0" fillId="0" borderId="52" xfId="0" applyBorder="1"/>
    <xf numFmtId="0" fontId="0" fillId="0" borderId="68" xfId="0" applyBorder="1" applyAlignment="1">
      <alignment horizontal="center"/>
    </xf>
    <xf numFmtId="9" fontId="0" fillId="0" borderId="68" xfId="0" applyNumberFormat="1" applyBorder="1" applyAlignment="1">
      <alignment horizontal="center"/>
    </xf>
    <xf numFmtId="0" fontId="0" fillId="0" borderId="68" xfId="0" applyBorder="1"/>
    <xf numFmtId="4" fontId="0" fillId="0" borderId="68" xfId="0" applyNumberFormat="1" applyBorder="1"/>
    <xf numFmtId="0" fontId="47" fillId="0" borderId="68" xfId="0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43" fontId="2" fillId="3" borderId="3" xfId="0" applyNumberFormat="1" applyFont="1" applyFill="1" applyBorder="1" applyAlignment="1">
      <alignment horizontal="left" vertical="center"/>
    </xf>
    <xf numFmtId="43" fontId="2" fillId="0" borderId="0" xfId="0" applyNumberFormat="1" applyFont="1" applyAlignment="1">
      <alignment horizontal="left" vertical="center"/>
    </xf>
    <xf numFmtId="43" fontId="1" fillId="0" borderId="17" xfId="0" applyNumberFormat="1" applyFont="1" applyBorder="1" applyAlignment="1">
      <alignment horizontal="left" vertical="center"/>
    </xf>
    <xf numFmtId="10" fontId="5" fillId="4" borderId="71" xfId="18" applyNumberFormat="1" applyFont="1" applyFill="1" applyBorder="1" applyAlignment="1">
      <alignment horizontal="center" vertical="center"/>
    </xf>
    <xf numFmtId="10" fontId="5" fillId="3" borderId="71" xfId="18" applyNumberFormat="1" applyFont="1" applyFill="1" applyBorder="1" applyAlignment="1">
      <alignment horizontal="center" vertical="center"/>
    </xf>
    <xf numFmtId="172" fontId="2" fillId="13" borderId="3" xfId="13" applyNumberFormat="1" applyFont="1" applyFill="1" applyBorder="1" applyAlignment="1" applyProtection="1">
      <alignment horizontal="center" vertical="center"/>
      <protection locked="0"/>
    </xf>
    <xf numFmtId="0" fontId="2" fillId="18" borderId="64" xfId="0" applyFont="1" applyFill="1" applyBorder="1" applyAlignment="1">
      <alignment vertical="center" wrapText="1"/>
    </xf>
    <xf numFmtId="0" fontId="2" fillId="0" borderId="75" xfId="0" applyFont="1" applyBorder="1" applyAlignment="1">
      <alignment vertical="center"/>
    </xf>
    <xf numFmtId="0" fontId="2" fillId="0" borderId="76" xfId="0" applyFont="1" applyBorder="1" applyAlignment="1">
      <alignment horizontal="center" vertical="center"/>
    </xf>
    <xf numFmtId="0" fontId="2" fillId="0" borderId="77" xfId="0" applyFont="1" applyBorder="1" applyAlignment="1">
      <alignment horizontal="center" vertical="center"/>
    </xf>
    <xf numFmtId="0" fontId="2" fillId="0" borderId="78" xfId="0" applyFont="1" applyBorder="1" applyAlignment="1">
      <alignment vertical="center"/>
    </xf>
    <xf numFmtId="0" fontId="2" fillId="0" borderId="79" xfId="0" applyFont="1" applyBorder="1" applyAlignment="1">
      <alignment horizontal="center" vertical="center"/>
    </xf>
    <xf numFmtId="0" fontId="4" fillId="0" borderId="82" xfId="0" applyFont="1" applyBorder="1" applyAlignment="1">
      <alignment vertical="center"/>
    </xf>
    <xf numFmtId="0" fontId="4" fillId="0" borderId="83" xfId="0" applyFont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2" fillId="0" borderId="76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0" fillId="0" borderId="85" xfId="0" applyBorder="1"/>
    <xf numFmtId="0" fontId="0" fillId="0" borderId="86" xfId="0" applyBorder="1"/>
    <xf numFmtId="0" fontId="2" fillId="13" borderId="68" xfId="13" applyFont="1" applyFill="1" applyBorder="1" applyAlignment="1">
      <alignment horizontal="center" vertical="center"/>
    </xf>
    <xf numFmtId="0" fontId="2" fillId="13" borderId="68" xfId="13" applyFont="1" applyFill="1" applyBorder="1" applyAlignment="1" applyProtection="1">
      <alignment horizontal="center" vertical="center"/>
      <protection locked="0"/>
    </xf>
    <xf numFmtId="166" fontId="31" fillId="14" borderId="68" xfId="13" applyNumberFormat="1" applyFont="1" applyFill="1" applyBorder="1" applyAlignment="1" applyProtection="1">
      <alignment vertical="center" wrapText="1"/>
      <protection locked="0"/>
    </xf>
    <xf numFmtId="0" fontId="31" fillId="14" borderId="68" xfId="13" applyFont="1" applyFill="1" applyBorder="1" applyAlignment="1" applyProtection="1">
      <alignment horizontal="center" vertical="center"/>
      <protection locked="0"/>
    </xf>
    <xf numFmtId="1" fontId="31" fillId="14" borderId="68" xfId="13" applyNumberFormat="1" applyFont="1" applyFill="1" applyBorder="1" applyAlignment="1" applyProtection="1">
      <alignment horizontal="center" vertical="center"/>
      <protection locked="0"/>
    </xf>
    <xf numFmtId="4" fontId="31" fillId="14" borderId="68" xfId="4" applyNumberFormat="1" applyFont="1" applyFill="1" applyBorder="1" applyAlignment="1" applyProtection="1">
      <alignment horizontal="center" vertical="center"/>
      <protection locked="0"/>
    </xf>
    <xf numFmtId="4" fontId="31" fillId="14" borderId="68" xfId="13" applyNumberFormat="1" applyFont="1" applyFill="1" applyBorder="1" applyAlignment="1" applyProtection="1">
      <alignment horizontal="center" vertical="center"/>
      <protection locked="0"/>
    </xf>
    <xf numFmtId="0" fontId="2" fillId="15" borderId="68" xfId="13" applyFont="1" applyFill="1" applyBorder="1" applyAlignment="1" applyProtection="1">
      <alignment vertical="center" wrapText="1"/>
      <protection locked="0"/>
    </xf>
    <xf numFmtId="0" fontId="2" fillId="15" borderId="68" xfId="13" applyFont="1" applyFill="1" applyBorder="1" applyAlignment="1" applyProtection="1">
      <alignment horizontal="center" vertical="center"/>
      <protection locked="0"/>
    </xf>
    <xf numFmtId="1" fontId="2" fillId="15" borderId="68" xfId="13" applyNumberFormat="1" applyFont="1" applyFill="1" applyBorder="1" applyAlignment="1" applyProtection="1">
      <alignment horizontal="center" vertical="center"/>
      <protection locked="0"/>
    </xf>
    <xf numFmtId="4" fontId="2" fillId="15" borderId="68" xfId="13" applyNumberFormat="1" applyFont="1" applyFill="1" applyBorder="1" applyAlignment="1">
      <alignment horizontal="center" vertical="center"/>
    </xf>
    <xf numFmtId="4" fontId="2" fillId="15" borderId="68" xfId="4" applyNumberFormat="1" applyFont="1" applyFill="1" applyBorder="1" applyAlignment="1" applyProtection="1">
      <alignment horizontal="center" vertical="center"/>
    </xf>
    <xf numFmtId="0" fontId="2" fillId="13" borderId="68" xfId="13" applyFont="1" applyFill="1" applyBorder="1" applyAlignment="1" applyProtection="1">
      <alignment vertical="center" wrapText="1"/>
      <protection locked="0"/>
    </xf>
    <xf numFmtId="1" fontId="2" fillId="13" borderId="68" xfId="13" applyNumberFormat="1" applyFont="1" applyFill="1" applyBorder="1" applyAlignment="1" applyProtection="1">
      <alignment horizontal="center" vertical="center"/>
      <protection locked="0"/>
    </xf>
    <xf numFmtId="0" fontId="31" fillId="14" borderId="68" xfId="13" applyFont="1" applyFill="1" applyBorder="1" applyAlignment="1" applyProtection="1">
      <alignment vertical="center" wrapText="1"/>
      <protection locked="0"/>
    </xf>
    <xf numFmtId="4" fontId="2" fillId="13" borderId="68" xfId="4" applyNumberFormat="1" applyFont="1" applyFill="1" applyBorder="1" applyAlignment="1" applyProtection="1">
      <alignment horizontal="center" vertical="center"/>
    </xf>
    <xf numFmtId="4" fontId="2" fillId="13" borderId="68" xfId="13" applyNumberFormat="1" applyFont="1" applyFill="1" applyBorder="1" applyAlignment="1">
      <alignment horizontal="center" vertical="center"/>
    </xf>
    <xf numFmtId="0" fontId="2" fillId="18" borderId="68" xfId="0" applyFont="1" applyFill="1" applyBorder="1" applyAlignment="1">
      <alignment vertical="center" wrapText="1"/>
    </xf>
    <xf numFmtId="0" fontId="0" fillId="0" borderId="75" xfId="0" applyBorder="1"/>
    <xf numFmtId="0" fontId="0" fillId="0" borderId="76" xfId="0" applyBorder="1"/>
    <xf numFmtId="1" fontId="31" fillId="14" borderId="89" xfId="13" applyNumberFormat="1" applyFont="1" applyFill="1" applyBorder="1" applyAlignment="1" applyProtection="1">
      <alignment horizontal="center" vertical="center" wrapText="1"/>
      <protection locked="0"/>
    </xf>
    <xf numFmtId="1" fontId="2" fillId="15" borderId="89" xfId="13" applyNumberFormat="1" applyFont="1" applyFill="1" applyBorder="1" applyAlignment="1" applyProtection="1">
      <alignment horizontal="center" vertical="center" wrapText="1"/>
      <protection locked="0"/>
    </xf>
    <xf numFmtId="1" fontId="2" fillId="13" borderId="89" xfId="13" applyNumberFormat="1" applyFont="1" applyFill="1" applyBorder="1" applyAlignment="1" applyProtection="1">
      <alignment horizontal="center" vertical="center" wrapText="1"/>
      <protection locked="0"/>
    </xf>
    <xf numFmtId="0" fontId="0" fillId="0" borderId="91" xfId="0" applyBorder="1"/>
    <xf numFmtId="0" fontId="2" fillId="13" borderId="93" xfId="13" applyFont="1" applyFill="1" applyBorder="1" applyAlignment="1" applyProtection="1">
      <alignment horizontal="center" vertical="center"/>
      <protection locked="0"/>
    </xf>
    <xf numFmtId="1" fontId="31" fillId="14" borderId="92" xfId="13" applyNumberFormat="1" applyFont="1" applyFill="1" applyBorder="1" applyAlignment="1" applyProtection="1">
      <alignment horizontal="center" vertical="center" wrapText="1"/>
      <protection locked="0"/>
    </xf>
    <xf numFmtId="1" fontId="2" fillId="15" borderId="92" xfId="13" applyNumberFormat="1" applyFont="1" applyFill="1" applyBorder="1" applyAlignment="1" applyProtection="1">
      <alignment horizontal="center" vertical="center" wrapText="1"/>
      <protection locked="0"/>
    </xf>
    <xf numFmtId="4" fontId="2" fillId="15" borderId="93" xfId="13" applyNumberFormat="1" applyFont="1" applyFill="1" applyBorder="1" applyAlignment="1" applyProtection="1">
      <alignment horizontal="center" vertical="center"/>
      <protection locked="0"/>
    </xf>
    <xf numFmtId="1" fontId="2" fillId="13" borderId="92" xfId="13" applyNumberFormat="1" applyFont="1" applyFill="1" applyBorder="1" applyAlignment="1" applyProtection="1">
      <alignment horizontal="center" vertical="center" wrapText="1"/>
      <protection locked="0"/>
    </xf>
    <xf numFmtId="1" fontId="2" fillId="16" borderId="92" xfId="13" applyNumberFormat="1" applyFont="1" applyFill="1" applyBorder="1" applyAlignment="1" applyProtection="1">
      <alignment horizontal="center" vertical="center" wrapText="1"/>
      <protection locked="0"/>
    </xf>
    <xf numFmtId="1" fontId="2" fillId="13" borderId="94" xfId="13" applyNumberFormat="1" applyFont="1" applyFill="1" applyBorder="1" applyAlignment="1" applyProtection="1">
      <alignment horizontal="center" vertical="center" wrapText="1"/>
      <protection locked="0"/>
    </xf>
    <xf numFmtId="0" fontId="2" fillId="13" borderId="95" xfId="13" applyFont="1" applyFill="1" applyBorder="1" applyAlignment="1" applyProtection="1">
      <alignment vertical="center" wrapText="1"/>
      <protection locked="0"/>
    </xf>
    <xf numFmtId="0" fontId="2" fillId="13" borderId="95" xfId="13" applyFont="1" applyFill="1" applyBorder="1" applyAlignment="1" applyProtection="1">
      <alignment horizontal="center" vertical="center"/>
      <protection locked="0"/>
    </xf>
    <xf numFmtId="0" fontId="0" fillId="0" borderId="83" xfId="0" applyBorder="1"/>
    <xf numFmtId="4" fontId="2" fillId="13" borderId="95" xfId="4" applyNumberFormat="1" applyFont="1" applyFill="1" applyBorder="1" applyAlignment="1" applyProtection="1">
      <alignment horizontal="center" vertical="center"/>
      <protection locked="0"/>
    </xf>
    <xf numFmtId="4" fontId="2" fillId="13" borderId="95" xfId="13" applyNumberFormat="1" applyFont="1" applyFill="1" applyBorder="1" applyAlignment="1" applyProtection="1">
      <alignment horizontal="center" vertical="center"/>
      <protection locked="0"/>
    </xf>
    <xf numFmtId="168" fontId="0" fillId="0" borderId="0" xfId="0" applyNumberFormat="1"/>
    <xf numFmtId="173" fontId="0" fillId="0" borderId="0" xfId="0" applyNumberFormat="1"/>
    <xf numFmtId="0" fontId="2" fillId="0" borderId="75" xfId="0" applyFont="1" applyBorder="1" applyAlignment="1">
      <alignment horizontal="left" vertical="center"/>
    </xf>
    <xf numFmtId="0" fontId="2" fillId="0" borderId="77" xfId="0" applyFont="1" applyBorder="1"/>
    <xf numFmtId="0" fontId="2" fillId="0" borderId="78" xfId="0" applyFont="1" applyBorder="1" applyAlignment="1">
      <alignment horizontal="left" vertical="center"/>
    </xf>
    <xf numFmtId="0" fontId="2" fillId="0" borderId="79" xfId="0" applyFont="1" applyBorder="1"/>
    <xf numFmtId="10" fontId="4" fillId="8" borderId="98" xfId="18" applyNumberFormat="1" applyFont="1" applyFill="1" applyBorder="1" applyAlignment="1">
      <alignment horizontal="center" vertical="center"/>
    </xf>
    <xf numFmtId="0" fontId="2" fillId="8" borderId="79" xfId="0" applyFont="1" applyFill="1" applyBorder="1"/>
    <xf numFmtId="0" fontId="8" fillId="6" borderId="98" xfId="0" applyFont="1" applyFill="1" applyBorder="1" applyAlignment="1">
      <alignment vertical="center"/>
    </xf>
    <xf numFmtId="0" fontId="1" fillId="0" borderId="79" xfId="0" applyFont="1" applyBorder="1"/>
    <xf numFmtId="0" fontId="25" fillId="6" borderId="98" xfId="0" applyFont="1" applyFill="1" applyBorder="1" applyAlignment="1">
      <alignment horizontal="left" vertical="center"/>
    </xf>
    <xf numFmtId="0" fontId="13" fillId="0" borderId="79" xfId="0" applyFont="1" applyBorder="1"/>
    <xf numFmtId="0" fontId="2" fillId="0" borderId="98" xfId="0" applyFont="1" applyBorder="1" applyAlignment="1">
      <alignment horizontal="right" vertical="center"/>
    </xf>
    <xf numFmtId="10" fontId="4" fillId="8" borderId="96" xfId="18" applyNumberFormat="1" applyFont="1" applyFill="1" applyBorder="1" applyAlignment="1">
      <alignment horizontal="center" vertical="center"/>
    </xf>
    <xf numFmtId="0" fontId="4" fillId="7" borderId="98" xfId="0" applyFont="1" applyFill="1" applyBorder="1" applyAlignment="1">
      <alignment horizontal="left" vertical="center"/>
    </xf>
    <xf numFmtId="10" fontId="4" fillId="8" borderId="97" xfId="18" applyNumberFormat="1" applyFont="1" applyFill="1" applyBorder="1" applyAlignment="1">
      <alignment horizontal="center" vertical="center"/>
    </xf>
    <xf numFmtId="10" fontId="4" fillId="8" borderId="99" xfId="18" applyNumberFormat="1" applyFont="1" applyFill="1" applyBorder="1" applyAlignment="1">
      <alignment horizontal="center" vertical="center"/>
    </xf>
    <xf numFmtId="10" fontId="4" fillId="8" borderId="100" xfId="18" applyNumberFormat="1" applyFont="1" applyFill="1" applyBorder="1" applyAlignment="1">
      <alignment horizontal="center" vertical="center"/>
    </xf>
    <xf numFmtId="10" fontId="4" fillId="8" borderId="101" xfId="18" applyNumberFormat="1" applyFont="1" applyFill="1" applyBorder="1" applyAlignment="1">
      <alignment horizontal="center" vertical="center"/>
    </xf>
    <xf numFmtId="0" fontId="2" fillId="8" borderId="84" xfId="0" applyFont="1" applyFill="1" applyBorder="1"/>
    <xf numFmtId="4" fontId="4" fillId="7" borderId="27" xfId="0" applyNumberFormat="1" applyFont="1" applyFill="1" applyBorder="1" applyAlignment="1">
      <alignment horizontal="center" vertical="center"/>
    </xf>
    <xf numFmtId="4" fontId="4" fillId="7" borderId="27" xfId="0" applyNumberFormat="1" applyFont="1" applyFill="1" applyBorder="1" applyAlignment="1">
      <alignment horizontal="center" vertical="center" wrapText="1"/>
    </xf>
    <xf numFmtId="43" fontId="2" fillId="0" borderId="68" xfId="0" applyNumberFormat="1" applyFont="1" applyBorder="1" applyAlignment="1">
      <alignment horizontal="center" vertical="center"/>
    </xf>
    <xf numFmtId="0" fontId="2" fillId="0" borderId="68" xfId="0" applyFont="1" applyBorder="1" applyAlignment="1">
      <alignment horizontal="center" vertical="center"/>
    </xf>
    <xf numFmtId="166" fontId="2" fillId="0" borderId="68" xfId="0" applyNumberFormat="1" applyFont="1" applyBorder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0" borderId="76" xfId="0" applyFont="1" applyBorder="1" applyAlignment="1">
      <alignment vertical="center"/>
    </xf>
    <xf numFmtId="0" fontId="2" fillId="0" borderId="77" xfId="0" applyFont="1" applyBorder="1" applyAlignment="1">
      <alignment vertical="center"/>
    </xf>
    <xf numFmtId="0" fontId="2" fillId="0" borderId="79" xfId="0" applyFont="1" applyBorder="1" applyAlignment="1">
      <alignment vertical="center"/>
    </xf>
    <xf numFmtId="0" fontId="4" fillId="0" borderId="78" xfId="0" applyFont="1" applyBorder="1" applyAlignment="1">
      <alignment horizontal="center" vertical="center"/>
    </xf>
    <xf numFmtId="0" fontId="4" fillId="0" borderId="102" xfId="0" applyFont="1" applyBorder="1" applyAlignment="1">
      <alignment horizontal="left" vertical="center"/>
    </xf>
    <xf numFmtId="4" fontId="4" fillId="7" borderId="103" xfId="0" applyNumberFormat="1" applyFont="1" applyFill="1" applyBorder="1" applyAlignment="1">
      <alignment horizontal="center" vertical="center"/>
    </xf>
    <xf numFmtId="0" fontId="4" fillId="0" borderId="104" xfId="0" applyFont="1" applyBorder="1" applyAlignment="1">
      <alignment vertical="center"/>
    </xf>
    <xf numFmtId="4" fontId="4" fillId="7" borderId="105" xfId="0" applyNumberFormat="1" applyFont="1" applyFill="1" applyBorder="1" applyAlignment="1">
      <alignment horizontal="center" vertical="center"/>
    </xf>
    <xf numFmtId="0" fontId="2" fillId="0" borderId="104" xfId="0" applyFont="1" applyBorder="1" applyAlignment="1">
      <alignment vertical="center" wrapText="1"/>
    </xf>
    <xf numFmtId="4" fontId="2" fillId="7" borderId="105" xfId="0" applyNumberFormat="1" applyFont="1" applyFill="1" applyBorder="1" applyAlignment="1">
      <alignment horizontal="center" vertical="center"/>
    </xf>
    <xf numFmtId="4" fontId="4" fillId="10" borderId="105" xfId="0" applyNumberFormat="1" applyFont="1" applyFill="1" applyBorder="1" applyAlignment="1">
      <alignment horizontal="center" vertical="center"/>
    </xf>
    <xf numFmtId="4" fontId="4" fillId="10" borderId="106" xfId="0" applyNumberFormat="1" applyFont="1" applyFill="1" applyBorder="1" applyAlignment="1">
      <alignment horizontal="center" vertical="center"/>
    </xf>
    <xf numFmtId="0" fontId="2" fillId="0" borderId="104" xfId="0" applyFont="1" applyBorder="1" applyAlignment="1">
      <alignment vertical="center"/>
    </xf>
    <xf numFmtId="4" fontId="2" fillId="7" borderId="107" xfId="0" applyNumberFormat="1" applyFont="1" applyFill="1" applyBorder="1" applyAlignment="1">
      <alignment horizontal="center" vertical="center"/>
    </xf>
    <xf numFmtId="0" fontId="31" fillId="19" borderId="104" xfId="0" applyFont="1" applyFill="1" applyBorder="1" applyAlignment="1">
      <alignment vertical="center"/>
    </xf>
    <xf numFmtId="4" fontId="2" fillId="7" borderId="105" xfId="0" applyNumberFormat="1" applyFont="1" applyFill="1" applyBorder="1" applyAlignment="1">
      <alignment horizontal="center" vertical="center" wrapText="1"/>
    </xf>
    <xf numFmtId="0" fontId="4" fillId="0" borderId="79" xfId="0" applyFont="1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167" fontId="0" fillId="0" borderId="0" xfId="4" applyFont="1"/>
    <xf numFmtId="165" fontId="0" fillId="0" borderId="0" xfId="0" applyNumberFormat="1"/>
    <xf numFmtId="4" fontId="48" fillId="20" borderId="68" xfId="0" applyNumberFormat="1" applyFont="1" applyFill="1" applyBorder="1" applyAlignment="1">
      <alignment horizontal="center" vertical="center"/>
    </xf>
    <xf numFmtId="167" fontId="0" fillId="0" borderId="22" xfId="4" applyFont="1" applyBorder="1"/>
    <xf numFmtId="0" fontId="0" fillId="0" borderId="32" xfId="0" applyBorder="1"/>
    <xf numFmtId="167" fontId="0" fillId="0" borderId="33" xfId="4" applyFont="1" applyBorder="1"/>
    <xf numFmtId="167" fontId="0" fillId="0" borderId="23" xfId="4" applyFont="1" applyBorder="1"/>
    <xf numFmtId="167" fontId="0" fillId="0" borderId="74" xfId="4" applyFont="1" applyBorder="1"/>
    <xf numFmtId="0" fontId="47" fillId="0" borderId="89" xfId="0" applyFont="1" applyBorder="1" applyAlignment="1">
      <alignment horizontal="center"/>
    </xf>
    <xf numFmtId="0" fontId="47" fillId="0" borderId="79" xfId="0" applyFont="1" applyBorder="1" applyAlignment="1">
      <alignment horizontal="center"/>
    </xf>
    <xf numFmtId="0" fontId="0" fillId="0" borderId="79" xfId="0" applyBorder="1"/>
    <xf numFmtId="0" fontId="0" fillId="0" borderId="90" xfId="0" applyBorder="1" applyAlignment="1">
      <alignment horizontal="center"/>
    </xf>
    <xf numFmtId="0" fontId="0" fillId="0" borderId="84" xfId="0" applyBorder="1"/>
    <xf numFmtId="4" fontId="48" fillId="20" borderId="72" xfId="0" applyNumberFormat="1" applyFont="1" applyFill="1" applyBorder="1" applyAlignment="1">
      <alignment horizontal="center" vertical="center"/>
    </xf>
    <xf numFmtId="0" fontId="47" fillId="0" borderId="108" xfId="0" applyFont="1" applyBorder="1" applyAlignment="1">
      <alignment horizontal="center"/>
    </xf>
    <xf numFmtId="0" fontId="47" fillId="0" borderId="72" xfId="0" applyFont="1" applyBorder="1" applyAlignment="1">
      <alignment horizontal="center"/>
    </xf>
    <xf numFmtId="4" fontId="48" fillId="20" borderId="109" xfId="0" applyNumberFormat="1" applyFont="1" applyFill="1" applyBorder="1" applyAlignment="1">
      <alignment horizontal="center" vertical="center"/>
    </xf>
    <xf numFmtId="0" fontId="47" fillId="0" borderId="110" xfId="0" applyFont="1" applyBorder="1" applyAlignment="1">
      <alignment horizontal="center"/>
    </xf>
    <xf numFmtId="0" fontId="47" fillId="0" borderId="111" xfId="0" applyFont="1" applyBorder="1" applyAlignment="1">
      <alignment horizontal="center"/>
    </xf>
    <xf numFmtId="0" fontId="48" fillId="20" borderId="111" xfId="0" applyFont="1" applyFill="1" applyBorder="1" applyAlignment="1">
      <alignment horizontal="center"/>
    </xf>
    <xf numFmtId="0" fontId="47" fillId="0" borderId="112" xfId="0" applyFont="1" applyBorder="1" applyAlignment="1">
      <alignment horizontal="center"/>
    </xf>
    <xf numFmtId="0" fontId="1" fillId="0" borderId="72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167" fontId="0" fillId="0" borderId="72" xfId="4" applyFont="1" applyBorder="1" applyAlignment="1">
      <alignment horizontal="center" vertical="center"/>
    </xf>
    <xf numFmtId="167" fontId="0" fillId="19" borderId="47" xfId="4" applyFont="1" applyFill="1" applyBorder="1"/>
    <xf numFmtId="167" fontId="0" fillId="19" borderId="74" xfId="4" applyFont="1" applyFill="1" applyBorder="1"/>
    <xf numFmtId="165" fontId="0" fillId="0" borderId="68" xfId="0" applyNumberFormat="1" applyBorder="1" applyAlignment="1">
      <alignment horizontal="right"/>
    </xf>
    <xf numFmtId="0" fontId="0" fillId="0" borderId="68" xfId="0" applyBorder="1" applyAlignment="1">
      <alignment horizontal="right"/>
    </xf>
    <xf numFmtId="173" fontId="0" fillId="0" borderId="68" xfId="0" applyNumberFormat="1" applyBorder="1"/>
    <xf numFmtId="0" fontId="0" fillId="0" borderId="71" xfId="0" applyBorder="1" applyAlignment="1">
      <alignment horizontal="right"/>
    </xf>
    <xf numFmtId="0" fontId="0" fillId="19" borderId="68" xfId="0" applyFill="1" applyBorder="1" applyAlignment="1">
      <alignment horizontal="right"/>
    </xf>
    <xf numFmtId="174" fontId="0" fillId="0" borderId="0" xfId="0" applyNumberFormat="1"/>
    <xf numFmtId="0" fontId="0" fillId="19" borderId="68" xfId="0" applyFill="1" applyBorder="1" applyAlignment="1">
      <alignment horizontal="center" vertical="center"/>
    </xf>
    <xf numFmtId="167" fontId="0" fillId="21" borderId="22" xfId="4" applyFont="1" applyFill="1" applyBorder="1"/>
    <xf numFmtId="166" fontId="1" fillId="0" borderId="72" xfId="0" applyNumberFormat="1" applyFont="1" applyBorder="1" applyAlignment="1">
      <alignment horizontal="left" vertical="center"/>
    </xf>
    <xf numFmtId="166" fontId="0" fillId="0" borderId="68" xfId="0" applyNumberFormat="1" applyBorder="1" applyAlignment="1">
      <alignment vertical="center"/>
    </xf>
    <xf numFmtId="0" fontId="0" fillId="0" borderId="68" xfId="0" applyBorder="1" applyAlignment="1">
      <alignment vertical="center"/>
    </xf>
    <xf numFmtId="165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73" fontId="0" fillId="0" borderId="68" xfId="0" applyNumberFormat="1" applyBorder="1" applyAlignment="1">
      <alignment horizontal="center" vertical="center"/>
    </xf>
    <xf numFmtId="168" fontId="4" fillId="3" borderId="1" xfId="18" applyNumberFormat="1" applyFont="1" applyFill="1" applyBorder="1" applyAlignment="1">
      <alignment horizontal="center" vertical="center"/>
    </xf>
    <xf numFmtId="0" fontId="2" fillId="0" borderId="0" xfId="22" applyNumberFormat="1" applyFont="1" applyAlignment="1">
      <alignment vertical="center"/>
    </xf>
    <xf numFmtId="0" fontId="0" fillId="0" borderId="47" xfId="0" applyBorder="1"/>
    <xf numFmtId="165" fontId="0" fillId="0" borderId="114" xfId="0" applyNumberFormat="1" applyBorder="1"/>
    <xf numFmtId="0" fontId="0" fillId="0" borderId="12" xfId="0" applyBorder="1"/>
    <xf numFmtId="165" fontId="0" fillId="0" borderId="115" xfId="0" applyNumberFormat="1" applyBorder="1"/>
    <xf numFmtId="165" fontId="0" fillId="0" borderId="116" xfId="0" applyNumberFormat="1" applyBorder="1"/>
    <xf numFmtId="173" fontId="0" fillId="19" borderId="115" xfId="0" applyNumberFormat="1" applyFill="1" applyBorder="1"/>
    <xf numFmtId="0" fontId="1" fillId="19" borderId="117" xfId="0" applyFont="1" applyFill="1" applyBorder="1"/>
    <xf numFmtId="0" fontId="1" fillId="19" borderId="118" xfId="0" applyFont="1" applyFill="1" applyBorder="1"/>
    <xf numFmtId="0" fontId="0" fillId="19" borderId="119" xfId="0" applyFill="1" applyBorder="1" applyAlignment="1">
      <alignment horizontal="center" vertical="center"/>
    </xf>
    <xf numFmtId="173" fontId="0" fillId="19" borderId="120" xfId="0" applyNumberFormat="1" applyFill="1" applyBorder="1"/>
    <xf numFmtId="0" fontId="50" fillId="20" borderId="75" xfId="0" applyFont="1" applyFill="1" applyBorder="1" applyAlignment="1">
      <alignment vertical="center"/>
    </xf>
    <xf numFmtId="0" fontId="50" fillId="20" borderId="76" xfId="0" applyFont="1" applyFill="1" applyBorder="1" applyAlignment="1">
      <alignment vertical="center"/>
    </xf>
    <xf numFmtId="0" fontId="50" fillId="20" borderId="77" xfId="0" applyFont="1" applyFill="1" applyBorder="1" applyAlignment="1">
      <alignment vertical="center"/>
    </xf>
    <xf numFmtId="1" fontId="2" fillId="13" borderId="3" xfId="13" quotePrefix="1" applyNumberFormat="1" applyFont="1" applyFill="1" applyBorder="1" applyAlignment="1" applyProtection="1">
      <alignment horizontal="center" vertical="center"/>
      <protection locked="0"/>
    </xf>
    <xf numFmtId="0" fontId="47" fillId="0" borderId="121" xfId="0" applyFont="1" applyBorder="1" applyAlignment="1">
      <alignment horizontal="center"/>
    </xf>
    <xf numFmtId="0" fontId="47" fillId="0" borderId="73" xfId="0" applyFont="1" applyBorder="1" applyAlignment="1">
      <alignment horizontal="center"/>
    </xf>
    <xf numFmtId="0" fontId="0" fillId="0" borderId="73" xfId="0" applyBorder="1"/>
    <xf numFmtId="0" fontId="0" fillId="0" borderId="122" xfId="0" applyBorder="1"/>
    <xf numFmtId="166" fontId="0" fillId="0" borderId="3" xfId="0" applyNumberFormat="1" applyBorder="1" applyAlignment="1">
      <alignment horizontal="left"/>
    </xf>
    <xf numFmtId="166" fontId="0" fillId="0" borderId="3" xfId="0" applyNumberFormat="1" applyBorder="1"/>
    <xf numFmtId="0" fontId="47" fillId="0" borderId="15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167" fontId="0" fillId="0" borderId="17" xfId="4" applyFont="1" applyBorder="1" applyAlignment="1">
      <alignment horizontal="center" vertical="center"/>
    </xf>
    <xf numFmtId="0" fontId="47" fillId="0" borderId="66" xfId="0" applyFont="1" applyBorder="1" applyAlignment="1">
      <alignment horizontal="center"/>
    </xf>
    <xf numFmtId="166" fontId="0" fillId="0" borderId="64" xfId="0" applyNumberFormat="1" applyBorder="1" applyAlignment="1">
      <alignment horizontal="left"/>
    </xf>
    <xf numFmtId="0" fontId="0" fillId="0" borderId="64" xfId="0" applyBorder="1" applyAlignment="1">
      <alignment horizontal="center" vertical="center"/>
    </xf>
    <xf numFmtId="0" fontId="47" fillId="0" borderId="58" xfId="0" applyFont="1" applyBorder="1" applyAlignment="1">
      <alignment horizontal="center"/>
    </xf>
    <xf numFmtId="0" fontId="47" fillId="0" borderId="59" xfId="0" applyFont="1" applyBorder="1" applyAlignment="1">
      <alignment horizontal="center"/>
    </xf>
    <xf numFmtId="43" fontId="3" fillId="10" borderId="3" xfId="0" applyNumberFormat="1" applyFont="1" applyFill="1" applyBorder="1" applyAlignment="1">
      <alignment vertical="center"/>
    </xf>
    <xf numFmtId="0" fontId="47" fillId="0" borderId="123" xfId="0" applyFont="1" applyBorder="1" applyAlignment="1">
      <alignment horizontal="center"/>
    </xf>
    <xf numFmtId="0" fontId="47" fillId="0" borderId="18" xfId="0" applyFont="1" applyBorder="1" applyAlignment="1">
      <alignment horizontal="center"/>
    </xf>
    <xf numFmtId="0" fontId="0" fillId="0" borderId="124" xfId="0" applyBorder="1"/>
    <xf numFmtId="0" fontId="47" fillId="0" borderId="16" xfId="0" applyFont="1" applyBorder="1" applyAlignment="1">
      <alignment horizontal="center"/>
    </xf>
    <xf numFmtId="0" fontId="0" fillId="0" borderId="51" xfId="0" applyBorder="1"/>
    <xf numFmtId="0" fontId="48" fillId="22" borderId="60" xfId="0" applyFont="1" applyFill="1" applyBorder="1" applyAlignment="1">
      <alignment horizontal="center"/>
    </xf>
    <xf numFmtId="4" fontId="48" fillId="22" borderId="67" xfId="0" applyNumberFormat="1" applyFont="1" applyFill="1" applyBorder="1"/>
    <xf numFmtId="4" fontId="48" fillId="22" borderId="109" xfId="0" applyNumberFormat="1" applyFont="1" applyFill="1" applyBorder="1"/>
    <xf numFmtId="0" fontId="1" fillId="0" borderId="17" xfId="0" applyFont="1" applyBorder="1"/>
    <xf numFmtId="0" fontId="1" fillId="0" borderId="32" xfId="0" applyFont="1" applyBorder="1"/>
    <xf numFmtId="165" fontId="1" fillId="0" borderId="113" xfId="0" applyNumberFormat="1" applyFont="1" applyBorder="1" applyAlignment="1">
      <alignment horizontal="right"/>
    </xf>
    <xf numFmtId="0" fontId="1" fillId="19" borderId="71" xfId="0" applyFont="1" applyFill="1" applyBorder="1" applyAlignment="1">
      <alignment horizontal="center"/>
    </xf>
    <xf numFmtId="168" fontId="3" fillId="19" borderId="115" xfId="18" applyNumberFormat="1" applyFont="1" applyFill="1" applyBorder="1"/>
    <xf numFmtId="0" fontId="1" fillId="0" borderId="0" xfId="0" applyFont="1" applyAlignment="1">
      <alignment horizontal="left" vertical="center"/>
    </xf>
    <xf numFmtId="0" fontId="1" fillId="0" borderId="26" xfId="0" applyFont="1" applyBorder="1" applyAlignment="1">
      <alignment horizontal="center" vertical="center"/>
    </xf>
    <xf numFmtId="43" fontId="3" fillId="0" borderId="3" xfId="0" applyNumberFormat="1" applyFont="1" applyBorder="1" applyAlignment="1">
      <alignment horizontal="right" vertical="center"/>
    </xf>
    <xf numFmtId="0" fontId="1" fillId="0" borderId="25" xfId="0" applyFont="1" applyBorder="1" applyAlignment="1">
      <alignment horizontal="left" vertical="top"/>
    </xf>
    <xf numFmtId="172" fontId="51" fillId="19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 wrapText="1"/>
    </xf>
    <xf numFmtId="2" fontId="2" fillId="3" borderId="3" xfId="0" applyNumberFormat="1" applyFont="1" applyFill="1" applyBorder="1" applyAlignment="1">
      <alignment horizontal="center" vertical="center"/>
    </xf>
    <xf numFmtId="2" fontId="40" fillId="0" borderId="3" xfId="0" applyNumberFormat="1" applyFont="1" applyBorder="1" applyAlignment="1">
      <alignment horizontal="right" vertical="center"/>
    </xf>
    <xf numFmtId="0" fontId="2" fillId="8" borderId="0" xfId="0" applyFont="1" applyFill="1" applyAlignment="1">
      <alignment horizontal="center" vertical="center"/>
    </xf>
    <xf numFmtId="43" fontId="2" fillId="8" borderId="0" xfId="0" applyNumberFormat="1" applyFont="1" applyFill="1" applyAlignment="1">
      <alignment horizontal="center" vertical="center"/>
    </xf>
    <xf numFmtId="172" fontId="2" fillId="3" borderId="3" xfId="0" applyNumberFormat="1" applyFont="1" applyFill="1" applyBorder="1" applyAlignment="1">
      <alignment horizontal="center" vertical="center"/>
    </xf>
    <xf numFmtId="10" fontId="1" fillId="10" borderId="25" xfId="18" applyNumberFormat="1" applyFont="1" applyFill="1" applyBorder="1" applyAlignment="1">
      <alignment horizontal="center" vertical="center"/>
    </xf>
    <xf numFmtId="10" fontId="3" fillId="0" borderId="25" xfId="18" applyNumberFormat="1" applyFont="1" applyBorder="1" applyAlignment="1">
      <alignment horizontal="left" vertical="center"/>
    </xf>
    <xf numFmtId="43" fontId="2" fillId="0" borderId="3" xfId="0" applyNumberFormat="1" applyFont="1" applyBorder="1" applyAlignment="1">
      <alignment horizontal="center" vertical="center" wrapText="1"/>
    </xf>
    <xf numFmtId="2" fontId="2" fillId="0" borderId="3" xfId="0" applyNumberFormat="1" applyFont="1" applyBorder="1" applyAlignment="1">
      <alignment horizontal="center" vertical="center" wrapText="1"/>
    </xf>
    <xf numFmtId="43" fontId="2" fillId="0" borderId="1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2" fontId="52" fillId="0" borderId="3" xfId="22" applyNumberFormat="1" applyFont="1" applyBorder="1" applyAlignment="1">
      <alignment vertical="center" wrapText="1"/>
    </xf>
    <xf numFmtId="173" fontId="2" fillId="7" borderId="22" xfId="5" applyNumberFormat="1" applyFont="1" applyFill="1" applyBorder="1" applyAlignment="1" applyProtection="1">
      <alignment horizontal="center" vertical="center"/>
      <protection locked="0"/>
    </xf>
    <xf numFmtId="173" fontId="2" fillId="3" borderId="3" xfId="0" applyNumberFormat="1" applyFont="1" applyFill="1" applyBorder="1" applyAlignment="1">
      <alignment horizontal="center" vertical="center"/>
    </xf>
    <xf numFmtId="173" fontId="3" fillId="10" borderId="3" xfId="0" applyNumberFormat="1" applyFont="1" applyFill="1" applyBorder="1" applyAlignment="1">
      <alignment vertical="center"/>
    </xf>
    <xf numFmtId="43" fontId="3" fillId="0" borderId="15" xfId="0" applyNumberFormat="1" applyFont="1" applyBorder="1" applyAlignment="1">
      <alignment vertical="center"/>
    </xf>
    <xf numFmtId="43" fontId="3" fillId="0" borderId="3" xfId="0" applyNumberFormat="1" applyFont="1" applyBorder="1" applyAlignment="1">
      <alignment vertical="center"/>
    </xf>
    <xf numFmtId="43" fontId="3" fillId="0" borderId="42" xfId="0" applyNumberFormat="1" applyFont="1" applyBorder="1" applyAlignment="1">
      <alignment vertical="center"/>
    </xf>
    <xf numFmtId="43" fontId="3" fillId="0" borderId="57" xfId="0" applyNumberFormat="1" applyFont="1" applyBorder="1" applyAlignment="1">
      <alignment vertical="center"/>
    </xf>
    <xf numFmtId="43" fontId="3" fillId="0" borderId="14" xfId="0" applyNumberFormat="1" applyFont="1" applyBorder="1" applyAlignment="1">
      <alignment vertical="center"/>
    </xf>
    <xf numFmtId="170" fontId="2" fillId="8" borderId="42" xfId="0" applyNumberFormat="1" applyFont="1" applyFill="1" applyBorder="1" applyAlignment="1">
      <alignment vertical="center"/>
    </xf>
    <xf numFmtId="170" fontId="2" fillId="8" borderId="57" xfId="0" applyNumberFormat="1" applyFont="1" applyFill="1" applyBorder="1" applyAlignment="1">
      <alignment vertical="center"/>
    </xf>
    <xf numFmtId="170" fontId="2" fillId="8" borderId="14" xfId="0" applyNumberFormat="1" applyFont="1" applyFill="1" applyBorder="1" applyAlignment="1">
      <alignment vertical="center"/>
    </xf>
    <xf numFmtId="43" fontId="2" fillId="3" borderId="3" xfId="0" applyNumberFormat="1" applyFont="1" applyFill="1" applyBorder="1" applyAlignment="1">
      <alignment horizontal="left" vertical="center" wrapText="1"/>
    </xf>
    <xf numFmtId="43" fontId="1" fillId="0" borderId="3" xfId="0" applyNumberFormat="1" applyFont="1" applyBorder="1" applyAlignment="1">
      <alignment horizontal="right" vertical="center"/>
    </xf>
    <xf numFmtId="43" fontId="1" fillId="0" borderId="3" xfId="0" applyNumberFormat="1" applyFont="1" applyBorder="1" applyAlignment="1">
      <alignment vertical="center"/>
    </xf>
    <xf numFmtId="43" fontId="3" fillId="9" borderId="3" xfId="0" applyNumberFormat="1" applyFont="1" applyFill="1" applyBorder="1" applyAlignment="1">
      <alignment vertical="center"/>
    </xf>
    <xf numFmtId="176" fontId="2" fillId="9" borderId="3" xfId="0" applyNumberFormat="1" applyFont="1" applyFill="1" applyBorder="1" applyAlignment="1">
      <alignment horizontal="center" vertical="center"/>
    </xf>
    <xf numFmtId="43" fontId="3" fillId="0" borderId="26" xfId="0" applyNumberFormat="1" applyFont="1" applyBorder="1" applyAlignment="1">
      <alignment vertical="center"/>
    </xf>
    <xf numFmtId="173" fontId="2" fillId="10" borderId="3" xfId="0" applyNumberFormat="1" applyFont="1" applyFill="1" applyBorder="1" applyAlignment="1">
      <alignment horizontal="left" vertical="center"/>
    </xf>
    <xf numFmtId="43" fontId="13" fillId="0" borderId="3" xfId="0" applyNumberFormat="1" applyFont="1" applyBorder="1" applyAlignment="1">
      <alignment horizontal="center" vertical="center"/>
    </xf>
    <xf numFmtId="0" fontId="44" fillId="11" borderId="128" xfId="0" applyFont="1" applyFill="1" applyBorder="1" applyAlignment="1">
      <alignment vertical="center"/>
    </xf>
    <xf numFmtId="2" fontId="1" fillId="4" borderId="3" xfId="0" applyNumberFormat="1" applyFont="1" applyFill="1" applyBorder="1" applyAlignment="1">
      <alignment horizontal="center" vertical="center"/>
    </xf>
    <xf numFmtId="2" fontId="3" fillId="4" borderId="3" xfId="0" applyNumberFormat="1" applyFont="1" applyFill="1" applyBorder="1" applyAlignment="1">
      <alignment horizontal="center" vertical="center"/>
    </xf>
    <xf numFmtId="2" fontId="1" fillId="10" borderId="3" xfId="0" applyNumberFormat="1" applyFont="1" applyFill="1" applyBorder="1" applyAlignment="1">
      <alignment horizontal="center" vertical="center"/>
    </xf>
    <xf numFmtId="2" fontId="3" fillId="10" borderId="3" xfId="22" applyNumberFormat="1" applyFont="1" applyFill="1" applyBorder="1" applyAlignment="1">
      <alignment horizontal="center" vertical="center"/>
    </xf>
    <xf numFmtId="1" fontId="4" fillId="8" borderId="57" xfId="0" applyNumberFormat="1" applyFont="1" applyFill="1" applyBorder="1" applyAlignment="1">
      <alignment horizontal="center" vertical="center"/>
    </xf>
    <xf numFmtId="9" fontId="4" fillId="8" borderId="57" xfId="18" applyFont="1" applyFill="1" applyBorder="1" applyAlignment="1">
      <alignment horizontal="center" vertical="center"/>
    </xf>
    <xf numFmtId="168" fontId="4" fillId="8" borderId="57" xfId="18" applyNumberFormat="1" applyFont="1" applyFill="1" applyBorder="1" applyAlignment="1">
      <alignment horizontal="center" vertical="center"/>
    </xf>
    <xf numFmtId="170" fontId="2" fillId="7" borderId="42" xfId="0" applyNumberFormat="1" applyFont="1" applyFill="1" applyBorder="1" applyAlignment="1">
      <alignment horizontal="center" vertical="center"/>
    </xf>
    <xf numFmtId="43" fontId="2" fillId="3" borderId="57" xfId="0" applyNumberFormat="1" applyFont="1" applyFill="1" applyBorder="1" applyAlignment="1">
      <alignment horizontal="left" vertical="center" wrapText="1"/>
    </xf>
    <xf numFmtId="43" fontId="2" fillId="3" borderId="57" xfId="0" applyNumberFormat="1" applyFont="1" applyFill="1" applyBorder="1" applyAlignment="1">
      <alignment horizontal="center" vertical="center"/>
    </xf>
    <xf numFmtId="173" fontId="2" fillId="7" borderId="69" xfId="5" applyNumberFormat="1" applyFont="1" applyFill="1" applyBorder="1" applyAlignment="1" applyProtection="1">
      <alignment horizontal="center" vertical="center"/>
      <protection locked="0"/>
    </xf>
    <xf numFmtId="2" fontId="52" fillId="0" borderId="57" xfId="22" applyNumberFormat="1" applyFont="1" applyBorder="1" applyAlignment="1">
      <alignment horizontal="right" vertical="center" wrapText="1"/>
    </xf>
    <xf numFmtId="175" fontId="57" fillId="8" borderId="3" xfId="0" applyNumberFormat="1" applyFont="1" applyFill="1" applyBorder="1" applyAlignment="1">
      <alignment horizontal="right" vertical="center"/>
    </xf>
    <xf numFmtId="43" fontId="56" fillId="10" borderId="25" xfId="0" applyNumberFormat="1" applyFont="1" applyFill="1" applyBorder="1" applyAlignment="1">
      <alignment horizontal="center" vertical="center"/>
    </xf>
    <xf numFmtId="43" fontId="58" fillId="10" borderId="3" xfId="0" applyNumberFormat="1" applyFont="1" applyFill="1" applyBorder="1" applyAlignment="1">
      <alignment vertical="center"/>
    </xf>
    <xf numFmtId="2" fontId="37" fillId="0" borderId="3" xfId="0" applyNumberFormat="1" applyFont="1" applyBorder="1" applyAlignment="1">
      <alignment horizontal="center" vertical="center" wrapText="1"/>
    </xf>
    <xf numFmtId="2" fontId="37" fillId="3" borderId="3" xfId="0" applyNumberFormat="1" applyFont="1" applyFill="1" applyBorder="1" applyAlignment="1">
      <alignment horizontal="center" vertical="center"/>
    </xf>
    <xf numFmtId="9" fontId="1" fillId="0" borderId="0" xfId="18" applyFont="1" applyAlignment="1">
      <alignment horizontal="center" vertical="center"/>
    </xf>
    <xf numFmtId="4" fontId="37" fillId="7" borderId="28" xfId="0" applyNumberFormat="1" applyFont="1" applyFill="1" applyBorder="1" applyAlignment="1">
      <alignment horizontal="center" vertical="center"/>
    </xf>
    <xf numFmtId="173" fontId="2" fillId="0" borderId="0" xfId="0" applyNumberFormat="1" applyFont="1" applyAlignment="1">
      <alignment horizontal="center" vertical="center"/>
    </xf>
    <xf numFmtId="173" fontId="2" fillId="0" borderId="3" xfId="0" applyNumberFormat="1" applyFont="1" applyBorder="1" applyAlignment="1">
      <alignment horizontal="center" vertical="center"/>
    </xf>
    <xf numFmtId="173" fontId="2" fillId="3" borderId="57" xfId="0" applyNumberFormat="1" applyFont="1" applyFill="1" applyBorder="1" applyAlignment="1">
      <alignment horizontal="center" vertical="center"/>
    </xf>
    <xf numFmtId="9" fontId="2" fillId="0" borderId="0" xfId="18" applyFont="1" applyAlignment="1">
      <alignment horizontal="center" vertical="center"/>
    </xf>
    <xf numFmtId="0" fontId="33" fillId="19" borderId="0" xfId="0" applyFont="1" applyFill="1" applyAlignment="1">
      <alignment vertical="center"/>
    </xf>
    <xf numFmtId="0" fontId="53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173" fontId="1" fillId="0" borderId="3" xfId="0" applyNumberFormat="1" applyFont="1" applyBorder="1" applyAlignment="1">
      <alignment vertical="center"/>
    </xf>
    <xf numFmtId="0" fontId="2" fillId="0" borderId="0" xfId="0" applyFont="1" applyAlignment="1">
      <alignment horizontal="right" vertical="center"/>
    </xf>
    <xf numFmtId="173" fontId="59" fillId="0" borderId="3" xfId="0" applyNumberFormat="1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9" fontId="13" fillId="0" borderId="0" xfId="18" applyFont="1" applyAlignment="1">
      <alignment horizontal="left" vertical="center"/>
    </xf>
    <xf numFmtId="1" fontId="36" fillId="13" borderId="68" xfId="13" applyNumberFormat="1" applyFont="1" applyFill="1" applyBorder="1" applyAlignment="1" applyProtection="1">
      <alignment horizontal="center" vertical="center"/>
      <protection locked="0"/>
    </xf>
    <xf numFmtId="4" fontId="37" fillId="13" borderId="68" xfId="4" applyNumberFormat="1" applyFont="1" applyFill="1" applyBorder="1" applyAlignment="1" applyProtection="1">
      <alignment horizontal="center" vertical="center"/>
      <protection locked="0"/>
    </xf>
    <xf numFmtId="43" fontId="40" fillId="0" borderId="3" xfId="0" applyNumberFormat="1" applyFont="1" applyBorder="1" applyAlignment="1">
      <alignment horizontal="center" vertical="center"/>
    </xf>
    <xf numFmtId="43" fontId="3" fillId="19" borderId="31" xfId="22" applyFont="1" applyFill="1" applyBorder="1" applyAlignment="1">
      <alignment horizontal="center" vertical="center"/>
    </xf>
    <xf numFmtId="4" fontId="61" fillId="7" borderId="28" xfId="0" applyNumberFormat="1" applyFont="1" applyFill="1" applyBorder="1" applyAlignment="1">
      <alignment horizontal="center" vertical="center"/>
    </xf>
    <xf numFmtId="1" fontId="41" fillId="14" borderId="3" xfId="13" applyNumberFormat="1" applyFont="1" applyFill="1" applyBorder="1" applyAlignment="1" applyProtection="1">
      <alignment horizontal="center" vertical="center"/>
      <protection locked="0"/>
    </xf>
    <xf numFmtId="4" fontId="31" fillId="19" borderId="93" xfId="13" applyNumberFormat="1" applyFont="1" applyFill="1" applyBorder="1" applyAlignment="1" applyProtection="1">
      <alignment horizontal="center" vertical="center"/>
      <protection locked="0"/>
    </xf>
    <xf numFmtId="4" fontId="62" fillId="15" borderId="3" xfId="13" applyNumberFormat="1" applyFont="1" applyFill="1" applyBorder="1" applyAlignment="1">
      <alignment horizontal="center" vertical="center"/>
    </xf>
    <xf numFmtId="0" fontId="63" fillId="8" borderId="0" xfId="0" applyFont="1" applyFill="1"/>
    <xf numFmtId="172" fontId="54" fillId="3" borderId="3" xfId="0" applyNumberFormat="1" applyFont="1" applyFill="1" applyBorder="1" applyAlignment="1">
      <alignment horizontal="right" vertical="center"/>
    </xf>
    <xf numFmtId="4" fontId="64" fillId="19" borderId="93" xfId="13" applyNumberFormat="1" applyFont="1" applyFill="1" applyBorder="1" applyAlignment="1" applyProtection="1">
      <alignment horizontal="center" vertical="center"/>
      <protection locked="0"/>
    </xf>
    <xf numFmtId="172" fontId="4" fillId="3" borderId="3" xfId="0" applyNumberFormat="1" applyFont="1" applyFill="1" applyBorder="1" applyAlignment="1">
      <alignment horizontal="left" vertical="center"/>
    </xf>
    <xf numFmtId="43" fontId="3" fillId="8" borderId="3" xfId="0" applyNumberFormat="1" applyFont="1" applyFill="1" applyBorder="1" applyAlignment="1">
      <alignment vertical="center"/>
    </xf>
    <xf numFmtId="43" fontId="3" fillId="8" borderId="13" xfId="0" applyNumberFormat="1" applyFont="1" applyFill="1" applyBorder="1" applyAlignment="1">
      <alignment vertical="center"/>
    </xf>
    <xf numFmtId="43" fontId="1" fillId="0" borderId="3" xfId="0" applyNumberFormat="1" applyFont="1" applyBorder="1" applyAlignment="1">
      <alignment horizontal="right" vertical="center" indent="1"/>
    </xf>
    <xf numFmtId="43" fontId="3" fillId="0" borderId="3" xfId="0" applyNumberFormat="1" applyFont="1" applyBorder="1" applyAlignment="1">
      <alignment horizontal="right" vertical="center" indent="1"/>
    </xf>
    <xf numFmtId="1" fontId="3" fillId="10" borderId="3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4" fontId="36" fillId="9" borderId="28" xfId="0" applyNumberFormat="1" applyFont="1" applyFill="1" applyBorder="1" applyAlignment="1">
      <alignment horizontal="center" vertical="center"/>
    </xf>
    <xf numFmtId="1" fontId="2" fillId="3" borderId="3" xfId="0" applyNumberFormat="1" applyFont="1" applyFill="1" applyBorder="1" applyAlignment="1">
      <alignment horizontal="center" vertical="center"/>
    </xf>
    <xf numFmtId="1" fontId="2" fillId="10" borderId="3" xfId="0" applyNumberFormat="1" applyFont="1" applyFill="1" applyBorder="1" applyAlignment="1">
      <alignment horizontal="center" vertical="center"/>
    </xf>
    <xf numFmtId="173" fontId="37" fillId="0" borderId="0" xfId="0" applyNumberFormat="1" applyFont="1" applyAlignment="1">
      <alignment horizontal="center"/>
    </xf>
    <xf numFmtId="9" fontId="3" fillId="0" borderId="0" xfId="18" applyFont="1" applyFill="1" applyBorder="1"/>
    <xf numFmtId="0" fontId="1" fillId="0" borderId="25" xfId="0" applyFont="1" applyBorder="1" applyAlignment="1">
      <alignment vertical="center"/>
    </xf>
    <xf numFmtId="43" fontId="2" fillId="3" borderId="25" xfId="0" applyNumberFormat="1" applyFont="1" applyFill="1" applyBorder="1" applyAlignment="1">
      <alignment vertical="center"/>
    </xf>
    <xf numFmtId="0" fontId="2" fillId="0" borderId="75" xfId="0" applyFont="1" applyBorder="1" applyAlignment="1">
      <alignment horizontal="center" vertical="center"/>
    </xf>
    <xf numFmtId="0" fontId="2" fillId="0" borderId="78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1" fontId="37" fillId="3" borderId="3" xfId="0" applyNumberFormat="1" applyFont="1" applyFill="1" applyBorder="1" applyAlignment="1">
      <alignment horizontal="center" vertical="center"/>
    </xf>
    <xf numFmtId="167" fontId="0" fillId="0" borderId="68" xfId="0" applyNumberFormat="1" applyBorder="1" applyAlignment="1">
      <alignment horizontal="center"/>
    </xf>
    <xf numFmtId="4" fontId="55" fillId="10" borderId="3" xfId="0" applyNumberFormat="1" applyFont="1" applyFill="1" applyBorder="1" applyAlignment="1">
      <alignment horizontal="center" vertical="center"/>
    </xf>
    <xf numFmtId="4" fontId="60" fillId="10" borderId="3" xfId="0" applyNumberFormat="1" applyFont="1" applyFill="1" applyBorder="1" applyAlignment="1">
      <alignment horizontal="center" vertical="center"/>
    </xf>
    <xf numFmtId="9" fontId="2" fillId="10" borderId="3" xfId="18" applyFont="1" applyFill="1" applyBorder="1" applyAlignment="1">
      <alignment horizontal="center" vertical="center"/>
    </xf>
    <xf numFmtId="9" fontId="2" fillId="10" borderId="17" xfId="18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4" fontId="2" fillId="10" borderId="34" xfId="0" applyNumberFormat="1" applyFont="1" applyFill="1" applyBorder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4" fontId="2" fillId="7" borderId="27" xfId="0" applyNumberFormat="1" applyFont="1" applyFill="1" applyBorder="1" applyAlignment="1">
      <alignment horizontal="center" vertical="center"/>
    </xf>
    <xf numFmtId="4" fontId="2" fillId="7" borderId="143" xfId="0" applyNumberFormat="1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23" borderId="3" xfId="0" applyFont="1" applyFill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0" fontId="66" fillId="24" borderId="25" xfId="0" applyFont="1" applyFill="1" applyBorder="1" applyAlignment="1">
      <alignment vertical="center" wrapText="1"/>
    </xf>
    <xf numFmtId="0" fontId="66" fillId="24" borderId="57" xfId="0" applyFont="1" applyFill="1" applyBorder="1" applyAlignment="1">
      <alignment vertical="center" wrapText="1"/>
    </xf>
    <xf numFmtId="0" fontId="66" fillId="24" borderId="25" xfId="0" applyFont="1" applyFill="1" applyBorder="1" applyAlignment="1">
      <alignment horizontal="center" vertical="center" wrapText="1"/>
    </xf>
    <xf numFmtId="167" fontId="47" fillId="0" borderId="17" xfId="4" applyFont="1" applyBorder="1"/>
    <xf numFmtId="10" fontId="1" fillId="0" borderId="65" xfId="4" applyNumberFormat="1" applyFont="1" applyBorder="1" applyAlignment="1">
      <alignment horizontal="center" vertical="center"/>
    </xf>
    <xf numFmtId="9" fontId="0" fillId="0" borderId="68" xfId="18" applyFont="1" applyBorder="1" applyAlignment="1">
      <alignment horizontal="center"/>
    </xf>
    <xf numFmtId="167" fontId="0" fillId="0" borderId="68" xfId="4" applyFont="1" applyBorder="1" applyAlignment="1">
      <alignment horizontal="center"/>
    </xf>
    <xf numFmtId="9" fontId="1" fillId="0" borderId="68" xfId="18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164" fontId="3" fillId="23" borderId="3" xfId="0" applyNumberFormat="1" applyFont="1" applyFill="1" applyBorder="1" applyAlignment="1">
      <alignment horizontal="center" vertical="center"/>
    </xf>
    <xf numFmtId="9" fontId="2" fillId="15" borderId="93" xfId="18" applyFont="1" applyFill="1" applyBorder="1" applyAlignment="1" applyProtection="1">
      <alignment horizontal="center" vertical="center"/>
      <protection locked="0"/>
    </xf>
    <xf numFmtId="0" fontId="0" fillId="19" borderId="3" xfId="0" applyFill="1" applyBorder="1" applyAlignment="1">
      <alignment horizontal="center"/>
    </xf>
    <xf numFmtId="4" fontId="0" fillId="0" borderId="0" xfId="0" applyNumberFormat="1"/>
    <xf numFmtId="0" fontId="67" fillId="0" borderId="66" xfId="0" applyFont="1" applyBorder="1" applyAlignment="1">
      <alignment horizontal="center" vertical="center"/>
    </xf>
    <xf numFmtId="0" fontId="68" fillId="24" borderId="25" xfId="0" applyFont="1" applyFill="1" applyBorder="1" applyAlignment="1">
      <alignment vertical="center" wrapText="1"/>
    </xf>
    <xf numFmtId="0" fontId="68" fillId="24" borderId="25" xfId="0" applyFont="1" applyFill="1" applyBorder="1" applyAlignment="1">
      <alignment horizontal="center" vertical="center" wrapText="1"/>
    </xf>
    <xf numFmtId="0" fontId="68" fillId="0" borderId="3" xfId="0" applyFont="1" applyBorder="1" applyAlignment="1">
      <alignment horizontal="center" vertical="center"/>
    </xf>
    <xf numFmtId="0" fontId="68" fillId="24" borderId="57" xfId="0" applyFont="1" applyFill="1" applyBorder="1" applyAlignment="1">
      <alignment vertical="center" wrapText="1"/>
    </xf>
    <xf numFmtId="10" fontId="67" fillId="0" borderId="65" xfId="4" applyNumberFormat="1" applyFont="1" applyBorder="1" applyAlignment="1">
      <alignment horizontal="center" vertical="center"/>
    </xf>
    <xf numFmtId="0" fontId="67" fillId="0" borderId="67" xfId="0" applyFont="1" applyBorder="1"/>
    <xf numFmtId="0" fontId="67" fillId="0" borderId="0" xfId="0" applyFont="1"/>
    <xf numFmtId="0" fontId="67" fillId="0" borderId="68" xfId="0" applyFont="1" applyBorder="1" applyAlignment="1">
      <alignment horizontal="center"/>
    </xf>
    <xf numFmtId="167" fontId="67" fillId="0" borderId="68" xfId="4" applyFont="1" applyBorder="1" applyAlignment="1">
      <alignment horizontal="center"/>
    </xf>
    <xf numFmtId="9" fontId="67" fillId="0" borderId="68" xfId="18" applyFont="1" applyBorder="1" applyAlignment="1">
      <alignment horizontal="center"/>
    </xf>
    <xf numFmtId="0" fontId="69" fillId="0" borderId="32" xfId="0" applyFont="1" applyBorder="1" applyAlignment="1">
      <alignment horizontal="center" vertical="center"/>
    </xf>
    <xf numFmtId="0" fontId="31" fillId="13" borderId="88" xfId="13" applyFont="1" applyFill="1" applyBorder="1" applyAlignment="1">
      <alignment horizontal="center" vertical="center"/>
    </xf>
    <xf numFmtId="0" fontId="31" fillId="13" borderId="68" xfId="13" applyFont="1" applyFill="1" applyBorder="1" applyAlignment="1">
      <alignment horizontal="center" vertical="center"/>
    </xf>
    <xf numFmtId="0" fontId="65" fillId="24" borderId="25" xfId="0" applyFont="1" applyFill="1" applyBorder="1" applyAlignment="1">
      <alignment horizontal="left" vertical="center" wrapText="1"/>
    </xf>
    <xf numFmtId="0" fontId="3" fillId="23" borderId="25" xfId="0" applyFont="1" applyFill="1" applyBorder="1" applyAlignment="1">
      <alignment horizontal="left" vertical="center" wrapText="1"/>
    </xf>
    <xf numFmtId="0" fontId="1" fillId="0" borderId="25" xfId="0" applyFont="1" applyBorder="1" applyAlignment="1">
      <alignment horizontal="center"/>
    </xf>
    <xf numFmtId="0" fontId="2" fillId="13" borderId="3" xfId="13" applyFont="1" applyFill="1" applyBorder="1" applyAlignment="1">
      <alignment horizontal="center" vertical="center" wrapText="1"/>
    </xf>
    <xf numFmtId="10" fontId="38" fillId="0" borderId="1" xfId="18" applyNumberFormat="1" applyFont="1" applyFill="1" applyBorder="1" applyAlignment="1">
      <alignment horizontal="center" vertical="center"/>
    </xf>
    <xf numFmtId="0" fontId="70" fillId="14" borderId="68" xfId="13" applyFont="1" applyFill="1" applyBorder="1" applyAlignment="1" applyProtection="1">
      <alignment vertical="center" wrapText="1"/>
      <protection locked="0"/>
    </xf>
    <xf numFmtId="4" fontId="62" fillId="13" borderId="68" xfId="4" applyNumberFormat="1" applyFont="1" applyFill="1" applyBorder="1" applyAlignment="1" applyProtection="1">
      <alignment horizontal="center" vertical="center"/>
      <protection locked="0"/>
    </xf>
    <xf numFmtId="172" fontId="36" fillId="13" borderId="68" xfId="13" applyNumberFormat="1" applyFont="1" applyFill="1" applyBorder="1" applyAlignment="1" applyProtection="1">
      <alignment horizontal="center" vertical="center"/>
      <protection locked="0"/>
    </xf>
    <xf numFmtId="1" fontId="71" fillId="13" borderId="68" xfId="13" applyNumberFormat="1" applyFont="1" applyFill="1" applyBorder="1" applyAlignment="1">
      <alignment horizontal="center" vertical="center"/>
    </xf>
    <xf numFmtId="4" fontId="31" fillId="14" borderId="68" xfId="4" applyNumberFormat="1" applyFont="1" applyFill="1" applyBorder="1" applyAlignment="1" applyProtection="1">
      <alignment horizontal="center" vertical="center"/>
    </xf>
    <xf numFmtId="4" fontId="31" fillId="14" borderId="68" xfId="13" applyNumberFormat="1" applyFont="1" applyFill="1" applyBorder="1" applyAlignment="1">
      <alignment horizontal="center" vertical="center"/>
    </xf>
    <xf numFmtId="1" fontId="31" fillId="14" borderId="68" xfId="13" applyNumberFormat="1" applyFont="1" applyFill="1" applyBorder="1" applyAlignment="1">
      <alignment horizontal="center" vertical="center"/>
    </xf>
    <xf numFmtId="166" fontId="31" fillId="14" borderId="68" xfId="13" applyNumberFormat="1" applyFont="1" applyFill="1" applyBorder="1" applyAlignment="1">
      <alignment vertical="center" wrapText="1"/>
    </xf>
    <xf numFmtId="0" fontId="2" fillId="15" borderId="68" xfId="13" applyFont="1" applyFill="1" applyBorder="1" applyAlignment="1">
      <alignment vertical="center" wrapText="1"/>
    </xf>
    <xf numFmtId="1" fontId="36" fillId="13" borderId="68" xfId="13" applyNumberFormat="1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72" fillId="25" borderId="65" xfId="0" applyFont="1" applyFill="1" applyBorder="1" applyAlignment="1">
      <alignment horizontal="center" vertical="center"/>
    </xf>
    <xf numFmtId="0" fontId="43" fillId="25" borderId="65" xfId="0" applyFont="1" applyFill="1" applyBorder="1" applyAlignment="1">
      <alignment vertical="center"/>
    </xf>
    <xf numFmtId="0" fontId="43" fillId="25" borderId="65" xfId="0" applyFont="1" applyFill="1" applyBorder="1" applyAlignment="1">
      <alignment horizontal="center" vertical="center"/>
    </xf>
    <xf numFmtId="0" fontId="73" fillId="25" borderId="70" xfId="0" applyFont="1" applyFill="1" applyBorder="1" applyAlignment="1">
      <alignment horizontal="center" vertical="center"/>
    </xf>
    <xf numFmtId="0" fontId="73" fillId="25" borderId="150" xfId="0" applyFont="1" applyFill="1" applyBorder="1" applyAlignment="1">
      <alignment horizontal="center" vertical="center"/>
    </xf>
    <xf numFmtId="0" fontId="73" fillId="25" borderId="79" xfId="0" applyFont="1" applyFill="1" applyBorder="1" applyAlignment="1">
      <alignment horizontal="center" vertical="center"/>
    </xf>
    <xf numFmtId="0" fontId="23" fillId="8" borderId="3" xfId="0" applyFont="1" applyFill="1" applyBorder="1" applyAlignment="1">
      <alignment horizontal="center"/>
    </xf>
    <xf numFmtId="2" fontId="74" fillId="8" borderId="3" xfId="0" applyNumberFormat="1" applyFont="1" applyFill="1" applyBorder="1" applyAlignment="1">
      <alignment horizontal="center"/>
    </xf>
    <xf numFmtId="172" fontId="0" fillId="8" borderId="3" xfId="0" applyNumberFormat="1" applyFill="1" applyBorder="1" applyAlignment="1">
      <alignment horizontal="center"/>
    </xf>
    <xf numFmtId="167" fontId="75" fillId="19" borderId="64" xfId="4" applyFont="1" applyFill="1" applyBorder="1"/>
    <xf numFmtId="175" fontId="1" fillId="8" borderId="93" xfId="4" applyNumberFormat="1" applyFont="1" applyFill="1" applyBorder="1" applyAlignment="1">
      <alignment horizontal="right"/>
    </xf>
    <xf numFmtId="0" fontId="3" fillId="19" borderId="3" xfId="0" applyFont="1" applyFill="1" applyBorder="1" applyAlignment="1">
      <alignment horizontal="center"/>
    </xf>
    <xf numFmtId="2" fontId="76" fillId="19" borderId="3" xfId="0" applyNumberFormat="1" applyFont="1" applyFill="1" applyBorder="1" applyAlignment="1">
      <alignment horizontal="center"/>
    </xf>
    <xf numFmtId="172" fontId="77" fillId="8" borderId="3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72" fillId="25" borderId="88" xfId="0" applyFont="1" applyFill="1" applyBorder="1" applyAlignment="1">
      <alignment horizontal="center" vertical="center"/>
    </xf>
    <xf numFmtId="0" fontId="42" fillId="25" borderId="88" xfId="0" applyFont="1" applyFill="1" applyBorder="1" applyAlignment="1">
      <alignment vertical="center"/>
    </xf>
    <xf numFmtId="0" fontId="40" fillId="25" borderId="88" xfId="0" applyFont="1" applyFill="1" applyBorder="1" applyAlignment="1">
      <alignment vertical="center"/>
    </xf>
    <xf numFmtId="0" fontId="43" fillId="25" borderId="88" xfId="0" applyFont="1" applyFill="1" applyBorder="1" applyAlignment="1">
      <alignment vertical="center"/>
    </xf>
    <xf numFmtId="0" fontId="43" fillId="25" borderId="88" xfId="0" applyFont="1" applyFill="1" applyBorder="1" applyAlignment="1">
      <alignment horizontal="center" vertical="center"/>
    </xf>
    <xf numFmtId="0" fontId="73" fillId="25" borderId="88" xfId="0" applyFont="1" applyFill="1" applyBorder="1" applyAlignment="1">
      <alignment horizontal="center" vertical="center"/>
    </xf>
    <xf numFmtId="0" fontId="73" fillId="25" borderId="153" xfId="0" applyFont="1" applyFill="1" applyBorder="1" applyAlignment="1">
      <alignment horizontal="center" vertical="center"/>
    </xf>
    <xf numFmtId="0" fontId="23" fillId="8" borderId="68" xfId="0" applyFont="1" applyFill="1" applyBorder="1" applyAlignment="1">
      <alignment horizontal="center"/>
    </xf>
    <xf numFmtId="0" fontId="1" fillId="8" borderId="68" xfId="0" applyFont="1" applyFill="1" applyBorder="1"/>
    <xf numFmtId="0" fontId="3" fillId="8" borderId="68" xfId="0" applyFont="1" applyFill="1" applyBorder="1" applyAlignment="1">
      <alignment horizontal="center"/>
    </xf>
    <xf numFmtId="12" fontId="3" fillId="8" borderId="68" xfId="0" applyNumberFormat="1" applyFont="1" applyFill="1" applyBorder="1" applyAlignment="1">
      <alignment horizontal="center" vertical="center"/>
    </xf>
    <xf numFmtId="2" fontId="74" fillId="8" borderId="68" xfId="0" applyNumberFormat="1" applyFont="1" applyFill="1" applyBorder="1" applyAlignment="1">
      <alignment horizontal="center"/>
    </xf>
    <xf numFmtId="2" fontId="77" fillId="8" borderId="68" xfId="0" applyNumberFormat="1" applyFont="1" applyFill="1" applyBorder="1" applyAlignment="1">
      <alignment horizontal="center"/>
    </xf>
    <xf numFmtId="2" fontId="0" fillId="8" borderId="68" xfId="0" applyNumberFormat="1" applyFill="1" applyBorder="1" applyAlignment="1">
      <alignment horizontal="center"/>
    </xf>
    <xf numFmtId="167" fontId="75" fillId="19" borderId="68" xfId="4" applyFont="1" applyFill="1" applyBorder="1"/>
    <xf numFmtId="175" fontId="1" fillId="8" borderId="154" xfId="4" applyNumberFormat="1" applyFont="1" applyFill="1" applyBorder="1" applyAlignment="1">
      <alignment horizontal="right"/>
    </xf>
    <xf numFmtId="167" fontId="75" fillId="8" borderId="68" xfId="4" applyFont="1" applyFill="1" applyBorder="1"/>
    <xf numFmtId="0" fontId="0" fillId="0" borderId="79" xfId="0" applyBorder="1" applyAlignment="1">
      <alignment vertical="center"/>
    </xf>
    <xf numFmtId="0" fontId="23" fillId="8" borderId="59" xfId="0" applyFont="1" applyFill="1" applyBorder="1" applyAlignment="1">
      <alignment horizontal="center" vertical="center"/>
    </xf>
    <xf numFmtId="0" fontId="0" fillId="8" borderId="59" xfId="0" applyFill="1" applyBorder="1" applyAlignment="1">
      <alignment horizontal="center" vertical="center"/>
    </xf>
    <xf numFmtId="0" fontId="3" fillId="8" borderId="59" xfId="0" applyFont="1" applyFill="1" applyBorder="1" applyAlignment="1">
      <alignment horizontal="center" vertical="center"/>
    </xf>
    <xf numFmtId="2" fontId="76" fillId="8" borderId="59" xfId="0" applyNumberFormat="1" applyFont="1" applyFill="1" applyBorder="1" applyAlignment="1">
      <alignment horizontal="center" vertical="center"/>
    </xf>
    <xf numFmtId="1" fontId="23" fillId="8" borderId="59" xfId="0" applyNumberFormat="1" applyFont="1" applyFill="1" applyBorder="1" applyAlignment="1">
      <alignment horizontal="center" vertical="center"/>
    </xf>
    <xf numFmtId="172" fontId="74" fillId="8" borderId="59" xfId="0" applyNumberFormat="1" applyFont="1" applyFill="1" applyBorder="1" applyAlignment="1">
      <alignment horizontal="center" vertical="center"/>
    </xf>
    <xf numFmtId="2" fontId="77" fillId="8" borderId="59" xfId="0" applyNumberFormat="1" applyFont="1" applyFill="1" applyBorder="1" applyAlignment="1">
      <alignment horizontal="center" vertical="center"/>
    </xf>
    <xf numFmtId="2" fontId="0" fillId="8" borderId="59" xfId="0" applyNumberFormat="1" applyFill="1" applyBorder="1" applyAlignment="1">
      <alignment horizontal="center"/>
    </xf>
    <xf numFmtId="175" fontId="1" fillId="8" borderId="156" xfId="4" applyNumberFormat="1" applyFont="1" applyFill="1" applyBorder="1" applyAlignment="1">
      <alignment horizontal="right"/>
    </xf>
    <xf numFmtId="0" fontId="23" fillId="8" borderId="64" xfId="0" applyFont="1" applyFill="1" applyBorder="1" applyAlignment="1">
      <alignment horizontal="center" vertical="center"/>
    </xf>
    <xf numFmtId="0" fontId="0" fillId="8" borderId="64" xfId="0" applyFill="1" applyBorder="1" applyAlignment="1">
      <alignment horizontal="center" vertical="center"/>
    </xf>
    <xf numFmtId="0" fontId="3" fillId="8" borderId="64" xfId="0" applyFont="1" applyFill="1" applyBorder="1" applyAlignment="1">
      <alignment horizontal="center" vertical="center"/>
    </xf>
    <xf numFmtId="2" fontId="76" fillId="8" borderId="64" xfId="0" applyNumberFormat="1" applyFont="1" applyFill="1" applyBorder="1" applyAlignment="1">
      <alignment horizontal="center" vertical="center"/>
    </xf>
    <xf numFmtId="1" fontId="23" fillId="8" borderId="64" xfId="0" applyNumberFormat="1" applyFont="1" applyFill="1" applyBorder="1" applyAlignment="1">
      <alignment horizontal="center" vertical="center"/>
    </xf>
    <xf numFmtId="172" fontId="74" fillId="8" borderId="64" xfId="0" applyNumberFormat="1" applyFont="1" applyFill="1" applyBorder="1" applyAlignment="1">
      <alignment horizontal="center" vertical="center"/>
    </xf>
    <xf numFmtId="2" fontId="77" fillId="8" borderId="64" xfId="0" applyNumberFormat="1" applyFont="1" applyFill="1" applyBorder="1" applyAlignment="1">
      <alignment horizontal="center" vertical="center"/>
    </xf>
    <xf numFmtId="2" fontId="0" fillId="8" borderId="64" xfId="0" applyNumberFormat="1" applyFill="1" applyBorder="1" applyAlignment="1">
      <alignment horizontal="center"/>
    </xf>
    <xf numFmtId="167" fontId="40" fillId="8" borderId="64" xfId="4" applyFont="1" applyFill="1" applyBorder="1" applyAlignment="1">
      <alignment horizontal="center"/>
    </xf>
    <xf numFmtId="175" fontId="1" fillId="8" borderId="157" xfId="4" applyNumberFormat="1" applyFont="1" applyFill="1" applyBorder="1" applyAlignment="1">
      <alignment horizontal="right"/>
    </xf>
    <xf numFmtId="0" fontId="40" fillId="25" borderId="65" xfId="0" applyFont="1" applyFill="1" applyBorder="1" applyAlignment="1">
      <alignment vertical="center"/>
    </xf>
    <xf numFmtId="167" fontId="40" fillId="8" borderId="3" xfId="4" applyFont="1" applyFill="1" applyBorder="1" applyAlignment="1">
      <alignment horizontal="center"/>
    </xf>
    <xf numFmtId="0" fontId="47" fillId="13" borderId="128" xfId="13" applyFont="1" applyFill="1" applyBorder="1" applyAlignment="1">
      <alignment vertical="center"/>
    </xf>
    <xf numFmtId="0" fontId="47" fillId="13" borderId="48" xfId="13" applyFont="1" applyFill="1" applyBorder="1" applyAlignment="1">
      <alignment vertical="center"/>
    </xf>
    <xf numFmtId="0" fontId="47" fillId="13" borderId="149" xfId="13" applyFont="1" applyFill="1" applyBorder="1" applyAlignment="1">
      <alignment vertical="center"/>
    </xf>
    <xf numFmtId="0" fontId="47" fillId="13" borderId="151" xfId="13" applyFont="1" applyFill="1" applyBorder="1" applyAlignment="1">
      <alignment vertical="center"/>
    </xf>
    <xf numFmtId="0" fontId="47" fillId="13" borderId="51" xfId="13" applyFont="1" applyFill="1" applyBorder="1" applyAlignment="1">
      <alignment vertical="center"/>
    </xf>
    <xf numFmtId="0" fontId="47" fillId="13" borderId="152" xfId="13" applyFont="1" applyFill="1" applyBorder="1" applyAlignment="1">
      <alignment vertical="center"/>
    </xf>
    <xf numFmtId="0" fontId="1" fillId="13" borderId="17" xfId="13" applyFont="1" applyFill="1" applyBorder="1" applyAlignment="1">
      <alignment horizontal="center" vertical="center" wrapText="1"/>
    </xf>
    <xf numFmtId="0" fontId="1" fillId="13" borderId="31" xfId="13" applyFont="1" applyFill="1" applyBorder="1" applyAlignment="1" applyProtection="1">
      <alignment horizontal="center" vertical="center" wrapText="1"/>
      <protection locked="0"/>
    </xf>
    <xf numFmtId="1" fontId="47" fillId="14" borderId="58" xfId="13" applyNumberFormat="1" applyFont="1" applyFill="1" applyBorder="1" applyAlignment="1" applyProtection="1">
      <alignment horizontal="center" vertical="center" wrapText="1"/>
      <protection locked="0"/>
    </xf>
    <xf numFmtId="0" fontId="47" fillId="14" borderId="59" xfId="13" applyFont="1" applyFill="1" applyBorder="1" applyAlignment="1" applyProtection="1">
      <alignment horizontal="center" vertical="center"/>
      <protection locked="0"/>
    </xf>
    <xf numFmtId="1" fontId="47" fillId="14" borderId="59" xfId="13" applyNumberFormat="1" applyFont="1" applyFill="1" applyBorder="1" applyAlignment="1" applyProtection="1">
      <alignment horizontal="center" vertical="center"/>
      <protection locked="0"/>
    </xf>
    <xf numFmtId="4" fontId="47" fillId="19" borderId="60" xfId="13" applyNumberFormat="1" applyFont="1" applyFill="1" applyBorder="1" applyAlignment="1" applyProtection="1">
      <alignment horizontal="center" vertical="center"/>
      <protection locked="0"/>
    </xf>
    <xf numFmtId="1" fontId="1" fillId="15" borderId="66" xfId="13" applyNumberFormat="1" applyFont="1" applyFill="1" applyBorder="1" applyAlignment="1" applyProtection="1">
      <alignment horizontal="center" vertical="center" wrapText="1"/>
      <protection locked="0"/>
    </xf>
    <xf numFmtId="0" fontId="1" fillId="15" borderId="64" xfId="13" applyFont="1" applyFill="1" applyBorder="1" applyAlignment="1" applyProtection="1">
      <alignment horizontal="center" vertical="center"/>
      <protection locked="0"/>
    </xf>
    <xf numFmtId="1" fontId="1" fillId="15" borderId="64" xfId="13" applyNumberFormat="1" applyFont="1" applyFill="1" applyBorder="1" applyAlignment="1" applyProtection="1">
      <alignment horizontal="center" vertical="center"/>
      <protection locked="0"/>
    </xf>
    <xf numFmtId="1" fontId="1" fillId="15" borderId="15" xfId="13" applyNumberFormat="1" applyFont="1" applyFill="1" applyBorder="1" applyAlignment="1" applyProtection="1">
      <alignment horizontal="center" vertical="center" wrapText="1"/>
      <protection locked="0"/>
    </xf>
    <xf numFmtId="0" fontId="1" fillId="15" borderId="3" xfId="13" applyFont="1" applyFill="1" applyBorder="1" applyAlignment="1" applyProtection="1">
      <alignment horizontal="center" vertical="center"/>
      <protection locked="0"/>
    </xf>
    <xf numFmtId="1" fontId="1" fillId="15" borderId="3" xfId="13" applyNumberFormat="1" applyFont="1" applyFill="1" applyBorder="1" applyAlignment="1" applyProtection="1">
      <alignment horizontal="center" vertical="center"/>
      <protection locked="0"/>
    </xf>
    <xf numFmtId="9" fontId="1" fillId="15" borderId="13" xfId="18" applyFont="1" applyFill="1" applyBorder="1" applyAlignment="1" applyProtection="1">
      <alignment horizontal="center" vertical="center"/>
      <protection locked="0"/>
    </xf>
    <xf numFmtId="173" fontId="1" fillId="15" borderId="67" xfId="18" applyNumberFormat="1" applyFont="1" applyFill="1" applyBorder="1" applyAlignment="1" applyProtection="1">
      <alignment horizontal="center" vertical="center"/>
      <protection locked="0"/>
    </xf>
    <xf numFmtId="0" fontId="2" fillId="13" borderId="93" xfId="13" applyFont="1" applyFill="1" applyBorder="1" applyAlignment="1" applyProtection="1">
      <alignment horizontal="center" vertical="center" wrapText="1"/>
      <protection locked="0"/>
    </xf>
    <xf numFmtId="172" fontId="3" fillId="19" borderId="25" xfId="0" applyNumberFormat="1" applyFont="1" applyFill="1" applyBorder="1" applyAlignment="1">
      <alignment horizontal="center"/>
    </xf>
    <xf numFmtId="173" fontId="79" fillId="23" borderId="3" xfId="0" applyNumberFormat="1" applyFont="1" applyFill="1" applyBorder="1" applyAlignment="1">
      <alignment horizontal="center" vertical="center"/>
    </xf>
    <xf numFmtId="0" fontId="80" fillId="25" borderId="76" xfId="0" applyFont="1" applyFill="1" applyBorder="1" applyAlignment="1">
      <alignment vertical="center" wrapText="1"/>
    </xf>
    <xf numFmtId="2" fontId="0" fillId="8" borderId="0" xfId="0" applyNumberFormat="1" applyFill="1" applyAlignment="1">
      <alignment horizontal="center"/>
    </xf>
    <xf numFmtId="0" fontId="83" fillId="25" borderId="88" xfId="0" applyFont="1" applyFill="1" applyBorder="1" applyAlignment="1">
      <alignment vertical="center"/>
    </xf>
    <xf numFmtId="0" fontId="0" fillId="8" borderId="68" xfId="0" applyFill="1" applyBorder="1"/>
    <xf numFmtId="0" fontId="3" fillId="8" borderId="68" xfId="0" applyFont="1" applyFill="1" applyBorder="1"/>
    <xf numFmtId="0" fontId="1" fillId="8" borderId="59" xfId="0" applyFont="1" applyFill="1" applyBorder="1" applyAlignment="1">
      <alignment horizontal="center" vertical="center"/>
    </xf>
    <xf numFmtId="0" fontId="1" fillId="8" borderId="64" xfId="0" applyFont="1" applyFill="1" applyBorder="1" applyAlignment="1">
      <alignment horizontal="center" vertical="center"/>
    </xf>
    <xf numFmtId="0" fontId="83" fillId="25" borderId="65" xfId="0" applyFont="1" applyFill="1" applyBorder="1" applyAlignment="1">
      <alignment vertical="center"/>
    </xf>
    <xf numFmtId="0" fontId="0" fillId="0" borderId="158" xfId="0" applyBorder="1"/>
    <xf numFmtId="0" fontId="0" fillId="0" borderId="159" xfId="0" applyBorder="1"/>
    <xf numFmtId="0" fontId="85" fillId="0" borderId="73" xfId="0" applyFont="1" applyBorder="1" applyAlignment="1">
      <alignment horizontal="right" vertical="center"/>
    </xf>
    <xf numFmtId="2" fontId="86" fillId="8" borderId="57" xfId="0" applyNumberFormat="1" applyFont="1" applyFill="1" applyBorder="1" applyAlignment="1">
      <alignment horizontal="center" vertical="center"/>
    </xf>
    <xf numFmtId="2" fontId="77" fillId="8" borderId="26" xfId="0" applyNumberFormat="1" applyFont="1" applyFill="1" applyBorder="1" applyAlignment="1">
      <alignment horizontal="center" vertical="center"/>
    </xf>
    <xf numFmtId="167" fontId="40" fillId="8" borderId="0" xfId="4" applyFont="1" applyFill="1" applyBorder="1" applyAlignment="1">
      <alignment horizontal="right"/>
    </xf>
    <xf numFmtId="0" fontId="0" fillId="0" borderId="160" xfId="0" applyBorder="1"/>
    <xf numFmtId="0" fontId="85" fillId="0" borderId="121" xfId="0" applyFont="1" applyBorder="1" applyAlignment="1">
      <alignment horizontal="right" vertical="center"/>
    </xf>
    <xf numFmtId="0" fontId="72" fillId="25" borderId="144" xfId="0" applyFont="1" applyFill="1" applyBorder="1" applyAlignment="1">
      <alignment horizontal="left" vertical="center"/>
    </xf>
    <xf numFmtId="2" fontId="76" fillId="8" borderId="68" xfId="0" applyNumberFormat="1" applyFont="1" applyFill="1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160" xfId="0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47" fillId="13" borderId="126" xfId="13" applyFont="1" applyFill="1" applyBorder="1" applyAlignment="1">
      <alignment vertical="center"/>
    </xf>
    <xf numFmtId="0" fontId="47" fillId="13" borderId="0" xfId="13" applyFont="1" applyFill="1" applyAlignment="1">
      <alignment vertical="center"/>
    </xf>
    <xf numFmtId="0" fontId="47" fillId="13" borderId="150" xfId="13" applyFont="1" applyFill="1" applyBorder="1" applyAlignment="1">
      <alignment vertical="center"/>
    </xf>
    <xf numFmtId="0" fontId="3" fillId="13" borderId="162" xfId="13" applyFont="1" applyFill="1" applyBorder="1" applyAlignment="1">
      <alignment horizontal="center"/>
    </xf>
    <xf numFmtId="0" fontId="3" fillId="13" borderId="126" xfId="13" applyFont="1" applyFill="1" applyBorder="1" applyAlignment="1">
      <alignment horizontal="center"/>
    </xf>
    <xf numFmtId="0" fontId="3" fillId="13" borderId="150" xfId="13" applyFont="1" applyFill="1" applyBorder="1" applyAlignment="1">
      <alignment horizontal="center"/>
    </xf>
    <xf numFmtId="0" fontId="3" fillId="13" borderId="134" xfId="13" applyFont="1" applyFill="1" applyBorder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72" fillId="25" borderId="163" xfId="0" applyFont="1" applyFill="1" applyBorder="1" applyAlignment="1">
      <alignment horizontal="center" vertical="center"/>
    </xf>
    <xf numFmtId="0" fontId="1" fillId="8" borderId="73" xfId="0" applyFont="1" applyFill="1" applyBorder="1" applyAlignment="1">
      <alignment horizontal="center"/>
    </xf>
    <xf numFmtId="0" fontId="1" fillId="8" borderId="127" xfId="0" applyFont="1" applyFill="1" applyBorder="1" applyAlignment="1">
      <alignment horizontal="center" vertical="center"/>
    </xf>
    <xf numFmtId="0" fontId="1" fillId="8" borderId="70" xfId="0" applyFont="1" applyFill="1" applyBorder="1" applyAlignment="1">
      <alignment horizontal="center" vertical="center"/>
    </xf>
    <xf numFmtId="0" fontId="72" fillId="25" borderId="70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/>
    </xf>
    <xf numFmtId="2" fontId="82" fillId="8" borderId="25" xfId="0" applyNumberFormat="1" applyFont="1" applyFill="1" applyBorder="1" applyAlignment="1">
      <alignment horizontal="left"/>
    </xf>
    <xf numFmtId="2" fontId="74" fillId="8" borderId="57" xfId="0" applyNumberFormat="1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80" fillId="8" borderId="26" xfId="0" applyFont="1" applyFill="1" applyBorder="1"/>
    <xf numFmtId="2" fontId="77" fillId="8" borderId="125" xfId="0" applyNumberFormat="1" applyFont="1" applyFill="1" applyBorder="1" applyAlignment="1">
      <alignment horizontal="center" vertical="center"/>
    </xf>
    <xf numFmtId="2" fontId="0" fillId="8" borderId="40" xfId="0" applyNumberFormat="1" applyFill="1" applyBorder="1" applyAlignment="1">
      <alignment horizontal="center"/>
    </xf>
    <xf numFmtId="0" fontId="73" fillId="25" borderId="72" xfId="0" applyFont="1" applyFill="1" applyBorder="1" applyAlignment="1">
      <alignment horizontal="center" vertical="center"/>
    </xf>
    <xf numFmtId="1" fontId="88" fillId="19" borderId="25" xfId="0" applyNumberFormat="1" applyFont="1" applyFill="1" applyBorder="1" applyAlignment="1">
      <alignment horizontal="center"/>
    </xf>
    <xf numFmtId="2" fontId="1" fillId="8" borderId="26" xfId="0" applyNumberFormat="1" applyFont="1" applyFill="1" applyBorder="1" applyAlignment="1">
      <alignment horizontal="left"/>
    </xf>
    <xf numFmtId="2" fontId="74" fillId="8" borderId="125" xfId="0" applyNumberFormat="1" applyFont="1" applyFill="1" applyBorder="1" applyAlignment="1">
      <alignment horizontal="center"/>
    </xf>
    <xf numFmtId="0" fontId="42" fillId="19" borderId="170" xfId="0" applyFont="1" applyFill="1" applyBorder="1" applyAlignment="1">
      <alignment horizontal="center" vertical="center"/>
    </xf>
    <xf numFmtId="2" fontId="87" fillId="8" borderId="57" xfId="0" applyNumberFormat="1" applyFont="1" applyFill="1" applyBorder="1" applyAlignment="1">
      <alignment horizontal="left"/>
    </xf>
    <xf numFmtId="14" fontId="81" fillId="8" borderId="171" xfId="0" applyNumberFormat="1" applyFont="1" applyFill="1" applyBorder="1" applyAlignment="1">
      <alignment horizontal="center"/>
    </xf>
    <xf numFmtId="1" fontId="88" fillId="19" borderId="3" xfId="0" applyNumberFormat="1" applyFont="1" applyFill="1" applyBorder="1" applyAlignment="1">
      <alignment horizontal="center"/>
    </xf>
    <xf numFmtId="2" fontId="89" fillId="8" borderId="39" xfId="0" applyNumberFormat="1" applyFont="1" applyFill="1" applyBorder="1" applyAlignment="1">
      <alignment horizontal="left" vertical="center"/>
    </xf>
    <xf numFmtId="1" fontId="88" fillId="8" borderId="68" xfId="0" applyNumberFormat="1" applyFont="1" applyFill="1" applyBorder="1" applyAlignment="1">
      <alignment horizontal="center"/>
    </xf>
    <xf numFmtId="1" fontId="88" fillId="8" borderId="3" xfId="0" applyNumberFormat="1" applyFont="1" applyFill="1" applyBorder="1" applyAlignment="1">
      <alignment horizontal="center"/>
    </xf>
    <xf numFmtId="0" fontId="1" fillId="8" borderId="0" xfId="0" applyFont="1" applyFill="1" applyAlignment="1">
      <alignment horizontal="center"/>
    </xf>
    <xf numFmtId="0" fontId="23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/>
    </xf>
    <xf numFmtId="0" fontId="3" fillId="8" borderId="160" xfId="0" applyFont="1" applyFill="1" applyBorder="1"/>
    <xf numFmtId="167" fontId="75" fillId="8" borderId="0" xfId="4" applyFont="1" applyFill="1" applyBorder="1" applyAlignment="1">
      <alignment horizontal="right"/>
    </xf>
    <xf numFmtId="175" fontId="84" fillId="8" borderId="79" xfId="4" applyNumberFormat="1" applyFont="1" applyFill="1" applyBorder="1" applyAlignment="1">
      <alignment horizontal="right"/>
    </xf>
    <xf numFmtId="172" fontId="90" fillId="19" borderId="3" xfId="0" applyNumberFormat="1" applyFont="1" applyFill="1" applyBorder="1" applyAlignment="1">
      <alignment horizontal="center"/>
    </xf>
    <xf numFmtId="0" fontId="1" fillId="19" borderId="0" xfId="0" applyFont="1" applyFill="1"/>
    <xf numFmtId="0" fontId="3" fillId="19" borderId="0" xfId="0" applyFont="1" applyFill="1" applyAlignment="1">
      <alignment horizontal="center" vertical="center"/>
    </xf>
    <xf numFmtId="0" fontId="3" fillId="19" borderId="126" xfId="0" applyFont="1" applyFill="1" applyBorder="1"/>
    <xf numFmtId="1" fontId="53" fillId="19" borderId="0" xfId="0" applyNumberFormat="1" applyFont="1" applyFill="1" applyAlignment="1">
      <alignment horizontal="center"/>
    </xf>
    <xf numFmtId="9" fontId="53" fillId="19" borderId="69" xfId="0" applyNumberFormat="1" applyFont="1" applyFill="1" applyBorder="1" applyAlignment="1">
      <alignment horizontal="center"/>
    </xf>
    <xf numFmtId="0" fontId="78" fillId="0" borderId="39" xfId="0" applyFont="1" applyBorder="1" applyAlignment="1">
      <alignment horizontal="left" vertical="center"/>
    </xf>
    <xf numFmtId="172" fontId="23" fillId="19" borderId="25" xfId="0" applyNumberFormat="1" applyFont="1" applyFill="1" applyBorder="1" applyAlignment="1">
      <alignment horizontal="center"/>
    </xf>
    <xf numFmtId="0" fontId="1" fillId="0" borderId="125" xfId="0" applyFont="1" applyBorder="1"/>
    <xf numFmtId="0" fontId="1" fillId="0" borderId="40" xfId="0" applyFont="1" applyBorder="1"/>
    <xf numFmtId="0" fontId="92" fillId="0" borderId="126" xfId="0" applyFont="1" applyBorder="1"/>
    <xf numFmtId="0" fontId="1" fillId="0" borderId="150" xfId="0" applyFont="1" applyBorder="1"/>
    <xf numFmtId="0" fontId="1" fillId="0" borderId="126" xfId="0" applyFont="1" applyBorder="1"/>
    <xf numFmtId="0" fontId="91" fillId="0" borderId="126" xfId="0" applyFont="1" applyBorder="1"/>
    <xf numFmtId="0" fontId="1" fillId="19" borderId="26" xfId="0" applyFont="1" applyFill="1" applyBorder="1"/>
    <xf numFmtId="0" fontId="91" fillId="0" borderId="126" xfId="0" applyFont="1" applyBorder="1" applyAlignment="1">
      <alignment vertical="center"/>
    </xf>
    <xf numFmtId="0" fontId="91" fillId="19" borderId="126" xfId="0" applyFont="1" applyFill="1" applyBorder="1" applyAlignment="1">
      <alignment vertical="center"/>
    </xf>
    <xf numFmtId="0" fontId="91" fillId="0" borderId="65" xfId="0" applyFont="1" applyBorder="1"/>
    <xf numFmtId="0" fontId="93" fillId="0" borderId="69" xfId="0" applyFont="1" applyBorder="1" applyAlignment="1">
      <alignment horizontal="right"/>
    </xf>
    <xf numFmtId="172" fontId="93" fillId="19" borderId="69" xfId="0" applyNumberFormat="1" applyFont="1" applyFill="1" applyBorder="1" applyAlignment="1">
      <alignment horizontal="center"/>
    </xf>
    <xf numFmtId="0" fontId="3" fillId="0" borderId="69" xfId="0" applyFont="1" applyBorder="1" applyAlignment="1">
      <alignment horizontal="center"/>
    </xf>
    <xf numFmtId="0" fontId="1" fillId="0" borderId="69" xfId="0" applyFont="1" applyBorder="1"/>
    <xf numFmtId="0" fontId="1" fillId="0" borderId="70" xfId="0" applyFont="1" applyBorder="1"/>
    <xf numFmtId="0" fontId="1" fillId="19" borderId="126" xfId="0" applyFont="1" applyFill="1" applyBorder="1" applyAlignment="1">
      <alignment horizontal="right"/>
    </xf>
    <xf numFmtId="9" fontId="53" fillId="19" borderId="3" xfId="0" applyNumberFormat="1" applyFont="1" applyFill="1" applyBorder="1" applyAlignment="1">
      <alignment horizontal="center"/>
    </xf>
    <xf numFmtId="1" fontId="96" fillId="19" borderId="3" xfId="0" applyNumberFormat="1" applyFont="1" applyFill="1" applyBorder="1" applyAlignment="1">
      <alignment horizontal="center"/>
    </xf>
    <xf numFmtId="0" fontId="97" fillId="19" borderId="126" xfId="0" applyFont="1" applyFill="1" applyBorder="1" applyAlignment="1">
      <alignment vertical="center"/>
    </xf>
    <xf numFmtId="0" fontId="88" fillId="19" borderId="0" xfId="0" applyFont="1" applyFill="1" applyAlignment="1">
      <alignment vertical="center"/>
    </xf>
    <xf numFmtId="0" fontId="98" fillId="19" borderId="126" xfId="0" applyFont="1" applyFill="1" applyBorder="1" applyAlignment="1">
      <alignment vertical="center"/>
    </xf>
    <xf numFmtId="0" fontId="99" fillId="19" borderId="0" xfId="0" applyFont="1" applyFill="1" applyAlignment="1">
      <alignment vertical="center"/>
    </xf>
    <xf numFmtId="0" fontId="100" fillId="0" borderId="126" xfId="0" applyFont="1" applyBorder="1"/>
    <xf numFmtId="172" fontId="3" fillId="23" borderId="3" xfId="0" applyNumberFormat="1" applyFont="1" applyFill="1" applyBorder="1" applyAlignment="1">
      <alignment horizontal="center" vertical="center"/>
    </xf>
    <xf numFmtId="0" fontId="3" fillId="23" borderId="3" xfId="0" applyFont="1" applyFill="1" applyBorder="1" applyAlignment="1">
      <alignment horizontal="left" vertical="center" wrapText="1"/>
    </xf>
    <xf numFmtId="0" fontId="1" fillId="26" borderId="3" xfId="0" applyFont="1" applyFill="1" applyBorder="1" applyAlignment="1">
      <alignment horizontal="center" vertical="center"/>
    </xf>
    <xf numFmtId="0" fontId="65" fillId="26" borderId="25" xfId="0" applyFont="1" applyFill="1" applyBorder="1" applyAlignment="1">
      <alignment horizontal="left" vertical="center" wrapText="1"/>
    </xf>
    <xf numFmtId="0" fontId="1" fillId="15" borderId="25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55" fillId="15" borderId="3" xfId="0" applyFont="1" applyFill="1" applyBorder="1" applyAlignment="1">
      <alignment horizontal="center" vertical="center"/>
    </xf>
    <xf numFmtId="173" fontId="55" fillId="15" borderId="3" xfId="0" applyNumberFormat="1" applyFont="1" applyFill="1" applyBorder="1" applyAlignment="1">
      <alignment horizontal="center" vertical="center"/>
    </xf>
    <xf numFmtId="164" fontId="65" fillId="15" borderId="3" xfId="0" applyNumberFormat="1" applyFont="1" applyFill="1" applyBorder="1" applyAlignment="1">
      <alignment horizontal="center" vertical="center"/>
    </xf>
    <xf numFmtId="0" fontId="1" fillId="27" borderId="3" xfId="0" applyFont="1" applyFill="1" applyBorder="1" applyAlignment="1">
      <alignment horizontal="center" vertical="center"/>
    </xf>
    <xf numFmtId="0" fontId="3" fillId="27" borderId="25" xfId="0" applyFont="1" applyFill="1" applyBorder="1" applyAlignment="1">
      <alignment horizontal="left" vertical="center" wrapText="1"/>
    </xf>
    <xf numFmtId="0" fontId="1" fillId="27" borderId="25" xfId="0" applyFont="1" applyFill="1" applyBorder="1" applyAlignment="1">
      <alignment horizontal="center" vertical="center"/>
    </xf>
    <xf numFmtId="164" fontId="102" fillId="15" borderId="3" xfId="0" applyNumberFormat="1" applyFont="1" applyFill="1" applyBorder="1" applyAlignment="1">
      <alignment horizontal="center" vertical="center"/>
    </xf>
    <xf numFmtId="173" fontId="90" fillId="19" borderId="3" xfId="0" applyNumberFormat="1" applyFont="1" applyFill="1" applyBorder="1" applyAlignment="1">
      <alignment horizontal="center"/>
    </xf>
    <xf numFmtId="0" fontId="33" fillId="8" borderId="0" xfId="0" applyFont="1" applyFill="1" applyAlignment="1">
      <alignment horizontal="left" vertical="center"/>
    </xf>
    <xf numFmtId="0" fontId="1" fillId="19" borderId="0" xfId="0" applyFont="1" applyFill="1" applyAlignment="1">
      <alignment horizontal="center" vertical="center"/>
    </xf>
    <xf numFmtId="172" fontId="103" fillId="19" borderId="0" xfId="0" applyNumberFormat="1" applyFont="1" applyFill="1" applyAlignment="1">
      <alignment horizontal="center" vertical="center"/>
    </xf>
    <xf numFmtId="0" fontId="73" fillId="25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79" fillId="0" borderId="0" xfId="0" applyFont="1"/>
    <xf numFmtId="0" fontId="0" fillId="19" borderId="0" xfId="0" applyFill="1"/>
    <xf numFmtId="0" fontId="1" fillId="19" borderId="0" xfId="0" applyFont="1" applyFill="1" applyAlignment="1">
      <alignment horizontal="right"/>
    </xf>
    <xf numFmtId="0" fontId="13" fillId="0" borderId="3" xfId="0" applyFont="1" applyBorder="1" applyAlignment="1">
      <alignment horizontal="center"/>
    </xf>
    <xf numFmtId="0" fontId="104" fillId="8" borderId="122" xfId="0" applyFont="1" applyFill="1" applyBorder="1" applyAlignment="1">
      <alignment horizontal="center" vertical="center"/>
    </xf>
    <xf numFmtId="0" fontId="104" fillId="17" borderId="59" xfId="0" applyFont="1" applyFill="1" applyBorder="1" applyAlignment="1">
      <alignment horizontal="center"/>
    </xf>
    <xf numFmtId="0" fontId="104" fillId="17" borderId="59" xfId="0" applyFont="1" applyFill="1" applyBorder="1"/>
    <xf numFmtId="12" fontId="104" fillId="17" borderId="59" xfId="0" applyNumberFormat="1" applyFont="1" applyFill="1" applyBorder="1" applyAlignment="1">
      <alignment horizontal="center"/>
    </xf>
    <xf numFmtId="0" fontId="105" fillId="17" borderId="59" xfId="0" applyFont="1" applyFill="1" applyBorder="1"/>
    <xf numFmtId="2" fontId="104" fillId="17" borderId="59" xfId="0" applyNumberFormat="1" applyFont="1" applyFill="1" applyBorder="1" applyAlignment="1">
      <alignment horizontal="center"/>
    </xf>
    <xf numFmtId="1" fontId="104" fillId="17" borderId="59" xfId="0" applyNumberFormat="1" applyFont="1" applyFill="1" applyBorder="1" applyAlignment="1">
      <alignment horizontal="center"/>
    </xf>
    <xf numFmtId="2" fontId="13" fillId="8" borderId="91" xfId="0" applyNumberFormat="1" applyFont="1" applyFill="1" applyBorder="1" applyAlignment="1">
      <alignment horizontal="left"/>
    </xf>
    <xf numFmtId="2" fontId="13" fillId="8" borderId="45" xfId="0" applyNumberFormat="1" applyFont="1" applyFill="1" applyBorder="1" applyAlignment="1">
      <alignment horizontal="center"/>
    </xf>
    <xf numFmtId="2" fontId="104" fillId="17" borderId="59" xfId="0" applyNumberFormat="1" applyFont="1" applyFill="1" applyBorder="1" applyAlignment="1">
      <alignment horizontal="center" vertical="center"/>
    </xf>
    <xf numFmtId="2" fontId="106" fillId="8" borderId="81" xfId="0" applyNumberFormat="1" applyFont="1" applyFill="1" applyBorder="1" applyAlignment="1">
      <alignment horizontal="left"/>
    </xf>
    <xf numFmtId="0" fontId="104" fillId="17" borderId="91" xfId="0" applyFont="1" applyFill="1" applyBorder="1" applyAlignment="1">
      <alignment horizontal="center"/>
    </xf>
    <xf numFmtId="0" fontId="104" fillId="17" borderId="91" xfId="0" applyFont="1" applyFill="1" applyBorder="1"/>
    <xf numFmtId="12" fontId="104" fillId="17" borderId="91" xfId="0" applyNumberFormat="1" applyFont="1" applyFill="1" applyBorder="1" applyAlignment="1">
      <alignment horizontal="center" vertical="center"/>
    </xf>
    <xf numFmtId="0" fontId="105" fillId="17" borderId="91" xfId="0" applyFont="1" applyFill="1" applyBorder="1"/>
    <xf numFmtId="2" fontId="104" fillId="17" borderId="91" xfId="0" applyNumberFormat="1" applyFont="1" applyFill="1" applyBorder="1" applyAlignment="1">
      <alignment horizontal="center"/>
    </xf>
    <xf numFmtId="1" fontId="104" fillId="17" borderId="91" xfId="0" applyNumberFormat="1" applyFont="1" applyFill="1" applyBorder="1" applyAlignment="1">
      <alignment horizontal="center"/>
    </xf>
    <xf numFmtId="2" fontId="13" fillId="8" borderId="91" xfId="0" applyNumberFormat="1" applyFont="1" applyFill="1" applyBorder="1" applyAlignment="1">
      <alignment horizontal="center"/>
    </xf>
    <xf numFmtId="2" fontId="106" fillId="8" borderId="155" xfId="0" applyNumberFormat="1" applyFont="1" applyFill="1" applyBorder="1" applyAlignment="1">
      <alignment horizontal="left" vertical="center"/>
    </xf>
    <xf numFmtId="0" fontId="55" fillId="0" borderId="0" xfId="0" applyFont="1"/>
    <xf numFmtId="0" fontId="13" fillId="0" borderId="0" xfId="0" applyFont="1" applyAlignment="1">
      <alignment horizontal="center"/>
    </xf>
    <xf numFmtId="173" fontId="107" fillId="23" borderId="25" xfId="0" applyNumberFormat="1" applyFont="1" applyFill="1" applyBorder="1" applyAlignment="1">
      <alignment horizontal="center" vertical="center"/>
    </xf>
    <xf numFmtId="0" fontId="14" fillId="23" borderId="3" xfId="0" applyFont="1" applyFill="1" applyBorder="1" applyAlignment="1">
      <alignment horizontal="right" vertical="center"/>
    </xf>
    <xf numFmtId="0" fontId="1" fillId="23" borderId="0" xfId="0" applyFont="1" applyFill="1" applyAlignment="1">
      <alignment horizontal="center" vertical="center"/>
    </xf>
    <xf numFmtId="0" fontId="3" fillId="23" borderId="0" xfId="0" applyFont="1" applyFill="1" applyAlignment="1">
      <alignment horizontal="right" vertical="center" wrapText="1"/>
    </xf>
    <xf numFmtId="4" fontId="1" fillId="23" borderId="0" xfId="0" applyNumberFormat="1" applyFont="1" applyFill="1" applyAlignment="1">
      <alignment horizontal="center" vertical="center"/>
    </xf>
    <xf numFmtId="0" fontId="3" fillId="23" borderId="0" xfId="0" applyFont="1" applyFill="1" applyAlignment="1">
      <alignment horizontal="right" vertical="center"/>
    </xf>
    <xf numFmtId="172" fontId="3" fillId="23" borderId="0" xfId="0" applyNumberFormat="1" applyFont="1" applyFill="1" applyAlignment="1">
      <alignment horizontal="center" vertical="center"/>
    </xf>
    <xf numFmtId="173" fontId="79" fillId="23" borderId="0" xfId="0" applyNumberFormat="1" applyFont="1" applyFill="1" applyAlignment="1">
      <alignment horizontal="center" vertical="center"/>
    </xf>
    <xf numFmtId="164" fontId="3" fillId="23" borderId="0" xfId="0" applyNumberFormat="1" applyFont="1" applyFill="1" applyAlignment="1">
      <alignment horizontal="center" vertical="center"/>
    </xf>
    <xf numFmtId="0" fontId="53" fillId="28" borderId="25" xfId="0" applyFont="1" applyFill="1" applyBorder="1" applyAlignment="1">
      <alignment horizontal="left" vertical="center" wrapText="1"/>
    </xf>
    <xf numFmtId="172" fontId="108" fillId="15" borderId="3" xfId="0" applyNumberFormat="1" applyFont="1" applyFill="1" applyBorder="1" applyAlignment="1">
      <alignment horizontal="center" vertical="center"/>
    </xf>
    <xf numFmtId="0" fontId="40" fillId="0" borderId="0" xfId="0" applyFont="1"/>
    <xf numFmtId="0" fontId="1" fillId="0" borderId="0" xfId="0" applyFont="1" applyAlignment="1">
      <alignment horizontal="right"/>
    </xf>
    <xf numFmtId="172" fontId="101" fillId="19" borderId="125" xfId="0" applyNumberFormat="1" applyFont="1" applyFill="1" applyBorder="1" applyAlignment="1">
      <alignment horizontal="center"/>
    </xf>
    <xf numFmtId="0" fontId="1" fillId="19" borderId="40" xfId="0" applyFont="1" applyFill="1" applyBorder="1"/>
    <xf numFmtId="2" fontId="87" fillId="19" borderId="65" xfId="0" applyNumberFormat="1" applyFont="1" applyFill="1" applyBorder="1" applyAlignment="1">
      <alignment horizontal="centerContinuous" vertical="center"/>
    </xf>
    <xf numFmtId="2" fontId="87" fillId="19" borderId="69" xfId="0" applyNumberFormat="1" applyFont="1" applyFill="1" applyBorder="1" applyAlignment="1">
      <alignment horizontal="centerContinuous" vertical="center"/>
    </xf>
    <xf numFmtId="2" fontId="87" fillId="19" borderId="69" xfId="0" applyNumberFormat="1" applyFont="1" applyFill="1" applyBorder="1" applyAlignment="1">
      <alignment horizontal="right" vertical="center"/>
    </xf>
    <xf numFmtId="172" fontId="101" fillId="19" borderId="69" xfId="0" applyNumberFormat="1" applyFont="1" applyFill="1" applyBorder="1" applyAlignment="1">
      <alignment horizontal="center"/>
    </xf>
    <xf numFmtId="0" fontId="1" fillId="19" borderId="70" xfId="0" applyFont="1" applyFill="1" applyBorder="1"/>
    <xf numFmtId="2" fontId="87" fillId="8" borderId="0" xfId="0" applyNumberFormat="1" applyFont="1" applyFill="1" applyAlignment="1">
      <alignment horizontal="centerContinuous" vertical="center"/>
    </xf>
    <xf numFmtId="2" fontId="87" fillId="8" borderId="0" xfId="0" applyNumberFormat="1" applyFont="1" applyFill="1" applyAlignment="1">
      <alignment horizontal="right" vertical="center"/>
    </xf>
    <xf numFmtId="172" fontId="101" fillId="8" borderId="0" xfId="0" applyNumberFormat="1" applyFont="1" applyFill="1" applyAlignment="1">
      <alignment horizontal="center"/>
    </xf>
    <xf numFmtId="0" fontId="1" fillId="8" borderId="0" xfId="0" applyFont="1" applyFill="1"/>
    <xf numFmtId="0" fontId="4" fillId="19" borderId="104" xfId="0" applyFont="1" applyFill="1" applyBorder="1" applyAlignment="1">
      <alignment vertical="center"/>
    </xf>
    <xf numFmtId="4" fontId="4" fillId="19" borderId="28" xfId="0" applyNumberFormat="1" applyFont="1" applyFill="1" applyBorder="1" applyAlignment="1">
      <alignment horizontal="center" vertical="center"/>
    </xf>
    <xf numFmtId="4" fontId="4" fillId="19" borderId="105" xfId="0" applyNumberFormat="1" applyFont="1" applyFill="1" applyBorder="1" applyAlignment="1">
      <alignment horizontal="center" vertical="center"/>
    </xf>
    <xf numFmtId="0" fontId="0" fillId="0" borderId="172" xfId="0" applyBorder="1"/>
    <xf numFmtId="0" fontId="2" fillId="13" borderId="154" xfId="13" applyFont="1" applyFill="1" applyBorder="1" applyAlignment="1" applyProtection="1">
      <alignment horizontal="center" vertical="center"/>
      <protection locked="0"/>
    </xf>
    <xf numFmtId="4" fontId="31" fillId="14" borderId="154" xfId="13" applyNumberFormat="1" applyFont="1" applyFill="1" applyBorder="1" applyAlignment="1">
      <alignment horizontal="center" vertical="center"/>
    </xf>
    <xf numFmtId="4" fontId="2" fillId="15" borderId="154" xfId="13" applyNumberFormat="1" applyFont="1" applyFill="1" applyBorder="1" applyAlignment="1">
      <alignment horizontal="center" vertical="center"/>
    </xf>
    <xf numFmtId="4" fontId="2" fillId="13" borderId="154" xfId="13" applyNumberFormat="1" applyFont="1" applyFill="1" applyBorder="1" applyAlignment="1">
      <alignment horizontal="center" vertical="center"/>
    </xf>
    <xf numFmtId="1" fontId="31" fillId="14" borderId="90" xfId="13" applyNumberFormat="1" applyFont="1" applyFill="1" applyBorder="1" applyAlignment="1" applyProtection="1">
      <alignment horizontal="center" vertical="center" wrapText="1"/>
      <protection locked="0"/>
    </xf>
    <xf numFmtId="0" fontId="31" fillId="14" borderId="91" xfId="13" applyFont="1" applyFill="1" applyBorder="1" applyAlignment="1" applyProtection="1">
      <alignment vertical="center" wrapText="1"/>
      <protection locked="0"/>
    </xf>
    <xf numFmtId="1" fontId="31" fillId="14" borderId="91" xfId="13" applyNumberFormat="1" applyFont="1" applyFill="1" applyBorder="1" applyAlignment="1">
      <alignment horizontal="center" vertical="center"/>
    </xf>
    <xf numFmtId="4" fontId="31" fillId="14" borderId="91" xfId="4" applyNumberFormat="1" applyFont="1" applyFill="1" applyBorder="1" applyAlignment="1" applyProtection="1">
      <alignment horizontal="center" vertical="center"/>
    </xf>
    <xf numFmtId="4" fontId="31" fillId="14" borderId="155" xfId="13" applyNumberFormat="1" applyFont="1" applyFill="1" applyBorder="1" applyAlignment="1" applyProtection="1">
      <alignment horizontal="center" vertical="center"/>
      <protection locked="0"/>
    </xf>
    <xf numFmtId="1" fontId="2" fillId="13" borderId="108" xfId="13" applyNumberFormat="1" applyFont="1" applyFill="1" applyBorder="1" applyAlignment="1" applyProtection="1">
      <alignment horizontal="center" vertical="center" wrapText="1"/>
      <protection locked="0"/>
    </xf>
    <xf numFmtId="0" fontId="2" fillId="13" borderId="72" xfId="13" applyFont="1" applyFill="1" applyBorder="1" applyAlignment="1" applyProtection="1">
      <alignment vertical="center" wrapText="1"/>
      <protection locked="0"/>
    </xf>
    <xf numFmtId="0" fontId="2" fillId="13" borderId="72" xfId="13" applyFont="1" applyFill="1" applyBorder="1" applyAlignment="1" applyProtection="1">
      <alignment horizontal="center" vertical="center"/>
      <protection locked="0"/>
    </xf>
    <xf numFmtId="1" fontId="36" fillId="13" borderId="72" xfId="13" applyNumberFormat="1" applyFont="1" applyFill="1" applyBorder="1" applyAlignment="1" applyProtection="1">
      <alignment horizontal="center" vertical="center"/>
      <protection locked="0"/>
    </xf>
    <xf numFmtId="4" fontId="37" fillId="13" borderId="72" xfId="4" applyNumberFormat="1" applyFont="1" applyFill="1" applyBorder="1" applyAlignment="1" applyProtection="1">
      <alignment horizontal="center" vertical="center"/>
      <protection locked="0"/>
    </xf>
    <xf numFmtId="4" fontId="2" fillId="13" borderId="72" xfId="13" applyNumberFormat="1" applyFont="1" applyFill="1" applyBorder="1" applyAlignment="1">
      <alignment horizontal="center" vertical="center"/>
    </xf>
    <xf numFmtId="0" fontId="109" fillId="0" borderId="0" xfId="0" applyFont="1" applyAlignment="1">
      <alignment horizontal="center" vertical="center"/>
    </xf>
    <xf numFmtId="0" fontId="109" fillId="0" borderId="0" xfId="0" applyFont="1" applyAlignment="1">
      <alignment horizontal="left" vertical="center"/>
    </xf>
    <xf numFmtId="0" fontId="110" fillId="0" borderId="0" xfId="0" applyFont="1" applyAlignment="1">
      <alignment horizontal="center" vertical="center"/>
    </xf>
    <xf numFmtId="0" fontId="109" fillId="8" borderId="0" xfId="0" applyFont="1" applyFill="1" applyAlignment="1">
      <alignment horizontal="center" vertical="center"/>
    </xf>
    <xf numFmtId="0" fontId="112" fillId="0" borderId="68" xfId="0" applyFont="1" applyBorder="1"/>
    <xf numFmtId="0" fontId="114" fillId="0" borderId="0" xfId="0" applyFont="1"/>
    <xf numFmtId="0" fontId="115" fillId="0" borderId="0" xfId="0" applyFont="1"/>
    <xf numFmtId="0" fontId="117" fillId="0" borderId="64" xfId="0" applyFont="1" applyBorder="1"/>
    <xf numFmtId="0" fontId="117" fillId="0" borderId="70" xfId="0" applyFont="1" applyBorder="1"/>
    <xf numFmtId="0" fontId="117" fillId="0" borderId="26" xfId="0" applyFont="1" applyBorder="1"/>
    <xf numFmtId="0" fontId="115" fillId="0" borderId="64" xfId="0" applyFont="1" applyBorder="1"/>
    <xf numFmtId="0" fontId="115" fillId="0" borderId="70" xfId="0" applyFont="1" applyBorder="1"/>
    <xf numFmtId="0" fontId="115" fillId="24" borderId="70" xfId="0" applyFont="1" applyFill="1" applyBorder="1"/>
    <xf numFmtId="4" fontId="117" fillId="0" borderId="70" xfId="0" applyNumberFormat="1" applyFont="1" applyBorder="1"/>
    <xf numFmtId="0" fontId="115" fillId="24" borderId="64" xfId="0" applyFont="1" applyFill="1" applyBorder="1"/>
    <xf numFmtId="4" fontId="115" fillId="0" borderId="70" xfId="0" applyNumberFormat="1" applyFont="1" applyBorder="1"/>
    <xf numFmtId="164" fontId="117" fillId="0" borderId="70" xfId="0" applyNumberFormat="1" applyFont="1" applyBorder="1"/>
    <xf numFmtId="0" fontId="115" fillId="28" borderId="64" xfId="0" applyFont="1" applyFill="1" applyBorder="1"/>
    <xf numFmtId="0" fontId="115" fillId="28" borderId="70" xfId="0" applyFont="1" applyFill="1" applyBorder="1"/>
    <xf numFmtId="0" fontId="117" fillId="28" borderId="70" xfId="0" applyFont="1" applyFill="1" applyBorder="1"/>
    <xf numFmtId="164" fontId="117" fillId="28" borderId="70" xfId="0" applyNumberFormat="1" applyFont="1" applyFill="1" applyBorder="1"/>
    <xf numFmtId="0" fontId="115" fillId="30" borderId="64" xfId="0" applyFont="1" applyFill="1" applyBorder="1"/>
    <xf numFmtId="0" fontId="115" fillId="30" borderId="70" xfId="0" applyFont="1" applyFill="1" applyBorder="1"/>
    <xf numFmtId="0" fontId="117" fillId="30" borderId="70" xfId="0" applyFont="1" applyFill="1" applyBorder="1"/>
    <xf numFmtId="164" fontId="117" fillId="30" borderId="70" xfId="0" applyNumberFormat="1" applyFont="1" applyFill="1" applyBorder="1"/>
    <xf numFmtId="0" fontId="115" fillId="0" borderId="39" xfId="0" applyFont="1" applyBorder="1"/>
    <xf numFmtId="0" fontId="115" fillId="0" borderId="125" xfId="0" applyFont="1" applyBorder="1"/>
    <xf numFmtId="0" fontId="115" fillId="0" borderId="40" xfId="0" applyFont="1" applyBorder="1"/>
    <xf numFmtId="0" fontId="115" fillId="0" borderId="3" xfId="0" applyFont="1" applyBorder="1"/>
    <xf numFmtId="0" fontId="115" fillId="0" borderId="26" xfId="0" applyFont="1" applyBorder="1"/>
    <xf numFmtId="0" fontId="118" fillId="0" borderId="26" xfId="0" applyFont="1" applyBorder="1"/>
    <xf numFmtId="0" fontId="115" fillId="0" borderId="150" xfId="0" applyFont="1" applyBorder="1"/>
    <xf numFmtId="0" fontId="119" fillId="0" borderId="70" xfId="0" applyFont="1" applyBorder="1"/>
    <xf numFmtId="0" fontId="115" fillId="0" borderId="126" xfId="0" applyFont="1" applyBorder="1"/>
    <xf numFmtId="164" fontId="120" fillId="0" borderId="26" xfId="0" applyNumberFormat="1" applyFont="1" applyBorder="1"/>
    <xf numFmtId="164" fontId="115" fillId="0" borderId="26" xfId="0" applyNumberFormat="1" applyFont="1" applyBorder="1"/>
    <xf numFmtId="0" fontId="115" fillId="0" borderId="65" xfId="0" applyFont="1" applyBorder="1"/>
    <xf numFmtId="0" fontId="115" fillId="0" borderId="69" xfId="0" applyFont="1" applyBorder="1"/>
    <xf numFmtId="4" fontId="117" fillId="0" borderId="70" xfId="0" applyNumberFormat="1" applyFont="1" applyBorder="1" applyAlignment="1">
      <alignment horizontal="center"/>
    </xf>
    <xf numFmtId="0" fontId="115" fillId="0" borderId="70" xfId="0" applyFont="1" applyBorder="1" applyAlignment="1">
      <alignment wrapText="1"/>
    </xf>
    <xf numFmtId="2" fontId="115" fillId="28" borderId="70" xfId="0" applyNumberFormat="1" applyFont="1" applyFill="1" applyBorder="1"/>
    <xf numFmtId="2" fontId="115" fillId="30" borderId="70" xfId="0" applyNumberFormat="1" applyFont="1" applyFill="1" applyBorder="1"/>
    <xf numFmtId="1" fontId="115" fillId="0" borderId="70" xfId="0" applyNumberFormat="1" applyFont="1" applyBorder="1"/>
    <xf numFmtId="3" fontId="117" fillId="0" borderId="70" xfId="0" applyNumberFormat="1" applyFont="1" applyBorder="1"/>
    <xf numFmtId="0" fontId="115" fillId="19" borderId="64" xfId="0" applyFont="1" applyFill="1" applyBorder="1"/>
    <xf numFmtId="0" fontId="115" fillId="19" borderId="70" xfId="0" applyFont="1" applyFill="1" applyBorder="1"/>
    <xf numFmtId="4" fontId="115" fillId="19" borderId="70" xfId="0" applyNumberFormat="1" applyFont="1" applyFill="1" applyBorder="1"/>
    <xf numFmtId="164" fontId="117" fillId="19" borderId="70" xfId="0" applyNumberFormat="1" applyFont="1" applyFill="1" applyBorder="1"/>
    <xf numFmtId="0" fontId="121" fillId="0" borderId="68" xfId="0" applyFont="1" applyBorder="1"/>
    <xf numFmtId="177" fontId="123" fillId="8" borderId="3" xfId="0" applyNumberFormat="1" applyFont="1" applyFill="1" applyBorder="1"/>
    <xf numFmtId="0" fontId="112" fillId="28" borderId="68" xfId="0" applyFont="1" applyFill="1" applyBorder="1"/>
    <xf numFmtId="164" fontId="112" fillId="28" borderId="68" xfId="0" applyNumberFormat="1" applyFont="1" applyFill="1" applyBorder="1"/>
    <xf numFmtId="0" fontId="121" fillId="0" borderId="0" xfId="0" applyFont="1"/>
    <xf numFmtId="0" fontId="112" fillId="28" borderId="68" xfId="0" applyFont="1" applyFill="1" applyBorder="1" applyAlignment="1">
      <alignment horizontal="right"/>
    </xf>
    <xf numFmtId="0" fontId="125" fillId="0" borderId="0" xfId="0" applyFont="1"/>
    <xf numFmtId="0" fontId="125" fillId="0" borderId="129" xfId="0" applyFont="1" applyBorder="1"/>
    <xf numFmtId="0" fontId="125" fillId="0" borderId="130" xfId="0" applyFont="1" applyBorder="1"/>
    <xf numFmtId="0" fontId="125" fillId="0" borderId="131" xfId="0" applyFont="1" applyBorder="1"/>
    <xf numFmtId="0" fontId="125" fillId="0" borderId="132" xfId="0" applyFont="1" applyBorder="1"/>
    <xf numFmtId="0" fontId="125" fillId="5" borderId="47" xfId="0" applyFont="1" applyFill="1" applyBorder="1"/>
    <xf numFmtId="0" fontId="125" fillId="5" borderId="48" xfId="0" applyFont="1" applyFill="1" applyBorder="1"/>
    <xf numFmtId="0" fontId="125" fillId="5" borderId="49" xfId="0" applyFont="1" applyFill="1" applyBorder="1"/>
    <xf numFmtId="0" fontId="125" fillId="0" borderId="133" xfId="0" applyFont="1" applyBorder="1"/>
    <xf numFmtId="0" fontId="125" fillId="5" borderId="12" xfId="0" applyFont="1" applyFill="1" applyBorder="1"/>
    <xf numFmtId="0" fontId="125" fillId="5" borderId="0" xfId="0" applyFont="1" applyFill="1"/>
    <xf numFmtId="0" fontId="125" fillId="5" borderId="18" xfId="0" applyFont="1" applyFill="1" applyBorder="1"/>
    <xf numFmtId="0" fontId="125" fillId="5" borderId="139" xfId="0" applyFont="1" applyFill="1" applyBorder="1"/>
    <xf numFmtId="0" fontId="125" fillId="5" borderId="83" xfId="0" applyFont="1" applyFill="1" applyBorder="1"/>
    <xf numFmtId="0" fontId="125" fillId="5" borderId="124" xfId="0" applyFont="1" applyFill="1" applyBorder="1"/>
    <xf numFmtId="43" fontId="127" fillId="0" borderId="138" xfId="22" applyFont="1" applyBorder="1" applyAlignment="1">
      <alignment horizontal="center" vertical="center"/>
    </xf>
    <xf numFmtId="43" fontId="127" fillId="0" borderId="134" xfId="22" applyFont="1" applyBorder="1" applyAlignment="1">
      <alignment vertical="center" wrapText="1"/>
    </xf>
    <xf numFmtId="43" fontId="127" fillId="0" borderId="138" xfId="22" applyFont="1" applyBorder="1" applyAlignment="1">
      <alignment vertical="center"/>
    </xf>
    <xf numFmtId="43" fontId="127" fillId="0" borderId="134" xfId="22" applyFont="1" applyBorder="1" applyAlignment="1">
      <alignment vertical="center"/>
    </xf>
    <xf numFmtId="0" fontId="125" fillId="0" borderId="42" xfId="0" applyFont="1" applyBorder="1" applyAlignment="1">
      <alignment vertical="center"/>
    </xf>
    <xf numFmtId="0" fontId="126" fillId="0" borderId="57" xfId="0" applyFont="1" applyBorder="1" applyAlignment="1">
      <alignment vertical="center"/>
    </xf>
    <xf numFmtId="0" fontId="125" fillId="0" borderId="57" xfId="0" applyFont="1" applyBorder="1" applyAlignment="1">
      <alignment vertical="center"/>
    </xf>
    <xf numFmtId="0" fontId="125" fillId="0" borderId="14" xfId="0" applyFont="1" applyBorder="1" applyAlignment="1">
      <alignment vertical="center"/>
    </xf>
    <xf numFmtId="0" fontId="127" fillId="17" borderId="13" xfId="0" applyFont="1" applyFill="1" applyBorder="1" applyAlignment="1">
      <alignment horizontal="center" vertical="center"/>
    </xf>
    <xf numFmtId="0" fontId="128" fillId="6" borderId="16" xfId="0" applyFont="1" applyFill="1" applyBorder="1" applyAlignment="1">
      <alignment horizontal="center" vertical="center"/>
    </xf>
    <xf numFmtId="0" fontId="128" fillId="6" borderId="17" xfId="0" applyFont="1" applyFill="1" applyBorder="1" applyAlignment="1">
      <alignment horizontal="center" vertical="center"/>
    </xf>
    <xf numFmtId="0" fontId="128" fillId="6" borderId="17" xfId="0" applyFont="1" applyFill="1" applyBorder="1" applyAlignment="1">
      <alignment horizontal="center" vertical="center" wrapText="1"/>
    </xf>
    <xf numFmtId="0" fontId="128" fillId="6" borderId="31" xfId="0" applyFont="1" applyFill="1" applyBorder="1" applyAlignment="1">
      <alignment horizontal="center" vertical="center"/>
    </xf>
    <xf numFmtId="0" fontId="125" fillId="0" borderId="64" xfId="0" applyFont="1" applyBorder="1" applyAlignment="1">
      <alignment horizontal="center" vertical="center"/>
    </xf>
    <xf numFmtId="4" fontId="125" fillId="0" borderId="3" xfId="0" applyNumberFormat="1" applyFont="1" applyBorder="1" applyAlignment="1">
      <alignment vertical="center" wrapText="1"/>
    </xf>
    <xf numFmtId="4" fontId="125" fillId="0" borderId="64" xfId="0" applyNumberFormat="1" applyFont="1" applyBorder="1" applyAlignment="1">
      <alignment horizontal="center" vertical="center"/>
    </xf>
    <xf numFmtId="4" fontId="125" fillId="0" borderId="64" xfId="0" applyNumberFormat="1" applyFont="1" applyBorder="1" applyAlignment="1">
      <alignment horizontal="center" vertical="center" wrapText="1"/>
    </xf>
    <xf numFmtId="167" fontId="125" fillId="0" borderId="64" xfId="4" applyFont="1" applyBorder="1" applyAlignment="1">
      <alignment vertical="center"/>
    </xf>
    <xf numFmtId="0" fontId="125" fillId="0" borderId="3" xfId="0" applyFont="1" applyBorder="1" applyAlignment="1">
      <alignment horizontal="center" vertical="center"/>
    </xf>
    <xf numFmtId="4" fontId="125" fillId="0" borderId="3" xfId="0" applyNumberFormat="1" applyFont="1" applyBorder="1" applyAlignment="1">
      <alignment horizontal="center" vertical="center"/>
    </xf>
    <xf numFmtId="4" fontId="125" fillId="0" borderId="3" xfId="0" applyNumberFormat="1" applyFont="1" applyBorder="1" applyAlignment="1">
      <alignment horizontal="center" vertical="center" wrapText="1"/>
    </xf>
    <xf numFmtId="167" fontId="125" fillId="0" borderId="3" xfId="4" applyFont="1" applyBorder="1" applyAlignment="1">
      <alignment vertical="center"/>
    </xf>
    <xf numFmtId="167" fontId="125" fillId="0" borderId="3" xfId="4" applyFont="1" applyBorder="1" applyAlignment="1">
      <alignment horizontal="center" vertical="center"/>
    </xf>
    <xf numFmtId="0" fontId="128" fillId="6" borderId="3" xfId="0" applyFont="1" applyFill="1" applyBorder="1" applyAlignment="1">
      <alignment horizontal="center" vertical="center"/>
    </xf>
    <xf numFmtId="0" fontId="128" fillId="6" borderId="3" xfId="0" applyFont="1" applyFill="1" applyBorder="1" applyAlignment="1">
      <alignment vertical="center"/>
    </xf>
    <xf numFmtId="173" fontId="129" fillId="6" borderId="57" xfId="4" applyNumberFormat="1" applyFont="1" applyFill="1" applyBorder="1" applyAlignment="1">
      <alignment vertical="center"/>
    </xf>
    <xf numFmtId="173" fontId="129" fillId="6" borderId="3" xfId="4" applyNumberFormat="1" applyFont="1" applyFill="1" applyBorder="1" applyAlignment="1">
      <alignment vertical="center"/>
    </xf>
    <xf numFmtId="173" fontId="128" fillId="6" borderId="3" xfId="4" applyNumberFormat="1" applyFont="1" applyFill="1" applyBorder="1" applyAlignment="1">
      <alignment vertical="center"/>
    </xf>
    <xf numFmtId="2" fontId="129" fillId="6" borderId="57" xfId="4" applyNumberFormat="1" applyFont="1" applyFill="1" applyBorder="1" applyAlignment="1">
      <alignment horizontal="left" vertical="center" wrapText="1"/>
    </xf>
    <xf numFmtId="4" fontId="127" fillId="0" borderId="3" xfId="0" applyNumberFormat="1" applyFont="1" applyBorder="1" applyAlignment="1">
      <alignment horizontal="right" vertical="center" wrapText="1"/>
    </xf>
    <xf numFmtId="4" fontId="125" fillId="19" borderId="3" xfId="0" applyNumberFormat="1" applyFont="1" applyFill="1" applyBorder="1" applyAlignment="1">
      <alignment horizontal="center" vertical="center"/>
    </xf>
    <xf numFmtId="0" fontId="125" fillId="0" borderId="3" xfId="0" applyFont="1" applyBorder="1" applyAlignment="1">
      <alignment horizontal="right" vertical="center"/>
    </xf>
    <xf numFmtId="0" fontId="125" fillId="0" borderId="135" xfId="0" applyFont="1" applyBorder="1"/>
    <xf numFmtId="0" fontId="125" fillId="0" borderId="136" xfId="0" applyFont="1" applyBorder="1"/>
    <xf numFmtId="0" fontId="125" fillId="0" borderId="137" xfId="0" applyFont="1" applyBorder="1"/>
    <xf numFmtId="173" fontId="125" fillId="0" borderId="0" xfId="0" applyNumberFormat="1" applyFont="1"/>
    <xf numFmtId="0" fontId="130" fillId="22" borderId="3" xfId="0" applyFont="1" applyFill="1" applyBorder="1" applyAlignment="1">
      <alignment horizontal="center"/>
    </xf>
    <xf numFmtId="0" fontId="125" fillId="0" borderId="0" xfId="0" applyFont="1" applyAlignment="1">
      <alignment horizontal="center"/>
    </xf>
    <xf numFmtId="167" fontId="130" fillId="22" borderId="3" xfId="0" applyNumberFormat="1" applyFont="1" applyFill="1" applyBorder="1" applyAlignment="1">
      <alignment horizontal="center"/>
    </xf>
    <xf numFmtId="0" fontId="127" fillId="22" borderId="3" xfId="0" applyFont="1" applyFill="1" applyBorder="1" applyAlignment="1">
      <alignment horizontal="center"/>
    </xf>
    <xf numFmtId="0" fontId="130" fillId="22" borderId="3" xfId="0" applyFont="1" applyFill="1" applyBorder="1" applyAlignment="1">
      <alignment horizontal="center" vertical="top"/>
    </xf>
    <xf numFmtId="0" fontId="125" fillId="0" borderId="3" xfId="0" applyFont="1" applyBorder="1" applyAlignment="1">
      <alignment horizontal="center"/>
    </xf>
    <xf numFmtId="167" fontId="125" fillId="0" borderId="3" xfId="0" applyNumberFormat="1" applyFont="1" applyBorder="1" applyAlignment="1">
      <alignment horizontal="center"/>
    </xf>
    <xf numFmtId="168" fontId="125" fillId="22" borderId="3" xfId="0" applyNumberFormat="1" applyFont="1" applyFill="1" applyBorder="1" applyAlignment="1">
      <alignment horizontal="center"/>
    </xf>
    <xf numFmtId="168" fontId="127" fillId="22" borderId="3" xfId="0" applyNumberFormat="1" applyFont="1" applyFill="1" applyBorder="1" applyAlignment="1">
      <alignment horizontal="center"/>
    </xf>
    <xf numFmtId="173" fontId="127" fillId="22" borderId="3" xfId="0" applyNumberFormat="1" applyFont="1" applyFill="1" applyBorder="1" applyAlignment="1">
      <alignment horizontal="center"/>
    </xf>
    <xf numFmtId="0" fontId="125" fillId="0" borderId="72" xfId="0" applyFont="1" applyBorder="1"/>
    <xf numFmtId="167" fontId="125" fillId="0" borderId="145" xfId="0" applyNumberFormat="1" applyFont="1" applyBorder="1" applyAlignment="1">
      <alignment horizontal="center"/>
    </xf>
    <xf numFmtId="168" fontId="127" fillId="0" borderId="146" xfId="0" applyNumberFormat="1" applyFont="1" applyBorder="1"/>
    <xf numFmtId="0" fontId="125" fillId="0" borderId="91" xfId="0" applyFont="1" applyBorder="1"/>
    <xf numFmtId="167" fontId="125" fillId="0" borderId="83" xfId="0" applyNumberFormat="1" applyFont="1" applyBorder="1" applyAlignment="1">
      <alignment horizontal="center"/>
    </xf>
    <xf numFmtId="0" fontId="125" fillId="0" borderId="84" xfId="0" applyFont="1" applyBorder="1"/>
    <xf numFmtId="0" fontId="121" fillId="0" borderId="158" xfId="0" applyFont="1" applyBorder="1"/>
    <xf numFmtId="0" fontId="121" fillId="0" borderId="159" xfId="0" applyFont="1" applyBorder="1"/>
    <xf numFmtId="0" fontId="112" fillId="28" borderId="159" xfId="0" applyFont="1" applyFill="1" applyBorder="1"/>
    <xf numFmtId="164" fontId="112" fillId="28" borderId="159" xfId="0" applyNumberFormat="1" applyFont="1" applyFill="1" applyBorder="1"/>
    <xf numFmtId="177" fontId="112" fillId="28" borderId="159" xfId="0" applyNumberFormat="1" applyFont="1" applyFill="1" applyBorder="1"/>
    <xf numFmtId="0" fontId="112" fillId="0" borderId="68" xfId="0" applyFont="1" applyBorder="1" applyAlignment="1">
      <alignment horizontal="center"/>
    </xf>
    <xf numFmtId="0" fontId="121" fillId="0" borderId="68" xfId="0" applyFont="1" applyBorder="1" applyAlignment="1">
      <alignment horizontal="center"/>
    </xf>
    <xf numFmtId="177" fontId="123" fillId="8" borderId="3" xfId="0" applyNumberFormat="1" applyFont="1" applyFill="1" applyBorder="1" applyAlignment="1">
      <alignment horizontal="center"/>
    </xf>
    <xf numFmtId="177" fontId="131" fillId="8" borderId="3" xfId="0" applyNumberFormat="1" applyFont="1" applyFill="1" applyBorder="1" applyAlignment="1">
      <alignment horizontal="center"/>
    </xf>
    <xf numFmtId="0" fontId="132" fillId="31" borderId="68" xfId="0" applyFont="1" applyFill="1" applyBorder="1" applyAlignment="1">
      <alignment horizontal="center"/>
    </xf>
    <xf numFmtId="0" fontId="132" fillId="31" borderId="68" xfId="0" applyFont="1" applyFill="1" applyBorder="1"/>
    <xf numFmtId="0" fontId="133" fillId="31" borderId="68" xfId="0" applyFont="1" applyFill="1" applyBorder="1" applyAlignment="1">
      <alignment horizontal="center"/>
    </xf>
    <xf numFmtId="177" fontId="134" fillId="31" borderId="3" xfId="0" applyNumberFormat="1" applyFont="1" applyFill="1" applyBorder="1" applyAlignment="1">
      <alignment horizontal="center"/>
    </xf>
    <xf numFmtId="177" fontId="135" fillId="31" borderId="3" xfId="0" applyNumberFormat="1" applyFont="1" applyFill="1" applyBorder="1" applyAlignment="1">
      <alignment horizontal="center"/>
    </xf>
    <xf numFmtId="0" fontId="112" fillId="0" borderId="68" xfId="0" applyFont="1" applyBorder="1" applyAlignment="1">
      <alignment wrapText="1"/>
    </xf>
    <xf numFmtId="0" fontId="2" fillId="13" borderId="93" xfId="13" applyFont="1" applyFill="1" applyBorder="1" applyAlignment="1">
      <alignment horizontal="center"/>
    </xf>
    <xf numFmtId="4" fontId="2" fillId="15" borderId="93" xfId="13" applyNumberFormat="1" applyFont="1" applyFill="1" applyBorder="1" applyAlignment="1">
      <alignment horizontal="center" vertical="center"/>
    </xf>
    <xf numFmtId="4" fontId="2" fillId="13" borderId="93" xfId="13" applyNumberFormat="1" applyFont="1" applyFill="1" applyBorder="1" applyAlignment="1">
      <alignment horizontal="center" vertical="center"/>
    </xf>
    <xf numFmtId="4" fontId="31" fillId="14" borderId="93" xfId="13" applyNumberFormat="1" applyFont="1" applyFill="1" applyBorder="1" applyAlignment="1" applyProtection="1">
      <alignment horizontal="center" vertical="center"/>
      <protection locked="0"/>
    </xf>
    <xf numFmtId="1" fontId="2" fillId="13" borderId="95" xfId="13" applyNumberFormat="1" applyFont="1" applyFill="1" applyBorder="1" applyAlignment="1" applyProtection="1">
      <alignment horizontal="center" vertical="center"/>
      <protection locked="0"/>
    </xf>
    <xf numFmtId="4" fontId="2" fillId="13" borderId="177" xfId="13" applyNumberFormat="1" applyFont="1" applyFill="1" applyBorder="1" applyAlignment="1">
      <alignment horizontal="center" vertical="center"/>
    </xf>
    <xf numFmtId="1" fontId="31" fillId="14" borderId="144" xfId="13" applyNumberFormat="1" applyFont="1" applyFill="1" applyBorder="1" applyAlignment="1" applyProtection="1">
      <alignment horizontal="center" vertical="center" wrapText="1"/>
      <protection locked="0"/>
    </xf>
    <xf numFmtId="0" fontId="31" fillId="14" borderId="64" xfId="13" applyFont="1" applyFill="1" applyBorder="1" applyAlignment="1" applyProtection="1">
      <alignment vertical="center" wrapText="1"/>
      <protection locked="0"/>
    </xf>
    <xf numFmtId="0" fontId="31" fillId="14" borderId="64" xfId="13" applyFont="1" applyFill="1" applyBorder="1" applyAlignment="1" applyProtection="1">
      <alignment horizontal="center" vertical="center"/>
      <protection locked="0"/>
    </xf>
    <xf numFmtId="1" fontId="31" fillId="14" borderId="64" xfId="13" applyNumberFormat="1" applyFont="1" applyFill="1" applyBorder="1" applyAlignment="1" applyProtection="1">
      <alignment horizontal="center" vertical="center"/>
      <protection locked="0"/>
    </xf>
    <xf numFmtId="4" fontId="31" fillId="14" borderId="64" xfId="4" applyNumberFormat="1" applyFont="1" applyFill="1" applyBorder="1" applyAlignment="1" applyProtection="1">
      <alignment horizontal="center" vertical="center"/>
      <protection locked="0"/>
    </xf>
    <xf numFmtId="4" fontId="31" fillId="14" borderId="64" xfId="13" applyNumberFormat="1" applyFont="1" applyFill="1" applyBorder="1" applyAlignment="1" applyProtection="1">
      <alignment horizontal="center" vertical="center"/>
      <protection locked="0"/>
    </xf>
    <xf numFmtId="0" fontId="3" fillId="12" borderId="37" xfId="5" applyFont="1" applyFill="1" applyBorder="1" applyAlignment="1">
      <alignment horizontal="center" vertical="center"/>
    </xf>
    <xf numFmtId="0" fontId="3" fillId="12" borderId="38" xfId="5" applyFont="1" applyFill="1" applyBorder="1" applyAlignment="1">
      <alignment horizontal="center" vertical="center"/>
    </xf>
    <xf numFmtId="0" fontId="3" fillId="12" borderId="53" xfId="5" applyFont="1" applyFill="1" applyBorder="1" applyAlignment="1">
      <alignment horizontal="center" vertical="center"/>
    </xf>
    <xf numFmtId="0" fontId="3" fillId="12" borderId="54" xfId="5" applyFont="1" applyFill="1" applyBorder="1" applyAlignment="1">
      <alignment horizontal="center" vertical="center"/>
    </xf>
    <xf numFmtId="0" fontId="3" fillId="12" borderId="33" xfId="5" applyFont="1" applyFill="1" applyBorder="1" applyAlignment="1">
      <alignment horizontal="center" vertical="center"/>
    </xf>
    <xf numFmtId="0" fontId="3" fillId="12" borderId="45" xfId="5" applyFont="1" applyFill="1" applyBorder="1" applyAlignment="1">
      <alignment horizontal="center" vertical="center"/>
    </xf>
    <xf numFmtId="0" fontId="3" fillId="12" borderId="44" xfId="5" applyFont="1" applyFill="1" applyBorder="1" applyAlignment="1">
      <alignment horizontal="center" vertical="center"/>
    </xf>
    <xf numFmtId="0" fontId="39" fillId="11" borderId="33" xfId="0" applyFont="1" applyFill="1" applyBorder="1" applyAlignment="1">
      <alignment horizontal="center" vertical="center"/>
    </xf>
    <xf numFmtId="0" fontId="39" fillId="11" borderId="45" xfId="0" applyFont="1" applyFill="1" applyBorder="1" applyAlignment="1">
      <alignment horizontal="center" vertical="center"/>
    </xf>
    <xf numFmtId="0" fontId="39" fillId="11" borderId="44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left" vertical="top" wrapText="1"/>
    </xf>
    <xf numFmtId="0" fontId="1" fillId="0" borderId="13" xfId="0" applyFont="1" applyBorder="1" applyAlignment="1">
      <alignment horizontal="left" vertical="top" wrapText="1"/>
    </xf>
    <xf numFmtId="0" fontId="1" fillId="0" borderId="17" xfId="0" applyFont="1" applyBorder="1" applyAlignment="1">
      <alignment horizontal="left" vertical="top" wrapText="1"/>
    </xf>
    <xf numFmtId="0" fontId="1" fillId="0" borderId="31" xfId="0" applyFont="1" applyBorder="1" applyAlignment="1">
      <alignment horizontal="left" vertical="top" wrapText="1"/>
    </xf>
    <xf numFmtId="0" fontId="21" fillId="0" borderId="12" xfId="0" applyFont="1" applyBorder="1" applyAlignment="1">
      <alignment horizontal="left" vertical="top" wrapText="1"/>
    </xf>
    <xf numFmtId="0" fontId="1" fillId="0" borderId="0" xfId="0" applyFont="1" applyAlignment="1">
      <alignment horizontal="left" vertical="top"/>
    </xf>
    <xf numFmtId="0" fontId="1" fillId="0" borderId="18" xfId="0" applyFont="1" applyBorder="1" applyAlignment="1">
      <alignment horizontal="left" vertical="top"/>
    </xf>
    <xf numFmtId="0" fontId="1" fillId="0" borderId="12" xfId="0" applyFont="1" applyBorder="1" applyAlignment="1">
      <alignment horizontal="left" vertical="top"/>
    </xf>
    <xf numFmtId="0" fontId="1" fillId="0" borderId="25" xfId="0" applyFont="1" applyBorder="1" applyAlignment="1">
      <alignment horizontal="left" vertical="top" wrapText="1"/>
    </xf>
    <xf numFmtId="0" fontId="1" fillId="0" borderId="57" xfId="0" applyFont="1" applyBorder="1" applyAlignment="1">
      <alignment horizontal="left" vertical="top" wrapText="1"/>
    </xf>
    <xf numFmtId="0" fontId="1" fillId="0" borderId="14" xfId="0" applyFont="1" applyBorder="1" applyAlignment="1">
      <alignment horizontal="left" vertical="top" wrapText="1"/>
    </xf>
    <xf numFmtId="0" fontId="1" fillId="0" borderId="3" xfId="0" applyFont="1" applyBorder="1" applyAlignment="1">
      <alignment horizontal="left" vertical="top"/>
    </xf>
    <xf numFmtId="0" fontId="1" fillId="0" borderId="13" xfId="0" applyFont="1" applyBorder="1" applyAlignment="1">
      <alignment horizontal="left" vertical="top"/>
    </xf>
    <xf numFmtId="0" fontId="1" fillId="0" borderId="50" xfId="0" applyFont="1" applyBorder="1" applyAlignment="1">
      <alignment horizontal="left" vertical="top" wrapText="1"/>
    </xf>
    <xf numFmtId="0" fontId="1" fillId="0" borderId="51" xfId="0" applyFont="1" applyBorder="1" applyAlignment="1">
      <alignment horizontal="left" vertical="top" wrapText="1"/>
    </xf>
    <xf numFmtId="0" fontId="1" fillId="0" borderId="52" xfId="0" applyFont="1" applyBorder="1" applyAlignment="1">
      <alignment horizontal="left" vertical="top" wrapText="1"/>
    </xf>
    <xf numFmtId="0" fontId="23" fillId="3" borderId="33" xfId="0" applyFont="1" applyFill="1" applyBorder="1" applyAlignment="1">
      <alignment horizontal="center" vertical="top"/>
    </xf>
    <xf numFmtId="0" fontId="23" fillId="3" borderId="45" xfId="0" applyFont="1" applyFill="1" applyBorder="1" applyAlignment="1">
      <alignment horizontal="center" vertical="top"/>
    </xf>
    <xf numFmtId="0" fontId="23" fillId="3" borderId="44" xfId="0" applyFont="1" applyFill="1" applyBorder="1" applyAlignment="1">
      <alignment horizontal="center" vertical="top"/>
    </xf>
    <xf numFmtId="0" fontId="23" fillId="3" borderId="47" xfId="0" applyFont="1" applyFill="1" applyBorder="1" applyAlignment="1">
      <alignment horizontal="center" vertical="top"/>
    </xf>
    <xf numFmtId="0" fontId="23" fillId="3" borderId="48" xfId="0" applyFont="1" applyFill="1" applyBorder="1" applyAlignment="1">
      <alignment horizontal="center" vertical="top"/>
    </xf>
    <xf numFmtId="0" fontId="23" fillId="3" borderId="49" xfId="0" applyFont="1" applyFill="1" applyBorder="1" applyAlignment="1">
      <alignment horizontal="center" vertical="top"/>
    </xf>
    <xf numFmtId="0" fontId="42" fillId="9" borderId="50" xfId="0" applyFont="1" applyFill="1" applyBorder="1" applyAlignment="1">
      <alignment horizontal="left" vertical="top"/>
    </xf>
    <xf numFmtId="0" fontId="42" fillId="9" borderId="51" xfId="0" applyFont="1" applyFill="1" applyBorder="1" applyAlignment="1">
      <alignment horizontal="left" vertical="top"/>
    </xf>
    <xf numFmtId="0" fontId="42" fillId="9" borderId="52" xfId="0" applyFont="1" applyFill="1" applyBorder="1" applyAlignment="1">
      <alignment horizontal="left" vertical="top"/>
    </xf>
    <xf numFmtId="0" fontId="6" fillId="6" borderId="33" xfId="0" applyFont="1" applyFill="1" applyBorder="1" applyAlignment="1">
      <alignment horizontal="center" vertical="top"/>
    </xf>
    <xf numFmtId="0" fontId="6" fillId="6" borderId="45" xfId="0" applyFont="1" applyFill="1" applyBorder="1" applyAlignment="1">
      <alignment horizontal="center" vertical="top"/>
    </xf>
    <xf numFmtId="0" fontId="6" fillId="6" borderId="44" xfId="0" applyFont="1" applyFill="1" applyBorder="1" applyAlignment="1">
      <alignment horizontal="center" vertical="top"/>
    </xf>
    <xf numFmtId="0" fontId="1" fillId="0" borderId="12" xfId="0" applyFont="1" applyBorder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1" fillId="0" borderId="18" xfId="0" applyFont="1" applyBorder="1" applyAlignment="1">
      <alignment horizontal="left" vertical="top" wrapText="1"/>
    </xf>
    <xf numFmtId="0" fontId="1" fillId="0" borderId="46" xfId="0" applyFont="1" applyBorder="1" applyAlignment="1">
      <alignment horizontal="left" vertical="top"/>
    </xf>
    <xf numFmtId="0" fontId="1" fillId="0" borderId="55" xfId="0" applyFont="1" applyBorder="1" applyAlignment="1">
      <alignment horizontal="left" vertical="top"/>
    </xf>
    <xf numFmtId="0" fontId="1" fillId="0" borderId="56" xfId="0" applyFont="1" applyBorder="1" applyAlignment="1">
      <alignment horizontal="left" vertical="top"/>
    </xf>
    <xf numFmtId="0" fontId="43" fillId="0" borderId="0" xfId="0" applyFont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10" fontId="9" fillId="6" borderId="2" xfId="18" applyNumberFormat="1" applyFont="1" applyFill="1" applyBorder="1" applyAlignment="1">
      <alignment horizontal="center" vertical="center" wrapText="1"/>
    </xf>
    <xf numFmtId="10" fontId="9" fillId="6" borderId="4" xfId="18" applyNumberFormat="1" applyFont="1" applyFill="1" applyBorder="1" applyAlignment="1">
      <alignment horizontal="center" vertical="center" wrapText="1"/>
    </xf>
    <xf numFmtId="10" fontId="9" fillId="6" borderId="5" xfId="18" applyNumberFormat="1" applyFont="1" applyFill="1" applyBorder="1" applyAlignment="1">
      <alignment horizontal="center" vertical="center" wrapText="1"/>
    </xf>
    <xf numFmtId="10" fontId="6" fillId="6" borderId="11" xfId="18" applyNumberFormat="1" applyFont="1" applyFill="1" applyBorder="1" applyAlignment="1">
      <alignment horizontal="center" vertical="center"/>
    </xf>
    <xf numFmtId="10" fontId="6" fillId="6" borderId="9" xfId="18" applyNumberFormat="1" applyFont="1" applyFill="1" applyBorder="1" applyAlignment="1">
      <alignment horizontal="center" vertical="center"/>
    </xf>
    <xf numFmtId="10" fontId="6" fillId="6" borderId="6" xfId="18" applyNumberFormat="1" applyFont="1" applyFill="1" applyBorder="1" applyAlignment="1">
      <alignment horizontal="center" vertical="center"/>
    </xf>
    <xf numFmtId="10" fontId="6" fillId="6" borderId="7" xfId="18" applyNumberFormat="1" applyFont="1" applyFill="1" applyBorder="1" applyAlignment="1">
      <alignment horizontal="center" vertical="center"/>
    </xf>
    <xf numFmtId="10" fontId="6" fillId="6" borderId="10" xfId="18" applyNumberFormat="1" applyFont="1" applyFill="1" applyBorder="1" applyAlignment="1">
      <alignment horizontal="center" vertical="center"/>
    </xf>
    <xf numFmtId="10" fontId="6" fillId="6" borderId="8" xfId="18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left" vertical="center" wrapText="1"/>
    </xf>
    <xf numFmtId="0" fontId="25" fillId="6" borderId="5" xfId="0" applyFont="1" applyFill="1" applyBorder="1" applyAlignment="1">
      <alignment horizontal="left" vertical="center" wrapText="1"/>
    </xf>
    <xf numFmtId="10" fontId="4" fillId="8" borderId="98" xfId="18" applyNumberFormat="1" applyFont="1" applyFill="1" applyBorder="1" applyAlignment="1">
      <alignment horizontal="center" vertical="distributed" wrapText="1"/>
    </xf>
    <xf numFmtId="10" fontId="4" fillId="8" borderId="4" xfId="18" applyNumberFormat="1" applyFont="1" applyFill="1" applyBorder="1" applyAlignment="1">
      <alignment horizontal="center" vertical="distributed" wrapText="1"/>
    </xf>
    <xf numFmtId="10" fontId="4" fillId="8" borderId="5" xfId="18" applyNumberFormat="1" applyFont="1" applyFill="1" applyBorder="1" applyAlignment="1">
      <alignment horizontal="center" vertical="distributed" wrapText="1"/>
    </xf>
    <xf numFmtId="10" fontId="6" fillId="6" borderId="96" xfId="18" applyNumberFormat="1" applyFont="1" applyFill="1" applyBorder="1" applyAlignment="1">
      <alignment horizontal="center" vertical="center"/>
    </xf>
    <xf numFmtId="10" fontId="6" fillId="6" borderId="97" xfId="18" applyNumberFormat="1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0" borderId="140" xfId="0" applyFont="1" applyBorder="1" applyAlignment="1">
      <alignment horizontal="left" vertical="center"/>
    </xf>
    <xf numFmtId="0" fontId="4" fillId="0" borderId="141" xfId="0" applyFont="1" applyBorder="1" applyAlignment="1">
      <alignment horizontal="left" vertical="center"/>
    </xf>
    <xf numFmtId="0" fontId="4" fillId="0" borderId="142" xfId="0" applyFont="1" applyBorder="1" applyAlignment="1">
      <alignment horizontal="left" vertical="center"/>
    </xf>
    <xf numFmtId="0" fontId="39" fillId="11" borderId="78" xfId="0" applyFont="1" applyFill="1" applyBorder="1" applyAlignment="1">
      <alignment horizontal="center" vertical="center"/>
    </xf>
    <xf numFmtId="0" fontId="39" fillId="11" borderId="0" xfId="0" applyFont="1" applyFill="1" applyAlignment="1">
      <alignment horizontal="center" vertical="center"/>
    </xf>
    <xf numFmtId="0" fontId="39" fillId="11" borderId="79" xfId="0" applyFont="1" applyFill="1" applyBorder="1" applyAlignment="1">
      <alignment horizontal="center" vertical="center"/>
    </xf>
    <xf numFmtId="173" fontId="58" fillId="10" borderId="39" xfId="0" applyNumberFormat="1" applyFont="1" applyFill="1" applyBorder="1" applyAlignment="1">
      <alignment horizontal="center" vertical="center"/>
    </xf>
    <xf numFmtId="173" fontId="58" fillId="10" borderId="65" xfId="0" applyNumberFormat="1" applyFont="1" applyFill="1" applyBorder="1" applyAlignment="1">
      <alignment horizontal="center" vertical="center"/>
    </xf>
    <xf numFmtId="43" fontId="3" fillId="0" borderId="36" xfId="0" applyNumberFormat="1" applyFont="1" applyBorder="1" applyAlignment="1">
      <alignment horizontal="left" vertical="center"/>
    </xf>
    <xf numFmtId="43" fontId="3" fillId="0" borderId="62" xfId="0" applyNumberFormat="1" applyFont="1" applyBorder="1" applyAlignment="1">
      <alignment horizontal="left" vertical="center"/>
    </xf>
    <xf numFmtId="43" fontId="3" fillId="17" borderId="15" xfId="0" applyNumberFormat="1" applyFont="1" applyFill="1" applyBorder="1" applyAlignment="1">
      <alignment horizontal="center" vertical="center"/>
    </xf>
    <xf numFmtId="43" fontId="3" fillId="17" borderId="3" xfId="0" applyNumberFormat="1" applyFont="1" applyFill="1" applyBorder="1" applyAlignment="1">
      <alignment horizontal="center" vertical="center"/>
    </xf>
    <xf numFmtId="43" fontId="3" fillId="17" borderId="13" xfId="0" applyNumberFormat="1" applyFont="1" applyFill="1" applyBorder="1" applyAlignment="1">
      <alignment horizontal="center" vertical="center"/>
    </xf>
    <xf numFmtId="43" fontId="2" fillId="3" borderId="25" xfId="0" applyNumberFormat="1" applyFont="1" applyFill="1" applyBorder="1" applyAlignment="1">
      <alignment horizontal="center" vertical="center"/>
    </xf>
    <xf numFmtId="43" fontId="2" fillId="3" borderId="26" xfId="0" applyNumberFormat="1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173" fontId="1" fillId="4" borderId="25" xfId="0" applyNumberFormat="1" applyFont="1" applyFill="1" applyBorder="1" applyAlignment="1">
      <alignment horizontal="center" vertical="center"/>
    </xf>
    <xf numFmtId="173" fontId="1" fillId="4" borderId="26" xfId="0" applyNumberFormat="1" applyFont="1" applyFill="1" applyBorder="1" applyAlignment="1">
      <alignment horizontal="center" vertical="center"/>
    </xf>
    <xf numFmtId="0" fontId="3" fillId="12" borderId="19" xfId="0" applyFont="1" applyFill="1" applyBorder="1" applyAlignment="1">
      <alignment horizontal="center" vertical="center"/>
    </xf>
    <xf numFmtId="0" fontId="3" fillId="12" borderId="34" xfId="0" applyFont="1" applyFill="1" applyBorder="1" applyAlignment="1">
      <alignment horizontal="center" vertical="center"/>
    </xf>
    <xf numFmtId="0" fontId="3" fillId="12" borderId="35" xfId="0" applyFont="1" applyFill="1" applyBorder="1" applyAlignment="1">
      <alignment horizontal="center" vertical="center"/>
    </xf>
    <xf numFmtId="43" fontId="2" fillId="3" borderId="25" xfId="0" applyNumberFormat="1" applyFont="1" applyFill="1" applyBorder="1" applyAlignment="1">
      <alignment horizontal="left" vertical="center"/>
    </xf>
    <xf numFmtId="43" fontId="2" fillId="3" borderId="26" xfId="0" applyNumberFormat="1" applyFont="1" applyFill="1" applyBorder="1" applyAlignment="1">
      <alignment horizontal="left" vertical="center"/>
    </xf>
    <xf numFmtId="43" fontId="2" fillId="3" borderId="25" xfId="0" applyNumberFormat="1" applyFont="1" applyFill="1" applyBorder="1" applyAlignment="1">
      <alignment horizontal="left" vertical="center" wrapText="1"/>
    </xf>
    <xf numFmtId="43" fontId="2" fillId="3" borderId="26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43" fontId="1" fillId="0" borderId="3" xfId="0" applyNumberFormat="1" applyFont="1" applyBorder="1" applyAlignment="1">
      <alignment horizontal="left" vertical="center"/>
    </xf>
    <xf numFmtId="43" fontId="1" fillId="0" borderId="25" xfId="0" applyNumberFormat="1" applyFont="1" applyBorder="1" applyAlignment="1">
      <alignment horizontal="left" vertical="center"/>
    </xf>
    <xf numFmtId="173" fontId="58" fillId="4" borderId="25" xfId="0" applyNumberFormat="1" applyFont="1" applyFill="1" applyBorder="1" applyAlignment="1">
      <alignment horizontal="center" vertical="center"/>
    </xf>
    <xf numFmtId="173" fontId="58" fillId="4" borderId="26" xfId="0" applyNumberFormat="1" applyFont="1" applyFill="1" applyBorder="1" applyAlignment="1">
      <alignment horizontal="center" vertical="center"/>
    </xf>
    <xf numFmtId="43" fontId="3" fillId="0" borderId="61" xfId="0" applyNumberFormat="1" applyFont="1" applyBorder="1" applyAlignment="1">
      <alignment horizontal="right" vertical="center"/>
    </xf>
    <xf numFmtId="43" fontId="3" fillId="0" borderId="41" xfId="0" applyNumberFormat="1" applyFont="1" applyBorder="1" applyAlignment="1">
      <alignment horizontal="right" vertical="center"/>
    </xf>
    <xf numFmtId="0" fontId="44" fillId="11" borderId="33" xfId="0" applyFont="1" applyFill="1" applyBorder="1" applyAlignment="1">
      <alignment horizontal="center" vertical="center"/>
    </xf>
    <xf numFmtId="0" fontId="44" fillId="11" borderId="45" xfId="0" applyFont="1" applyFill="1" applyBorder="1" applyAlignment="1">
      <alignment horizontal="center" vertical="center"/>
    </xf>
    <xf numFmtId="0" fontId="44" fillId="11" borderId="127" xfId="0" applyFont="1" applyFill="1" applyBorder="1" applyAlignment="1">
      <alignment horizontal="center" vertical="center"/>
    </xf>
    <xf numFmtId="0" fontId="44" fillId="11" borderId="126" xfId="0" applyFont="1" applyFill="1" applyBorder="1" applyAlignment="1">
      <alignment horizontal="center" vertical="center"/>
    </xf>
    <xf numFmtId="0" fontId="44" fillId="11" borderId="0" xfId="0" applyFont="1" applyFill="1" applyAlignment="1">
      <alignment horizontal="center" vertical="center"/>
    </xf>
    <xf numFmtId="43" fontId="3" fillId="0" borderId="15" xfId="0" applyNumberFormat="1" applyFont="1" applyBorder="1" applyAlignment="1">
      <alignment horizontal="right" vertical="center"/>
    </xf>
    <xf numFmtId="43" fontId="3" fillId="0" borderId="3" xfId="0" applyNumberFormat="1" applyFont="1" applyBorder="1" applyAlignment="1">
      <alignment horizontal="right" vertical="center"/>
    </xf>
    <xf numFmtId="43" fontId="3" fillId="0" borderId="42" xfId="0" applyNumberFormat="1" applyFont="1" applyBorder="1" applyAlignment="1">
      <alignment horizontal="right" vertical="center"/>
    </xf>
    <xf numFmtId="43" fontId="3" fillId="0" borderId="57" xfId="0" applyNumberFormat="1" applyFont="1" applyBorder="1" applyAlignment="1">
      <alignment horizontal="right" vertical="center"/>
    </xf>
    <xf numFmtId="43" fontId="3" fillId="0" borderId="26" xfId="0" applyNumberFormat="1" applyFont="1" applyBorder="1" applyAlignment="1">
      <alignment horizontal="right" vertical="center"/>
    </xf>
    <xf numFmtId="43" fontId="3" fillId="0" borderId="16" xfId="0" applyNumberFormat="1" applyFont="1" applyBorder="1" applyAlignment="1">
      <alignment horizontal="right" vertical="center"/>
    </xf>
    <xf numFmtId="43" fontId="3" fillId="0" borderId="17" xfId="0" applyNumberFormat="1" applyFont="1" applyBorder="1" applyAlignment="1">
      <alignment horizontal="right" vertical="center"/>
    </xf>
    <xf numFmtId="43" fontId="1" fillId="9" borderId="39" xfId="0" applyNumberFormat="1" applyFont="1" applyFill="1" applyBorder="1" applyAlignment="1">
      <alignment horizontal="center" vertical="center" wrapText="1"/>
    </xf>
    <xf numFmtId="43" fontId="1" fillId="9" borderId="125" xfId="0" applyNumberFormat="1" applyFont="1" applyFill="1" applyBorder="1" applyAlignment="1">
      <alignment horizontal="center" vertical="center" wrapText="1"/>
    </xf>
    <xf numFmtId="43" fontId="1" fillId="9" borderId="40" xfId="0" applyNumberFormat="1" applyFont="1" applyFill="1" applyBorder="1" applyAlignment="1">
      <alignment horizontal="center" vertical="center" wrapText="1"/>
    </xf>
    <xf numFmtId="43" fontId="1" fillId="9" borderId="65" xfId="0" applyNumberFormat="1" applyFont="1" applyFill="1" applyBorder="1" applyAlignment="1">
      <alignment horizontal="center" vertical="center" wrapText="1"/>
    </xf>
    <xf numFmtId="43" fontId="1" fillId="9" borderId="69" xfId="0" applyNumberFormat="1" applyFont="1" applyFill="1" applyBorder="1" applyAlignment="1">
      <alignment horizontal="center" vertical="center" wrapText="1"/>
    </xf>
    <xf numFmtId="43" fontId="1" fillId="9" borderId="70" xfId="0" applyNumberFormat="1" applyFont="1" applyFill="1" applyBorder="1" applyAlignment="1">
      <alignment horizontal="center" vertical="center" wrapText="1"/>
    </xf>
    <xf numFmtId="0" fontId="126" fillId="0" borderId="48" xfId="0" applyFont="1" applyBorder="1" applyAlignment="1">
      <alignment horizontal="center" vertical="center"/>
    </xf>
    <xf numFmtId="0" fontId="126" fillId="0" borderId="0" xfId="0" applyFont="1" applyAlignment="1">
      <alignment horizontal="center" vertical="center"/>
    </xf>
    <xf numFmtId="0" fontId="126" fillId="0" borderId="83" xfId="0" applyFont="1" applyBorder="1" applyAlignment="1">
      <alignment horizontal="center" vertical="center"/>
    </xf>
    <xf numFmtId="167" fontId="125" fillId="0" borderId="3" xfId="0" applyNumberFormat="1" applyFont="1" applyBorder="1" applyAlignment="1">
      <alignment horizontal="center"/>
    </xf>
    <xf numFmtId="167" fontId="125" fillId="0" borderId="72" xfId="0" applyNumberFormat="1" applyFont="1" applyBorder="1" applyAlignment="1">
      <alignment horizontal="center"/>
    </xf>
    <xf numFmtId="167" fontId="130" fillId="22" borderId="3" xfId="0" applyNumberFormat="1" applyFont="1" applyFill="1" applyBorder="1" applyAlignment="1">
      <alignment horizontal="center"/>
    </xf>
    <xf numFmtId="0" fontId="124" fillId="0" borderId="0" xfId="0" applyFont="1" applyAlignment="1">
      <alignment horizontal="left" vertical="center" wrapText="1"/>
    </xf>
    <xf numFmtId="0" fontId="124" fillId="0" borderId="18" xfId="0" applyFont="1" applyBorder="1" applyAlignment="1">
      <alignment horizontal="left" vertical="center" wrapText="1"/>
    </xf>
    <xf numFmtId="0" fontId="125" fillId="0" borderId="0" xfId="0" applyFont="1" applyAlignment="1">
      <alignment horizontal="left" vertical="center"/>
    </xf>
    <xf numFmtId="0" fontId="125" fillId="0" borderId="18" xfId="0" applyFont="1" applyBorder="1" applyAlignment="1">
      <alignment horizontal="left" vertical="center"/>
    </xf>
    <xf numFmtId="0" fontId="127" fillId="17" borderId="53" xfId="0" applyFont="1" applyFill="1" applyBorder="1" applyAlignment="1">
      <alignment horizontal="center" vertical="center"/>
    </xf>
    <xf numFmtId="0" fontId="127" fillId="17" borderId="55" xfId="0" applyFont="1" applyFill="1" applyBorder="1" applyAlignment="1">
      <alignment horizontal="center" vertical="center"/>
    </xf>
    <xf numFmtId="0" fontId="127" fillId="17" borderId="56" xfId="0" applyFont="1" applyFill="1" applyBorder="1" applyAlignment="1">
      <alignment horizontal="center" vertical="center"/>
    </xf>
    <xf numFmtId="0" fontId="127" fillId="17" borderId="15" xfId="0" applyFont="1" applyFill="1" applyBorder="1" applyAlignment="1">
      <alignment horizontal="center" vertical="center"/>
    </xf>
    <xf numFmtId="0" fontId="127" fillId="17" borderId="3" xfId="0" applyFont="1" applyFill="1" applyBorder="1" applyAlignment="1">
      <alignment horizontal="center" vertical="center"/>
    </xf>
    <xf numFmtId="167" fontId="125" fillId="0" borderId="91" xfId="0" applyNumberFormat="1" applyFont="1" applyBorder="1" applyAlignment="1">
      <alignment horizontal="center"/>
    </xf>
    <xf numFmtId="0" fontId="43" fillId="0" borderId="0" xfId="0" applyFont="1" applyAlignment="1">
      <alignment horizontal="center" vertical="center" wrapText="1"/>
    </xf>
    <xf numFmtId="43" fontId="3" fillId="0" borderId="3" xfId="0" applyNumberFormat="1" applyFont="1" applyBorder="1" applyAlignment="1">
      <alignment horizontal="left" vertical="center"/>
    </xf>
    <xf numFmtId="43" fontId="3" fillId="10" borderId="3" xfId="0" applyNumberFormat="1" applyFont="1" applyFill="1" applyBorder="1" applyAlignment="1">
      <alignment horizontal="center" vertical="center"/>
    </xf>
    <xf numFmtId="43" fontId="3" fillId="10" borderId="13" xfId="0" applyNumberFormat="1" applyFont="1" applyFill="1" applyBorder="1" applyAlignment="1">
      <alignment horizontal="center" vertical="center"/>
    </xf>
    <xf numFmtId="43" fontId="3" fillId="0" borderId="63" xfId="0" applyNumberFormat="1" applyFont="1" applyBorder="1" applyAlignment="1">
      <alignment horizontal="left" vertical="center"/>
    </xf>
    <xf numFmtId="43" fontId="3" fillId="4" borderId="17" xfId="0" applyNumberFormat="1" applyFont="1" applyFill="1" applyBorder="1" applyAlignment="1">
      <alignment horizontal="center" vertical="center"/>
    </xf>
    <xf numFmtId="43" fontId="3" fillId="4" borderId="31" xfId="0" applyNumberFormat="1" applyFont="1" applyFill="1" applyBorder="1" applyAlignment="1">
      <alignment horizontal="center" vertical="center"/>
    </xf>
    <xf numFmtId="0" fontId="44" fillId="11" borderId="58" xfId="0" applyFont="1" applyFill="1" applyBorder="1" applyAlignment="1">
      <alignment horizontal="center" vertical="center"/>
    </xf>
    <xf numFmtId="0" fontId="44" fillId="11" borderId="59" xfId="0" applyFont="1" applyFill="1" applyBorder="1" applyAlignment="1">
      <alignment horizontal="center" vertical="center"/>
    </xf>
    <xf numFmtId="0" fontId="44" fillId="11" borderId="60" xfId="0" applyFont="1" applyFill="1" applyBorder="1" applyAlignment="1">
      <alignment horizontal="center" vertical="center"/>
    </xf>
    <xf numFmtId="0" fontId="39" fillId="11" borderId="80" xfId="0" applyFont="1" applyFill="1" applyBorder="1" applyAlignment="1">
      <alignment horizontal="center" vertical="center"/>
    </xf>
    <xf numFmtId="0" fontId="39" fillId="11" borderId="81" xfId="0" applyFont="1" applyFill="1" applyBorder="1" applyAlignment="1">
      <alignment horizontal="center" vertical="center"/>
    </xf>
    <xf numFmtId="0" fontId="3" fillId="12" borderId="66" xfId="0" applyFont="1" applyFill="1" applyBorder="1" applyAlignment="1">
      <alignment horizontal="center" vertical="center"/>
    </xf>
    <xf numFmtId="0" fontId="3" fillId="12" borderId="64" xfId="0" applyFont="1" applyFill="1" applyBorder="1" applyAlignment="1">
      <alignment horizontal="center" vertical="center"/>
    </xf>
    <xf numFmtId="0" fontId="3" fillId="12" borderId="67" xfId="0" applyFont="1" applyFill="1" applyBorder="1" applyAlignment="1">
      <alignment horizontal="center" vertical="center"/>
    </xf>
    <xf numFmtId="43" fontId="3" fillId="7" borderId="3" xfId="0" applyNumberFormat="1" applyFont="1" applyFill="1" applyBorder="1" applyAlignment="1">
      <alignment horizontal="center" vertical="center"/>
    </xf>
    <xf numFmtId="43" fontId="3" fillId="7" borderId="13" xfId="0" applyNumberFormat="1" applyFont="1" applyFill="1" applyBorder="1" applyAlignment="1">
      <alignment horizontal="center" vertical="center"/>
    </xf>
    <xf numFmtId="0" fontId="3" fillId="17" borderId="66" xfId="0" applyFont="1" applyFill="1" applyBorder="1" applyAlignment="1">
      <alignment horizontal="center" vertical="center"/>
    </xf>
    <xf numFmtId="0" fontId="3" fillId="17" borderId="64" xfId="0" applyFont="1" applyFill="1" applyBorder="1" applyAlignment="1">
      <alignment horizontal="center" vertical="center"/>
    </xf>
    <xf numFmtId="0" fontId="3" fillId="17" borderId="67" xfId="0" applyFont="1" applyFill="1" applyBorder="1" applyAlignment="1">
      <alignment horizontal="center" vertical="center"/>
    </xf>
    <xf numFmtId="0" fontId="4" fillId="13" borderId="87" xfId="13" applyFont="1" applyFill="1" applyBorder="1" applyAlignment="1">
      <alignment horizontal="center" vertical="center"/>
    </xf>
    <xf numFmtId="0" fontId="4" fillId="13" borderId="89" xfId="13" applyFont="1" applyFill="1" applyBorder="1" applyAlignment="1">
      <alignment horizontal="center" vertical="center"/>
    </xf>
    <xf numFmtId="0" fontId="31" fillId="13" borderId="88" xfId="13" applyFont="1" applyFill="1" applyBorder="1" applyAlignment="1">
      <alignment horizontal="center" vertical="center"/>
    </xf>
    <xf numFmtId="0" fontId="31" fillId="13" borderId="68" xfId="13" applyFont="1" applyFill="1" applyBorder="1" applyAlignment="1">
      <alignment horizontal="center" vertical="center"/>
    </xf>
    <xf numFmtId="0" fontId="4" fillId="13" borderId="88" xfId="13" applyFont="1" applyFill="1" applyBorder="1" applyAlignment="1">
      <alignment horizontal="center" vertical="center" wrapText="1"/>
    </xf>
    <xf numFmtId="0" fontId="4" fillId="13" borderId="68" xfId="13" applyFont="1" applyFill="1" applyBorder="1" applyAlignment="1">
      <alignment horizontal="center" vertical="center" wrapText="1"/>
    </xf>
    <xf numFmtId="0" fontId="4" fillId="13" borderId="88" xfId="13" applyFont="1" applyFill="1" applyBorder="1" applyAlignment="1">
      <alignment horizontal="center"/>
    </xf>
    <xf numFmtId="0" fontId="4" fillId="13" borderId="72" xfId="13" applyFont="1" applyFill="1" applyBorder="1" applyAlignment="1">
      <alignment horizontal="center"/>
    </xf>
    <xf numFmtId="0" fontId="4" fillId="13" borderId="146" xfId="13" applyFont="1" applyFill="1" applyBorder="1" applyAlignment="1">
      <alignment horizontal="center"/>
    </xf>
    <xf numFmtId="0" fontId="4" fillId="13" borderId="108" xfId="13" applyFont="1" applyFill="1" applyBorder="1" applyAlignment="1">
      <alignment horizontal="center" vertical="center"/>
    </xf>
    <xf numFmtId="0" fontId="31" fillId="13" borderId="72" xfId="13" applyFont="1" applyFill="1" applyBorder="1" applyAlignment="1">
      <alignment horizontal="center" vertical="center"/>
    </xf>
    <xf numFmtId="0" fontId="4" fillId="13" borderId="72" xfId="13" applyFont="1" applyFill="1" applyBorder="1" applyAlignment="1">
      <alignment horizontal="center" vertical="center" wrapText="1"/>
    </xf>
    <xf numFmtId="0" fontId="3" fillId="13" borderId="166" xfId="13" applyFont="1" applyFill="1" applyBorder="1" applyAlignment="1">
      <alignment horizontal="center" vertical="center"/>
    </xf>
    <xf numFmtId="0" fontId="3" fillId="13" borderId="161" xfId="13" applyFont="1" applyFill="1" applyBorder="1" applyAlignment="1">
      <alignment horizontal="center" vertical="center"/>
    </xf>
    <xf numFmtId="0" fontId="3" fillId="13" borderId="167" xfId="13" applyFont="1" applyFill="1" applyBorder="1" applyAlignment="1">
      <alignment horizontal="center" vertical="center"/>
    </xf>
    <xf numFmtId="0" fontId="47" fillId="13" borderId="164" xfId="13" applyFont="1" applyFill="1" applyBorder="1" applyAlignment="1">
      <alignment horizontal="center" vertical="center"/>
    </xf>
    <xf numFmtId="0" fontId="47" fillId="13" borderId="162" xfId="13" applyFont="1" applyFill="1" applyBorder="1" applyAlignment="1">
      <alignment horizontal="center" vertical="center"/>
    </xf>
    <xf numFmtId="0" fontId="47" fillId="13" borderId="165" xfId="13" applyFont="1" applyFill="1" applyBorder="1" applyAlignment="1">
      <alignment horizontal="center" vertical="center"/>
    </xf>
    <xf numFmtId="0" fontId="1" fillId="13" borderId="164" xfId="13" applyFont="1" applyFill="1" applyBorder="1" applyAlignment="1">
      <alignment horizontal="center" vertical="center" wrapText="1"/>
    </xf>
    <xf numFmtId="0" fontId="1" fillId="13" borderId="162" xfId="13" applyFont="1" applyFill="1" applyBorder="1" applyAlignment="1">
      <alignment horizontal="center" vertical="center" wrapText="1"/>
    </xf>
    <xf numFmtId="0" fontId="1" fillId="13" borderId="165" xfId="13" applyFont="1" applyFill="1" applyBorder="1" applyAlignment="1">
      <alignment horizontal="center" vertical="center" wrapText="1"/>
    </xf>
    <xf numFmtId="0" fontId="3" fillId="13" borderId="46" xfId="13" applyFont="1" applyFill="1" applyBorder="1" applyAlignment="1">
      <alignment horizontal="center"/>
    </xf>
    <xf numFmtId="0" fontId="3" fillId="13" borderId="55" xfId="13" applyFont="1" applyFill="1" applyBorder="1" applyAlignment="1">
      <alignment horizontal="center"/>
    </xf>
    <xf numFmtId="0" fontId="3" fillId="13" borderId="56" xfId="13" applyFont="1" applyFill="1" applyBorder="1" applyAlignment="1">
      <alignment horizontal="center"/>
    </xf>
    <xf numFmtId="0" fontId="1" fillId="13" borderId="36" xfId="13" applyFont="1" applyFill="1" applyBorder="1" applyAlignment="1">
      <alignment horizontal="center" vertical="center" wrapText="1"/>
    </xf>
    <xf numFmtId="0" fontId="1" fillId="13" borderId="63" xfId="13" applyFont="1" applyFill="1" applyBorder="1" applyAlignment="1">
      <alignment horizontal="center" vertical="center" wrapText="1"/>
    </xf>
    <xf numFmtId="4" fontId="47" fillId="14" borderId="147" xfId="4" applyNumberFormat="1" applyFont="1" applyFill="1" applyBorder="1" applyAlignment="1" applyProtection="1">
      <alignment horizontal="center" vertical="center"/>
      <protection locked="0"/>
    </xf>
    <xf numFmtId="4" fontId="47" fillId="14" borderId="127" xfId="4" applyNumberFormat="1" applyFont="1" applyFill="1" applyBorder="1" applyAlignment="1" applyProtection="1">
      <alignment horizontal="center" vertical="center"/>
      <protection locked="0"/>
    </xf>
    <xf numFmtId="1" fontId="1" fillId="15" borderId="46" xfId="13" applyNumberFormat="1" applyFont="1" applyFill="1" applyBorder="1" applyAlignment="1" applyProtection="1">
      <alignment horizontal="center" vertical="center"/>
      <protection locked="0"/>
    </xf>
    <xf numFmtId="1" fontId="1" fillId="15" borderId="148" xfId="13" applyNumberFormat="1" applyFont="1" applyFill="1" applyBorder="1" applyAlignment="1" applyProtection="1">
      <alignment horizontal="center" vertical="center"/>
      <protection locked="0"/>
    </xf>
    <xf numFmtId="4" fontId="1" fillId="15" borderId="25" xfId="4" applyNumberFormat="1" applyFont="1" applyFill="1" applyBorder="1" applyAlignment="1" applyProtection="1">
      <alignment horizontal="center" vertical="center"/>
    </xf>
    <xf numFmtId="4" fontId="1" fillId="15" borderId="26" xfId="4" applyNumberFormat="1" applyFont="1" applyFill="1" applyBorder="1" applyAlignment="1" applyProtection="1">
      <alignment horizontal="center" vertical="center"/>
    </xf>
    <xf numFmtId="0" fontId="47" fillId="14" borderId="126" xfId="13" applyFont="1" applyFill="1" applyBorder="1" applyAlignment="1" applyProtection="1">
      <alignment horizontal="center" vertical="center" wrapText="1"/>
      <protection locked="0"/>
    </xf>
    <xf numFmtId="0" fontId="47" fillId="14" borderId="0" xfId="13" applyFont="1" applyFill="1" applyAlignment="1" applyProtection="1">
      <alignment horizontal="center" vertical="center" wrapText="1"/>
      <protection locked="0"/>
    </xf>
    <xf numFmtId="0" fontId="47" fillId="14" borderId="150" xfId="13" applyFont="1" applyFill="1" applyBorder="1" applyAlignment="1" applyProtection="1">
      <alignment horizontal="center" vertical="center" wrapText="1"/>
      <protection locked="0"/>
    </xf>
    <xf numFmtId="0" fontId="1" fillId="15" borderId="3" xfId="13" applyFont="1" applyFill="1" applyBorder="1" applyAlignment="1" applyProtection="1">
      <alignment horizontal="center" vertical="center" wrapText="1"/>
      <protection locked="0"/>
    </xf>
    <xf numFmtId="2" fontId="87" fillId="8" borderId="25" xfId="0" applyNumberFormat="1" applyFont="1" applyFill="1" applyBorder="1" applyAlignment="1">
      <alignment horizontal="right"/>
    </xf>
    <xf numFmtId="2" fontId="87" fillId="8" borderId="57" xfId="0" applyNumberFormat="1" applyFont="1" applyFill="1" applyBorder="1" applyAlignment="1">
      <alignment horizontal="right"/>
    </xf>
    <xf numFmtId="2" fontId="87" fillId="8" borderId="26" xfId="0" applyNumberFormat="1" applyFont="1" applyFill="1" applyBorder="1" applyAlignment="1">
      <alignment horizontal="right"/>
    </xf>
    <xf numFmtId="0" fontId="73" fillId="25" borderId="76" xfId="0" applyFont="1" applyFill="1" applyBorder="1" applyAlignment="1">
      <alignment horizontal="center" vertical="center" wrapText="1"/>
    </xf>
    <xf numFmtId="14" fontId="81" fillId="25" borderId="76" xfId="0" applyNumberFormat="1" applyFont="1" applyFill="1" applyBorder="1" applyAlignment="1">
      <alignment horizontal="center"/>
    </xf>
    <xf numFmtId="14" fontId="81" fillId="25" borderId="77" xfId="0" applyNumberFormat="1" applyFont="1" applyFill="1" applyBorder="1" applyAlignment="1">
      <alignment horizontal="center"/>
    </xf>
    <xf numFmtId="14" fontId="81" fillId="8" borderId="168" xfId="0" applyNumberFormat="1" applyFont="1" applyFill="1" applyBorder="1" applyAlignment="1">
      <alignment horizontal="center"/>
    </xf>
    <xf numFmtId="14" fontId="81" fillId="8" borderId="169" xfId="0" applyNumberFormat="1" applyFont="1" applyFill="1" applyBorder="1" applyAlignment="1">
      <alignment horizontal="center"/>
    </xf>
    <xf numFmtId="0" fontId="122" fillId="31" borderId="160" xfId="0" applyFont="1" applyFill="1" applyBorder="1" applyAlignment="1">
      <alignment horizontal="center"/>
    </xf>
    <xf numFmtId="0" fontId="111" fillId="0" borderId="158" xfId="0" applyFont="1" applyBorder="1" applyAlignment="1">
      <alignment horizontal="center"/>
    </xf>
    <xf numFmtId="0" fontId="111" fillId="0" borderId="159" xfId="0" applyFont="1" applyBorder="1" applyAlignment="1">
      <alignment horizontal="center"/>
    </xf>
    <xf numFmtId="0" fontId="122" fillId="31" borderId="158" xfId="0" applyFont="1" applyFill="1" applyBorder="1" applyAlignment="1">
      <alignment horizontal="center"/>
    </xf>
    <xf numFmtId="0" fontId="122" fillId="31" borderId="159" xfId="0" applyFont="1" applyFill="1" applyBorder="1" applyAlignment="1">
      <alignment horizontal="center"/>
    </xf>
    <xf numFmtId="0" fontId="91" fillId="0" borderId="0" xfId="0" applyFont="1" applyAlignment="1">
      <alignment horizontal="center"/>
    </xf>
    <xf numFmtId="0" fontId="4" fillId="13" borderId="92" xfId="13" applyFont="1" applyFill="1" applyBorder="1" applyAlignment="1">
      <alignment horizontal="center" vertical="center"/>
    </xf>
    <xf numFmtId="0" fontId="31" fillId="13" borderId="3" xfId="13" applyFont="1" applyFill="1" applyBorder="1" applyAlignment="1">
      <alignment horizontal="center" vertical="center"/>
    </xf>
    <xf numFmtId="0" fontId="2" fillId="13" borderId="3" xfId="13" applyFont="1" applyFill="1" applyBorder="1" applyAlignment="1">
      <alignment horizontal="center" vertical="center" wrapText="1"/>
    </xf>
    <xf numFmtId="0" fontId="4" fillId="13" borderId="3" xfId="13" applyFont="1" applyFill="1" applyBorder="1" applyAlignment="1">
      <alignment horizontal="center"/>
    </xf>
    <xf numFmtId="2" fontId="87" fillId="19" borderId="39" xfId="0" applyNumberFormat="1" applyFont="1" applyFill="1" applyBorder="1" applyAlignment="1">
      <alignment horizontal="right"/>
    </xf>
    <xf numFmtId="2" fontId="87" fillId="19" borderId="125" xfId="0" applyNumberFormat="1" applyFont="1" applyFill="1" applyBorder="1" applyAlignment="1">
      <alignment horizontal="right"/>
    </xf>
    <xf numFmtId="0" fontId="46" fillId="0" borderId="33" xfId="0" applyFont="1" applyBorder="1" applyAlignment="1">
      <alignment horizontal="center"/>
    </xf>
    <xf numFmtId="0" fontId="46" fillId="0" borderId="45" xfId="0" applyFont="1" applyBorder="1" applyAlignment="1">
      <alignment horizontal="center"/>
    </xf>
    <xf numFmtId="0" fontId="46" fillId="0" borderId="44" xfId="0" applyFont="1" applyBorder="1" applyAlignment="1">
      <alignment horizontal="center"/>
    </xf>
    <xf numFmtId="0" fontId="45" fillId="0" borderId="16" xfId="0" applyFont="1" applyBorder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" fillId="13" borderId="93" xfId="13" applyFont="1" applyFill="1" applyBorder="1" applyAlignment="1">
      <alignment horizontal="center"/>
    </xf>
    <xf numFmtId="0" fontId="4" fillId="13" borderId="174" xfId="13" applyFont="1" applyFill="1" applyBorder="1" applyAlignment="1">
      <alignment horizontal="center" vertical="center"/>
    </xf>
    <xf numFmtId="0" fontId="31" fillId="13" borderId="175" xfId="13" applyFont="1" applyFill="1" applyBorder="1" applyAlignment="1">
      <alignment horizontal="center" vertical="center"/>
    </xf>
    <xf numFmtId="0" fontId="2" fillId="13" borderId="175" xfId="13" applyFont="1" applyFill="1" applyBorder="1" applyAlignment="1">
      <alignment horizontal="center" vertical="center" wrapText="1"/>
    </xf>
    <xf numFmtId="0" fontId="4" fillId="13" borderId="175" xfId="13" applyFont="1" applyFill="1" applyBorder="1" applyAlignment="1">
      <alignment horizontal="center"/>
    </xf>
    <xf numFmtId="0" fontId="4" fillId="13" borderId="176" xfId="13" applyFont="1" applyFill="1" applyBorder="1" applyAlignment="1">
      <alignment horizontal="center"/>
    </xf>
    <xf numFmtId="0" fontId="49" fillId="22" borderId="47" xfId="0" applyFont="1" applyFill="1" applyBorder="1" applyAlignment="1">
      <alignment horizontal="center" vertical="center"/>
    </xf>
    <xf numFmtId="0" fontId="49" fillId="22" borderId="48" xfId="0" applyFont="1" applyFill="1" applyBorder="1" applyAlignment="1">
      <alignment horizontal="center" vertical="center"/>
    </xf>
    <xf numFmtId="0" fontId="49" fillId="22" borderId="45" xfId="0" applyFont="1" applyFill="1" applyBorder="1" applyAlignment="1">
      <alignment horizontal="center" vertical="center"/>
    </xf>
    <xf numFmtId="0" fontId="49" fillId="22" borderId="44" xfId="0" applyFont="1" applyFill="1" applyBorder="1" applyAlignment="1">
      <alignment horizontal="center" vertical="center"/>
    </xf>
    <xf numFmtId="0" fontId="113" fillId="29" borderId="25" xfId="0" applyFont="1" applyFill="1" applyBorder="1" applyAlignment="1"/>
    <xf numFmtId="0" fontId="113" fillId="29" borderId="57" xfId="0" applyFont="1" applyFill="1" applyBorder="1" applyAlignment="1"/>
    <xf numFmtId="0" fontId="113" fillId="29" borderId="26" xfId="0" applyFont="1" applyFill="1" applyBorder="1" applyAlignment="1"/>
    <xf numFmtId="0" fontId="116" fillId="29" borderId="25" xfId="0" applyFont="1" applyFill="1" applyBorder="1" applyAlignment="1"/>
    <xf numFmtId="0" fontId="116" fillId="29" borderId="57" xfId="0" applyFont="1" applyFill="1" applyBorder="1" applyAlignment="1"/>
    <xf numFmtId="0" fontId="116" fillId="29" borderId="26" xfId="0" applyFont="1" applyFill="1" applyBorder="1" applyAlignment="1"/>
    <xf numFmtId="0" fontId="121" fillId="0" borderId="173" xfId="0" applyFont="1" applyBorder="1" applyAlignment="1"/>
    <xf numFmtId="0" fontId="121" fillId="0" borderId="0" xfId="0" applyFont="1" applyAlignment="1"/>
  </cellXfs>
  <cellStyles count="27">
    <cellStyle name="Cancel" xfId="1" xr:uid="{00000000-0005-0000-0000-000000000000}"/>
    <cellStyle name="Ênfase6 2" xfId="2" xr:uid="{00000000-0005-0000-0000-000003000000}"/>
    <cellStyle name="Euro" xfId="3" xr:uid="{00000000-0005-0000-0000-000004000000}"/>
    <cellStyle name="Moeda" xfId="4" builtinId="4"/>
    <cellStyle name="Normal" xfId="0" builtinId="0"/>
    <cellStyle name="Normal 2" xfId="5" xr:uid="{00000000-0005-0000-0000-000006000000}"/>
    <cellStyle name="Normal 2 10" xfId="6" xr:uid="{00000000-0005-0000-0000-000007000000}"/>
    <cellStyle name="Normal 2 2" xfId="7" xr:uid="{00000000-0005-0000-0000-000008000000}"/>
    <cellStyle name="Normal 3" xfId="8" xr:uid="{00000000-0005-0000-0000-000009000000}"/>
    <cellStyle name="Normal 3 2" xfId="9" xr:uid="{00000000-0005-0000-0000-00000A000000}"/>
    <cellStyle name="Normal 4" xfId="10" xr:uid="{00000000-0005-0000-0000-00000B000000}"/>
    <cellStyle name="Normal 5" xfId="11" xr:uid="{00000000-0005-0000-0000-00000C000000}"/>
    <cellStyle name="Normal 6" xfId="12" xr:uid="{00000000-0005-0000-0000-00000D000000}"/>
    <cellStyle name="Normal 6 2" xfId="13" xr:uid="{00000000-0005-0000-0000-00000E000000}"/>
    <cellStyle name="Normal 7" xfId="14" xr:uid="{00000000-0005-0000-0000-00000F000000}"/>
    <cellStyle name="Normal 7 2" xfId="15" xr:uid="{00000000-0005-0000-0000-000010000000}"/>
    <cellStyle name="Normal 8" xfId="16" xr:uid="{00000000-0005-0000-0000-000011000000}"/>
    <cellStyle name="Normal 8 2" xfId="17" xr:uid="{00000000-0005-0000-0000-000012000000}"/>
    <cellStyle name="Porcentagem" xfId="18" builtinId="5"/>
    <cellStyle name="Porcentagem 2" xfId="19" xr:uid="{00000000-0005-0000-0000-000014000000}"/>
    <cellStyle name="Porcentagem 3" xfId="20" xr:uid="{00000000-0005-0000-0000-000015000000}"/>
    <cellStyle name="Separador de milhares 2" xfId="21" xr:uid="{00000000-0005-0000-0000-000016000000}"/>
    <cellStyle name="Vírgula" xfId="22" builtinId="3"/>
    <cellStyle name="Vírgula 2" xfId="23" xr:uid="{00000000-0005-0000-0000-000017000000}"/>
    <cellStyle name="Vírgula 3" xfId="24" xr:uid="{00000000-0005-0000-0000-000018000000}"/>
    <cellStyle name="Vírgula 3 2" xfId="25" xr:uid="{00000000-0005-0000-0000-000019000000}"/>
    <cellStyle name="Vírgula 4" xfId="26" xr:uid="{00000000-0005-0000-0000-00001A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Up">
          <bgColor rgb="FF969696"/>
        </patternFill>
      </fill>
    </dxf>
    <dxf>
      <font>
        <b val="0"/>
        <i val="0"/>
        <strike val="0"/>
        <condense val="0"/>
        <extend val="0"/>
        <u val="none"/>
        <color auto="1"/>
      </font>
      <fill>
        <patternFill patternType="lightUp">
          <bgColor indexed="55"/>
        </patternFill>
      </fill>
    </dxf>
    <dxf>
      <fill>
        <patternFill patternType="lightUp">
          <bgColor indexed="55"/>
        </patternFill>
      </fill>
    </dxf>
    <dxf>
      <font>
        <b val="0"/>
        <i val="0"/>
        <strike val="0"/>
        <condense val="0"/>
        <extend val="0"/>
        <u val="none"/>
        <color auto="1"/>
      </font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b val="0"/>
        <i val="0"/>
        <strike val="0"/>
        <condense val="0"/>
        <extend val="0"/>
        <u val="none"/>
        <color auto="1"/>
      </font>
      <fill>
        <patternFill patternType="lightUp">
          <bgColor indexed="55"/>
        </patternFill>
      </fill>
    </dxf>
    <dxf>
      <fill>
        <patternFill patternType="lightUp">
          <bgColor indexed="55"/>
        </patternFill>
      </fill>
    </dxf>
    <dxf>
      <font>
        <b val="0"/>
        <i val="0"/>
        <strike val="0"/>
        <condense val="0"/>
        <extend val="0"/>
        <u val="none"/>
        <color auto="1"/>
      </font>
      <fill>
        <patternFill patternType="lightUp">
          <bgColor indexed="55"/>
        </patternFill>
      </fill>
    </dxf>
    <dxf>
      <fill>
        <patternFill patternType="lightUp"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Percentual por Tipo Despesa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QQP_Cliente!$H$30</c:f>
              <c:strCache>
                <c:ptCount val="1"/>
                <c:pt idx="0">
                  <c:v>%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QQP_Cliente!$D$31:$D$40</c:f>
              <c:strCache>
                <c:ptCount val="10"/>
                <c:pt idx="0">
                  <c:v>Mobilização ( 01 Evento por contrato)</c:v>
                </c:pt>
                <c:pt idx="1">
                  <c:v>Desmobilização ( 01 Evento por contrato)</c:v>
                </c:pt>
                <c:pt idx="2">
                  <c:v>Materiais Basicos - Perfil e Chapas</c:v>
                </c:pt>
                <c:pt idx="3">
                  <c:v>Materiais Basicos - Steel Deck, Telhas</c:v>
                </c:pt>
                <c:pt idx="4">
                  <c:v>Materiais - Consumiveis</c:v>
                </c:pt>
                <c:pt idx="5">
                  <c:v>Materiais - Pintura (Tintas e Solventes)</c:v>
                </c:pt>
                <c:pt idx="6">
                  <c:v>Ferramentas Manuais (Conforme lista)</c:v>
                </c:pt>
                <c:pt idx="7">
                  <c:v>Ferramentas elétricas (Conforme lista)</c:v>
                </c:pt>
                <c:pt idx="8">
                  <c:v>Mão Obra - Fabricação</c:v>
                </c:pt>
                <c:pt idx="9">
                  <c:v>Mão Obra - Montagem</c:v>
                </c:pt>
              </c:strCache>
            </c:strRef>
          </c:cat>
          <c:val>
            <c:numRef>
              <c:f>QQP_Cliente!$H$31:$H$40</c:f>
              <c:numCache>
                <c:formatCode>0.0%</c:formatCode>
                <c:ptCount val="10"/>
                <c:pt idx="0">
                  <c:v>0.10644545546063254</c:v>
                </c:pt>
                <c:pt idx="1">
                  <c:v>2.3588721891117416E-3</c:v>
                </c:pt>
                <c:pt idx="2">
                  <c:v>0.34967287572590444</c:v>
                </c:pt>
                <c:pt idx="3">
                  <c:v>0.15295759753894242</c:v>
                </c:pt>
                <c:pt idx="4">
                  <c:v>1.0745740736796804E-2</c:v>
                </c:pt>
                <c:pt idx="5">
                  <c:v>1.8927270794252028E-2</c:v>
                </c:pt>
                <c:pt idx="6">
                  <c:v>7.5343497085665341E-4</c:v>
                </c:pt>
                <c:pt idx="7">
                  <c:v>6.2927513247617479E-3</c:v>
                </c:pt>
                <c:pt idx="8">
                  <c:v>0.21104579885961325</c:v>
                </c:pt>
                <c:pt idx="9">
                  <c:v>0.14080020239912844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A3-48BF-BB98-B14340D17E7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515016"/>
        <c:axId val="569549832"/>
      </c:lineChart>
      <c:catAx>
        <c:axId val="5695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549832"/>
        <c:crosses val="autoZero"/>
        <c:auto val="1"/>
        <c:lblAlgn val="ctr"/>
        <c:lblOffset val="100"/>
        <c:noMultiLvlLbl val="0"/>
      </c:catAx>
      <c:valAx>
        <c:axId val="56954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9515016"/>
        <c:crosses val="autoZero"/>
        <c:crossBetween val="between"/>
      </c:valAx>
      <c:dTable>
        <c:showHorzBorder val="1"/>
        <c:showVertBorder val="1"/>
        <c:showOutline val="1"/>
        <c:showKeys val="0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ln>
                  <a:noFill/>
                </a:ln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Planilha de Quantidades e Preços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ln>
                <a:noFill/>
              </a:ln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QQP_Cliente!$D$12:$D$22</c:f>
              <c:strCache>
                <c:ptCount val="11"/>
                <c:pt idx="0">
                  <c:v>Mobilização ( 01 Evento por contrato)</c:v>
                </c:pt>
                <c:pt idx="1">
                  <c:v>Desmobilização ( 01 Evento por contrato)</c:v>
                </c:pt>
                <c:pt idx="2">
                  <c:v>Materiais Basicos - Perfil e Chapas</c:v>
                </c:pt>
                <c:pt idx="3">
                  <c:v>Materiais Basicos - Steel Deck, Telhas</c:v>
                </c:pt>
                <c:pt idx="4">
                  <c:v>Materiais - Consumiveis</c:v>
                </c:pt>
                <c:pt idx="5">
                  <c:v>Materiais - Pintura (Tintas e Solventes)</c:v>
                </c:pt>
                <c:pt idx="6">
                  <c:v>Ferramentas Manuais (Conforme lista)</c:v>
                </c:pt>
                <c:pt idx="7">
                  <c:v>Ferramentas elétricas (Conforme lista)</c:v>
                </c:pt>
                <c:pt idx="8">
                  <c:v>Mão Obra - Fabricação</c:v>
                </c:pt>
                <c:pt idx="9">
                  <c:v>Mão Obra - Montagem</c:v>
                </c:pt>
                <c:pt idx="10">
                  <c:v>Total</c:v>
                </c:pt>
              </c:strCache>
            </c:strRef>
          </c:cat>
          <c:val>
            <c:numRef>
              <c:f>QQP_Cliente!$M$12:$M$22</c:f>
              <c:numCache>
                <c:formatCode>_-"R$"* #,##0.00_-;\-"R$"* #,##0.00_-;_-"R$"* "-"??_-;_-@_-</c:formatCode>
                <c:ptCount val="11"/>
                <c:pt idx="0">
                  <c:v>170545</c:v>
                </c:pt>
                <c:pt idx="1">
                  <c:v>3779.342723004695</c:v>
                </c:pt>
                <c:pt idx="2">
                  <c:v>560239.61128833331</c:v>
                </c:pt>
                <c:pt idx="3">
                  <c:v>245065.91999999998</c:v>
                </c:pt>
                <c:pt idx="4">
                  <c:v>17216.633119999999</c:v>
                </c:pt>
                <c:pt idx="5">
                  <c:v>30324.933869999997</c:v>
                </c:pt>
                <c:pt idx="6">
                  <c:v>1207.1399999999999</c:v>
                </c:pt>
                <c:pt idx="7">
                  <c:v>10082.133333333335</c:v>
                </c:pt>
                <c:pt idx="8">
                  <c:v>338133.79454066226</c:v>
                </c:pt>
                <c:pt idx="9">
                  <c:v>225587.55950873042</c:v>
                </c:pt>
                <c:pt idx="10" formatCode="&quot;R$&quot;\ #,##0.00">
                  <c:v>1602182.0683840639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2E-48CF-8921-B214E0DD2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616122752"/>
        <c:axId val="1616124672"/>
      </c:barChart>
      <c:catAx>
        <c:axId val="1616122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6124672"/>
        <c:crosses val="autoZero"/>
        <c:auto val="1"/>
        <c:lblAlgn val="ctr"/>
        <c:lblOffset val="100"/>
        <c:noMultiLvlLbl val="0"/>
      </c:catAx>
      <c:valAx>
        <c:axId val="161612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612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chemeClr val="accent1"/>
      </a:solidFill>
    </a:ln>
    <a:effectLst/>
  </c:spPr>
  <c:txPr>
    <a:bodyPr/>
    <a:lstStyle/>
    <a:p>
      <a:pPr>
        <a:defRPr>
          <a:ln>
            <a:noFill/>
          </a:ln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Radio" firstButton="1" fmlaLink="$U$30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Drop" dropLines="4" dropStyle="combo" dx="22" fmlaLink="$AA$26" fmlaRange="$Y$25:$Y$29" sel="3" val="0"/>
</file>

<file path=xl/ctrlProps/ctrlProp5.xml><?xml version="1.0" encoding="utf-8"?>
<formControlPr xmlns="http://schemas.microsoft.com/office/spreadsheetml/2009/9/main" objectType="Radio" checked="Checked" firstButton="1" fmlaLink="'Tabela Encargos Sociais'!$W$26" lockText="1"/>
</file>

<file path=xl/ctrlProps/ctrlProp6.xml><?xml version="1.0" encoding="utf-8"?>
<formControlPr xmlns="http://schemas.microsoft.com/office/spreadsheetml/2009/9/main" objectType="Radio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QQP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QQP_Cliente!Area_de_impressao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jpeg"/><Relationship Id="rId1" Type="http://schemas.openxmlformats.org/officeDocument/2006/relationships/hyperlink" Target="#QQP!A1"/><Relationship Id="rId4" Type="http://schemas.openxmlformats.org/officeDocument/2006/relationships/image" Target="../media/image6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4.jpeg"/><Relationship Id="rId1" Type="http://schemas.openxmlformats.org/officeDocument/2006/relationships/hyperlink" Target="#QQP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QQP_Cliente!Area_de_impressao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QQP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85725</xdr:rowOff>
    </xdr:from>
    <xdr:to>
      <xdr:col>1</xdr:col>
      <xdr:colOff>514350</xdr:colOff>
      <xdr:row>3</xdr:row>
      <xdr:rowOff>0</xdr:rowOff>
    </xdr:to>
    <xdr:pic>
      <xdr:nvPicPr>
        <xdr:cNvPr id="36097" name="Picture 52" descr="img_logomarca">
          <a:extLst>
            <a:ext uri="{FF2B5EF4-FFF2-40B4-BE49-F238E27FC236}">
              <a16:creationId xmlns:a16="http://schemas.microsoft.com/office/drawing/2014/main" id="{00000000-0008-0000-0000-0000018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85725"/>
          <a:ext cx="8572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1285875</xdr:colOff>
      <xdr:row>0</xdr:row>
      <xdr:rowOff>57150</xdr:rowOff>
    </xdr:from>
    <xdr:to>
      <xdr:col>4</xdr:col>
      <xdr:colOff>381000</xdr:colOff>
      <xdr:row>4</xdr:row>
      <xdr:rowOff>28575</xdr:rowOff>
    </xdr:to>
    <xdr:pic>
      <xdr:nvPicPr>
        <xdr:cNvPr id="36098" name="Imagem 3">
          <a:extLst>
            <a:ext uri="{FF2B5EF4-FFF2-40B4-BE49-F238E27FC236}">
              <a16:creationId xmlns:a16="http://schemas.microsoft.com/office/drawing/2014/main" id="{00000000-0008-0000-0000-0000028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0" y="57150"/>
          <a:ext cx="29527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70757</xdr:rowOff>
        </xdr:from>
        <xdr:to>
          <xdr:col>4</xdr:col>
          <xdr:colOff>201386</xdr:colOff>
          <xdr:row>22</xdr:row>
          <xdr:rowOff>97971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Lucro Presumido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48986</xdr:colOff>
          <xdr:row>22</xdr:row>
          <xdr:rowOff>97971</xdr:rowOff>
        </xdr:from>
        <xdr:to>
          <xdr:col>3</xdr:col>
          <xdr:colOff>261257</xdr:colOff>
          <xdr:row>23</xdr:row>
          <xdr:rowOff>125186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Lucro Real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22</xdr:row>
          <xdr:rowOff>97971</xdr:rowOff>
        </xdr:from>
        <xdr:to>
          <xdr:col>6</xdr:col>
          <xdr:colOff>593271</xdr:colOff>
          <xdr:row>23</xdr:row>
          <xdr:rowOff>125186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Simples Nacional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10886</xdr:colOff>
          <xdr:row>25</xdr:row>
          <xdr:rowOff>21771</xdr:rowOff>
        </xdr:from>
        <xdr:to>
          <xdr:col>8</xdr:col>
          <xdr:colOff>707571</xdr:colOff>
          <xdr:row>25</xdr:row>
          <xdr:rowOff>277586</xdr:rowOff>
        </xdr:to>
        <xdr:sp macro="" textlink="">
          <xdr:nvSpPr>
            <xdr:cNvPr id="1073" name="Drop Dow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2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13137</xdr:colOff>
      <xdr:row>0</xdr:row>
      <xdr:rowOff>39412</xdr:rowOff>
    </xdr:from>
    <xdr:to>
      <xdr:col>3</xdr:col>
      <xdr:colOff>441636</xdr:colOff>
      <xdr:row>3</xdr:row>
      <xdr:rowOff>105000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051" y="39412"/>
          <a:ext cx="1538654" cy="5582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201386</xdr:colOff>
          <xdr:row>25</xdr:row>
          <xdr:rowOff>38100</xdr:rowOff>
        </xdr:from>
        <xdr:to>
          <xdr:col>11</xdr:col>
          <xdr:colOff>76200</xdr:colOff>
          <xdr:row>25</xdr:row>
          <xdr:rowOff>261257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MENSALISTA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239486</xdr:colOff>
          <xdr:row>25</xdr:row>
          <xdr:rowOff>32657</xdr:rowOff>
        </xdr:from>
        <xdr:to>
          <xdr:col>8</xdr:col>
          <xdr:colOff>10886</xdr:colOff>
          <xdr:row>25</xdr:row>
          <xdr:rowOff>250371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- HORISTA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257175</xdr:colOff>
      <xdr:row>1</xdr:row>
      <xdr:rowOff>38100</xdr:rowOff>
    </xdr:from>
    <xdr:to>
      <xdr:col>14</xdr:col>
      <xdr:colOff>95250</xdr:colOff>
      <xdr:row>2</xdr:row>
      <xdr:rowOff>85725</xdr:rowOff>
    </xdr:to>
    <xdr:sp macro="" textlink="">
      <xdr:nvSpPr>
        <xdr:cNvPr id="6" name="Rectangle 9">
          <a:extLst>
            <a:ext uri="{FF2B5EF4-FFF2-40B4-BE49-F238E27FC236}">
              <a16:creationId xmlns:a16="http://schemas.microsoft.com/office/drawing/2014/main" id="{00000000-0008-0000-0300-000006000000}"/>
            </a:ext>
            <a:ext uri="{147F2762-F138-4A5C-976F-8EAC2B608ADB}">
              <a16:predDERef xmlns:a16="http://schemas.microsoft.com/office/drawing/2014/main" pred="{00000000-0008-0000-0300-000013080000}"/>
            </a:ext>
          </a:extLst>
        </xdr:cNvPr>
        <xdr:cNvSpPr>
          <a:spLocks noChangeArrowheads="1"/>
        </xdr:cNvSpPr>
      </xdr:nvSpPr>
      <xdr:spPr bwMode="auto">
        <a:xfrm>
          <a:off x="2209800" y="200025"/>
          <a:ext cx="3190875" cy="209550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ATENÇÃO : PREENCHER SOMENTE AS CÉLULAS  VERDES</a:t>
          </a:r>
        </a:p>
      </xdr:txBody>
    </xdr:sp>
    <xdr:clientData/>
  </xdr:twoCellAnchor>
  <xdr:twoCellAnchor editAs="oneCell">
    <xdr:from>
      <xdr:col>1</xdr:col>
      <xdr:colOff>171450</xdr:colOff>
      <xdr:row>0</xdr:row>
      <xdr:rowOff>66675</xdr:rowOff>
    </xdr:from>
    <xdr:to>
      <xdr:col>4</xdr:col>
      <xdr:colOff>285750</xdr:colOff>
      <xdr:row>3</xdr:row>
      <xdr:rowOff>12887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0050" y="66675"/>
          <a:ext cx="1190625" cy="43198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</xdr:row>
      <xdr:rowOff>28575</xdr:rowOff>
    </xdr:from>
    <xdr:to>
      <xdr:col>2</xdr:col>
      <xdr:colOff>923925</xdr:colOff>
      <xdr:row>5</xdr:row>
      <xdr:rowOff>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108916" y="956227"/>
          <a:ext cx="4873487" cy="228186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ATENÇÃO : PREENCHER SOMENTE AS CÉLULAS  VERDES</a:t>
          </a:r>
        </a:p>
      </xdr:txBody>
    </xdr:sp>
    <xdr:clientData/>
  </xdr:twoCellAnchor>
  <xdr:twoCellAnchor editAs="oneCell">
    <xdr:from>
      <xdr:col>1</xdr:col>
      <xdr:colOff>74544</xdr:colOff>
      <xdr:row>0</xdr:row>
      <xdr:rowOff>57978</xdr:rowOff>
    </xdr:from>
    <xdr:to>
      <xdr:col>1</xdr:col>
      <xdr:colOff>1606848</xdr:colOff>
      <xdr:row>2</xdr:row>
      <xdr:rowOff>152412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35" y="57978"/>
          <a:ext cx="1538654" cy="5582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781050</xdr:colOff>
      <xdr:row>1</xdr:row>
      <xdr:rowOff>9525</xdr:rowOff>
    </xdr:from>
    <xdr:to>
      <xdr:col>9</xdr:col>
      <xdr:colOff>123825</xdr:colOff>
      <xdr:row>1</xdr:row>
      <xdr:rowOff>180975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>
          <a:off x="4591050" y="238125"/>
          <a:ext cx="3981450" cy="171450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ATENÇÃO : PREENCHER SOMENTE AS CÉLULAS  VERDES</a:t>
          </a:r>
        </a:p>
      </xdr:txBody>
    </xdr:sp>
    <xdr:clientData/>
  </xdr:twoCellAnchor>
  <xdr:twoCellAnchor editAs="oneCell">
    <xdr:from>
      <xdr:col>1</xdr:col>
      <xdr:colOff>298173</xdr:colOff>
      <xdr:row>0</xdr:row>
      <xdr:rowOff>24847</xdr:rowOff>
    </xdr:from>
    <xdr:to>
      <xdr:col>2</xdr:col>
      <xdr:colOff>1273610</xdr:colOff>
      <xdr:row>2</xdr:row>
      <xdr:rowOff>119281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0086" y="24847"/>
          <a:ext cx="1538654" cy="5582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95250</xdr:colOff>
      <xdr:row>27</xdr:row>
      <xdr:rowOff>152400</xdr:rowOff>
    </xdr:from>
    <xdr:to>
      <xdr:col>27</xdr:col>
      <xdr:colOff>504825</xdr:colOff>
      <xdr:row>43</xdr:row>
      <xdr:rowOff>9525</xdr:rowOff>
    </xdr:to>
    <xdr:graphicFrame macro="">
      <xdr:nvGraphicFramePr>
        <xdr:cNvPr id="15" name="Gráfico 1">
          <a:extLst>
            <a:ext uri="{FF2B5EF4-FFF2-40B4-BE49-F238E27FC236}">
              <a16:creationId xmlns:a16="http://schemas.microsoft.com/office/drawing/2014/main" id="{00000000-0008-0000-0600-00000F000000}"/>
            </a:ext>
            <a:ext uri="{147F2762-F138-4A5C-976F-8EAC2B608ADB}">
              <a16:predDERef xmlns:a16="http://schemas.microsoft.com/office/drawing/2014/main" pred="{4BDF576E-7E6E-109C-4168-852D307A1E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304800</xdr:colOff>
      <xdr:row>2</xdr:row>
      <xdr:rowOff>28575</xdr:rowOff>
    </xdr:from>
    <xdr:to>
      <xdr:col>27</xdr:col>
      <xdr:colOff>542925</xdr:colOff>
      <xdr:row>23</xdr:row>
      <xdr:rowOff>123825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  <a:ext uri="{147F2762-F138-4A5C-976F-8EAC2B608ADB}">
              <a16:predDERef xmlns:a16="http://schemas.microsoft.com/office/drawing/2014/main" pred="{00000000-0008-0000-06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647700</xdr:colOff>
      <xdr:row>1</xdr:row>
      <xdr:rowOff>38100</xdr:rowOff>
    </xdr:from>
    <xdr:to>
      <xdr:col>7</xdr:col>
      <xdr:colOff>1200150</xdr:colOff>
      <xdr:row>1</xdr:row>
      <xdr:rowOff>209550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4981575" y="266700"/>
          <a:ext cx="3981450" cy="171450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ATENÇÃO : PREENCHER SOMENTE AS CÉLULAS  VERDES</a:t>
          </a:r>
        </a:p>
      </xdr:txBody>
    </xdr:sp>
    <xdr:clientData/>
  </xdr:twoCellAnchor>
  <xdr:twoCellAnchor editAs="oneCell">
    <xdr:from>
      <xdr:col>1</xdr:col>
      <xdr:colOff>66676</xdr:colOff>
      <xdr:row>0</xdr:row>
      <xdr:rowOff>47626</xdr:rowOff>
    </xdr:from>
    <xdr:to>
      <xdr:col>2</xdr:col>
      <xdr:colOff>1000647</xdr:colOff>
      <xdr:row>2</xdr:row>
      <xdr:rowOff>180976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  <a:ext uri="{147F2762-F138-4A5C-976F-8EAC2B608ADB}">
              <a16:predDERef xmlns:a16="http://schemas.microsoft.com/office/drawing/2014/main" pre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6" y="47626"/>
          <a:ext cx="1489596" cy="5905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619125</xdr:colOff>
      <xdr:row>0</xdr:row>
      <xdr:rowOff>219075</xdr:rowOff>
    </xdr:from>
    <xdr:to>
      <xdr:col>7</xdr:col>
      <xdr:colOff>1171575</xdr:colOff>
      <xdr:row>1</xdr:row>
      <xdr:rowOff>161925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4772025" y="219075"/>
          <a:ext cx="3981450" cy="171450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ATENÇÃO : PREENCHER SOMENTE AS CÉLULAS  VERDES</a:t>
          </a:r>
        </a:p>
      </xdr:txBody>
    </xdr:sp>
    <xdr:clientData/>
  </xdr:twoCellAnchor>
  <xdr:twoCellAnchor editAs="oneCell">
    <xdr:from>
      <xdr:col>1</xdr:col>
      <xdr:colOff>38100</xdr:colOff>
      <xdr:row>0</xdr:row>
      <xdr:rowOff>47625</xdr:rowOff>
    </xdr:from>
    <xdr:to>
      <xdr:col>2</xdr:col>
      <xdr:colOff>971550</xdr:colOff>
      <xdr:row>2</xdr:row>
      <xdr:rowOff>190500</xdr:rowOff>
    </xdr:to>
    <xdr:pic>
      <xdr:nvPicPr>
        <xdr:cNvPr id="39305" name="Imagem 4">
          <a:extLst>
            <a:ext uri="{FF2B5EF4-FFF2-40B4-BE49-F238E27FC236}">
              <a16:creationId xmlns:a16="http://schemas.microsoft.com/office/drawing/2014/main" id="{00000000-0008-0000-0800-000089990000}"/>
            </a:ext>
            <a:ext uri="{147F2762-F138-4A5C-976F-8EAC2B608ADB}">
              <a16:predDERef xmlns:a16="http://schemas.microsoft.com/office/drawing/2014/main" pre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47625"/>
          <a:ext cx="1495425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1</xdr:row>
      <xdr:rowOff>57150</xdr:rowOff>
    </xdr:from>
    <xdr:to>
      <xdr:col>1</xdr:col>
      <xdr:colOff>771525</xdr:colOff>
      <xdr:row>2</xdr:row>
      <xdr:rowOff>133350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23900" y="57150"/>
          <a:ext cx="666750" cy="428625"/>
        </a:xfrm>
        <a:prstGeom prst="lef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 </a:t>
          </a:r>
          <a:r>
            <a:rPr lang="pt-BR" sz="12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QQP</a:t>
          </a:r>
        </a:p>
      </xdr:txBody>
    </xdr:sp>
    <xdr:clientData/>
  </xdr:twoCellAnchor>
  <xdr:twoCellAnchor editAs="oneCell">
    <xdr:from>
      <xdr:col>0</xdr:col>
      <xdr:colOff>28576</xdr:colOff>
      <xdr:row>0</xdr:row>
      <xdr:rowOff>67408</xdr:rowOff>
    </xdr:from>
    <xdr:to>
      <xdr:col>1</xdr:col>
      <xdr:colOff>944930</xdr:colOff>
      <xdr:row>0</xdr:row>
      <xdr:rowOff>625668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900-000003000000}"/>
            </a:ext>
            <a:ext uri="{147F2762-F138-4A5C-976F-8EAC2B608ADB}">
              <a16:predDERef xmlns:a16="http://schemas.microsoft.com/office/drawing/2014/main" pre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6" y="67408"/>
          <a:ext cx="1538654" cy="55826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</xdr:row>
      <xdr:rowOff>0</xdr:rowOff>
    </xdr:from>
    <xdr:to>
      <xdr:col>1</xdr:col>
      <xdr:colOff>800100</xdr:colOff>
      <xdr:row>2</xdr:row>
      <xdr:rowOff>171450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52475" y="742950"/>
          <a:ext cx="666750" cy="400050"/>
        </a:xfrm>
        <a:prstGeom prst="leftArrow">
          <a:avLst>
            <a:gd name="adj1" fmla="val 50000"/>
            <a:gd name="adj2" fmla="val 52074"/>
          </a:avLst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 </a:t>
          </a:r>
          <a:r>
            <a:rPr lang="pt-BR" sz="12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QQP</a:t>
          </a:r>
        </a:p>
      </xdr:txBody>
    </xdr:sp>
    <xdr:clientData/>
  </xdr:twoCellAnchor>
  <xdr:twoCellAnchor editAs="oneCell">
    <xdr:from>
      <xdr:col>0</xdr:col>
      <xdr:colOff>127967</xdr:colOff>
      <xdr:row>0</xdr:row>
      <xdr:rowOff>166799</xdr:rowOff>
    </xdr:from>
    <xdr:to>
      <xdr:col>1</xdr:col>
      <xdr:colOff>846758</xdr:colOff>
      <xdr:row>0</xdr:row>
      <xdr:rowOff>654625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  <a:ext uri="{147F2762-F138-4A5C-976F-8EAC2B608ADB}">
              <a16:predDERef xmlns:a16="http://schemas.microsoft.com/office/drawing/2014/main" pre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67" y="166799"/>
          <a:ext cx="1346337" cy="48782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215348</xdr:colOff>
      <xdr:row>11</xdr:row>
      <xdr:rowOff>0</xdr:rowOff>
    </xdr:from>
    <xdr:to>
      <xdr:col>13</xdr:col>
      <xdr:colOff>1102956</xdr:colOff>
      <xdr:row>11</xdr:row>
      <xdr:rowOff>324718</xdr:rowOff>
    </xdr:to>
    <xdr:pic>
      <xdr:nvPicPr>
        <xdr:cNvPr id="5" name="Imagem 1" descr="logo sgq.wpg">
          <a:extLst>
            <a:ext uri="{FF2B5EF4-FFF2-40B4-BE49-F238E27FC236}">
              <a16:creationId xmlns:a16="http://schemas.microsoft.com/office/drawing/2014/main" id="{10305D8D-4213-4755-BCD7-99C9C24A130F}"/>
            </a:ext>
            <a:ext uri="{147F2762-F138-4A5C-976F-8EAC2B608ADB}">
              <a16:predDERef xmlns:a16="http://schemas.microsoft.com/office/drawing/2014/main" pred="{659CAABB-9264-4963-A11C-C0117260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00273" y="2857500"/>
          <a:ext cx="894705" cy="3247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215348</xdr:colOff>
      <xdr:row>13</xdr:row>
      <xdr:rowOff>0</xdr:rowOff>
    </xdr:from>
    <xdr:to>
      <xdr:col>13</xdr:col>
      <xdr:colOff>1102956</xdr:colOff>
      <xdr:row>13</xdr:row>
      <xdr:rowOff>324718</xdr:rowOff>
    </xdr:to>
    <xdr:pic>
      <xdr:nvPicPr>
        <xdr:cNvPr id="2" name="Imagem 1" descr="logo sgq.wpg">
          <a:extLst>
            <a:ext uri="{FF2B5EF4-FFF2-40B4-BE49-F238E27FC236}">
              <a16:creationId xmlns:a16="http://schemas.microsoft.com/office/drawing/2014/main" id="{3B6133FB-72FE-4F84-A318-D4502BE49622}"/>
            </a:ext>
            <a:ext uri="{147F2762-F138-4A5C-976F-8EAC2B608ADB}">
              <a16:predDERef xmlns:a16="http://schemas.microsoft.com/office/drawing/2014/main" pred="{10305D8D-4213-4755-BCD7-99C9C24A1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721798" y="3143250"/>
          <a:ext cx="887608" cy="3247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1</xdr:row>
      <xdr:rowOff>57150</xdr:rowOff>
    </xdr:from>
    <xdr:to>
      <xdr:col>1</xdr:col>
      <xdr:colOff>771525</xdr:colOff>
      <xdr:row>3</xdr:row>
      <xdr:rowOff>133350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723900" y="542925"/>
          <a:ext cx="666750" cy="428625"/>
        </a:xfrm>
        <a:prstGeom prst="lef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 </a:t>
          </a:r>
          <a:r>
            <a:rPr lang="pt-BR" sz="12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QQP</a:t>
          </a:r>
        </a:p>
      </xdr:txBody>
    </xdr:sp>
    <xdr:clientData/>
  </xdr:twoCellAnchor>
  <xdr:twoCellAnchor editAs="oneCell">
    <xdr:from>
      <xdr:col>0</xdr:col>
      <xdr:colOff>42495</xdr:colOff>
      <xdr:row>0</xdr:row>
      <xdr:rowOff>21248</xdr:rowOff>
    </xdr:from>
    <xdr:to>
      <xdr:col>1</xdr:col>
      <xdr:colOff>781197</xdr:colOff>
      <xdr:row>1</xdr:row>
      <xdr:rowOff>171549</xdr:rowOff>
    </xdr:to>
    <xdr:pic>
      <xdr:nvPicPr>
        <xdr:cNvPr id="3" name="Imagem 5">
          <a:extLst>
            <a:ext uri="{FF2B5EF4-FFF2-40B4-BE49-F238E27FC236}">
              <a16:creationId xmlns:a16="http://schemas.microsoft.com/office/drawing/2014/main" id="{00000000-0008-0000-0A00-000003000000}"/>
            </a:ext>
            <a:ext uri="{147F2762-F138-4A5C-976F-8EAC2B608ADB}">
              <a16:predDERef xmlns:a16="http://schemas.microsoft.com/office/drawing/2014/main" pred="{10798C00-8236-4A2B-8B49-C218AC347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495" y="21248"/>
          <a:ext cx="1100505" cy="432241"/>
        </a:xfrm>
        <a:prstGeom prst="rect">
          <a:avLst/>
        </a:prstGeom>
      </xdr:spPr>
    </xdr:pic>
    <xdr:clientData/>
  </xdr:twoCellAnchor>
  <xdr:twoCellAnchor editAs="oneCell">
    <xdr:from>
      <xdr:col>0</xdr:col>
      <xdr:colOff>253283</xdr:colOff>
      <xdr:row>10</xdr:row>
      <xdr:rowOff>53340</xdr:rowOff>
    </xdr:from>
    <xdr:to>
      <xdr:col>1</xdr:col>
      <xdr:colOff>800432</xdr:colOff>
      <xdr:row>10</xdr:row>
      <xdr:rowOff>457200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  <a:ext uri="{147F2762-F138-4A5C-976F-8EAC2B608ADB}">
              <a16:predDERef xmlns:a16="http://schemas.microsoft.com/office/drawing/2014/main" pred="{B41C632F-1846-47F6-B43C-B71A9E193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3283" y="53340"/>
          <a:ext cx="936432" cy="403860"/>
        </a:xfrm>
        <a:prstGeom prst="rect">
          <a:avLst/>
        </a:prstGeom>
      </xdr:spPr>
    </xdr:pic>
    <xdr:clientData/>
  </xdr:twoCellAnchor>
  <xdr:twoCellAnchor editAs="oneCell">
    <xdr:from>
      <xdr:col>13</xdr:col>
      <xdr:colOff>215348</xdr:colOff>
      <xdr:row>10</xdr:row>
      <xdr:rowOff>0</xdr:rowOff>
    </xdr:from>
    <xdr:to>
      <xdr:col>15</xdr:col>
      <xdr:colOff>68653</xdr:colOff>
      <xdr:row>10</xdr:row>
      <xdr:rowOff>324718</xdr:rowOff>
    </xdr:to>
    <xdr:pic>
      <xdr:nvPicPr>
        <xdr:cNvPr id="5" name="Imagem 1" descr="logo sgq.wpg">
          <a:extLst>
            <a:ext uri="{FF2B5EF4-FFF2-40B4-BE49-F238E27FC236}">
              <a16:creationId xmlns:a16="http://schemas.microsoft.com/office/drawing/2014/main" id="{00000000-0008-0000-0A00-000005000000}"/>
            </a:ext>
            <a:ext uri="{147F2762-F138-4A5C-976F-8EAC2B608ADB}">
              <a16:predDERef xmlns:a16="http://schemas.microsoft.com/office/drawing/2014/main" pred="{659CAABB-9264-4963-A11C-C0117260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917013" y="0"/>
          <a:ext cx="884210" cy="3170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1</xdr:row>
      <xdr:rowOff>57150</xdr:rowOff>
    </xdr:from>
    <xdr:to>
      <xdr:col>1</xdr:col>
      <xdr:colOff>771525</xdr:colOff>
      <xdr:row>3</xdr:row>
      <xdr:rowOff>133350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723900" y="542925"/>
          <a:ext cx="666750" cy="428625"/>
        </a:xfrm>
        <a:prstGeom prst="lef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 </a:t>
          </a:r>
          <a:r>
            <a:rPr lang="pt-BR" sz="12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QQP</a:t>
          </a:r>
        </a:p>
      </xdr:txBody>
    </xdr:sp>
    <xdr:clientData/>
  </xdr:twoCellAnchor>
  <xdr:twoCellAnchor editAs="oneCell">
    <xdr:from>
      <xdr:col>0</xdr:col>
      <xdr:colOff>57150</xdr:colOff>
      <xdr:row>0</xdr:row>
      <xdr:rowOff>24765</xdr:rowOff>
    </xdr:from>
    <xdr:to>
      <xdr:col>1</xdr:col>
      <xdr:colOff>38100</xdr:colOff>
      <xdr:row>0</xdr:row>
      <xdr:rowOff>325755</xdr:rowOff>
    </xdr:to>
    <xdr:pic>
      <xdr:nvPicPr>
        <xdr:cNvPr id="3" name="Imagem 5">
          <a:extLst>
            <a:ext uri="{FF2B5EF4-FFF2-40B4-BE49-F238E27FC236}">
              <a16:creationId xmlns:a16="http://schemas.microsoft.com/office/drawing/2014/main" id="{00000000-0008-0000-0F00-000003000000}"/>
            </a:ext>
            <a:ext uri="{147F2762-F138-4A5C-976F-8EAC2B608ADB}">
              <a16:predDERef xmlns:a16="http://schemas.microsoft.com/office/drawing/2014/main" pred="{10798C00-8236-4A2B-8B49-C218AC347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24765"/>
          <a:ext cx="619125" cy="308610"/>
        </a:xfrm>
        <a:prstGeom prst="rect">
          <a:avLst/>
        </a:prstGeom>
      </xdr:spPr>
    </xdr:pic>
    <xdr:clientData/>
  </xdr:twoCellAnchor>
  <xdr:twoCellAnchor editAs="oneCell">
    <xdr:from>
      <xdr:col>14</xdr:col>
      <xdr:colOff>579783</xdr:colOff>
      <xdr:row>3</xdr:row>
      <xdr:rowOff>92352</xdr:rowOff>
    </xdr:from>
    <xdr:to>
      <xdr:col>17</xdr:col>
      <xdr:colOff>531520</xdr:colOff>
      <xdr:row>6</xdr:row>
      <xdr:rowOff>134016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62892" y="821222"/>
          <a:ext cx="1790476" cy="653334"/>
        </a:xfrm>
        <a:prstGeom prst="rect">
          <a:avLst/>
        </a:prstGeom>
      </xdr:spPr>
    </xdr:pic>
    <xdr:clientData/>
  </xdr:twoCellAnchor>
  <xdr:oneCellAnchor>
    <xdr:from>
      <xdr:col>14</xdr:col>
      <xdr:colOff>579783</xdr:colOff>
      <xdr:row>16</xdr:row>
      <xdr:rowOff>92352</xdr:rowOff>
    </xdr:from>
    <xdr:ext cx="1788571" cy="655239"/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64797" y="825032"/>
          <a:ext cx="1788571" cy="655239"/>
        </a:xfrm>
        <a:prstGeom prst="rect">
          <a:avLst/>
        </a:prstGeom>
      </xdr:spPr>
    </xdr:pic>
    <xdr:clientData/>
  </xdr:oneCellAnchor>
  <xdr:oneCellAnchor>
    <xdr:from>
      <xdr:col>14</xdr:col>
      <xdr:colOff>579783</xdr:colOff>
      <xdr:row>16</xdr:row>
      <xdr:rowOff>92352</xdr:rowOff>
    </xdr:from>
    <xdr:ext cx="1788571" cy="655239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15101" y="3723945"/>
          <a:ext cx="1788571" cy="655239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1</xdr:row>
      <xdr:rowOff>57150</xdr:rowOff>
    </xdr:from>
    <xdr:to>
      <xdr:col>1</xdr:col>
      <xdr:colOff>771525</xdr:colOff>
      <xdr:row>3</xdr:row>
      <xdr:rowOff>133350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23900" y="762000"/>
          <a:ext cx="666750" cy="428625"/>
        </a:xfrm>
        <a:prstGeom prst="lef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 </a:t>
          </a:r>
          <a:r>
            <a:rPr lang="pt-BR" sz="12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QQP</a:t>
          </a:r>
        </a:p>
      </xdr:txBody>
    </xdr:sp>
    <xdr:clientData/>
  </xdr:twoCellAnchor>
  <xdr:twoCellAnchor editAs="oneCell">
    <xdr:from>
      <xdr:col>0</xdr:col>
      <xdr:colOff>65434</xdr:colOff>
      <xdr:row>0</xdr:row>
      <xdr:rowOff>103119</xdr:rowOff>
    </xdr:from>
    <xdr:to>
      <xdr:col>1</xdr:col>
      <xdr:colOff>563218</xdr:colOff>
      <xdr:row>0</xdr:row>
      <xdr:rowOff>595854</xdr:rowOff>
    </xdr:to>
    <xdr:pic>
      <xdr:nvPicPr>
        <xdr:cNvPr id="3" name="Imagem 5">
          <a:extLst>
            <a:ext uri="{FF2B5EF4-FFF2-40B4-BE49-F238E27FC236}">
              <a16:creationId xmlns:a16="http://schemas.microsoft.com/office/drawing/2014/main" id="{00000000-0008-0000-0C00-000003000000}"/>
            </a:ext>
            <a:ext uri="{147F2762-F138-4A5C-976F-8EAC2B608ADB}">
              <a16:predDERef xmlns:a16="http://schemas.microsoft.com/office/drawing/2014/main" pred="{10798C00-8236-4A2B-8B49-C218AC347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434" y="103119"/>
          <a:ext cx="1118980" cy="49273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1</xdr:row>
      <xdr:rowOff>57150</xdr:rowOff>
    </xdr:from>
    <xdr:to>
      <xdr:col>1</xdr:col>
      <xdr:colOff>771525</xdr:colOff>
      <xdr:row>3</xdr:row>
      <xdr:rowOff>133350</xdr:rowOff>
    </xdr:to>
    <xdr:sp macro="" textlink="">
      <xdr:nvSpPr>
        <xdr:cNvPr id="2" name="Seta: para a Esqu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23900" y="762000"/>
          <a:ext cx="666750" cy="428625"/>
        </a:xfrm>
        <a:prstGeom prst="lef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pt-BR" sz="11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 </a:t>
          </a:r>
          <a:r>
            <a:rPr lang="pt-BR" sz="1200" b="1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QQP</a:t>
          </a:r>
        </a:p>
      </xdr:txBody>
    </xdr:sp>
    <xdr:clientData/>
  </xdr:twoCellAnchor>
  <xdr:twoCellAnchor editAs="oneCell">
    <xdr:from>
      <xdr:col>0</xdr:col>
      <xdr:colOff>57150</xdr:colOff>
      <xdr:row>0</xdr:row>
      <xdr:rowOff>28575</xdr:rowOff>
    </xdr:from>
    <xdr:to>
      <xdr:col>1</xdr:col>
      <xdr:colOff>638175</xdr:colOff>
      <xdr:row>0</xdr:row>
      <xdr:rowOff>466725</xdr:rowOff>
    </xdr:to>
    <xdr:pic>
      <xdr:nvPicPr>
        <xdr:cNvPr id="3" name="Imagem 5">
          <a:extLst>
            <a:ext uri="{FF2B5EF4-FFF2-40B4-BE49-F238E27FC236}">
              <a16:creationId xmlns:a16="http://schemas.microsoft.com/office/drawing/2014/main" id="{00000000-0008-0000-0D00-000003000000}"/>
            </a:ext>
            <a:ext uri="{147F2762-F138-4A5C-976F-8EAC2B608ADB}">
              <a16:predDERef xmlns:a16="http://schemas.microsoft.com/office/drawing/2014/main" pre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" y="28575"/>
          <a:ext cx="1362075" cy="438150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1</xdr:row>
      <xdr:rowOff>66675</xdr:rowOff>
    </xdr:from>
    <xdr:to>
      <xdr:col>8</xdr:col>
      <xdr:colOff>457200</xdr:colOff>
      <xdr:row>2</xdr:row>
      <xdr:rowOff>47625</xdr:rowOff>
    </xdr:to>
    <xdr:sp macro="" textlink="">
      <xdr:nvSpPr>
        <xdr:cNvPr id="4" name="Retângulo 6">
          <a:extLst>
            <a:ext uri="{FF2B5EF4-FFF2-40B4-BE49-F238E27FC236}">
              <a16:creationId xmlns:a16="http://schemas.microsoft.com/office/drawing/2014/main" id="{00000000-0008-0000-0D00-000004000000}"/>
            </a:ext>
            <a:ext uri="{147F2762-F138-4A5C-976F-8EAC2B608ADB}">
              <a16:predDERef xmlns:a16="http://schemas.microsoft.com/office/drawing/2014/main" pre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8553450" y="552450"/>
          <a:ext cx="1009650" cy="171450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square" lIns="27432" tIns="22860" rIns="0" bIns="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l" rtl="0">
            <a:defRPr sz="1000"/>
          </a:pPr>
          <a:r>
            <a:rPr lang="pt-BR" sz="1000" b="1" i="0" u="none" strike="noStrike" baseline="0">
              <a:solidFill>
                <a:srgbClr val="FFFFFF"/>
              </a:solidFill>
              <a:latin typeface="Arial"/>
              <a:cs typeface="Arial"/>
            </a:rPr>
            <a:t>ATENÇÃO : PREENCHER SOMENTE AS CÉLULAS  .x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mlestruturascombr.sharepoint.com/sites/GML/Shared%20Documents/4-%20PROJETOS%202024/107-%20CRASA%20-%202024/CRASA%20-%20PORT&#213;ES/COMP%20DE%20CUSTOS_%20CRASA%20-%20Port&#227;o%20de%20tubo.xlsm" TargetMode="External"/><Relationship Id="rId1" Type="http://schemas.openxmlformats.org/officeDocument/2006/relationships/externalLinkPath" Target="/sites/GML/Shared%20Documents/4-%20PROJETOS%202024/107-%20CRASA%20-%202024/CRASA%20-%20PORT&#213;ES/COMP%20DE%20CUSTOS_%20CRASA%20-%20Port&#227;o%20de%20tub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7xVR4GsVnk29dzJ-0ZG6VW9xdFsOyc9IjlCIpyk-8Xm3N9bI4XMlR7-lv6O2tGly" itemId="01OIQEWNX55NVB65LBFRFZ7SJE5T7GT74P">
      <xxl21:absoluteUrl r:id="rId2"/>
    </xxl21:alternateUrls>
    <sheetNames>
      <sheetName val="Demanda Eventual"/>
      <sheetName val="Instruções"/>
      <sheetName val="Tabela BDI e Tributos"/>
      <sheetName val="Tabela Encargos Sociais"/>
      <sheetName val="Tabela Mão de obra"/>
      <sheetName val="Composição Global"/>
      <sheetName val="Mobilização"/>
      <sheetName val="Desmobilização"/>
      <sheetName val="QQP_Cliente"/>
      <sheetName val="Mao Obra_Fabricação"/>
      <sheetName val="Mao Obra_Montagem"/>
      <sheetName val="Materiais Basicos"/>
      <sheetName val="Ferramentas Manual"/>
      <sheetName val="Equip. eletricos"/>
      <sheetName val="PONTO DE EQUILIBRIO"/>
      <sheetName val="Mat._Jato e Pint. eletrostica"/>
      <sheetName val="Materiais_Jato e Pintura"/>
      <sheetName val="Cotação"/>
      <sheetName val="Lista Consumiveis"/>
      <sheetName val="VALIDAÇÃO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4">
          <cell r="D4"/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Leandro Santos | Vendas Técnicas | GML Soluções Industriais" id="{6EC3CF67-5E0B-4EC1-BC9F-C3C1CC8EB3B4}" userId="S::vendas@gmlestruturas.com.br::bb813f27-0089-4660-948a-2d28ff88a6a4" providerId="AD"/>
  <person displayName="Daniel Rodrigues" id="{7F7B9CA2-BF3A-4484-9190-D6122BF732E9}" userId="S::comercial@gmlestruturas.com.br::d70749db-c4bd-4cf2-8645-49a4b76e67b7" providerId="AD"/>
  <person displayName="Deusmar  Rodrigues | Engenharia | GML" id="{E974E1F7-9CBC-451E-A510-1CA6D1D5E36B}" userId="S::engenharia@gmlestruturas.com.br::addbfadb-8e51-421b-a9c3-dd504a37747d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9" dT="2023-03-24T12:40:24.65" personId="{6EC3CF67-5E0B-4EC1-BC9F-C3C1CC8EB3B4}" id="{0EFC77FB-7232-400A-B060-FEC040CED519}">
    <text>o valor da sexta basica era de 200,00 reais</text>
  </threadedComment>
  <threadedComment ref="C28" dT="2024-04-29T20:28:09.10" personId="{E974E1F7-9CBC-451E-A510-1CA6D1D5E36B}" id="{DDEB7B21-E098-4D27-99D7-C30EC29C8B16}">
    <text>Custo=Cinto+Camisa+Calça+Bota+capacete+oculos+luvas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4-06-05T17:53:48.24" personId="{7F7B9CA2-BF3A-4484-9190-D6122BF732E9}" id="{3FA35A2A-7C17-49C6-9EB3-5877716A3700}">
    <text>Memoria Calculo:
QTD Profissional x QTD Dias X QTD Horas/dia.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4-06-05T17:53:48.24" personId="{7F7B9CA2-BF3A-4484-9190-D6122BF732E9}" id="{3FA35A2A-7C17-49C7-9EB3-5877716A3700}">
    <text>Memoria Calculo:
QTD Profissional x QTD Dias X QTD Horas/dia.</text>
  </threadedComment>
  <threadedComment ref="G15" dT="2024-06-05T17:53:48.24" personId="{7F7B9CA2-BF3A-4484-9190-D6122BF732E9}" id="{8C00206A-3C83-4426-BCFC-81C98B2628D6}">
    <text>Memoria Calculo:
QTD Profissional x QTD Dias X QTD Horas/dia.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E5" dT="2023-04-11T15:54:47.73" personId="{7F7B9CA2-BF3A-4484-9190-D6122BF732E9}" id="{5D6E961F-A753-4998-941E-AF6FEF511465}">
    <text>Valor estimado a ser pago por hora trabalhada.</text>
  </threadedComment>
  <threadedComment ref="E6" dT="2023-04-11T15:55:01.32" personId="{7F7B9CA2-BF3A-4484-9190-D6122BF732E9}" id="{701BEC48-2A00-4C6A-B1E4-1C70473B988C}">
    <text>Valor estimado a ser pago por hora trabalhada.</text>
  </threadedComment>
  <threadedComment ref="E8" dT="2023-04-11T15:55:06.21" personId="{7F7B9CA2-BF3A-4484-9190-D6122BF732E9}" id="{0C33AE93-1D6E-4D79-AA3B-0F581E3F56B5}">
    <text>Valor estimado a ser pago por hora trabalhada.</text>
  </threadedComment>
  <threadedComment ref="AB21" dT="2023-04-03T19:17:47.40" personId="{6EC3CF67-5E0B-4EC1-BC9F-C3C1CC8EB3B4}" id="{7433C5A3-43FC-4257-BE79-C3314485F8E4}">
    <text>quantidade de funcionários</text>
  </threadedComment>
  <threadedComment ref="AC21" dT="2023-04-03T19:18:29.00" personId="{6EC3CF67-5E0B-4EC1-BC9F-C3C1CC8EB3B4}" id="{4C218640-DC8B-4EAE-BF51-8781D4749B06}">
    <text>quantidade de horas trabalhadas em um mês</text>
  </threadedComment>
  <threadedComment ref="AB24" dT="2023-04-03T19:19:10.67" personId="{6EC3CF67-5E0B-4EC1-BC9F-C3C1CC8EB3B4}" id="{7B86939D-F3B4-4EC1-830F-4152354825E6}">
    <text>Valor ada hora de cada funcionário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FE207D99-1FF7-4B2C-BE5D-364837E1FFC2}">
  <we:reference id="wa200005271" version="2.5.4.0" store="pt-BR" storeType="OMEX"/>
  <we:alternateReferences>
    <we:reference id="wa200005271" version="2.5.4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072DBB0-FC81-4B22-B9B3-6CC2977FE3E5}">
  <we:reference id="WA200005502" version="1.0.0.11" store="pt-BR" storeType="omex"/>
  <we:alternateReferences/>
  <we:properties>
    <we:property name="docId" value="&quot;NMF-f1JmVul4w_FGb3cmo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  <a:ext xmlns:a="http://schemas.openxmlformats.org/drawingml/2006/main" uri="{0858819E-0033-43BF-8937-05EC82904868}">
      <we:backgroundApp state="0" runtimeId="Index.Url"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pageSetUpPr fitToPage="1"/>
  </sheetPr>
  <dimension ref="A1:G19"/>
  <sheetViews>
    <sheetView showGridLines="0" view="pageBreakPreview" zoomScaleNormal="100" zoomScaleSheetLayoutView="100" workbookViewId="0">
      <selection activeCell="D10" sqref="D10"/>
    </sheetView>
  </sheetViews>
  <sheetFormatPr defaultColWidth="9.140625" defaultRowHeight="12.4"/>
  <cols>
    <col min="1" max="1" width="6.42578125" style="108" customWidth="1"/>
    <col min="2" max="2" width="36" style="108" customWidth="1"/>
    <col min="3" max="3" width="12.7109375" style="108" customWidth="1"/>
    <col min="4" max="4" width="9.140625" style="108"/>
    <col min="5" max="7" width="9.5703125" style="108" bestFit="1" customWidth="1"/>
    <col min="8" max="8" width="3" style="108" customWidth="1"/>
    <col min="9" max="16384" width="9.140625" style="108"/>
  </cols>
  <sheetData>
    <row r="1" spans="1:7" ht="12.95" customHeight="1"/>
    <row r="2" spans="1:7" ht="12.95" customHeight="1"/>
    <row r="3" spans="1:7" ht="12.95" customHeight="1"/>
    <row r="4" spans="1:7" ht="12.95" customHeight="1"/>
    <row r="5" spans="1:7" ht="12.95" customHeight="1" thickBot="1"/>
    <row r="6" spans="1:7" ht="18" thickBot="1">
      <c r="A6" s="960" t="s">
        <v>0</v>
      </c>
      <c r="B6" s="961"/>
      <c r="C6" s="961"/>
      <c r="D6" s="961"/>
      <c r="E6" s="961"/>
      <c r="F6" s="961"/>
      <c r="G6" s="962"/>
    </row>
    <row r="7" spans="1:7" ht="12.95" thickBot="1"/>
    <row r="8" spans="1:7" ht="24.95" customHeight="1" thickBot="1">
      <c r="A8" s="953" t="s">
        <v>1</v>
      </c>
      <c r="B8" s="955" t="s">
        <v>2</v>
      </c>
      <c r="C8" s="953" t="s">
        <v>3</v>
      </c>
      <c r="D8" s="957" t="s">
        <v>4</v>
      </c>
      <c r="E8" s="958"/>
      <c r="F8" s="958"/>
      <c r="G8" s="959"/>
    </row>
    <row r="9" spans="1:7" ht="27" customHeight="1" thickBot="1">
      <c r="A9" s="954"/>
      <c r="B9" s="956"/>
      <c r="C9" s="954"/>
      <c r="D9" s="124" t="s">
        <v>5</v>
      </c>
      <c r="E9" s="124" t="s">
        <v>6</v>
      </c>
      <c r="F9" s="125" t="s">
        <v>7</v>
      </c>
      <c r="G9" s="125" t="s">
        <v>8</v>
      </c>
    </row>
    <row r="10" spans="1:7" ht="12.95" thickBot="1">
      <c r="A10" s="126">
        <v>1</v>
      </c>
      <c r="B10" s="130" t="s">
        <v>9</v>
      </c>
      <c r="C10" s="121" t="s">
        <v>10</v>
      </c>
      <c r="D10" s="109">
        <f>'Tabela Mão de obra'!C34</f>
        <v>77.474710144927542</v>
      </c>
      <c r="E10" s="110">
        <v>75</v>
      </c>
      <c r="F10" s="110">
        <v>100</v>
      </c>
      <c r="G10" s="111">
        <v>100</v>
      </c>
    </row>
    <row r="11" spans="1:7">
      <c r="A11" s="127">
        <f>A10+1</f>
        <v>2</v>
      </c>
      <c r="B11" s="130" t="s">
        <v>11</v>
      </c>
      <c r="C11" s="122" t="s">
        <v>10</v>
      </c>
      <c r="D11" s="112">
        <f>'Tabela Mão de obra'!D34</f>
        <v>69.773145623188412</v>
      </c>
      <c r="E11" s="113">
        <v>75</v>
      </c>
      <c r="F11" s="113">
        <v>100</v>
      </c>
      <c r="G11" s="114">
        <v>100</v>
      </c>
    </row>
    <row r="12" spans="1:7">
      <c r="A12" s="127">
        <f t="shared" ref="A12:A19" si="0">A11+1</f>
        <v>3</v>
      </c>
      <c r="B12" s="131" t="s">
        <v>12</v>
      </c>
      <c r="C12" s="122" t="s">
        <v>10</v>
      </c>
      <c r="D12" s="112">
        <f>'Tabela Mão de obra'!F34</f>
        <v>54.680580405797095</v>
      </c>
      <c r="E12" s="113">
        <v>75</v>
      </c>
      <c r="F12" s="113">
        <v>100</v>
      </c>
      <c r="G12" s="114">
        <v>100</v>
      </c>
    </row>
    <row r="13" spans="1:7">
      <c r="A13" s="127">
        <f t="shared" si="0"/>
        <v>4</v>
      </c>
      <c r="B13" s="131" t="s">
        <v>13</v>
      </c>
      <c r="C13" s="122" t="s">
        <v>10</v>
      </c>
      <c r="D13" s="112">
        <f>'Tabela Mão de obra'!G34</f>
        <v>48.642167362318837</v>
      </c>
      <c r="E13" s="113">
        <v>75</v>
      </c>
      <c r="F13" s="113">
        <v>100</v>
      </c>
      <c r="G13" s="114">
        <v>100</v>
      </c>
    </row>
    <row r="14" spans="1:7">
      <c r="A14" s="127">
        <f t="shared" si="0"/>
        <v>5</v>
      </c>
      <c r="B14" s="131" t="s">
        <v>14</v>
      </c>
      <c r="C14" s="122" t="s">
        <v>10</v>
      </c>
      <c r="D14" s="112">
        <f>'Tabela Mão de obra'!H34</f>
        <v>52.092689101449274</v>
      </c>
      <c r="E14" s="113">
        <v>75</v>
      </c>
      <c r="F14" s="113">
        <v>100</v>
      </c>
      <c r="G14" s="114">
        <v>100</v>
      </c>
    </row>
    <row r="15" spans="1:7">
      <c r="A15" s="127">
        <f t="shared" si="0"/>
        <v>6</v>
      </c>
      <c r="B15" s="131" t="s">
        <v>15</v>
      </c>
      <c r="C15" s="122" t="s">
        <v>10</v>
      </c>
      <c r="D15" s="112">
        <f>'Tabela Mão de obra'!J34</f>
        <v>46.218254318840579</v>
      </c>
      <c r="E15" s="113">
        <v>75</v>
      </c>
      <c r="F15" s="113">
        <v>100</v>
      </c>
      <c r="G15" s="114">
        <v>100</v>
      </c>
    </row>
    <row r="16" spans="1:7">
      <c r="A16" s="127">
        <f t="shared" si="0"/>
        <v>7</v>
      </c>
      <c r="B16" s="131" t="s">
        <v>16</v>
      </c>
      <c r="C16" s="122" t="s">
        <v>10</v>
      </c>
      <c r="D16" s="112">
        <f>'Tabela Mão de obra'!I34</f>
        <v>39.581080405797103</v>
      </c>
      <c r="E16" s="113">
        <v>75</v>
      </c>
      <c r="F16" s="113">
        <v>100</v>
      </c>
      <c r="G16" s="114">
        <v>100</v>
      </c>
    </row>
    <row r="17" spans="1:7">
      <c r="A17" s="127">
        <f t="shared" si="0"/>
        <v>8</v>
      </c>
      <c r="B17" s="131" t="s">
        <v>17</v>
      </c>
      <c r="C17" s="122" t="s">
        <v>10</v>
      </c>
      <c r="D17" s="112">
        <f>'Tabela Mão de obra'!K34</f>
        <v>39.317210840579712</v>
      </c>
      <c r="E17" s="113">
        <v>75</v>
      </c>
      <c r="F17" s="113">
        <v>100</v>
      </c>
      <c r="G17" s="114">
        <v>100</v>
      </c>
    </row>
    <row r="18" spans="1:7">
      <c r="A18" s="127">
        <f t="shared" si="0"/>
        <v>9</v>
      </c>
      <c r="B18" s="119"/>
      <c r="C18" s="122" t="s">
        <v>10</v>
      </c>
      <c r="D18" s="112"/>
      <c r="E18" s="113"/>
      <c r="F18" s="113"/>
      <c r="G18" s="114"/>
    </row>
    <row r="19" spans="1:7" ht="12.95" thickBot="1">
      <c r="A19" s="128">
        <f t="shared" si="0"/>
        <v>10</v>
      </c>
      <c r="B19" s="120"/>
      <c r="C19" s="123" t="s">
        <v>10</v>
      </c>
      <c r="D19" s="115"/>
      <c r="E19" s="116"/>
      <c r="F19" s="116"/>
      <c r="G19" s="117"/>
    </row>
  </sheetData>
  <mergeCells count="5">
    <mergeCell ref="A8:A9"/>
    <mergeCell ref="B8:B9"/>
    <mergeCell ref="C8:C9"/>
    <mergeCell ref="D8:G8"/>
    <mergeCell ref="A6:G6"/>
  </mergeCells>
  <printOptions horizontalCentered="1" verticalCentered="1"/>
  <pageMargins left="0" right="0" top="0" bottom="0" header="0" footer="0"/>
  <pageSetup paperSize="9" orientation="portrait" verticalDpi="599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B1:M71"/>
  <sheetViews>
    <sheetView showGridLines="0" zoomScale="90" zoomScaleNormal="90" zoomScaleSheetLayoutView="90" workbookViewId="0">
      <selection activeCell="B5" sqref="B5:M16"/>
    </sheetView>
  </sheetViews>
  <sheetFormatPr defaultColWidth="9.140625" defaultRowHeight="12.4"/>
  <cols>
    <col min="1" max="1" width="1.28515625" style="44" customWidth="1"/>
    <col min="2" max="2" width="43.140625" style="44" customWidth="1"/>
    <col min="3" max="3" width="15.28515625" style="44" customWidth="1"/>
    <col min="4" max="4" width="56.5703125" style="44" customWidth="1"/>
    <col min="5" max="5" width="16.140625" style="44" customWidth="1"/>
    <col min="6" max="16384" width="9.140625" style="44"/>
  </cols>
  <sheetData>
    <row r="1" spans="2:13" ht="12.95" thickBot="1"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</row>
    <row r="2" spans="2:13" s="45" customFormat="1" ht="18" thickBot="1">
      <c r="B2" s="988" t="s">
        <v>18</v>
      </c>
      <c r="C2" s="989"/>
      <c r="D2" s="989"/>
      <c r="E2" s="989"/>
      <c r="F2" s="989"/>
      <c r="G2" s="989"/>
      <c r="H2" s="989"/>
      <c r="I2" s="989"/>
      <c r="J2" s="989"/>
      <c r="K2" s="989"/>
      <c r="L2" s="989"/>
      <c r="M2" s="990"/>
    </row>
    <row r="3" spans="2:13" ht="12.95" thickBot="1"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</row>
    <row r="4" spans="2:13" s="45" customFormat="1" ht="14.65" thickBot="1">
      <c r="B4" s="979" t="s">
        <v>19</v>
      </c>
      <c r="C4" s="980"/>
      <c r="D4" s="980"/>
      <c r="E4" s="980"/>
      <c r="F4" s="980"/>
      <c r="G4" s="980"/>
      <c r="H4" s="980"/>
      <c r="I4" s="980"/>
      <c r="J4" s="980"/>
      <c r="K4" s="980"/>
      <c r="L4" s="980"/>
      <c r="M4" s="981"/>
    </row>
    <row r="5" spans="2:13">
      <c r="B5" s="991" t="s">
        <v>20</v>
      </c>
      <c r="C5" s="992"/>
      <c r="D5" s="992"/>
      <c r="E5" s="992"/>
      <c r="F5" s="992"/>
      <c r="G5" s="992"/>
      <c r="H5" s="992"/>
      <c r="I5" s="992"/>
      <c r="J5" s="992"/>
      <c r="K5" s="992"/>
      <c r="L5" s="992"/>
      <c r="M5" s="993"/>
    </row>
    <row r="6" spans="2:13">
      <c r="B6" s="991"/>
      <c r="C6" s="992"/>
      <c r="D6" s="992"/>
      <c r="E6" s="992"/>
      <c r="F6" s="992"/>
      <c r="G6" s="992"/>
      <c r="H6" s="992"/>
      <c r="I6" s="992"/>
      <c r="J6" s="992"/>
      <c r="K6" s="992"/>
      <c r="L6" s="992"/>
      <c r="M6" s="993"/>
    </row>
    <row r="7" spans="2:13">
      <c r="B7" s="991"/>
      <c r="C7" s="992"/>
      <c r="D7" s="992"/>
      <c r="E7" s="992"/>
      <c r="F7" s="992"/>
      <c r="G7" s="992"/>
      <c r="H7" s="992"/>
      <c r="I7" s="992"/>
      <c r="J7" s="992"/>
      <c r="K7" s="992"/>
      <c r="L7" s="992"/>
      <c r="M7" s="993"/>
    </row>
    <row r="8" spans="2:13">
      <c r="B8" s="991"/>
      <c r="C8" s="992"/>
      <c r="D8" s="992"/>
      <c r="E8" s="992"/>
      <c r="F8" s="992"/>
      <c r="G8" s="992"/>
      <c r="H8" s="992"/>
      <c r="I8" s="992"/>
      <c r="J8" s="992"/>
      <c r="K8" s="992"/>
      <c r="L8" s="992"/>
      <c r="M8" s="993"/>
    </row>
    <row r="9" spans="2:13">
      <c r="B9" s="991"/>
      <c r="C9" s="992"/>
      <c r="D9" s="992"/>
      <c r="E9" s="992"/>
      <c r="F9" s="992"/>
      <c r="G9" s="992"/>
      <c r="H9" s="992"/>
      <c r="I9" s="992"/>
      <c r="J9" s="992"/>
      <c r="K9" s="992"/>
      <c r="L9" s="992"/>
      <c r="M9" s="993"/>
    </row>
    <row r="10" spans="2:13">
      <c r="B10" s="991"/>
      <c r="C10" s="992"/>
      <c r="D10" s="992"/>
      <c r="E10" s="992"/>
      <c r="F10" s="992"/>
      <c r="G10" s="992"/>
      <c r="H10" s="992"/>
      <c r="I10" s="992"/>
      <c r="J10" s="992"/>
      <c r="K10" s="992"/>
      <c r="L10" s="992"/>
      <c r="M10" s="993"/>
    </row>
    <row r="11" spans="2:13">
      <c r="B11" s="991"/>
      <c r="C11" s="992"/>
      <c r="D11" s="992"/>
      <c r="E11" s="992"/>
      <c r="F11" s="992"/>
      <c r="G11" s="992"/>
      <c r="H11" s="992"/>
      <c r="I11" s="992"/>
      <c r="J11" s="992"/>
      <c r="K11" s="992"/>
      <c r="L11" s="992"/>
      <c r="M11" s="993"/>
    </row>
    <row r="12" spans="2:13">
      <c r="B12" s="991"/>
      <c r="C12" s="992"/>
      <c r="D12" s="992"/>
      <c r="E12" s="992"/>
      <c r="F12" s="992"/>
      <c r="G12" s="992"/>
      <c r="H12" s="992"/>
      <c r="I12" s="992"/>
      <c r="J12" s="992"/>
      <c r="K12" s="992"/>
      <c r="L12" s="992"/>
      <c r="M12" s="993"/>
    </row>
    <row r="13" spans="2:13">
      <c r="B13" s="991"/>
      <c r="C13" s="992"/>
      <c r="D13" s="992"/>
      <c r="E13" s="992"/>
      <c r="F13" s="992"/>
      <c r="G13" s="992"/>
      <c r="H13" s="992"/>
      <c r="I13" s="992"/>
      <c r="J13" s="992"/>
      <c r="K13" s="992"/>
      <c r="L13" s="992"/>
      <c r="M13" s="993"/>
    </row>
    <row r="14" spans="2:13">
      <c r="B14" s="991"/>
      <c r="C14" s="992"/>
      <c r="D14" s="992"/>
      <c r="E14" s="992"/>
      <c r="F14" s="992"/>
      <c r="G14" s="992"/>
      <c r="H14" s="992"/>
      <c r="I14" s="992"/>
      <c r="J14" s="992"/>
      <c r="K14" s="992"/>
      <c r="L14" s="992"/>
      <c r="M14" s="993"/>
    </row>
    <row r="15" spans="2:13">
      <c r="B15" s="991"/>
      <c r="C15" s="992"/>
      <c r="D15" s="992"/>
      <c r="E15" s="992"/>
      <c r="F15" s="992"/>
      <c r="G15" s="992"/>
      <c r="H15" s="992"/>
      <c r="I15" s="992"/>
      <c r="J15" s="992"/>
      <c r="K15" s="992"/>
      <c r="L15" s="992"/>
      <c r="M15" s="993"/>
    </row>
    <row r="16" spans="2:13" ht="12.95" thickBot="1">
      <c r="B16" s="976"/>
      <c r="C16" s="977"/>
      <c r="D16" s="977"/>
      <c r="E16" s="977"/>
      <c r="F16" s="977"/>
      <c r="G16" s="977"/>
      <c r="H16" s="977"/>
      <c r="I16" s="977"/>
      <c r="J16" s="977"/>
      <c r="K16" s="977"/>
      <c r="L16" s="977"/>
      <c r="M16" s="978"/>
    </row>
    <row r="17" spans="2:13" s="45" customFormat="1" ht="14.65" thickBot="1">
      <c r="B17" s="979" t="s">
        <v>21</v>
      </c>
      <c r="C17" s="980"/>
      <c r="D17" s="980"/>
      <c r="E17" s="980"/>
      <c r="F17" s="980"/>
      <c r="G17" s="980"/>
      <c r="H17" s="980"/>
      <c r="I17" s="980"/>
      <c r="J17" s="980"/>
      <c r="K17" s="980"/>
      <c r="L17" s="980"/>
      <c r="M17" s="981"/>
    </row>
    <row r="18" spans="2:13">
      <c r="B18" s="967" t="s">
        <v>22</v>
      </c>
      <c r="C18" s="968"/>
      <c r="D18" s="968"/>
      <c r="E18" s="968"/>
      <c r="F18" s="968"/>
      <c r="G18" s="968"/>
      <c r="H18" s="968"/>
      <c r="I18" s="968"/>
      <c r="J18" s="968"/>
      <c r="K18" s="968"/>
      <c r="L18" s="968"/>
      <c r="M18" s="969"/>
    </row>
    <row r="19" spans="2:13">
      <c r="B19" s="970"/>
      <c r="C19" s="968"/>
      <c r="D19" s="968"/>
      <c r="E19" s="968"/>
      <c r="F19" s="968"/>
      <c r="G19" s="968"/>
      <c r="H19" s="968"/>
      <c r="I19" s="968"/>
      <c r="J19" s="968"/>
      <c r="K19" s="968"/>
      <c r="L19" s="968"/>
      <c r="M19" s="969"/>
    </row>
    <row r="20" spans="2:13">
      <c r="B20" s="970"/>
      <c r="C20" s="968"/>
      <c r="D20" s="968"/>
      <c r="E20" s="968"/>
      <c r="F20" s="968"/>
      <c r="G20" s="968"/>
      <c r="H20" s="968"/>
      <c r="I20" s="968"/>
      <c r="J20" s="968"/>
      <c r="K20" s="968"/>
      <c r="L20" s="968"/>
      <c r="M20" s="969"/>
    </row>
    <row r="21" spans="2:13">
      <c r="B21" s="970"/>
      <c r="C21" s="968"/>
      <c r="D21" s="968"/>
      <c r="E21" s="968"/>
      <c r="F21" s="968"/>
      <c r="G21" s="968"/>
      <c r="H21" s="968"/>
      <c r="I21" s="968"/>
      <c r="J21" s="968"/>
      <c r="K21" s="968"/>
      <c r="L21" s="968"/>
      <c r="M21" s="969"/>
    </row>
    <row r="22" spans="2:13">
      <c r="B22" s="970"/>
      <c r="C22" s="968"/>
      <c r="D22" s="968"/>
      <c r="E22" s="968"/>
      <c r="F22" s="968"/>
      <c r="G22" s="968"/>
      <c r="H22" s="968"/>
      <c r="I22" s="968"/>
      <c r="J22" s="968"/>
      <c r="K22" s="968"/>
      <c r="L22" s="968"/>
      <c r="M22" s="969"/>
    </row>
    <row r="23" spans="2:13">
      <c r="B23" s="970"/>
      <c r="C23" s="968"/>
      <c r="D23" s="968"/>
      <c r="E23" s="968"/>
      <c r="F23" s="968"/>
      <c r="G23" s="968"/>
      <c r="H23" s="968"/>
      <c r="I23" s="968"/>
      <c r="J23" s="968"/>
      <c r="K23" s="968"/>
      <c r="L23" s="968"/>
      <c r="M23" s="969"/>
    </row>
    <row r="24" spans="2:13">
      <c r="B24" s="970"/>
      <c r="C24" s="968"/>
      <c r="D24" s="968"/>
      <c r="E24" s="968"/>
      <c r="F24" s="968"/>
      <c r="G24" s="968"/>
      <c r="H24" s="968"/>
      <c r="I24" s="968"/>
      <c r="J24" s="968"/>
      <c r="K24" s="968"/>
      <c r="L24" s="968"/>
      <c r="M24" s="969"/>
    </row>
    <row r="25" spans="2:13">
      <c r="B25" s="970"/>
      <c r="C25" s="968"/>
      <c r="D25" s="968"/>
      <c r="E25" s="968"/>
      <c r="F25" s="968"/>
      <c r="G25" s="968"/>
      <c r="H25" s="968"/>
      <c r="I25" s="968"/>
      <c r="J25" s="968"/>
      <c r="K25" s="968"/>
      <c r="L25" s="968"/>
      <c r="M25" s="969"/>
    </row>
    <row r="26" spans="2:13">
      <c r="B26" s="970"/>
      <c r="C26" s="968"/>
      <c r="D26" s="968"/>
      <c r="E26" s="968"/>
      <c r="F26" s="968"/>
      <c r="G26" s="968"/>
      <c r="H26" s="968"/>
      <c r="I26" s="968"/>
      <c r="J26" s="968"/>
      <c r="K26" s="968"/>
      <c r="L26" s="968"/>
      <c r="M26" s="969"/>
    </row>
    <row r="27" spans="2:13">
      <c r="B27" s="970"/>
      <c r="C27" s="968"/>
      <c r="D27" s="968"/>
      <c r="E27" s="968"/>
      <c r="F27" s="968"/>
      <c r="G27" s="968"/>
      <c r="H27" s="968"/>
      <c r="I27" s="968"/>
      <c r="J27" s="968"/>
      <c r="K27" s="968"/>
      <c r="L27" s="968"/>
      <c r="M27" s="969"/>
    </row>
    <row r="28" spans="2:13" ht="13.5" customHeight="1">
      <c r="B28" s="970"/>
      <c r="C28" s="968"/>
      <c r="D28" s="968"/>
      <c r="E28" s="968"/>
      <c r="F28" s="968"/>
      <c r="G28" s="968"/>
      <c r="H28" s="968"/>
      <c r="I28" s="968"/>
      <c r="J28" s="968"/>
      <c r="K28" s="968"/>
      <c r="L28" s="968"/>
      <c r="M28" s="969"/>
    </row>
    <row r="29" spans="2:13">
      <c r="B29" s="970"/>
      <c r="C29" s="968"/>
      <c r="D29" s="968"/>
      <c r="E29" s="968"/>
      <c r="F29" s="968"/>
      <c r="G29" s="968"/>
      <c r="H29" s="968"/>
      <c r="I29" s="968"/>
      <c r="J29" s="968"/>
      <c r="K29" s="968"/>
      <c r="L29" s="968"/>
      <c r="M29" s="969"/>
    </row>
    <row r="30" spans="2:13" ht="25.5" customHeight="1">
      <c r="B30" s="970"/>
      <c r="C30" s="968"/>
      <c r="D30" s="968"/>
      <c r="E30" s="968"/>
      <c r="F30" s="968"/>
      <c r="G30" s="968"/>
      <c r="H30" s="968"/>
      <c r="I30" s="968"/>
      <c r="J30" s="968"/>
      <c r="K30" s="968"/>
      <c r="L30" s="968"/>
      <c r="M30" s="969"/>
    </row>
    <row r="31" spans="2:13" ht="20.25" customHeight="1">
      <c r="B31" s="169"/>
      <c r="C31" s="167"/>
      <c r="D31" s="167"/>
      <c r="E31" s="167"/>
      <c r="F31" s="167"/>
      <c r="G31" s="167"/>
      <c r="H31" s="167"/>
      <c r="I31" s="167"/>
      <c r="J31" s="167"/>
      <c r="K31" s="167"/>
      <c r="L31" s="167"/>
      <c r="M31" s="168"/>
    </row>
    <row r="32" spans="2:13">
      <c r="B32" s="967" t="s">
        <v>23</v>
      </c>
      <c r="C32" s="968"/>
      <c r="D32" s="968"/>
      <c r="E32" s="968"/>
      <c r="F32" s="968"/>
      <c r="G32" s="968"/>
      <c r="H32" s="968"/>
      <c r="I32" s="968"/>
      <c r="J32" s="968"/>
      <c r="K32" s="968"/>
      <c r="L32" s="968"/>
      <c r="M32" s="969"/>
    </row>
    <row r="33" spans="2:13">
      <c r="B33" s="970"/>
      <c r="C33" s="968"/>
      <c r="D33" s="968"/>
      <c r="E33" s="968"/>
      <c r="F33" s="968"/>
      <c r="G33" s="968"/>
      <c r="H33" s="968"/>
      <c r="I33" s="968"/>
      <c r="J33" s="968"/>
      <c r="K33" s="968"/>
      <c r="L33" s="968"/>
      <c r="M33" s="969"/>
    </row>
    <row r="34" spans="2:13">
      <c r="B34" s="970"/>
      <c r="C34" s="968"/>
      <c r="D34" s="968"/>
      <c r="E34" s="968"/>
      <c r="F34" s="968"/>
      <c r="G34" s="968"/>
      <c r="H34" s="968"/>
      <c r="I34" s="968"/>
      <c r="J34" s="968"/>
      <c r="K34" s="968"/>
      <c r="L34" s="968"/>
      <c r="M34" s="969"/>
    </row>
    <row r="35" spans="2:13">
      <c r="B35" s="970"/>
      <c r="C35" s="968"/>
      <c r="D35" s="968"/>
      <c r="E35" s="968"/>
      <c r="F35" s="968"/>
      <c r="G35" s="968"/>
      <c r="H35" s="968"/>
      <c r="I35" s="968"/>
      <c r="J35" s="968"/>
      <c r="K35" s="968"/>
      <c r="L35" s="968"/>
      <c r="M35" s="969"/>
    </row>
    <row r="36" spans="2:13">
      <c r="B36" s="970"/>
      <c r="C36" s="968"/>
      <c r="D36" s="968"/>
      <c r="E36" s="968"/>
      <c r="F36" s="968"/>
      <c r="G36" s="968"/>
      <c r="H36" s="968"/>
      <c r="I36" s="968"/>
      <c r="J36" s="968"/>
      <c r="K36" s="968"/>
      <c r="L36" s="968"/>
      <c r="M36" s="969"/>
    </row>
    <row r="37" spans="2:13">
      <c r="B37" s="970"/>
      <c r="C37" s="968"/>
      <c r="D37" s="968"/>
      <c r="E37" s="968"/>
      <c r="F37" s="968"/>
      <c r="G37" s="968"/>
      <c r="H37" s="968"/>
      <c r="I37" s="968"/>
      <c r="J37" s="968"/>
      <c r="K37" s="968"/>
      <c r="L37" s="968"/>
      <c r="M37" s="969"/>
    </row>
    <row r="38" spans="2:13">
      <c r="B38" s="970"/>
      <c r="C38" s="968"/>
      <c r="D38" s="968"/>
      <c r="E38" s="968"/>
      <c r="F38" s="968"/>
      <c r="G38" s="968"/>
      <c r="H38" s="968"/>
      <c r="I38" s="968"/>
      <c r="J38" s="968"/>
      <c r="K38" s="968"/>
      <c r="L38" s="968"/>
      <c r="M38" s="969"/>
    </row>
    <row r="39" spans="2:13">
      <c r="B39" s="970"/>
      <c r="C39" s="968"/>
      <c r="D39" s="968"/>
      <c r="E39" s="968"/>
      <c r="F39" s="968"/>
      <c r="G39" s="968"/>
      <c r="H39" s="968"/>
      <c r="I39" s="968"/>
      <c r="J39" s="968"/>
      <c r="K39" s="968"/>
      <c r="L39" s="968"/>
      <c r="M39" s="969"/>
    </row>
    <row r="40" spans="2:13">
      <c r="B40" s="970"/>
      <c r="C40" s="968"/>
      <c r="D40" s="968"/>
      <c r="E40" s="968"/>
      <c r="F40" s="968"/>
      <c r="G40" s="968"/>
      <c r="H40" s="968"/>
      <c r="I40" s="968"/>
      <c r="J40" s="968"/>
      <c r="K40" s="968"/>
      <c r="L40" s="968"/>
      <c r="M40" s="969"/>
    </row>
    <row r="41" spans="2:13">
      <c r="B41" s="970"/>
      <c r="C41" s="968"/>
      <c r="D41" s="968"/>
      <c r="E41" s="968"/>
      <c r="F41" s="968"/>
      <c r="G41" s="968"/>
      <c r="H41" s="968"/>
      <c r="I41" s="968"/>
      <c r="J41" s="968"/>
      <c r="K41" s="968"/>
      <c r="L41" s="968"/>
      <c r="M41" s="969"/>
    </row>
    <row r="42" spans="2:13">
      <c r="B42" s="970"/>
      <c r="C42" s="968"/>
      <c r="D42" s="968"/>
      <c r="E42" s="968"/>
      <c r="F42" s="968"/>
      <c r="G42" s="968"/>
      <c r="H42" s="968"/>
      <c r="I42" s="968"/>
      <c r="J42" s="968"/>
      <c r="K42" s="968"/>
      <c r="L42" s="968"/>
      <c r="M42" s="969"/>
    </row>
    <row r="43" spans="2:13">
      <c r="B43" s="970"/>
      <c r="C43" s="968"/>
      <c r="D43" s="968"/>
      <c r="E43" s="968"/>
      <c r="F43" s="968"/>
      <c r="G43" s="968"/>
      <c r="H43" s="968"/>
      <c r="I43" s="968"/>
      <c r="J43" s="968"/>
      <c r="K43" s="968"/>
      <c r="L43" s="968"/>
      <c r="M43" s="969"/>
    </row>
    <row r="44" spans="2:13">
      <c r="B44" s="970"/>
      <c r="C44" s="968"/>
      <c r="D44" s="968"/>
      <c r="E44" s="968"/>
      <c r="F44" s="968"/>
      <c r="G44" s="968"/>
      <c r="H44" s="968"/>
      <c r="I44" s="968"/>
      <c r="J44" s="968"/>
      <c r="K44" s="968"/>
      <c r="L44" s="968"/>
      <c r="M44" s="969"/>
    </row>
    <row r="45" spans="2:13">
      <c r="B45" s="970"/>
      <c r="C45" s="968"/>
      <c r="D45" s="968"/>
      <c r="E45" s="968"/>
      <c r="F45" s="968"/>
      <c r="G45" s="968"/>
      <c r="H45" s="968"/>
      <c r="I45" s="968"/>
      <c r="J45" s="968"/>
      <c r="K45" s="968"/>
      <c r="L45" s="968"/>
      <c r="M45" s="969"/>
    </row>
    <row r="46" spans="2:13">
      <c r="B46" s="970"/>
      <c r="C46" s="968"/>
      <c r="D46" s="968"/>
      <c r="E46" s="968"/>
      <c r="F46" s="968"/>
      <c r="G46" s="968"/>
      <c r="H46" s="968"/>
      <c r="I46" s="968"/>
      <c r="J46" s="968"/>
      <c r="K46" s="968"/>
      <c r="L46" s="968"/>
      <c r="M46" s="969"/>
    </row>
    <row r="47" spans="2:13" ht="12.95" thickBot="1">
      <c r="B47" s="970"/>
      <c r="C47" s="968"/>
      <c r="D47" s="968"/>
      <c r="E47" s="968"/>
      <c r="F47" s="968"/>
      <c r="G47" s="968"/>
      <c r="H47" s="968"/>
      <c r="I47" s="968"/>
      <c r="J47" s="968"/>
      <c r="K47" s="968"/>
      <c r="L47" s="968"/>
      <c r="M47" s="969"/>
    </row>
    <row r="48" spans="2:13" s="45" customFormat="1" ht="14.65" thickBot="1">
      <c r="B48" s="979" t="s">
        <v>24</v>
      </c>
      <c r="C48" s="980"/>
      <c r="D48" s="980"/>
      <c r="E48" s="980"/>
      <c r="F48" s="980"/>
      <c r="G48" s="980"/>
      <c r="H48" s="980"/>
      <c r="I48" s="980"/>
      <c r="J48" s="980"/>
      <c r="K48" s="980"/>
      <c r="L48" s="980"/>
      <c r="M48" s="981"/>
    </row>
    <row r="49" spans="2:13" ht="251.25" customHeight="1" thickBot="1">
      <c r="B49" s="976" t="s">
        <v>25</v>
      </c>
      <c r="C49" s="977"/>
      <c r="D49" s="977"/>
      <c r="E49" s="977"/>
      <c r="F49" s="977"/>
      <c r="G49" s="977"/>
      <c r="H49" s="977"/>
      <c r="I49" s="977"/>
      <c r="J49" s="977"/>
      <c r="K49" s="977"/>
      <c r="L49" s="977"/>
      <c r="M49" s="978"/>
    </row>
    <row r="50" spans="2:13" ht="14.65" thickBot="1">
      <c r="B50" s="979" t="s">
        <v>26</v>
      </c>
      <c r="C50" s="980"/>
      <c r="D50" s="980"/>
      <c r="E50" s="980"/>
      <c r="F50" s="980"/>
      <c r="G50" s="980"/>
      <c r="H50" s="980"/>
      <c r="I50" s="980"/>
      <c r="J50" s="980"/>
      <c r="K50" s="980"/>
      <c r="L50" s="980"/>
      <c r="M50" s="981"/>
    </row>
    <row r="51" spans="2:13" ht="18" customHeight="1">
      <c r="B51" s="39" t="s">
        <v>27</v>
      </c>
      <c r="C51" s="974" t="s">
        <v>28</v>
      </c>
      <c r="D51" s="974"/>
      <c r="E51" s="974"/>
      <c r="F51" s="974"/>
      <c r="G51" s="974"/>
      <c r="H51" s="974"/>
      <c r="I51" s="974"/>
      <c r="J51" s="974"/>
      <c r="K51" s="974"/>
      <c r="L51" s="974"/>
      <c r="M51" s="975"/>
    </row>
    <row r="52" spans="2:13" ht="18" customHeight="1">
      <c r="B52" s="39" t="s">
        <v>29</v>
      </c>
      <c r="C52" s="974" t="s">
        <v>30</v>
      </c>
      <c r="D52" s="974"/>
      <c r="E52" s="974"/>
      <c r="F52" s="974"/>
      <c r="G52" s="974"/>
      <c r="H52" s="974"/>
      <c r="I52" s="974"/>
      <c r="J52" s="974"/>
      <c r="K52" s="974"/>
      <c r="L52" s="974"/>
      <c r="M52" s="975"/>
    </row>
    <row r="53" spans="2:13" ht="27" customHeight="1">
      <c r="B53" s="39" t="s">
        <v>31</v>
      </c>
      <c r="C53" s="963" t="s">
        <v>32</v>
      </c>
      <c r="D53" s="963"/>
      <c r="E53" s="963"/>
      <c r="F53" s="963"/>
      <c r="G53" s="963"/>
      <c r="H53" s="963"/>
      <c r="I53" s="963"/>
      <c r="J53" s="963"/>
      <c r="K53" s="963"/>
      <c r="L53" s="963"/>
      <c r="M53" s="964"/>
    </row>
    <row r="54" spans="2:13" ht="94.5" customHeight="1">
      <c r="B54" s="39" t="s">
        <v>33</v>
      </c>
      <c r="C54" s="963" t="s">
        <v>34</v>
      </c>
      <c r="D54" s="963"/>
      <c r="E54" s="963"/>
      <c r="F54" s="963"/>
      <c r="G54" s="963"/>
      <c r="H54" s="963"/>
      <c r="I54" s="963"/>
      <c r="J54" s="963"/>
      <c r="K54" s="963"/>
      <c r="L54" s="963"/>
      <c r="M54" s="964"/>
    </row>
    <row r="55" spans="2:13" ht="27" customHeight="1">
      <c r="B55" s="39" t="s">
        <v>35</v>
      </c>
      <c r="C55" s="971" t="s">
        <v>36</v>
      </c>
      <c r="D55" s="972"/>
      <c r="E55" s="972"/>
      <c r="F55" s="972"/>
      <c r="G55" s="972"/>
      <c r="H55" s="972"/>
      <c r="I55" s="972"/>
      <c r="J55" s="972"/>
      <c r="K55" s="972"/>
      <c r="L55" s="972"/>
      <c r="M55" s="973"/>
    </row>
    <row r="56" spans="2:13" ht="21.75" customHeight="1" thickBot="1">
      <c r="B56" s="985" t="s">
        <v>37</v>
      </c>
      <c r="C56" s="986"/>
      <c r="D56" s="986"/>
      <c r="E56" s="986"/>
      <c r="F56" s="986"/>
      <c r="G56" s="986"/>
      <c r="H56" s="986"/>
      <c r="I56" s="986"/>
      <c r="J56" s="986"/>
      <c r="K56" s="986"/>
      <c r="L56" s="986"/>
      <c r="M56" s="987"/>
    </row>
    <row r="57" spans="2:13" ht="14.65" thickBot="1">
      <c r="B57" s="982" t="s">
        <v>38</v>
      </c>
      <c r="C57" s="983"/>
      <c r="D57" s="983"/>
      <c r="E57" s="983"/>
      <c r="F57" s="983"/>
      <c r="G57" s="983"/>
      <c r="H57" s="983"/>
      <c r="I57" s="983"/>
      <c r="J57" s="983"/>
      <c r="K57" s="983"/>
      <c r="L57" s="983"/>
      <c r="M57" s="984"/>
    </row>
    <row r="58" spans="2:13" ht="30" customHeight="1">
      <c r="B58" s="46" t="s">
        <v>39</v>
      </c>
      <c r="C58" s="994" t="s">
        <v>40</v>
      </c>
      <c r="D58" s="995"/>
      <c r="E58" s="995"/>
      <c r="F58" s="995"/>
      <c r="G58" s="995"/>
      <c r="H58" s="995"/>
      <c r="I58" s="995"/>
      <c r="J58" s="995"/>
      <c r="K58" s="995"/>
      <c r="L58" s="995"/>
      <c r="M58" s="996"/>
    </row>
    <row r="59" spans="2:13" ht="30" customHeight="1">
      <c r="B59" s="39" t="s">
        <v>41</v>
      </c>
      <c r="C59" s="963" t="s">
        <v>42</v>
      </c>
      <c r="D59" s="963"/>
      <c r="E59" s="963"/>
      <c r="F59" s="963"/>
      <c r="G59" s="963"/>
      <c r="H59" s="963"/>
      <c r="I59" s="963"/>
      <c r="J59" s="963"/>
      <c r="K59" s="963"/>
      <c r="L59" s="963"/>
      <c r="M59" s="964"/>
    </row>
    <row r="60" spans="2:13" ht="30" customHeight="1">
      <c r="B60" s="39" t="s">
        <v>43</v>
      </c>
      <c r="C60" s="963" t="s">
        <v>44</v>
      </c>
      <c r="D60" s="963"/>
      <c r="E60" s="963"/>
      <c r="F60" s="963"/>
      <c r="G60" s="963"/>
      <c r="H60" s="963"/>
      <c r="I60" s="963"/>
      <c r="J60" s="963"/>
      <c r="K60" s="963"/>
      <c r="L60" s="963"/>
      <c r="M60" s="964"/>
    </row>
    <row r="61" spans="2:13" ht="30" customHeight="1" thickBot="1">
      <c r="B61" s="40" t="s">
        <v>45</v>
      </c>
      <c r="C61" s="965" t="s">
        <v>46</v>
      </c>
      <c r="D61" s="965"/>
      <c r="E61" s="965"/>
      <c r="F61" s="965"/>
      <c r="G61" s="965"/>
      <c r="H61" s="965"/>
      <c r="I61" s="965"/>
      <c r="J61" s="965"/>
      <c r="K61" s="965"/>
      <c r="L61" s="965"/>
      <c r="M61" s="966"/>
    </row>
    <row r="71" ht="43.5" customHeight="1"/>
  </sheetData>
  <mergeCells count="20">
    <mergeCell ref="B2:M2"/>
    <mergeCell ref="B4:M4"/>
    <mergeCell ref="B5:M16"/>
    <mergeCell ref="B17:M17"/>
    <mergeCell ref="C58:M58"/>
    <mergeCell ref="C60:M60"/>
    <mergeCell ref="C61:M61"/>
    <mergeCell ref="B18:M30"/>
    <mergeCell ref="C55:M55"/>
    <mergeCell ref="C51:M51"/>
    <mergeCell ref="C52:M52"/>
    <mergeCell ref="C53:M53"/>
    <mergeCell ref="C54:M54"/>
    <mergeCell ref="B49:M49"/>
    <mergeCell ref="B50:M50"/>
    <mergeCell ref="C59:M59"/>
    <mergeCell ref="B57:M57"/>
    <mergeCell ref="B56:M56"/>
    <mergeCell ref="B32:M47"/>
    <mergeCell ref="B48:M48"/>
  </mergeCells>
  <printOptions horizontalCentered="1" verticalCentered="1"/>
  <pageMargins left="0" right="0" top="0" bottom="0" header="0" footer="0"/>
  <pageSetup paperSize="9" scale="52" orientation="portrait" verticalDpi="599" r:id="rId1"/>
  <rowBreaks count="1" manualBreakCount="1">
    <brk id="47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B1:AZ44"/>
  <sheetViews>
    <sheetView showGridLines="0" topLeftCell="A6" zoomScale="115" zoomScaleNormal="115" zoomScaleSheetLayoutView="130" workbookViewId="0">
      <selection activeCell="S18" sqref="S18"/>
    </sheetView>
  </sheetViews>
  <sheetFormatPr defaultColWidth="9.140625" defaultRowHeight="15" customHeight="1"/>
  <cols>
    <col min="1" max="1" width="3.42578125" style="26" customWidth="1"/>
    <col min="2" max="2" width="7.42578125" style="25" customWidth="1"/>
    <col min="3" max="8" width="9.28515625" style="25" customWidth="1"/>
    <col min="9" max="9" width="15" style="25" customWidth="1"/>
    <col min="10" max="10" width="1.7109375" style="26" customWidth="1"/>
    <col min="11" max="11" width="4.85546875" style="9" hidden="1" customWidth="1"/>
    <col min="12" max="13" width="4.7109375" style="9" hidden="1" customWidth="1"/>
    <col min="14" max="14" width="4.7109375" style="53" hidden="1" customWidth="1"/>
    <col min="15" max="18" width="4.7109375" style="53" customWidth="1"/>
    <col min="19" max="23" width="4.7109375" style="54" customWidth="1"/>
    <col min="24" max="24" width="8.7109375" style="54" hidden="1" customWidth="1"/>
    <col min="25" max="25" width="4.7109375" style="54" hidden="1" customWidth="1"/>
    <col min="26" max="26" width="10.42578125" style="54" hidden="1" customWidth="1"/>
    <col min="27" max="27" width="6.42578125" style="53" hidden="1" customWidth="1"/>
    <col min="28" max="28" width="4.7109375" style="53" hidden="1" customWidth="1"/>
    <col min="29" max="49" width="4.7109375" style="53" customWidth="1"/>
    <col min="50" max="52" width="9.140625" style="53"/>
    <col min="53" max="16384" width="9.140625" style="26"/>
  </cols>
  <sheetData>
    <row r="1" spans="2:52" ht="12.95" customHeight="1"/>
    <row r="2" spans="2:52" ht="12.95" customHeight="1"/>
    <row r="3" spans="2:52" ht="12.95" customHeight="1">
      <c r="F3" s="999"/>
      <c r="G3" s="999"/>
      <c r="H3" s="999"/>
      <c r="I3" s="999"/>
      <c r="L3" s="214"/>
      <c r="M3" s="11"/>
      <c r="N3" s="9"/>
      <c r="O3" s="9"/>
      <c r="P3" s="9"/>
      <c r="Q3" s="55"/>
      <c r="R3" s="55"/>
    </row>
    <row r="4" spans="2:52" ht="12.95" customHeight="1" thickBot="1">
      <c r="L4" s="213"/>
      <c r="M4" s="11"/>
      <c r="N4" s="9"/>
      <c r="O4" s="9"/>
      <c r="P4" s="9"/>
      <c r="Q4" s="55"/>
      <c r="R4" s="55"/>
    </row>
    <row r="5" spans="2:52" ht="15" customHeight="1" thickTop="1">
      <c r="B5" s="1003" t="s">
        <v>19</v>
      </c>
      <c r="C5" s="1004"/>
      <c r="D5" s="1004"/>
      <c r="E5" s="1004"/>
      <c r="F5" s="1004"/>
      <c r="G5" s="1004"/>
      <c r="H5" s="1004"/>
      <c r="I5" s="1004"/>
    </row>
    <row r="6" spans="2:52" ht="15" customHeight="1" thickBot="1">
      <c r="B6" s="1005"/>
      <c r="C6" s="1006"/>
      <c r="D6" s="1006"/>
      <c r="E6" s="1006"/>
      <c r="F6" s="1006"/>
      <c r="G6" s="1006"/>
      <c r="H6" s="1006"/>
      <c r="I6" s="1006"/>
    </row>
    <row r="7" spans="2:52" ht="6.75" customHeight="1" thickTop="1" thickBot="1">
      <c r="B7" s="12"/>
      <c r="C7" s="13"/>
      <c r="D7" s="13"/>
      <c r="E7" s="13"/>
      <c r="F7" s="13"/>
      <c r="G7" s="13"/>
      <c r="H7" s="13"/>
      <c r="I7" s="14"/>
      <c r="S7" s="53"/>
      <c r="T7" s="53"/>
      <c r="U7" s="53"/>
      <c r="V7" s="53"/>
      <c r="W7" s="53"/>
      <c r="X7" s="53"/>
      <c r="Y7" s="53"/>
      <c r="Z7" s="53"/>
    </row>
    <row r="8" spans="2:52" ht="15" customHeight="1" thickTop="1" thickBot="1">
      <c r="B8" s="56">
        <v>1</v>
      </c>
      <c r="C8" s="10" t="s">
        <v>47</v>
      </c>
      <c r="D8" s="10"/>
      <c r="E8" s="10"/>
      <c r="F8" s="10"/>
      <c r="G8" s="10"/>
      <c r="H8" s="57"/>
      <c r="I8" s="3">
        <f>SUM(I11:I14)</f>
        <v>0.15000000000000002</v>
      </c>
    </row>
    <row r="9" spans="2:52" ht="15" customHeight="1" thickTop="1" thickBot="1">
      <c r="B9" s="56">
        <v>2</v>
      </c>
      <c r="C9" s="10" t="s">
        <v>48</v>
      </c>
      <c r="D9" s="10"/>
      <c r="E9" s="10"/>
      <c r="F9" s="10"/>
      <c r="G9" s="10"/>
      <c r="H9" s="57"/>
      <c r="I9" s="107">
        <v>0</v>
      </c>
    </row>
    <row r="10" spans="2:52" ht="6.75" customHeight="1" thickTop="1" thickBot="1">
      <c r="B10" s="12"/>
      <c r="C10" s="13"/>
      <c r="D10" s="13"/>
      <c r="E10" s="13"/>
      <c r="F10" s="13"/>
      <c r="G10" s="13"/>
      <c r="H10" s="13"/>
      <c r="I10" s="14"/>
      <c r="S10" s="53"/>
      <c r="T10" s="53"/>
      <c r="U10" s="53"/>
      <c r="V10" s="53"/>
      <c r="W10" s="53"/>
      <c r="X10" s="53"/>
      <c r="Y10" s="53"/>
      <c r="Z10" s="53"/>
    </row>
    <row r="11" spans="2:52" ht="15" customHeight="1" thickTop="1" thickBot="1">
      <c r="B11" s="27" t="s">
        <v>49</v>
      </c>
      <c r="C11" s="10" t="s">
        <v>50</v>
      </c>
      <c r="D11" s="10"/>
      <c r="E11" s="10"/>
      <c r="F11" s="10"/>
      <c r="G11" s="10"/>
      <c r="H11" s="57"/>
      <c r="I11" s="3">
        <v>0</v>
      </c>
    </row>
    <row r="12" spans="2:52" ht="15" customHeight="1" thickTop="1" thickBot="1">
      <c r="B12" s="27" t="s">
        <v>51</v>
      </c>
      <c r="C12" s="10" t="s">
        <v>52</v>
      </c>
      <c r="D12" s="10"/>
      <c r="E12" s="10"/>
      <c r="F12" s="10"/>
      <c r="G12" s="10"/>
      <c r="H12" s="57"/>
      <c r="I12" s="3">
        <v>0.03</v>
      </c>
    </row>
    <row r="13" spans="2:52" ht="15" customHeight="1" thickTop="1" thickBot="1">
      <c r="B13" s="27" t="s">
        <v>53</v>
      </c>
      <c r="C13" s="10" t="s">
        <v>54</v>
      </c>
      <c r="D13" s="10"/>
      <c r="E13" s="10"/>
      <c r="F13" s="10"/>
      <c r="G13" s="10"/>
      <c r="H13" s="10"/>
      <c r="I13" s="3">
        <v>0.02</v>
      </c>
    </row>
    <row r="14" spans="2:52" ht="15" customHeight="1" thickTop="1" thickBot="1">
      <c r="B14" s="27" t="s">
        <v>55</v>
      </c>
      <c r="C14" s="10" t="s">
        <v>56</v>
      </c>
      <c r="D14" s="10"/>
      <c r="E14" s="10"/>
      <c r="F14" s="10"/>
      <c r="G14" s="10"/>
      <c r="H14" s="10"/>
      <c r="I14" s="3">
        <v>0.1</v>
      </c>
    </row>
    <row r="15" spans="2:52" ht="6.75" customHeight="1" thickTop="1" thickBot="1">
      <c r="B15" s="12"/>
      <c r="C15" s="13"/>
      <c r="D15" s="13"/>
      <c r="E15" s="13"/>
      <c r="F15" s="13"/>
      <c r="G15" s="13"/>
      <c r="H15" s="13"/>
      <c r="I15" s="14"/>
      <c r="S15" s="53"/>
      <c r="T15" s="53"/>
      <c r="U15" s="53"/>
      <c r="V15" s="53"/>
      <c r="W15" s="53"/>
      <c r="X15" s="53"/>
      <c r="Y15" s="53"/>
      <c r="Z15" s="53"/>
    </row>
    <row r="16" spans="2:52" s="61" customFormat="1" ht="15" customHeight="1" thickTop="1" thickBot="1">
      <c r="B16" s="58">
        <v>3</v>
      </c>
      <c r="C16" s="59" t="s">
        <v>57</v>
      </c>
      <c r="D16" s="59"/>
      <c r="E16" s="59"/>
      <c r="F16" s="59"/>
      <c r="G16" s="59"/>
      <c r="H16" s="60"/>
      <c r="I16" s="4">
        <f>I9+I8</f>
        <v>0.15000000000000002</v>
      </c>
      <c r="K16" s="11"/>
      <c r="L16" s="11"/>
      <c r="M16" s="11"/>
      <c r="N16" s="62"/>
      <c r="O16" s="62"/>
      <c r="P16" s="62"/>
      <c r="Q16" s="62"/>
      <c r="R16" s="62"/>
      <c r="S16" s="63"/>
      <c r="T16" s="63"/>
      <c r="U16" s="63"/>
      <c r="V16" s="63"/>
      <c r="W16" s="63"/>
      <c r="X16" s="63"/>
      <c r="Y16" s="63"/>
      <c r="Z16" s="63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</row>
    <row r="17" spans="2:27" ht="6.75" customHeight="1" thickTop="1" thickBot="1">
      <c r="B17" s="12"/>
      <c r="C17" s="13"/>
      <c r="D17" s="13"/>
      <c r="E17" s="13"/>
      <c r="F17" s="13"/>
      <c r="G17" s="13"/>
      <c r="H17" s="13"/>
      <c r="I17" s="14"/>
      <c r="S17" s="53"/>
      <c r="T17" s="53"/>
      <c r="U17" s="53"/>
      <c r="V17" s="53"/>
      <c r="W17" s="53"/>
      <c r="X17" s="53"/>
      <c r="Y17" s="53"/>
      <c r="Z17" s="53"/>
    </row>
    <row r="18" spans="2:27" ht="15" customHeight="1" thickTop="1">
      <c r="B18" s="1003" t="s">
        <v>21</v>
      </c>
      <c r="C18" s="1004"/>
      <c r="D18" s="1004"/>
      <c r="E18" s="1004"/>
      <c r="F18" s="1004"/>
      <c r="G18" s="1004"/>
      <c r="H18" s="1004"/>
      <c r="I18" s="1007"/>
    </row>
    <row r="19" spans="2:27" ht="15" customHeight="1" thickBot="1">
      <c r="B19" s="1005"/>
      <c r="C19" s="1006"/>
      <c r="D19" s="1006"/>
      <c r="E19" s="1006"/>
      <c r="F19" s="1006"/>
      <c r="G19" s="1006"/>
      <c r="H19" s="1006"/>
      <c r="I19" s="1008"/>
    </row>
    <row r="20" spans="2:27" ht="6.75" customHeight="1" thickTop="1" thickBot="1">
      <c r="B20" s="12"/>
      <c r="C20" s="13"/>
      <c r="D20" s="13"/>
      <c r="E20" s="13"/>
      <c r="F20" s="13"/>
      <c r="G20" s="13"/>
      <c r="H20" s="13"/>
      <c r="I20" s="14"/>
      <c r="S20" s="53"/>
      <c r="T20" s="53"/>
      <c r="U20" s="53"/>
      <c r="V20" s="53"/>
      <c r="W20" s="53"/>
      <c r="X20" s="53"/>
      <c r="Y20" s="53"/>
      <c r="Z20" s="53"/>
    </row>
    <row r="21" spans="2:27" ht="15" customHeight="1" thickTop="1" thickBot="1">
      <c r="B21" s="56" t="s">
        <v>58</v>
      </c>
      <c r="C21" s="10"/>
      <c r="D21" s="10"/>
      <c r="E21" s="10"/>
      <c r="F21" s="10"/>
      <c r="G21" s="10"/>
      <c r="H21" s="10"/>
      <c r="I21" s="57"/>
    </row>
    <row r="22" spans="2:27" ht="15" customHeight="1" thickTop="1">
      <c r="B22" s="64"/>
      <c r="C22" s="65"/>
      <c r="D22" s="65"/>
      <c r="E22" s="65"/>
      <c r="F22" s="65"/>
      <c r="G22" s="65"/>
      <c r="H22" s="65"/>
      <c r="I22" s="66"/>
      <c r="K22" s="1009"/>
      <c r="L22" s="1010"/>
      <c r="M22" s="1010"/>
      <c r="N22" s="1010"/>
      <c r="O22" s="1010"/>
      <c r="P22" s="1010"/>
      <c r="Q22" s="1010"/>
      <c r="R22" s="1010"/>
      <c r="S22" s="1010"/>
    </row>
    <row r="23" spans="2:27" ht="15" customHeight="1">
      <c r="B23" s="67"/>
      <c r="C23" s="68"/>
      <c r="D23" s="68"/>
      <c r="E23" s="68"/>
      <c r="F23" s="68"/>
      <c r="G23" s="68"/>
      <c r="H23" s="68"/>
      <c r="I23" s="69"/>
      <c r="K23" s="1010"/>
      <c r="L23" s="1010"/>
      <c r="M23" s="1010"/>
      <c r="N23" s="1010"/>
      <c r="O23" s="1010"/>
      <c r="P23" s="1010"/>
      <c r="Q23" s="1010"/>
      <c r="R23" s="1010"/>
      <c r="S23" s="1010"/>
    </row>
    <row r="24" spans="2:27" ht="15" customHeight="1" thickBot="1">
      <c r="B24" s="70"/>
      <c r="C24" s="71"/>
      <c r="D24" s="71"/>
      <c r="E24" s="71"/>
      <c r="F24" s="71"/>
      <c r="G24" s="71"/>
      <c r="H24" s="71"/>
      <c r="I24" s="72"/>
      <c r="K24" s="1010"/>
      <c r="L24" s="1010"/>
      <c r="M24" s="1010"/>
      <c r="N24" s="1010"/>
      <c r="O24" s="1010"/>
      <c r="P24" s="1010"/>
      <c r="Q24" s="1010"/>
      <c r="R24" s="1010"/>
      <c r="S24" s="1010"/>
    </row>
    <row r="25" spans="2:27" ht="6.75" customHeight="1" thickTop="1" thickBot="1">
      <c r="B25" s="12"/>
      <c r="C25" s="13"/>
      <c r="D25" s="13"/>
      <c r="E25" s="13"/>
      <c r="F25" s="13"/>
      <c r="G25" s="13"/>
      <c r="H25" s="13"/>
      <c r="I25" s="14"/>
      <c r="S25" s="53"/>
      <c r="T25" s="53"/>
      <c r="U25" s="53"/>
      <c r="V25" s="53"/>
      <c r="W25" s="53"/>
      <c r="X25" s="53"/>
      <c r="Y25" s="53"/>
      <c r="Z25" s="53"/>
    </row>
    <row r="26" spans="2:27" ht="22.5" customHeight="1" thickTop="1" thickBot="1">
      <c r="B26" s="56">
        <v>1</v>
      </c>
      <c r="C26" s="10" t="s">
        <v>59</v>
      </c>
      <c r="D26" s="10"/>
      <c r="E26" s="10"/>
      <c r="F26" s="10"/>
      <c r="G26" s="10"/>
      <c r="H26" s="57"/>
      <c r="I26" s="18">
        <f>Z26</f>
        <v>0.03</v>
      </c>
      <c r="Y26" s="73">
        <v>0.02</v>
      </c>
      <c r="Z26" s="74">
        <f>IF(AA26=1,0%,IF(AA26=2,2%,IF(AA26=3,3%,IF(AA26=4,4%,5%))))</f>
        <v>0.03</v>
      </c>
      <c r="AA26" s="5">
        <v>3</v>
      </c>
    </row>
    <row r="27" spans="2:27" ht="15" customHeight="1" thickTop="1" thickBot="1">
      <c r="B27" s="56" t="s">
        <v>60</v>
      </c>
      <c r="C27" s="10"/>
      <c r="D27" s="10"/>
      <c r="E27" s="10"/>
      <c r="F27" s="10"/>
      <c r="G27" s="10"/>
      <c r="H27" s="10"/>
      <c r="I27" s="57"/>
      <c r="Y27" s="73">
        <v>0.03</v>
      </c>
    </row>
    <row r="28" spans="2:27" ht="15" customHeight="1" thickTop="1" thickBot="1">
      <c r="B28" s="1011"/>
      <c r="C28" s="1012"/>
      <c r="D28" s="1012"/>
      <c r="E28" s="1012"/>
      <c r="F28" s="1012"/>
      <c r="G28" s="1012"/>
      <c r="H28" s="1012"/>
      <c r="I28" s="1013"/>
      <c r="S28" s="6"/>
      <c r="T28" s="6"/>
      <c r="Y28" s="73">
        <v>0.04</v>
      </c>
    </row>
    <row r="29" spans="2:27" ht="6.75" customHeight="1" thickTop="1" thickBot="1">
      <c r="B29" s="12"/>
      <c r="C29" s="13"/>
      <c r="D29" s="13"/>
      <c r="E29" s="13"/>
      <c r="F29" s="13"/>
      <c r="G29" s="13"/>
      <c r="H29" s="13"/>
      <c r="I29" s="14"/>
      <c r="S29" s="53"/>
      <c r="T29" s="53"/>
      <c r="U29" s="53"/>
      <c r="V29" s="53"/>
      <c r="W29" s="53"/>
      <c r="X29" s="53"/>
      <c r="Y29" s="75">
        <v>0.05</v>
      </c>
      <c r="Z29" s="53"/>
    </row>
    <row r="30" spans="2:27" ht="23.25" customHeight="1" thickTop="1" thickBot="1">
      <c r="B30" s="1000" t="s">
        <v>61</v>
      </c>
      <c r="C30" s="1001"/>
      <c r="D30" s="1001"/>
      <c r="E30" s="1001"/>
      <c r="F30" s="1001"/>
      <c r="G30" s="1001"/>
      <c r="H30" s="1001"/>
      <c r="I30" s="1002"/>
      <c r="S30" s="998"/>
      <c r="T30" s="998"/>
      <c r="U30" s="76">
        <v>3</v>
      </c>
      <c r="V30" s="77"/>
      <c r="W30" s="77"/>
      <c r="X30" s="78"/>
    </row>
    <row r="31" spans="2:27" ht="6.75" customHeight="1" thickTop="1" thickBot="1">
      <c r="B31" s="15"/>
      <c r="C31" s="16"/>
      <c r="D31" s="16"/>
      <c r="E31" s="16"/>
      <c r="F31" s="16"/>
      <c r="G31" s="16"/>
      <c r="H31" s="16"/>
      <c r="I31" s="17"/>
      <c r="S31" s="79"/>
      <c r="T31" s="79"/>
      <c r="U31" s="79"/>
      <c r="V31" s="79"/>
      <c r="W31" s="36"/>
      <c r="X31" s="53"/>
      <c r="Y31" s="36"/>
      <c r="Z31" s="36"/>
    </row>
    <row r="32" spans="2:27" ht="18" customHeight="1" thickTop="1" thickBot="1">
      <c r="B32" s="56">
        <v>2</v>
      </c>
      <c r="C32" s="10" t="s">
        <v>62</v>
      </c>
      <c r="D32" s="10"/>
      <c r="E32" s="10"/>
      <c r="F32" s="10"/>
      <c r="G32" s="10"/>
      <c r="H32" s="10"/>
      <c r="I32" s="3">
        <v>0</v>
      </c>
      <c r="S32" s="7"/>
      <c r="T32" s="7"/>
      <c r="U32" s="7"/>
      <c r="V32" s="7"/>
      <c r="W32" s="7"/>
      <c r="X32" s="78"/>
      <c r="Y32" s="7"/>
      <c r="Z32" s="7"/>
    </row>
    <row r="33" spans="2:52" ht="18" customHeight="1" thickTop="1" thickBot="1">
      <c r="B33" s="56">
        <v>3</v>
      </c>
      <c r="C33" s="10" t="s">
        <v>63</v>
      </c>
      <c r="D33" s="10"/>
      <c r="E33" s="10"/>
      <c r="F33" s="10"/>
      <c r="G33" s="10"/>
      <c r="H33" s="10"/>
      <c r="I33" s="3">
        <v>0</v>
      </c>
      <c r="S33" s="7"/>
      <c r="T33" s="7"/>
      <c r="U33" s="7"/>
      <c r="V33" s="7"/>
      <c r="W33" s="7"/>
      <c r="X33" s="78"/>
      <c r="Y33" s="7"/>
      <c r="Z33" s="7"/>
    </row>
    <row r="34" spans="2:52" ht="18" customHeight="1" thickTop="1" thickBot="1">
      <c r="B34" s="56">
        <v>4</v>
      </c>
      <c r="C34" s="10" t="s">
        <v>64</v>
      </c>
      <c r="D34" s="10"/>
      <c r="E34" s="10"/>
      <c r="F34" s="10"/>
      <c r="G34" s="10"/>
      <c r="H34" s="10"/>
      <c r="I34" s="3">
        <v>0</v>
      </c>
      <c r="S34" s="7"/>
      <c r="T34" s="7"/>
      <c r="U34" s="7"/>
      <c r="V34" s="7"/>
      <c r="W34" s="7"/>
      <c r="X34" s="78"/>
      <c r="Y34" s="7"/>
      <c r="Z34" s="7"/>
    </row>
    <row r="35" spans="2:52" ht="18" customHeight="1">
      <c r="B35" s="56">
        <v>5</v>
      </c>
      <c r="C35" s="10" t="s">
        <v>65</v>
      </c>
      <c r="D35" s="10"/>
      <c r="E35" s="10"/>
      <c r="F35" s="10"/>
      <c r="G35" s="10"/>
      <c r="H35" s="10"/>
      <c r="I35" s="3">
        <v>0</v>
      </c>
      <c r="S35" s="7"/>
      <c r="T35" s="7"/>
      <c r="U35" s="7"/>
      <c r="V35" s="7"/>
      <c r="W35" s="7"/>
      <c r="X35" s="78"/>
      <c r="Y35" s="7"/>
      <c r="Z35" s="7"/>
    </row>
    <row r="36" spans="2:52" ht="15" customHeight="1">
      <c r="B36" s="56">
        <v>6</v>
      </c>
      <c r="C36" s="10" t="s">
        <v>66</v>
      </c>
      <c r="D36" s="10"/>
      <c r="E36" s="10"/>
      <c r="F36" s="10"/>
      <c r="G36" s="10"/>
      <c r="H36" s="10"/>
      <c r="I36" s="350">
        <v>0.11799999999999999</v>
      </c>
      <c r="K36" s="53"/>
      <c r="L36" s="53"/>
      <c r="M36" s="53"/>
      <c r="S36" s="7"/>
      <c r="U36" s="7"/>
      <c r="W36" s="7"/>
      <c r="X36" s="78"/>
      <c r="Y36" s="7"/>
      <c r="Z36" s="7"/>
    </row>
    <row r="37" spans="2:52" ht="18" customHeight="1">
      <c r="B37" s="56">
        <v>7</v>
      </c>
      <c r="C37" s="10" t="s">
        <v>67</v>
      </c>
      <c r="D37" s="10"/>
      <c r="E37" s="10"/>
      <c r="F37" s="10"/>
      <c r="G37" s="10"/>
      <c r="H37" s="10"/>
      <c r="I37" s="3">
        <v>0</v>
      </c>
      <c r="K37" s="53"/>
      <c r="L37" s="53"/>
      <c r="M37" s="53"/>
      <c r="S37" s="7"/>
      <c r="T37" s="7"/>
      <c r="U37" s="7"/>
      <c r="V37" s="7"/>
      <c r="W37" s="7"/>
      <c r="X37" s="78"/>
      <c r="Y37" s="7"/>
      <c r="Z37" s="7"/>
    </row>
    <row r="38" spans="2:52" s="61" customFormat="1" ht="15" customHeight="1">
      <c r="B38" s="58">
        <v>8</v>
      </c>
      <c r="C38" s="59" t="s">
        <v>68</v>
      </c>
      <c r="D38" s="59"/>
      <c r="E38" s="59"/>
      <c r="F38" s="59"/>
      <c r="G38" s="59"/>
      <c r="H38" s="60"/>
      <c r="I38" s="4">
        <f>I26+I32+I33+I34+I35+I36+I37</f>
        <v>0.14799999999999999</v>
      </c>
      <c r="K38" s="11"/>
      <c r="L38" s="11"/>
      <c r="M38" s="11"/>
      <c r="N38" s="62"/>
      <c r="O38" s="62"/>
      <c r="P38" s="62"/>
      <c r="Q38" s="62"/>
      <c r="R38" s="62"/>
      <c r="S38" s="63"/>
      <c r="T38" s="63"/>
      <c r="U38" s="63"/>
      <c r="V38" s="63"/>
      <c r="W38" s="63"/>
      <c r="X38" s="63"/>
      <c r="Y38" s="63"/>
      <c r="Z38" s="63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</row>
    <row r="39" spans="2:52" ht="15" customHeight="1" thickTop="1"/>
    <row r="40" spans="2:52" ht="15" customHeight="1">
      <c r="B40" s="997" t="s">
        <v>69</v>
      </c>
      <c r="C40" s="997"/>
      <c r="D40" s="997"/>
      <c r="E40" s="997"/>
      <c r="F40" s="997"/>
      <c r="G40" s="997"/>
      <c r="H40" s="997"/>
      <c r="I40" s="997"/>
    </row>
    <row r="44" spans="2:52" ht="15" customHeight="1">
      <c r="P44" s="53" t="s">
        <v>70</v>
      </c>
    </row>
  </sheetData>
  <mergeCells count="8">
    <mergeCell ref="B40:I40"/>
    <mergeCell ref="S30:T30"/>
    <mergeCell ref="F3:I3"/>
    <mergeCell ref="B30:I30"/>
    <mergeCell ref="B5:I6"/>
    <mergeCell ref="B18:I19"/>
    <mergeCell ref="K22:S24"/>
    <mergeCell ref="B28:I28"/>
  </mergeCells>
  <phoneticPr fontId="2" type="noConversion"/>
  <conditionalFormatting sqref="B36:H36">
    <cfRule type="expression" dxfId="11" priority="9" stopIfTrue="1">
      <formula>IF($U$30=3,0,1)</formula>
    </cfRule>
  </conditionalFormatting>
  <conditionalFormatting sqref="I36">
    <cfRule type="expression" dxfId="10" priority="10" stopIfTrue="1">
      <formula>IF($U$30=3,0,1)</formula>
    </cfRule>
  </conditionalFormatting>
  <conditionalFormatting sqref="B32:H35">
    <cfRule type="expression" dxfId="9" priority="11" stopIfTrue="1">
      <formula>IF($U$30&lt;&gt;3,0,1)</formula>
    </cfRule>
  </conditionalFormatting>
  <conditionalFormatting sqref="I32:I35">
    <cfRule type="expression" dxfId="8" priority="12" stopIfTrue="1">
      <formula>IF($U$30&lt;&gt;3,0,1)</formula>
    </cfRule>
  </conditionalFormatting>
  <conditionalFormatting sqref="B37:H37">
    <cfRule type="expression" dxfId="7" priority="1" stopIfTrue="1">
      <formula>IF($U$30&lt;&gt;3,0,1)</formula>
    </cfRule>
  </conditionalFormatting>
  <conditionalFormatting sqref="I37">
    <cfRule type="expression" dxfId="6" priority="2" stopIfTrue="1">
      <formula>IF($U$30&lt;&gt;3,0,1)</formula>
    </cfRule>
  </conditionalFormatting>
  <printOptions horizontalCentered="1" verticalCentered="1"/>
  <pageMargins left="0" right="0" top="0" bottom="0" header="0" footer="0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Option Button 16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70757</xdr:rowOff>
                  </from>
                  <to>
                    <xdr:col>4</xdr:col>
                    <xdr:colOff>201386</xdr:colOff>
                    <xdr:row>22</xdr:row>
                    <xdr:rowOff>97971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Option Button 17">
              <controlPr defaultSize="0" autoFill="0" autoLine="0" autoPict="0">
                <anchor moveWithCells="1">
                  <from>
                    <xdr:col>1</xdr:col>
                    <xdr:colOff>48986</xdr:colOff>
                    <xdr:row>22</xdr:row>
                    <xdr:rowOff>97971</xdr:rowOff>
                  </from>
                  <to>
                    <xdr:col>3</xdr:col>
                    <xdr:colOff>261257</xdr:colOff>
                    <xdr:row>23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Option Button 18">
              <controlPr defaultSize="0" autoFill="0" autoLine="0" autoPict="0">
                <anchor moveWithCells="1">
                  <from>
                    <xdr:col>5</xdr:col>
                    <xdr:colOff>228600</xdr:colOff>
                    <xdr:row>22</xdr:row>
                    <xdr:rowOff>97971</xdr:rowOff>
                  </from>
                  <to>
                    <xdr:col>6</xdr:col>
                    <xdr:colOff>593271</xdr:colOff>
                    <xdr:row>23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" name="Drop Down 49">
              <controlPr defaultSize="0" autoLine="0" autoPict="0">
                <anchor moveWithCells="1">
                  <from>
                    <xdr:col>8</xdr:col>
                    <xdr:colOff>10886</xdr:colOff>
                    <xdr:row>25</xdr:row>
                    <xdr:rowOff>21771</xdr:rowOff>
                  </from>
                  <to>
                    <xdr:col>8</xdr:col>
                    <xdr:colOff>707571</xdr:colOff>
                    <xdr:row>25</xdr:row>
                    <xdr:rowOff>277586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pageSetUpPr fitToPage="1"/>
  </sheetPr>
  <dimension ref="A1:BB49"/>
  <sheetViews>
    <sheetView showGridLines="0" topLeftCell="A18" zoomScaleNormal="100" zoomScaleSheetLayoutView="130" workbookViewId="0">
      <selection activeCell="A32" sqref="A32"/>
    </sheetView>
  </sheetViews>
  <sheetFormatPr defaultColWidth="9.140625" defaultRowHeight="15" customHeight="1"/>
  <cols>
    <col min="1" max="1" width="3.42578125" style="26" customWidth="1"/>
    <col min="2" max="2" width="5.5703125" style="25" customWidth="1"/>
    <col min="3" max="13" width="5.28515625" style="25" customWidth="1"/>
    <col min="14" max="14" width="13.28515625" style="25" customWidth="1"/>
    <col min="15" max="15" width="1.85546875" style="26" customWidth="1"/>
    <col min="16" max="16" width="6.5703125" style="26" customWidth="1"/>
    <col min="17" max="17" width="4.7109375" style="53" customWidth="1"/>
    <col min="18" max="18" width="14.7109375" style="53" hidden="1" customWidth="1"/>
    <col min="19" max="19" width="7.85546875" style="53" hidden="1" customWidth="1"/>
    <col min="20" max="20" width="5.7109375" style="53" hidden="1" customWidth="1"/>
    <col min="21" max="23" width="4.7109375" style="53" hidden="1" customWidth="1"/>
    <col min="24" max="29" width="4.7109375" style="53" customWidth="1"/>
    <col min="30" max="40" width="9.140625" style="53"/>
    <col min="41" max="16384" width="9.140625" style="26"/>
  </cols>
  <sheetData>
    <row r="1" spans="1:54" ht="12.95" customHeight="1">
      <c r="B1" s="267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68"/>
    </row>
    <row r="2" spans="1:54" ht="12.95" customHeight="1">
      <c r="B2" s="269"/>
      <c r="O2" s="270"/>
    </row>
    <row r="3" spans="1:54" ht="12.95" customHeight="1">
      <c r="B3" s="269"/>
      <c r="F3" s="999"/>
      <c r="G3" s="999"/>
      <c r="H3" s="999"/>
      <c r="I3" s="999"/>
      <c r="J3" s="999"/>
      <c r="K3" s="999"/>
      <c r="L3" s="999"/>
      <c r="M3" s="999"/>
      <c r="N3" s="999"/>
      <c r="O3" s="270"/>
    </row>
    <row r="4" spans="1:54" ht="12.95" customHeight="1">
      <c r="B4" s="269"/>
      <c r="O4" s="270"/>
    </row>
    <row r="5" spans="1:54" ht="15" customHeight="1">
      <c r="B5" s="1019" t="s">
        <v>24</v>
      </c>
      <c r="C5" s="1004"/>
      <c r="D5" s="1004"/>
      <c r="E5" s="1004"/>
      <c r="F5" s="1004"/>
      <c r="G5" s="1004"/>
      <c r="H5" s="1004"/>
      <c r="I5" s="1004"/>
      <c r="J5" s="1004"/>
      <c r="K5" s="1004"/>
      <c r="L5" s="1004"/>
      <c r="M5" s="1004"/>
      <c r="N5" s="1004"/>
      <c r="O5" s="270"/>
    </row>
    <row r="6" spans="1:54" ht="15" customHeight="1">
      <c r="B6" s="1020"/>
      <c r="C6" s="1006"/>
      <c r="D6" s="1006"/>
      <c r="E6" s="1006"/>
      <c r="F6" s="1006"/>
      <c r="G6" s="1006"/>
      <c r="H6" s="1006"/>
      <c r="I6" s="1006"/>
      <c r="J6" s="1006"/>
      <c r="K6" s="1006"/>
      <c r="L6" s="1006"/>
      <c r="M6" s="1006"/>
      <c r="N6" s="1006"/>
      <c r="O6" s="270"/>
    </row>
    <row r="7" spans="1:54" s="93" customFormat="1" ht="6.75" customHeight="1">
      <c r="B7" s="271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0"/>
      <c r="O7" s="272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</row>
    <row r="8" spans="1:54" s="1" customFormat="1" ht="18.75" customHeight="1">
      <c r="A8" s="170"/>
      <c r="B8" s="273" t="s">
        <v>71</v>
      </c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 t="s">
        <v>72</v>
      </c>
      <c r="N8" s="102"/>
      <c r="O8" s="274"/>
      <c r="P8" s="170"/>
      <c r="Q8" s="2"/>
      <c r="R8" s="103" t="b">
        <f>IF(M8="SIM",TRUE,FALSE)</f>
        <v>1</v>
      </c>
      <c r="S8" s="103" t="str">
        <f>IF(INT('Tabela BDI e Tributos'!U30)=3,"OK","FALSO")</f>
        <v>OK</v>
      </c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</row>
    <row r="9" spans="1:54" s="93" customFormat="1" ht="6.75" customHeight="1">
      <c r="B9" s="27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2"/>
      <c r="O9" s="272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</row>
    <row r="10" spans="1:54" s="93" customFormat="1" ht="24.75" customHeight="1">
      <c r="B10" s="1016" t="s">
        <v>73</v>
      </c>
      <c r="C10" s="1017"/>
      <c r="D10" s="1017"/>
      <c r="E10" s="1017"/>
      <c r="F10" s="1017"/>
      <c r="G10" s="1017"/>
      <c r="H10" s="1017"/>
      <c r="I10" s="1017"/>
      <c r="J10" s="1017"/>
      <c r="K10" s="1017"/>
      <c r="L10" s="1017"/>
      <c r="M10" s="1017"/>
      <c r="N10" s="1018"/>
      <c r="O10" s="272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</row>
    <row r="11" spans="1:54" s="93" customFormat="1" ht="6.75" customHeight="1">
      <c r="B11" s="27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2"/>
      <c r="O11" s="272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</row>
    <row r="12" spans="1:54" s="38" customFormat="1" ht="15" customHeight="1">
      <c r="B12" s="275" t="s">
        <v>74</v>
      </c>
      <c r="C12" s="49" t="s">
        <v>75</v>
      </c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48">
        <f>SUM(N14:N15)</f>
        <v>0.08</v>
      </c>
      <c r="O12" s="276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1:54" s="93" customFormat="1" ht="6.75" customHeight="1">
      <c r="B13" s="271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4"/>
      <c r="O13" s="272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</row>
    <row r="14" spans="1:54" ht="18.75" customHeight="1">
      <c r="B14" s="277" t="s">
        <v>76</v>
      </c>
      <c r="C14" s="10" t="s">
        <v>77</v>
      </c>
      <c r="D14" s="10"/>
      <c r="E14" s="10"/>
      <c r="F14" s="10"/>
      <c r="G14" s="10"/>
      <c r="H14" s="10"/>
      <c r="I14" s="10"/>
      <c r="J14" s="10"/>
      <c r="K14" s="10"/>
      <c r="L14" s="10"/>
      <c r="M14" s="57"/>
      <c r="N14" s="539">
        <f t="shared" ref="N14" si="0">T14</f>
        <v>0</v>
      </c>
      <c r="O14" s="270"/>
      <c r="R14" s="8">
        <v>0.2</v>
      </c>
      <c r="S14" s="8"/>
      <c r="T14" s="94">
        <v>0</v>
      </c>
      <c r="V14" s="53" t="str">
        <f>IF(N14=T14,"OK","JUSTIFICAR")</f>
        <v>OK</v>
      </c>
      <c r="W14" s="53">
        <f t="shared" ref="W14:W22" si="1">IF(V14="OK",1,0)</f>
        <v>1</v>
      </c>
    </row>
    <row r="15" spans="1:54" ht="18.75" customHeight="1">
      <c r="B15" s="277" t="s">
        <v>78</v>
      </c>
      <c r="C15" s="10" t="s">
        <v>79</v>
      </c>
      <c r="D15" s="10"/>
      <c r="E15" s="10"/>
      <c r="F15" s="10"/>
      <c r="G15" s="10"/>
      <c r="H15" s="10"/>
      <c r="I15" s="10"/>
      <c r="J15" s="10"/>
      <c r="K15" s="10"/>
      <c r="L15" s="10"/>
      <c r="M15" s="57"/>
      <c r="N15" s="28">
        <f t="shared" ref="N15:N22" si="2">T15</f>
        <v>0.08</v>
      </c>
      <c r="O15" s="270"/>
      <c r="R15" s="8">
        <v>0.08</v>
      </c>
      <c r="S15" s="8">
        <v>0</v>
      </c>
      <c r="T15" s="8">
        <v>0.08</v>
      </c>
      <c r="V15" s="53" t="str">
        <f>IF(N15=T15,"OK","JUSTIFICAR")</f>
        <v>OK</v>
      </c>
      <c r="W15" s="53">
        <f t="shared" si="1"/>
        <v>1</v>
      </c>
    </row>
    <row r="16" spans="1:54" ht="18.75" customHeight="1">
      <c r="B16" s="277" t="s">
        <v>80</v>
      </c>
      <c r="C16" s="10" t="s">
        <v>81</v>
      </c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539">
        <f t="shared" si="2"/>
        <v>1.4999999999999999E-2</v>
      </c>
      <c r="O16" s="270"/>
      <c r="R16" s="8">
        <v>1.4999999999999999E-2</v>
      </c>
      <c r="S16" s="8">
        <v>0</v>
      </c>
      <c r="T16" s="8">
        <v>1.4999999999999999E-2</v>
      </c>
      <c r="V16" s="53" t="str">
        <f>IF(N16=T16,"OK","JUSTIFICAR")</f>
        <v>OK</v>
      </c>
      <c r="W16" s="53">
        <f t="shared" si="1"/>
        <v>1</v>
      </c>
    </row>
    <row r="17" spans="2:40" ht="18.75" customHeight="1">
      <c r="B17" s="277" t="s">
        <v>82</v>
      </c>
      <c r="C17" s="10" t="s">
        <v>83</v>
      </c>
      <c r="D17" s="10"/>
      <c r="E17" s="10"/>
      <c r="F17" s="1021"/>
      <c r="G17" s="1021"/>
      <c r="H17" s="1021"/>
      <c r="I17" s="1021"/>
      <c r="J17" s="1021"/>
      <c r="K17" s="1021"/>
      <c r="L17" s="1021"/>
      <c r="M17" s="1022"/>
      <c r="N17" s="539">
        <f t="shared" si="2"/>
        <v>0.01</v>
      </c>
      <c r="O17" s="270"/>
      <c r="R17" s="8">
        <v>0.01</v>
      </c>
      <c r="S17" s="8">
        <v>0</v>
      </c>
      <c r="T17" s="8">
        <v>0.01</v>
      </c>
      <c r="U17" s="53" t="s">
        <v>84</v>
      </c>
      <c r="V17" s="53" t="str">
        <f>IF(OR(N17=1%,N17=1.2%,N17=0%,N17=""),"OK","JUSTIFICAR")</f>
        <v>OK</v>
      </c>
      <c r="W17" s="53">
        <f t="shared" si="1"/>
        <v>1</v>
      </c>
    </row>
    <row r="18" spans="2:40" ht="18.75" customHeight="1">
      <c r="B18" s="277" t="s">
        <v>85</v>
      </c>
      <c r="C18" s="10" t="s">
        <v>86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539">
        <f t="shared" si="2"/>
        <v>2E-3</v>
      </c>
      <c r="O18" s="270"/>
      <c r="R18" s="8">
        <v>2E-3</v>
      </c>
      <c r="S18" s="8">
        <v>0</v>
      </c>
      <c r="T18" s="8">
        <v>2E-3</v>
      </c>
      <c r="V18" s="53" t="str">
        <f>IF(N18=T18,"OK","JUSTIFICAR")</f>
        <v>OK</v>
      </c>
      <c r="W18" s="53">
        <f t="shared" si="1"/>
        <v>1</v>
      </c>
    </row>
    <row r="19" spans="2:40" ht="18.75" customHeight="1">
      <c r="B19" s="277" t="s">
        <v>87</v>
      </c>
      <c r="C19" s="10" t="s">
        <v>88</v>
      </c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539">
        <f t="shared" si="2"/>
        <v>2.5000000000000001E-2</v>
      </c>
      <c r="O19" s="270"/>
      <c r="R19" s="8">
        <v>2.5000000000000001E-2</v>
      </c>
      <c r="S19" s="8">
        <v>0</v>
      </c>
      <c r="T19" s="8">
        <v>2.5000000000000001E-2</v>
      </c>
      <c r="V19" s="53" t="str">
        <f>IF(N19=T19,"OK","JUSTIFICAR")</f>
        <v>OK</v>
      </c>
      <c r="W19" s="53">
        <f t="shared" si="1"/>
        <v>1</v>
      </c>
    </row>
    <row r="20" spans="2:40" ht="18.75" customHeight="1">
      <c r="B20" s="277" t="s">
        <v>89</v>
      </c>
      <c r="C20" s="10" t="s">
        <v>90</v>
      </c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539">
        <f t="shared" si="2"/>
        <v>0.03</v>
      </c>
      <c r="O20" s="270"/>
      <c r="R20" s="8">
        <v>0.03</v>
      </c>
      <c r="S20" s="8">
        <v>0</v>
      </c>
      <c r="T20" s="8">
        <v>0.03</v>
      </c>
      <c r="U20" s="53" t="s">
        <v>84</v>
      </c>
      <c r="V20" s="53" t="str">
        <f>IF(R8,IF(N20&lt;&gt;0%,"JUSTIFICAR","OK"),IF(AND(N20&gt;0.99%,N20&lt;3.01%),"OK","JUSTIFICAR"))</f>
        <v>JUSTIFICAR</v>
      </c>
      <c r="W20" s="53">
        <f t="shared" si="1"/>
        <v>0</v>
      </c>
    </row>
    <row r="21" spans="2:40" ht="18.75" customHeight="1">
      <c r="B21" s="277" t="s">
        <v>91</v>
      </c>
      <c r="C21" s="10" t="s">
        <v>92</v>
      </c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539">
        <f t="shared" si="2"/>
        <v>6.0000000000000001E-3</v>
      </c>
      <c r="O21" s="270"/>
      <c r="R21" s="8">
        <v>6.0000000000000001E-3</v>
      </c>
      <c r="S21" s="8">
        <v>0</v>
      </c>
      <c r="T21" s="8">
        <v>6.0000000000000001E-3</v>
      </c>
      <c r="V21" s="53" t="str">
        <f>IF(N21=T21,"OK","JUSTIFICAR")</f>
        <v>OK</v>
      </c>
      <c r="W21" s="53">
        <f t="shared" si="1"/>
        <v>1</v>
      </c>
    </row>
    <row r="22" spans="2:40" ht="18.75" customHeight="1">
      <c r="B22" s="277" t="s">
        <v>93</v>
      </c>
      <c r="C22" s="10" t="s">
        <v>94</v>
      </c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539">
        <f t="shared" si="2"/>
        <v>0</v>
      </c>
      <c r="O22" s="270"/>
      <c r="R22" s="8">
        <v>0</v>
      </c>
      <c r="S22" s="8">
        <v>0</v>
      </c>
      <c r="T22" s="8">
        <f>IF($R$8,S22,R22)</f>
        <v>0</v>
      </c>
      <c r="U22" s="53" t="s">
        <v>84</v>
      </c>
      <c r="V22" s="53" t="str">
        <f>IF(OR(N22=0%,N22=1%,N22=""),"OK","JUSTIFICAR")</f>
        <v>OK</v>
      </c>
      <c r="W22" s="53">
        <f t="shared" si="1"/>
        <v>1</v>
      </c>
    </row>
    <row r="23" spans="2:40" s="93" customFormat="1" ht="6.75" customHeight="1">
      <c r="B23" s="271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4"/>
      <c r="O23" s="272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</row>
    <row r="24" spans="2:40" s="38" customFormat="1" ht="15" customHeight="1">
      <c r="B24" s="275" t="s">
        <v>95</v>
      </c>
      <c r="C24" s="49" t="s">
        <v>96</v>
      </c>
      <c r="D24" s="50"/>
      <c r="E24" s="50"/>
      <c r="F24" s="50"/>
      <c r="G24" s="50"/>
      <c r="H24" s="50"/>
      <c r="I24" s="50"/>
      <c r="J24" s="50"/>
      <c r="K24" s="50"/>
      <c r="L24" s="50"/>
      <c r="M24" s="51"/>
      <c r="N24" s="48">
        <f>IF(W26=2,SUM(N28:N36),N28+N29+N30+N32+N34+N35+N36)</f>
        <v>0.35550000000000004</v>
      </c>
      <c r="O24" s="276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2:40" s="93" customFormat="1" ht="6.75" customHeight="1">
      <c r="B25" s="27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20"/>
      <c r="O25" s="272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</row>
    <row r="26" spans="2:40" ht="23.25" customHeight="1">
      <c r="B26" s="279" t="s">
        <v>97</v>
      </c>
      <c r="C26" s="3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6"/>
      <c r="O26" s="270"/>
      <c r="P26" s="97"/>
      <c r="W26" s="9">
        <v>1</v>
      </c>
    </row>
    <row r="27" spans="2:40" s="93" customFormat="1" ht="6.75" customHeight="1">
      <c r="B27" s="28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2"/>
      <c r="O27" s="272"/>
      <c r="P27" s="98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</row>
    <row r="28" spans="2:40" ht="15" customHeight="1">
      <c r="B28" s="277" t="s">
        <v>98</v>
      </c>
      <c r="C28" s="10" t="s">
        <v>99</v>
      </c>
      <c r="D28" s="10"/>
      <c r="E28" s="10"/>
      <c r="F28" s="10"/>
      <c r="G28" s="10"/>
      <c r="H28" s="10"/>
      <c r="I28" s="10"/>
      <c r="J28" s="10"/>
      <c r="K28" s="10"/>
      <c r="L28" s="10"/>
      <c r="M28" s="57"/>
      <c r="N28" s="18">
        <v>0.1111</v>
      </c>
      <c r="O28" s="270"/>
      <c r="P28" s="43"/>
    </row>
    <row r="29" spans="2:40" ht="15" customHeight="1">
      <c r="B29" s="277" t="s">
        <v>100</v>
      </c>
      <c r="C29" s="10" t="s">
        <v>101</v>
      </c>
      <c r="D29" s="10"/>
      <c r="E29" s="10"/>
      <c r="F29" s="10"/>
      <c r="G29" s="10"/>
      <c r="H29" s="10"/>
      <c r="I29" s="10"/>
      <c r="J29" s="10"/>
      <c r="K29" s="10"/>
      <c r="L29" s="10"/>
      <c r="M29" s="57"/>
      <c r="N29" s="3">
        <v>8.3299999999999999E-2</v>
      </c>
      <c r="O29" s="270"/>
      <c r="P29" s="43"/>
    </row>
    <row r="30" spans="2:40" ht="15" customHeight="1">
      <c r="B30" s="277" t="s">
        <v>102</v>
      </c>
      <c r="C30" s="10" t="s">
        <v>103</v>
      </c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3">
        <v>0</v>
      </c>
      <c r="O30" s="270"/>
      <c r="P30" s="43"/>
    </row>
    <row r="31" spans="2:40" ht="15" customHeight="1">
      <c r="B31" s="277" t="s">
        <v>104</v>
      </c>
      <c r="C31" s="10" t="s">
        <v>105</v>
      </c>
      <c r="D31" s="99"/>
      <c r="E31" s="99"/>
      <c r="F31" s="99"/>
      <c r="G31" s="99"/>
      <c r="H31" s="99"/>
      <c r="I31" s="99"/>
      <c r="J31" s="99"/>
      <c r="K31" s="99"/>
      <c r="L31" s="99"/>
      <c r="M31" s="100"/>
      <c r="N31" s="3">
        <v>0</v>
      </c>
      <c r="O31" s="270"/>
      <c r="P31" s="97"/>
    </row>
    <row r="32" spans="2:40" ht="15" customHeight="1">
      <c r="B32" s="277" t="s">
        <v>106</v>
      </c>
      <c r="C32" s="10" t="s">
        <v>107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3">
        <v>0</v>
      </c>
      <c r="O32" s="270"/>
      <c r="P32" s="97"/>
    </row>
    <row r="33" spans="2:40" ht="15" customHeight="1">
      <c r="B33" s="277" t="s">
        <v>108</v>
      </c>
      <c r="C33" s="10" t="s">
        <v>109</v>
      </c>
      <c r="D33" s="99"/>
      <c r="E33" s="99"/>
      <c r="F33" s="99"/>
      <c r="G33" s="99"/>
      <c r="H33" s="99"/>
      <c r="I33" s="99"/>
      <c r="J33" s="99"/>
      <c r="K33" s="99"/>
      <c r="L33" s="99"/>
      <c r="M33" s="100"/>
      <c r="N33" s="3">
        <v>0.03</v>
      </c>
      <c r="O33" s="270"/>
      <c r="P33" s="97"/>
    </row>
    <row r="34" spans="2:40" ht="15" customHeight="1">
      <c r="B34" s="277" t="s">
        <v>110</v>
      </c>
      <c r="C34" s="10" t="s">
        <v>111</v>
      </c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3">
        <v>0.1111</v>
      </c>
      <c r="O34" s="270"/>
      <c r="P34" s="43"/>
    </row>
    <row r="35" spans="2:40" ht="15" customHeight="1">
      <c r="B35" s="277" t="s">
        <v>112</v>
      </c>
      <c r="C35" s="10" t="s">
        <v>113</v>
      </c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3">
        <v>0.02</v>
      </c>
      <c r="O35" s="270"/>
    </row>
    <row r="36" spans="2:40" ht="15" customHeight="1">
      <c r="B36" s="277" t="s">
        <v>114</v>
      </c>
      <c r="C36" s="10" t="s">
        <v>115</v>
      </c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3">
        <v>0.03</v>
      </c>
      <c r="O36" s="270"/>
    </row>
    <row r="37" spans="2:40" s="93" customFormat="1" ht="6.75" customHeight="1">
      <c r="B37" s="271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4"/>
      <c r="O37" s="272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</row>
    <row r="38" spans="2:40" s="38" customFormat="1" ht="15" customHeight="1">
      <c r="B38" s="275" t="s">
        <v>116</v>
      </c>
      <c r="C38" s="49" t="s">
        <v>117</v>
      </c>
      <c r="D38" s="50"/>
      <c r="E38" s="50"/>
      <c r="F38" s="50"/>
      <c r="G38" s="50"/>
      <c r="H38" s="50"/>
      <c r="I38" s="50"/>
      <c r="J38" s="50"/>
      <c r="K38" s="50"/>
      <c r="L38" s="50"/>
      <c r="M38" s="51"/>
      <c r="N38" s="48">
        <f>SUM(N40:N42)</f>
        <v>0.12329999999999999</v>
      </c>
      <c r="O38" s="276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</row>
    <row r="39" spans="2:40" s="93" customFormat="1" ht="6.75" customHeight="1">
      <c r="B39" s="271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4"/>
      <c r="O39" s="272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</row>
    <row r="40" spans="2:40" ht="15" customHeight="1">
      <c r="B40" s="277" t="s">
        <v>118</v>
      </c>
      <c r="C40" s="10" t="s">
        <v>119</v>
      </c>
      <c r="D40" s="10"/>
      <c r="E40" s="10"/>
      <c r="F40" s="10"/>
      <c r="G40" s="10"/>
      <c r="H40" s="10"/>
      <c r="I40" s="10"/>
      <c r="J40" s="10"/>
      <c r="K40" s="10"/>
      <c r="L40" s="10"/>
      <c r="M40" s="57"/>
      <c r="N40" s="3">
        <v>0.04</v>
      </c>
      <c r="O40" s="270"/>
    </row>
    <row r="41" spans="2:40" ht="15" customHeight="1">
      <c r="B41" s="277" t="s">
        <v>120</v>
      </c>
      <c r="C41" s="10" t="s">
        <v>121</v>
      </c>
      <c r="D41" s="10"/>
      <c r="E41" s="10"/>
      <c r="F41" s="10"/>
      <c r="G41" s="10"/>
      <c r="H41" s="10"/>
      <c r="I41" s="10"/>
      <c r="J41" s="10"/>
      <c r="K41" s="10"/>
      <c r="L41" s="10"/>
      <c r="M41" s="57"/>
      <c r="N41" s="3">
        <v>8.3299999999999999E-2</v>
      </c>
      <c r="O41" s="270"/>
    </row>
    <row r="42" spans="2:40" ht="15" customHeight="1">
      <c r="B42" s="277" t="s">
        <v>122</v>
      </c>
      <c r="C42" s="10" t="s">
        <v>123</v>
      </c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3">
        <v>0</v>
      </c>
      <c r="O42" s="270"/>
    </row>
    <row r="43" spans="2:40" s="93" customFormat="1" ht="6.75" customHeight="1">
      <c r="B43" s="271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4"/>
      <c r="O43" s="272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</row>
    <row r="44" spans="2:40" s="38" customFormat="1" ht="21.75" customHeight="1">
      <c r="B44" s="275" t="s">
        <v>124</v>
      </c>
      <c r="C44" s="1014" t="s">
        <v>125</v>
      </c>
      <c r="D44" s="1014"/>
      <c r="E44" s="1014"/>
      <c r="F44" s="1014"/>
      <c r="G44" s="1014"/>
      <c r="H44" s="1014"/>
      <c r="I44" s="1014"/>
      <c r="J44" s="1014"/>
      <c r="K44" s="1014"/>
      <c r="L44" s="1014"/>
      <c r="M44" s="1015"/>
      <c r="N44" s="48">
        <f>N46</f>
        <v>2.8440000000000003E-2</v>
      </c>
      <c r="O44" s="276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</row>
    <row r="45" spans="2:40" s="93" customFormat="1" ht="6.75" customHeight="1">
      <c r="B45" s="271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4"/>
      <c r="O45" s="272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</row>
    <row r="46" spans="2:40" ht="15" customHeight="1">
      <c r="B46" s="277" t="s">
        <v>126</v>
      </c>
      <c r="C46" s="10" t="s">
        <v>127</v>
      </c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4">
        <f>N12*N24</f>
        <v>2.8440000000000003E-2</v>
      </c>
      <c r="O46" s="270"/>
    </row>
    <row r="47" spans="2:40" s="93" customFormat="1" ht="6.75" customHeight="1">
      <c r="B47" s="271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4"/>
      <c r="O47" s="272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</row>
    <row r="48" spans="2:40" s="38" customFormat="1" ht="15" customHeight="1">
      <c r="B48" s="275" t="s">
        <v>128</v>
      </c>
      <c r="C48" s="49" t="s">
        <v>129</v>
      </c>
      <c r="D48" s="50"/>
      <c r="E48" s="50"/>
      <c r="F48" s="50"/>
      <c r="G48" s="50"/>
      <c r="H48" s="50"/>
      <c r="I48" s="50"/>
      <c r="J48" s="50"/>
      <c r="K48" s="50"/>
      <c r="L48" s="50"/>
      <c r="M48" s="51"/>
      <c r="N48" s="48">
        <f>N44++N38+N24+N12</f>
        <v>0.58723999999999998</v>
      </c>
      <c r="O48" s="276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</row>
    <row r="49" spans="2:40" s="93" customFormat="1" ht="6.75" customHeight="1">
      <c r="B49" s="281"/>
      <c r="C49" s="282"/>
      <c r="D49" s="282"/>
      <c r="E49" s="282"/>
      <c r="F49" s="282"/>
      <c r="G49" s="282"/>
      <c r="H49" s="282"/>
      <c r="I49" s="282"/>
      <c r="J49" s="282"/>
      <c r="K49" s="282"/>
      <c r="L49" s="282"/>
      <c r="M49" s="282"/>
      <c r="N49" s="283"/>
      <c r="O49" s="28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</row>
  </sheetData>
  <mergeCells count="5">
    <mergeCell ref="C44:M44"/>
    <mergeCell ref="F3:N3"/>
    <mergeCell ref="B10:N10"/>
    <mergeCell ref="B5:N6"/>
    <mergeCell ref="F17:M17"/>
  </mergeCells>
  <phoneticPr fontId="2" type="noConversion"/>
  <conditionalFormatting sqref="B31:M31 B33:M33">
    <cfRule type="expression" dxfId="5" priority="6" stopIfTrue="1">
      <formula>IF($W$26=2,0,1)</formula>
    </cfRule>
  </conditionalFormatting>
  <conditionalFormatting sqref="N31 N33">
    <cfRule type="expression" dxfId="4" priority="7" stopIfTrue="1">
      <formula>IF($W$26=2,0,1)</formula>
    </cfRule>
  </conditionalFormatting>
  <conditionalFormatting sqref="B14:N14 B16:N22">
    <cfRule type="expression" dxfId="3" priority="1" stopIfTrue="1">
      <formula>IF($M$8="SIM",1,0)</formula>
    </cfRule>
  </conditionalFormatting>
  <printOptions horizontalCentered="1" verticalCentered="1"/>
  <pageMargins left="0.25" right="0.25" top="0.75" bottom="0.75" header="0.3" footer="0.3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4" name="Option Button 18">
              <controlPr defaultSize="0" autoFill="0" autoLine="0" autoPict="0">
                <anchor moveWithCells="1">
                  <from>
                    <xdr:col>8</xdr:col>
                    <xdr:colOff>201386</xdr:colOff>
                    <xdr:row>25</xdr:row>
                    <xdr:rowOff>38100</xdr:rowOff>
                  </from>
                  <to>
                    <xdr:col>11</xdr:col>
                    <xdr:colOff>76200</xdr:colOff>
                    <xdr:row>25</xdr:row>
                    <xdr:rowOff>261257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5" name="Option Button 19">
              <controlPr defaultSize="0" autoFill="0" autoLine="0" autoPict="0">
                <anchor moveWithCells="1">
                  <from>
                    <xdr:col>5</xdr:col>
                    <xdr:colOff>239486</xdr:colOff>
                    <xdr:row>25</xdr:row>
                    <xdr:rowOff>32657</xdr:rowOff>
                  </from>
                  <to>
                    <xdr:col>8</xdr:col>
                    <xdr:colOff>10886</xdr:colOff>
                    <xdr:row>25</xdr:row>
                    <xdr:rowOff>250371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">
    <tabColor theme="2" tint="-0.499984740745262"/>
    <pageSetUpPr fitToPage="1"/>
  </sheetPr>
  <dimension ref="B1:AK65"/>
  <sheetViews>
    <sheetView showGridLines="0" zoomScaleNormal="100" zoomScaleSheetLayoutView="100" workbookViewId="0">
      <pane ySplit="6" topLeftCell="A30" activePane="bottomLeft" state="frozen"/>
      <selection pane="bottomLeft" activeCell="F34" sqref="F34"/>
      <selection activeCell="B19" sqref="B19:B20"/>
    </sheetView>
  </sheetViews>
  <sheetFormatPr defaultColWidth="9.140625" defaultRowHeight="18" customHeight="1"/>
  <cols>
    <col min="1" max="1" width="1.42578125" style="80" customWidth="1"/>
    <col min="2" max="2" width="53.7109375" style="34" customWidth="1"/>
    <col min="3" max="3" width="15.7109375" style="34" customWidth="1"/>
    <col min="4" max="4" width="14.28515625" style="34" customWidth="1"/>
    <col min="5" max="5" width="11.140625" style="34" customWidth="1"/>
    <col min="6" max="6" width="15.7109375" style="34" customWidth="1"/>
    <col min="7" max="7" width="18.140625" style="34" customWidth="1"/>
    <col min="8" max="8" width="13.140625" style="34" customWidth="1"/>
    <col min="9" max="9" width="14" style="34" customWidth="1"/>
    <col min="10" max="10" width="11.42578125" style="34" customWidth="1"/>
    <col min="11" max="11" width="17.5703125" style="34" hidden="1" customWidth="1"/>
    <col min="12" max="12" width="15.7109375" style="34" customWidth="1"/>
    <col min="13" max="13" width="15.7109375" style="34" hidden="1" customWidth="1"/>
    <col min="14" max="14" width="15.7109375" style="34" customWidth="1"/>
    <col min="15" max="15" width="15.7109375" style="34" hidden="1" customWidth="1"/>
    <col min="16" max="16" width="18.28515625" style="34" customWidth="1"/>
    <col min="17" max="19" width="9.140625" style="80"/>
    <col min="20" max="21" width="9.140625" style="104"/>
    <col min="22" max="16384" width="9.140625" style="80"/>
  </cols>
  <sheetData>
    <row r="1" spans="2:21" ht="18" customHeight="1">
      <c r="B1" s="217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3"/>
      <c r="T1" s="52" t="s">
        <v>130</v>
      </c>
      <c r="U1" s="52" t="s">
        <v>131</v>
      </c>
    </row>
    <row r="2" spans="2:21" ht="18" customHeight="1">
      <c r="B2" s="220"/>
      <c r="P2" s="294"/>
      <c r="T2" s="52" t="s">
        <v>132</v>
      </c>
      <c r="U2" s="52" t="s">
        <v>133</v>
      </c>
    </row>
    <row r="3" spans="2:21" ht="18" customHeight="1">
      <c r="B3" s="220"/>
      <c r="P3" s="294"/>
      <c r="T3" s="52"/>
      <c r="U3" s="52" t="s">
        <v>134</v>
      </c>
    </row>
    <row r="4" spans="2:21" ht="18" customHeight="1">
      <c r="B4" s="1026" t="s">
        <v>26</v>
      </c>
      <c r="C4" s="1027"/>
      <c r="D4" s="1027"/>
      <c r="E4" s="1027"/>
      <c r="F4" s="1027"/>
      <c r="G4" s="1027"/>
      <c r="H4" s="1027"/>
      <c r="I4" s="1027"/>
      <c r="J4" s="1027"/>
      <c r="K4" s="1027"/>
      <c r="L4" s="1027"/>
      <c r="M4" s="1027"/>
      <c r="N4" s="1027"/>
      <c r="O4" s="1027"/>
      <c r="P4" s="1028"/>
    </row>
    <row r="5" spans="2:21" ht="19.5" customHeight="1" thickBot="1">
      <c r="B5" s="295"/>
      <c r="C5" s="81"/>
      <c r="D5" s="482" t="s">
        <v>135</v>
      </c>
      <c r="E5" s="81"/>
      <c r="F5" s="81"/>
      <c r="G5" s="81"/>
      <c r="H5" s="486">
        <v>1518</v>
      </c>
      <c r="I5" s="81"/>
      <c r="J5" s="81"/>
      <c r="K5" s="81"/>
      <c r="L5" s="80"/>
      <c r="M5" s="80"/>
      <c r="N5" s="80"/>
      <c r="O5" s="80"/>
      <c r="P5" s="221"/>
    </row>
    <row r="6" spans="2:21" s="81" customFormat="1" ht="23.25" customHeight="1">
      <c r="B6" s="296" t="s">
        <v>136</v>
      </c>
      <c r="C6" s="286" t="s">
        <v>137</v>
      </c>
      <c r="D6" s="286" t="s">
        <v>138</v>
      </c>
      <c r="E6" s="286" t="s">
        <v>139</v>
      </c>
      <c r="F6" s="286" t="s">
        <v>140</v>
      </c>
      <c r="G6" s="286" t="s">
        <v>141</v>
      </c>
      <c r="H6" s="286" t="s">
        <v>142</v>
      </c>
      <c r="I6" s="286" t="s">
        <v>143</v>
      </c>
      <c r="J6" s="286" t="s">
        <v>144</v>
      </c>
      <c r="K6" s="286" t="s">
        <v>145</v>
      </c>
      <c r="L6" s="286" t="s">
        <v>146</v>
      </c>
      <c r="M6" s="285" t="s">
        <v>147</v>
      </c>
      <c r="N6" s="285" t="s">
        <v>148</v>
      </c>
      <c r="O6" s="285" t="s">
        <v>149</v>
      </c>
      <c r="P6" s="297" t="s">
        <v>150</v>
      </c>
      <c r="T6" s="105"/>
      <c r="U6" s="105"/>
    </row>
    <row r="7" spans="2:21" s="81" customFormat="1" ht="23.25" customHeight="1">
      <c r="B7" s="298" t="s">
        <v>151</v>
      </c>
      <c r="C7" s="469">
        <v>7000</v>
      </c>
      <c r="D7" s="469">
        <v>5500</v>
      </c>
      <c r="E7" s="469">
        <v>4500</v>
      </c>
      <c r="F7" s="469">
        <v>3700</v>
      </c>
      <c r="G7" s="469">
        <v>3000</v>
      </c>
      <c r="H7" s="469">
        <v>3400</v>
      </c>
      <c r="I7" s="469">
        <v>2000</v>
      </c>
      <c r="J7" s="469">
        <v>3000</v>
      </c>
      <c r="K7" s="469">
        <v>2200</v>
      </c>
      <c r="L7" s="469">
        <v>4500</v>
      </c>
      <c r="M7" s="88">
        <v>2500</v>
      </c>
      <c r="N7" s="88">
        <v>2500</v>
      </c>
      <c r="O7" s="88">
        <v>3500</v>
      </c>
      <c r="P7" s="299"/>
      <c r="T7" s="105"/>
      <c r="U7" s="105"/>
    </row>
    <row r="8" spans="2:21" ht="24.95" customHeight="1">
      <c r="B8" s="300" t="s">
        <v>152</v>
      </c>
      <c r="C8" s="89" t="s">
        <v>132</v>
      </c>
      <c r="D8" s="89" t="s">
        <v>132</v>
      </c>
      <c r="E8" s="89" t="s">
        <v>132</v>
      </c>
      <c r="F8" s="89" t="s">
        <v>132</v>
      </c>
      <c r="G8" s="89" t="s">
        <v>132</v>
      </c>
      <c r="H8" s="89" t="s">
        <v>132</v>
      </c>
      <c r="I8" s="89" t="s">
        <v>132</v>
      </c>
      <c r="J8" s="89" t="s">
        <v>132</v>
      </c>
      <c r="K8" s="89" t="s">
        <v>132</v>
      </c>
      <c r="L8" s="89" t="s">
        <v>132</v>
      </c>
      <c r="M8" s="89" t="s">
        <v>130</v>
      </c>
      <c r="N8" s="89" t="s">
        <v>132</v>
      </c>
      <c r="O8" s="89" t="s">
        <v>132</v>
      </c>
      <c r="P8" s="301"/>
    </row>
    <row r="9" spans="2:21" s="81" customFormat="1" ht="18" customHeight="1">
      <c r="B9" s="298" t="s">
        <v>153</v>
      </c>
      <c r="C9" s="90">
        <f>IF(C8="Sim",C7*0.3,)</f>
        <v>0</v>
      </c>
      <c r="D9" s="90">
        <f>IF(D8="Sim",D7*0.3,)</f>
        <v>0</v>
      </c>
      <c r="E9" s="90">
        <f>IF(E8="Sim",E7*0.3,)</f>
        <v>0</v>
      </c>
      <c r="F9" s="90">
        <f t="shared" ref="F9:O9" si="0">IF(F8="Sim",F7*0.3,)</f>
        <v>0</v>
      </c>
      <c r="G9" s="90">
        <f t="shared" si="0"/>
        <v>0</v>
      </c>
      <c r="H9" s="90">
        <f t="shared" si="0"/>
        <v>0</v>
      </c>
      <c r="I9" s="90">
        <f t="shared" si="0"/>
        <v>0</v>
      </c>
      <c r="J9" s="90">
        <f t="shared" si="0"/>
        <v>0</v>
      </c>
      <c r="K9" s="90">
        <f t="shared" si="0"/>
        <v>0</v>
      </c>
      <c r="L9" s="90">
        <f t="shared" si="0"/>
        <v>0</v>
      </c>
      <c r="M9" s="90">
        <f>IF(M8="Sim",M7*0.3,)</f>
        <v>750</v>
      </c>
      <c r="N9" s="90">
        <f t="shared" si="0"/>
        <v>0</v>
      </c>
      <c r="O9" s="90">
        <f t="shared" si="0"/>
        <v>0</v>
      </c>
      <c r="P9" s="302"/>
      <c r="T9" s="105"/>
      <c r="U9" s="105"/>
    </row>
    <row r="10" spans="2:21" ht="24.95" customHeight="1">
      <c r="B10" s="300" t="s">
        <v>154</v>
      </c>
      <c r="C10" s="89"/>
      <c r="D10" s="89" t="s">
        <v>134</v>
      </c>
      <c r="E10" s="89"/>
      <c r="F10" s="89" t="s">
        <v>134</v>
      </c>
      <c r="G10" s="89" t="s">
        <v>134</v>
      </c>
      <c r="H10" s="89" t="s">
        <v>134</v>
      </c>
      <c r="I10" s="89" t="s">
        <v>134</v>
      </c>
      <c r="J10" s="89" t="s">
        <v>134</v>
      </c>
      <c r="K10" s="89" t="s">
        <v>134</v>
      </c>
      <c r="L10" s="89" t="s">
        <v>131</v>
      </c>
      <c r="M10" s="89"/>
      <c r="N10" s="89" t="s">
        <v>133</v>
      </c>
      <c r="O10" s="89" t="s">
        <v>133</v>
      </c>
      <c r="P10" s="301"/>
    </row>
    <row r="11" spans="2:21" s="81" customFormat="1" ht="18" customHeight="1">
      <c r="B11" s="298" t="s">
        <v>155</v>
      </c>
      <c r="C11" s="483">
        <f t="shared" ref="C11:M11" si="1">IF(C10="Mínimo",($H$5*0.1),IF(C10="Médio",($H$5*0.2),IF(C10="Máximo",($H$5*0.4),IF(C10="",(0*0)))))</f>
        <v>0</v>
      </c>
      <c r="D11" s="483">
        <f t="shared" si="1"/>
        <v>607.20000000000005</v>
      </c>
      <c r="E11" s="483">
        <f t="shared" si="1"/>
        <v>0</v>
      </c>
      <c r="F11" s="483">
        <f t="shared" si="1"/>
        <v>607.20000000000005</v>
      </c>
      <c r="G11" s="483">
        <f t="shared" si="1"/>
        <v>607.20000000000005</v>
      </c>
      <c r="H11" s="483">
        <f t="shared" si="1"/>
        <v>607.20000000000005</v>
      </c>
      <c r="I11" s="483">
        <f t="shared" si="1"/>
        <v>607.20000000000005</v>
      </c>
      <c r="J11" s="483">
        <f t="shared" si="1"/>
        <v>607.20000000000005</v>
      </c>
      <c r="K11" s="483">
        <f t="shared" si="1"/>
        <v>607.20000000000005</v>
      </c>
      <c r="L11" s="483">
        <f t="shared" si="1"/>
        <v>151.80000000000001</v>
      </c>
      <c r="M11" s="483">
        <f t="shared" si="1"/>
        <v>0</v>
      </c>
      <c r="N11" s="90">
        <f t="shared" ref="N11:O11" si="2">IF(N10="Mínimo",(1312*0.1),IF(N10="Médio",(1312*0.2),IF(N10="Máximo",(1312*0.4),IF(N10="",(0*0)))))</f>
        <v>262.40000000000003</v>
      </c>
      <c r="O11" s="90">
        <f t="shared" si="2"/>
        <v>262.40000000000003</v>
      </c>
      <c r="P11" s="302"/>
      <c r="T11" s="105"/>
      <c r="U11" s="105"/>
    </row>
    <row r="12" spans="2:21" s="81" customFormat="1" ht="18" customHeight="1">
      <c r="B12" s="786" t="s">
        <v>156</v>
      </c>
      <c r="C12" s="787">
        <f>C7+C9+C11</f>
        <v>7000</v>
      </c>
      <c r="D12" s="787">
        <f t="shared" ref="D12:O12" si="3">D7+D9+D11</f>
        <v>6107.2</v>
      </c>
      <c r="E12" s="787">
        <f>E7+E9+E11</f>
        <v>4500</v>
      </c>
      <c r="F12" s="787">
        <f>F7+F9+F11</f>
        <v>4307.2</v>
      </c>
      <c r="G12" s="787">
        <f t="shared" si="3"/>
        <v>3607.2</v>
      </c>
      <c r="H12" s="787">
        <f t="shared" si="3"/>
        <v>4007.2</v>
      </c>
      <c r="I12" s="787">
        <f t="shared" si="3"/>
        <v>2607.1999999999998</v>
      </c>
      <c r="J12" s="787">
        <f t="shared" si="3"/>
        <v>3607.2</v>
      </c>
      <c r="K12" s="787">
        <f t="shared" si="3"/>
        <v>2807.2</v>
      </c>
      <c r="L12" s="787">
        <f>L7+L9+L11</f>
        <v>4651.8</v>
      </c>
      <c r="M12" s="787">
        <f>M7+M9+M11</f>
        <v>3250</v>
      </c>
      <c r="N12" s="787">
        <f>N7+N9+N11</f>
        <v>2762.4</v>
      </c>
      <c r="O12" s="787">
        <f t="shared" si="3"/>
        <v>3762.4</v>
      </c>
      <c r="P12" s="788"/>
      <c r="T12" s="105"/>
      <c r="U12" s="105"/>
    </row>
    <row r="13" spans="2:21" s="81" customFormat="1" ht="18" customHeight="1">
      <c r="B13" s="298" t="s">
        <v>157</v>
      </c>
      <c r="C13" s="90">
        <f>C12*'Tabela Encargos Sociais'!$N$48</f>
        <v>4110.68</v>
      </c>
      <c r="D13" s="90">
        <f>D12*'Tabela Encargos Sociais'!$N$48</f>
        <v>3586.392128</v>
      </c>
      <c r="E13" s="90">
        <f>E12*'Tabela Encargos Sociais'!$N$48</f>
        <v>2642.58</v>
      </c>
      <c r="F13" s="90">
        <f>F12*'Tabela Encargos Sociais'!$N$48</f>
        <v>2529.3601279999998</v>
      </c>
      <c r="G13" s="90">
        <f>G12*'Tabela Encargos Sociais'!$N$48</f>
        <v>2118.292128</v>
      </c>
      <c r="H13" s="90">
        <f>H12*'Tabela Encargos Sociais'!$N$48</f>
        <v>2353.1881279999998</v>
      </c>
      <c r="I13" s="90">
        <f>I12*'Tabela Encargos Sociais'!$N$48</f>
        <v>1531.0521279999998</v>
      </c>
      <c r="J13" s="90">
        <f>J12*'Tabela Encargos Sociais'!$N$48</f>
        <v>2118.292128</v>
      </c>
      <c r="K13" s="90">
        <f>K12*'Tabela Encargos Sociais'!$N$48</f>
        <v>1648.5001279999999</v>
      </c>
      <c r="L13" s="90">
        <f>L12*'Tabela Encargos Sociais'!$N$48</f>
        <v>2731.7230319999999</v>
      </c>
      <c r="M13" s="90">
        <f>M12*'Tabela Encargos Sociais'!$N$48</f>
        <v>1908.53</v>
      </c>
      <c r="N13" s="90">
        <f>N12*'Tabela Encargos Sociais'!$N$48</f>
        <v>1622.1917760000001</v>
      </c>
      <c r="O13" s="90">
        <f>O12*'Tabela Encargos Sociais'!$N$48</f>
        <v>2209.4317759999999</v>
      </c>
      <c r="P13" s="302"/>
      <c r="T13" s="105"/>
      <c r="U13" s="105"/>
    </row>
    <row r="14" spans="2:21" s="81" customFormat="1" ht="18" customHeight="1">
      <c r="B14" s="298" t="s">
        <v>158</v>
      </c>
      <c r="C14" s="90">
        <f>C15+C20+C22+C24+C26+C28+C30</f>
        <v>2286.666666666667</v>
      </c>
      <c r="D14" s="90">
        <f t="shared" ref="D14:I14" si="4">D15+D20+D22+D24+D26+D28+D30</f>
        <v>2286.666666666667</v>
      </c>
      <c r="E14" s="90">
        <f t="shared" si="4"/>
        <v>2470.666666666667</v>
      </c>
      <c r="F14" s="90">
        <f>F15+F20+F22+F24+F26+F28+F30</f>
        <v>2326.666666666667</v>
      </c>
      <c r="G14" s="90">
        <f t="shared" si="4"/>
        <v>2326.666666666667</v>
      </c>
      <c r="H14" s="90">
        <f t="shared" si="4"/>
        <v>2326.666666666667</v>
      </c>
      <c r="I14" s="90">
        <f t="shared" si="4"/>
        <v>2286.666666666667</v>
      </c>
      <c r="J14" s="90">
        <f t="shared" ref="J14:O14" si="5">J15+J20+J22+J24+J26+J28+J30</f>
        <v>1920.6666666666667</v>
      </c>
      <c r="K14" s="90">
        <f t="shared" si="5"/>
        <v>1920.6666666666667</v>
      </c>
      <c r="L14" s="90">
        <f>L15+L20+L22+L24+L26+L28+L30</f>
        <v>1736.6666666666667</v>
      </c>
      <c r="M14" s="90">
        <f>M15+M20+M22+M24+M26+M28+M30</f>
        <v>2509.666666666667</v>
      </c>
      <c r="N14" s="90">
        <f>N15+N20+N22+N24+N26+N28+N30</f>
        <v>2269</v>
      </c>
      <c r="O14" s="90">
        <f t="shared" si="5"/>
        <v>1719</v>
      </c>
      <c r="P14" s="302"/>
      <c r="T14" s="105"/>
      <c r="U14" s="105"/>
    </row>
    <row r="15" spans="2:21" s="81" customFormat="1" ht="18" customHeight="1">
      <c r="B15" s="298" t="s">
        <v>159</v>
      </c>
      <c r="C15" s="91">
        <f>C16+C17+C18+C19</f>
        <v>858</v>
      </c>
      <c r="D15" s="91">
        <f>D16+D17+D18+D19</f>
        <v>858</v>
      </c>
      <c r="E15" s="91">
        <f>E16+E17+E18+E19</f>
        <v>858</v>
      </c>
      <c r="F15" s="91">
        <f>F16+F17+F18+F19</f>
        <v>898</v>
      </c>
      <c r="G15" s="91">
        <f t="shared" ref="G15:O15" si="6">G16+G17+G18+G19</f>
        <v>898</v>
      </c>
      <c r="H15" s="91">
        <f t="shared" si="6"/>
        <v>898</v>
      </c>
      <c r="I15" s="91">
        <f t="shared" si="6"/>
        <v>858</v>
      </c>
      <c r="J15" s="91">
        <f t="shared" si="6"/>
        <v>858</v>
      </c>
      <c r="K15" s="91">
        <f t="shared" si="6"/>
        <v>858</v>
      </c>
      <c r="L15" s="91">
        <f t="shared" si="6"/>
        <v>858</v>
      </c>
      <c r="M15" s="91">
        <f t="shared" si="6"/>
        <v>1008</v>
      </c>
      <c r="N15" s="91">
        <f t="shared" si="6"/>
        <v>0</v>
      </c>
      <c r="O15" s="91">
        <f t="shared" si="6"/>
        <v>0</v>
      </c>
      <c r="P15" s="303"/>
      <c r="T15" s="105"/>
      <c r="U15" s="105"/>
    </row>
    <row r="16" spans="2:21" ht="24.75" customHeight="1">
      <c r="B16" s="304" t="s">
        <v>160</v>
      </c>
      <c r="C16" s="89">
        <f>12*22</f>
        <v>264</v>
      </c>
      <c r="D16" s="89">
        <f t="shared" ref="D16:L16" si="7">12*22</f>
        <v>264</v>
      </c>
      <c r="E16" s="89">
        <f t="shared" si="7"/>
        <v>264</v>
      </c>
      <c r="F16" s="89">
        <f t="shared" si="7"/>
        <v>264</v>
      </c>
      <c r="G16" s="89">
        <f t="shared" si="7"/>
        <v>264</v>
      </c>
      <c r="H16" s="89">
        <f t="shared" si="7"/>
        <v>264</v>
      </c>
      <c r="I16" s="89">
        <f t="shared" si="7"/>
        <v>264</v>
      </c>
      <c r="J16" s="89">
        <f t="shared" si="7"/>
        <v>264</v>
      </c>
      <c r="K16" s="89">
        <f t="shared" si="7"/>
        <v>264</v>
      </c>
      <c r="L16" s="89">
        <f t="shared" si="7"/>
        <v>264</v>
      </c>
      <c r="M16" s="89">
        <f>12*22</f>
        <v>264</v>
      </c>
      <c r="N16" s="89">
        <v>0</v>
      </c>
      <c r="O16" s="89">
        <v>0</v>
      </c>
      <c r="P16" s="301"/>
    </row>
    <row r="17" spans="2:37" ht="27" customHeight="1">
      <c r="B17" s="300" t="s">
        <v>161</v>
      </c>
      <c r="C17" s="89">
        <f>27*22</f>
        <v>594</v>
      </c>
      <c r="D17" s="89">
        <f t="shared" ref="D17:M17" si="8">27*22</f>
        <v>594</v>
      </c>
      <c r="E17" s="89">
        <f t="shared" si="8"/>
        <v>594</v>
      </c>
      <c r="F17" s="89">
        <f>22*22</f>
        <v>484</v>
      </c>
      <c r="G17" s="89">
        <f>22*22</f>
        <v>484</v>
      </c>
      <c r="H17" s="89">
        <f>22*22</f>
        <v>484</v>
      </c>
      <c r="I17" s="89">
        <f t="shared" si="8"/>
        <v>594</v>
      </c>
      <c r="J17" s="89">
        <f t="shared" si="8"/>
        <v>594</v>
      </c>
      <c r="K17" s="89">
        <f t="shared" si="8"/>
        <v>594</v>
      </c>
      <c r="L17" s="89">
        <f t="shared" si="8"/>
        <v>594</v>
      </c>
      <c r="M17" s="89">
        <f t="shared" si="8"/>
        <v>594</v>
      </c>
      <c r="N17" s="89">
        <v>0</v>
      </c>
      <c r="O17" s="89">
        <v>0</v>
      </c>
      <c r="P17" s="301"/>
    </row>
    <row r="18" spans="2:37" ht="18" customHeight="1">
      <c r="B18" s="304" t="s">
        <v>162</v>
      </c>
      <c r="C18" s="92">
        <v>0</v>
      </c>
      <c r="D18" s="92">
        <v>0</v>
      </c>
      <c r="E18" s="92">
        <v>0</v>
      </c>
      <c r="F18" s="92">
        <v>0</v>
      </c>
      <c r="G18" s="92">
        <v>0</v>
      </c>
      <c r="H18" s="92">
        <v>0</v>
      </c>
      <c r="I18" s="92">
        <v>0</v>
      </c>
      <c r="J18" s="92">
        <v>0</v>
      </c>
      <c r="K18" s="92">
        <v>0</v>
      </c>
      <c r="L18" s="92">
        <v>0</v>
      </c>
      <c r="M18" s="92">
        <v>0</v>
      </c>
      <c r="N18" s="92">
        <v>0</v>
      </c>
      <c r="O18" s="92">
        <v>0</v>
      </c>
      <c r="P18" s="305"/>
    </row>
    <row r="19" spans="2:37" ht="18" customHeight="1">
      <c r="B19" s="306" t="s">
        <v>163</v>
      </c>
      <c r="C19" s="92"/>
      <c r="D19" s="92"/>
      <c r="E19" s="92"/>
      <c r="F19" s="92">
        <v>150</v>
      </c>
      <c r="G19" s="92">
        <v>150</v>
      </c>
      <c r="H19" s="92">
        <v>150</v>
      </c>
      <c r="I19" s="92"/>
      <c r="J19" s="92"/>
      <c r="K19" s="92"/>
      <c r="L19" s="92"/>
      <c r="M19" s="92">
        <v>150</v>
      </c>
      <c r="N19" s="92"/>
      <c r="O19" s="92"/>
      <c r="P19" s="305"/>
    </row>
    <row r="20" spans="2:37" s="81" customFormat="1" ht="18" customHeight="1">
      <c r="B20" s="298" t="s">
        <v>164</v>
      </c>
      <c r="C20" s="88">
        <f>C21</f>
        <v>550</v>
      </c>
      <c r="D20" s="88">
        <f>D21</f>
        <v>550</v>
      </c>
      <c r="E20" s="88">
        <f t="shared" ref="E20:O20" si="9">E21</f>
        <v>550</v>
      </c>
      <c r="F20" s="88">
        <f t="shared" si="9"/>
        <v>550</v>
      </c>
      <c r="G20" s="88">
        <f t="shared" si="9"/>
        <v>550</v>
      </c>
      <c r="H20" s="88">
        <f t="shared" si="9"/>
        <v>550</v>
      </c>
      <c r="I20" s="88">
        <f t="shared" si="9"/>
        <v>550</v>
      </c>
      <c r="J20" s="88">
        <f t="shared" si="9"/>
        <v>0</v>
      </c>
      <c r="K20" s="88">
        <f t="shared" si="9"/>
        <v>0</v>
      </c>
      <c r="L20" s="88">
        <f t="shared" si="9"/>
        <v>0</v>
      </c>
      <c r="M20" s="88">
        <f t="shared" si="9"/>
        <v>550</v>
      </c>
      <c r="N20" s="88">
        <f t="shared" si="9"/>
        <v>550</v>
      </c>
      <c r="O20" s="88">
        <f t="shared" si="9"/>
        <v>0</v>
      </c>
      <c r="P20" s="299"/>
      <c r="T20" s="105"/>
      <c r="U20" s="105"/>
    </row>
    <row r="21" spans="2:37" ht="18" customHeight="1">
      <c r="B21" s="304" t="s">
        <v>165</v>
      </c>
      <c r="C21" s="89">
        <f t="shared" ref="C21:I21" si="10">25*22</f>
        <v>550</v>
      </c>
      <c r="D21" s="89">
        <f t="shared" si="10"/>
        <v>550</v>
      </c>
      <c r="E21" s="89">
        <f t="shared" si="10"/>
        <v>550</v>
      </c>
      <c r="F21" s="89">
        <f t="shared" si="10"/>
        <v>550</v>
      </c>
      <c r="G21" s="89">
        <f t="shared" si="10"/>
        <v>550</v>
      </c>
      <c r="H21" s="89">
        <f t="shared" si="10"/>
        <v>550</v>
      </c>
      <c r="I21" s="89">
        <f t="shared" si="10"/>
        <v>550</v>
      </c>
      <c r="J21" s="89">
        <v>0</v>
      </c>
      <c r="K21" s="89">
        <v>0</v>
      </c>
      <c r="L21" s="89">
        <v>0</v>
      </c>
      <c r="M21" s="89">
        <f>25*22</f>
        <v>550</v>
      </c>
      <c r="N21" s="89">
        <f>25*22</f>
        <v>550</v>
      </c>
      <c r="O21" s="89">
        <v>0</v>
      </c>
      <c r="P21" s="301"/>
    </row>
    <row r="22" spans="2:37" s="81" customFormat="1" ht="18" customHeight="1">
      <c r="B22" s="298" t="s">
        <v>166</v>
      </c>
      <c r="C22" s="88">
        <f>C23</f>
        <v>170</v>
      </c>
      <c r="D22" s="88">
        <f t="shared" ref="D22:O22" si="11">D23</f>
        <v>170</v>
      </c>
      <c r="E22" s="88">
        <f t="shared" si="11"/>
        <v>170</v>
      </c>
      <c r="F22" s="88">
        <f t="shared" si="11"/>
        <v>170</v>
      </c>
      <c r="G22" s="88">
        <f t="shared" si="11"/>
        <v>170</v>
      </c>
      <c r="H22" s="88">
        <f t="shared" si="11"/>
        <v>170</v>
      </c>
      <c r="I22" s="88">
        <f t="shared" si="11"/>
        <v>170</v>
      </c>
      <c r="J22" s="88">
        <f t="shared" si="11"/>
        <v>170</v>
      </c>
      <c r="K22" s="88">
        <f t="shared" si="11"/>
        <v>170</v>
      </c>
      <c r="L22" s="88">
        <f t="shared" si="11"/>
        <v>170</v>
      </c>
      <c r="M22" s="88">
        <f t="shared" si="11"/>
        <v>170</v>
      </c>
      <c r="N22" s="88">
        <f t="shared" si="11"/>
        <v>170</v>
      </c>
      <c r="O22" s="88">
        <f t="shared" si="11"/>
        <v>170</v>
      </c>
      <c r="P22" s="299"/>
      <c r="T22" s="105"/>
      <c r="U22" s="105"/>
    </row>
    <row r="23" spans="2:37" ht="18" customHeight="1">
      <c r="B23" s="304" t="s">
        <v>167</v>
      </c>
      <c r="C23" s="89">
        <f>(95+95+95+75+75+75)/3</f>
        <v>170</v>
      </c>
      <c r="D23" s="89">
        <f>(95+95+95+75+75+75)/3</f>
        <v>170</v>
      </c>
      <c r="E23" s="89">
        <f t="shared" ref="E23:O23" si="12">(95+95+95+75+75+75)/3</f>
        <v>170</v>
      </c>
      <c r="F23" s="89">
        <f>(95+95+95+75+75+75)/3</f>
        <v>170</v>
      </c>
      <c r="G23" s="89">
        <f>(95+95+95+75+75+75)/3</f>
        <v>170</v>
      </c>
      <c r="H23" s="89">
        <f>(95+95+95+75+75+75)/3</f>
        <v>170</v>
      </c>
      <c r="I23" s="89">
        <f t="shared" si="12"/>
        <v>170</v>
      </c>
      <c r="J23" s="89">
        <f t="shared" si="12"/>
        <v>170</v>
      </c>
      <c r="K23" s="89">
        <f t="shared" si="12"/>
        <v>170</v>
      </c>
      <c r="L23" s="89">
        <f t="shared" si="12"/>
        <v>170</v>
      </c>
      <c r="M23" s="89">
        <f>(95+95+95+75+75+75)/3</f>
        <v>170</v>
      </c>
      <c r="N23" s="89">
        <f t="shared" si="12"/>
        <v>170</v>
      </c>
      <c r="O23" s="89">
        <f t="shared" si="12"/>
        <v>170</v>
      </c>
      <c r="P23" s="301"/>
    </row>
    <row r="24" spans="2:37" s="81" customFormat="1" ht="18" customHeight="1">
      <c r="B24" s="298" t="s">
        <v>168</v>
      </c>
      <c r="C24" s="88">
        <f>C25</f>
        <v>291.66666666666669</v>
      </c>
      <c r="D24" s="88">
        <f t="shared" ref="D24:O24" si="13">D25</f>
        <v>291.66666666666669</v>
      </c>
      <c r="E24" s="88">
        <f t="shared" si="13"/>
        <v>291.66666666666669</v>
      </c>
      <c r="F24" s="88">
        <f t="shared" si="13"/>
        <v>291.66666666666669</v>
      </c>
      <c r="G24" s="88">
        <f t="shared" si="13"/>
        <v>291.66666666666669</v>
      </c>
      <c r="H24" s="88">
        <f t="shared" si="13"/>
        <v>291.66666666666669</v>
      </c>
      <c r="I24" s="88">
        <f t="shared" si="13"/>
        <v>291.66666666666669</v>
      </c>
      <c r="J24" s="88">
        <f t="shared" si="13"/>
        <v>291.66666666666669</v>
      </c>
      <c r="K24" s="88">
        <f t="shared" si="13"/>
        <v>291.66666666666669</v>
      </c>
      <c r="L24" s="88">
        <f t="shared" si="13"/>
        <v>291.66666666666669</v>
      </c>
      <c r="M24" s="88">
        <f t="shared" si="13"/>
        <v>291.66666666666669</v>
      </c>
      <c r="N24" s="88">
        <f t="shared" si="13"/>
        <v>875</v>
      </c>
      <c r="O24" s="88">
        <f t="shared" si="13"/>
        <v>875</v>
      </c>
      <c r="P24" s="299"/>
      <c r="T24" s="105"/>
      <c r="U24" s="105"/>
    </row>
    <row r="25" spans="2:37" ht="18" customHeight="1">
      <c r="B25" s="304" t="s">
        <v>169</v>
      </c>
      <c r="C25" s="452">
        <f>875/3</f>
        <v>291.66666666666669</v>
      </c>
      <c r="D25" s="452">
        <f t="shared" ref="D25:M25" si="14">875/3</f>
        <v>291.66666666666669</v>
      </c>
      <c r="E25" s="452">
        <f t="shared" si="14"/>
        <v>291.66666666666669</v>
      </c>
      <c r="F25" s="452">
        <f t="shared" si="14"/>
        <v>291.66666666666669</v>
      </c>
      <c r="G25" s="452">
        <f t="shared" si="14"/>
        <v>291.66666666666669</v>
      </c>
      <c r="H25" s="452">
        <f t="shared" si="14"/>
        <v>291.66666666666669</v>
      </c>
      <c r="I25" s="452">
        <f t="shared" si="14"/>
        <v>291.66666666666669</v>
      </c>
      <c r="J25" s="452">
        <f t="shared" si="14"/>
        <v>291.66666666666669</v>
      </c>
      <c r="K25" s="452">
        <f t="shared" si="14"/>
        <v>291.66666666666669</v>
      </c>
      <c r="L25" s="452">
        <f t="shared" si="14"/>
        <v>291.66666666666669</v>
      </c>
      <c r="M25" s="452">
        <f t="shared" si="14"/>
        <v>291.66666666666669</v>
      </c>
      <c r="N25" s="89">
        <f>875</f>
        <v>875</v>
      </c>
      <c r="O25" s="89">
        <f>875</f>
        <v>875</v>
      </c>
      <c r="P25" s="307"/>
    </row>
    <row r="26" spans="2:37" s="81" customFormat="1" ht="18" customHeight="1">
      <c r="B26" s="298" t="s">
        <v>170</v>
      </c>
      <c r="C26" s="88">
        <f>C27</f>
        <v>250</v>
      </c>
      <c r="D26" s="88">
        <f t="shared" ref="D26:O26" si="15">D27</f>
        <v>250</v>
      </c>
      <c r="E26" s="88">
        <f t="shared" si="15"/>
        <v>250</v>
      </c>
      <c r="F26" s="88">
        <f t="shared" si="15"/>
        <v>250</v>
      </c>
      <c r="G26" s="88">
        <f t="shared" si="15"/>
        <v>250</v>
      </c>
      <c r="H26" s="88">
        <f t="shared" si="15"/>
        <v>250</v>
      </c>
      <c r="I26" s="88">
        <f t="shared" si="15"/>
        <v>250</v>
      </c>
      <c r="J26" s="88">
        <f t="shared" si="15"/>
        <v>250</v>
      </c>
      <c r="K26" s="88">
        <f t="shared" si="15"/>
        <v>250</v>
      </c>
      <c r="L26" s="88">
        <f t="shared" si="15"/>
        <v>250</v>
      </c>
      <c r="M26" s="88">
        <f t="shared" si="15"/>
        <v>250</v>
      </c>
      <c r="N26" s="88">
        <f t="shared" si="15"/>
        <v>250</v>
      </c>
      <c r="O26" s="88">
        <f t="shared" si="15"/>
        <v>250</v>
      </c>
      <c r="P26" s="299"/>
      <c r="T26" s="105"/>
      <c r="U26" s="105"/>
      <c r="AK26" s="37"/>
    </row>
    <row r="27" spans="2:37" ht="18" customHeight="1">
      <c r="B27" s="304" t="s">
        <v>171</v>
      </c>
      <c r="C27" s="89">
        <v>250</v>
      </c>
      <c r="D27" s="89">
        <v>250</v>
      </c>
      <c r="E27" s="89">
        <v>250</v>
      </c>
      <c r="F27" s="89">
        <v>250</v>
      </c>
      <c r="G27" s="89">
        <v>250</v>
      </c>
      <c r="H27" s="89">
        <v>250</v>
      </c>
      <c r="I27" s="89">
        <v>250</v>
      </c>
      <c r="J27" s="89">
        <v>250</v>
      </c>
      <c r="K27" s="89">
        <v>250</v>
      </c>
      <c r="L27" s="89">
        <v>250</v>
      </c>
      <c r="M27" s="89">
        <v>250</v>
      </c>
      <c r="N27" s="89">
        <v>250</v>
      </c>
      <c r="O27" s="89">
        <v>250</v>
      </c>
      <c r="P27" s="301"/>
    </row>
    <row r="28" spans="2:37" s="81" customFormat="1" ht="18" customHeight="1">
      <c r="B28" s="298" t="s">
        <v>172</v>
      </c>
      <c r="C28" s="88">
        <f>C29</f>
        <v>167</v>
      </c>
      <c r="D28" s="88">
        <f t="shared" ref="D28:O28" si="16">D29</f>
        <v>167</v>
      </c>
      <c r="E28" s="88">
        <f t="shared" si="16"/>
        <v>167</v>
      </c>
      <c r="F28" s="88">
        <f>F29</f>
        <v>167</v>
      </c>
      <c r="G28" s="88">
        <f t="shared" si="16"/>
        <v>167</v>
      </c>
      <c r="H28" s="88">
        <f t="shared" si="16"/>
        <v>167</v>
      </c>
      <c r="I28" s="88">
        <f t="shared" si="16"/>
        <v>167</v>
      </c>
      <c r="J28" s="88">
        <f t="shared" si="16"/>
        <v>167</v>
      </c>
      <c r="K28" s="88">
        <f t="shared" si="16"/>
        <v>167</v>
      </c>
      <c r="L28" s="88">
        <f t="shared" si="16"/>
        <v>167</v>
      </c>
      <c r="M28" s="88">
        <f t="shared" si="16"/>
        <v>240</v>
      </c>
      <c r="N28" s="88">
        <f t="shared" si="16"/>
        <v>240</v>
      </c>
      <c r="O28" s="88">
        <f t="shared" si="16"/>
        <v>240</v>
      </c>
      <c r="P28" s="299"/>
      <c r="T28" s="105"/>
      <c r="U28" s="105"/>
    </row>
    <row r="29" spans="2:37" ht="18" customHeight="1">
      <c r="B29" s="304" t="s">
        <v>173</v>
      </c>
      <c r="C29" s="89">
        <f>(350+55+55+30+9+2)/3</f>
        <v>167</v>
      </c>
      <c r="D29" s="89">
        <f t="shared" ref="D29:L29" si="17">(350+55+55+30+9+2)/3</f>
        <v>167</v>
      </c>
      <c r="E29" s="89">
        <f t="shared" si="17"/>
        <v>167</v>
      </c>
      <c r="F29" s="89">
        <f t="shared" si="17"/>
        <v>167</v>
      </c>
      <c r="G29" s="89">
        <f t="shared" si="17"/>
        <v>167</v>
      </c>
      <c r="H29" s="89">
        <f t="shared" si="17"/>
        <v>167</v>
      </c>
      <c r="I29" s="89">
        <f t="shared" si="17"/>
        <v>167</v>
      </c>
      <c r="J29" s="89">
        <f t="shared" si="17"/>
        <v>167</v>
      </c>
      <c r="K29" s="89">
        <f t="shared" si="17"/>
        <v>167</v>
      </c>
      <c r="L29" s="89">
        <f t="shared" si="17"/>
        <v>167</v>
      </c>
      <c r="M29" s="89">
        <f t="shared" ref="M29:O29" si="18">(580+85+35+12+6+2)/3</f>
        <v>240</v>
      </c>
      <c r="N29" s="89">
        <f t="shared" si="18"/>
        <v>240</v>
      </c>
      <c r="O29" s="89">
        <f t="shared" si="18"/>
        <v>240</v>
      </c>
      <c r="P29" s="301"/>
    </row>
    <row r="30" spans="2:37" s="81" customFormat="1" ht="18" customHeight="1">
      <c r="B30" s="298" t="s">
        <v>174</v>
      </c>
      <c r="C30" s="88">
        <v>0</v>
      </c>
      <c r="D30" s="88">
        <v>0</v>
      </c>
      <c r="E30" s="88">
        <f t="shared" ref="E30:O30" si="19">E31</f>
        <v>184</v>
      </c>
      <c r="F30" s="88">
        <v>0</v>
      </c>
      <c r="G30" s="88">
        <v>0</v>
      </c>
      <c r="H30" s="88">
        <v>0</v>
      </c>
      <c r="I30" s="88">
        <v>0</v>
      </c>
      <c r="J30" s="88">
        <f t="shared" si="19"/>
        <v>184</v>
      </c>
      <c r="K30" s="88">
        <f t="shared" si="19"/>
        <v>184</v>
      </c>
      <c r="L30" s="88">
        <v>0</v>
      </c>
      <c r="M30" s="88">
        <v>0</v>
      </c>
      <c r="N30" s="88">
        <f t="shared" si="19"/>
        <v>184</v>
      </c>
      <c r="O30" s="88">
        <f t="shared" si="19"/>
        <v>184</v>
      </c>
      <c r="P30" s="299"/>
      <c r="T30" s="105"/>
      <c r="U30" s="105"/>
    </row>
    <row r="31" spans="2:37" ht="24.95" customHeight="1">
      <c r="B31" s="300" t="s">
        <v>175</v>
      </c>
      <c r="C31" s="89">
        <v>184</v>
      </c>
      <c r="D31" s="89">
        <f>C31</f>
        <v>184</v>
      </c>
      <c r="E31" s="89">
        <f>C31</f>
        <v>184</v>
      </c>
      <c r="F31" s="89">
        <f>C31</f>
        <v>184</v>
      </c>
      <c r="G31" s="89">
        <f>C31</f>
        <v>184</v>
      </c>
      <c r="H31" s="89">
        <f>C31</f>
        <v>184</v>
      </c>
      <c r="I31" s="89">
        <f>C31</f>
        <v>184</v>
      </c>
      <c r="J31" s="89">
        <f>C31</f>
        <v>184</v>
      </c>
      <c r="K31" s="89">
        <f>C31</f>
        <v>184</v>
      </c>
      <c r="L31" s="89">
        <f>C31</f>
        <v>184</v>
      </c>
      <c r="M31" s="89">
        <f>C31</f>
        <v>184</v>
      </c>
      <c r="N31" s="89">
        <f>C31</f>
        <v>184</v>
      </c>
      <c r="O31" s="89">
        <f>C31</f>
        <v>184</v>
      </c>
      <c r="P31" s="301"/>
    </row>
    <row r="32" spans="2:37" s="81" customFormat="1" ht="18" customHeight="1" thickBot="1">
      <c r="B32" s="1023" t="s">
        <v>176</v>
      </c>
      <c r="C32" s="1024"/>
      <c r="D32" s="1024"/>
      <c r="E32" s="1024"/>
      <c r="F32" s="1024"/>
      <c r="G32" s="1024"/>
      <c r="H32" s="1024"/>
      <c r="I32" s="1024"/>
      <c r="J32" s="1024"/>
      <c r="K32" s="1024"/>
      <c r="L32" s="1024"/>
      <c r="M32" s="1024"/>
      <c r="N32" s="1024"/>
      <c r="O32" s="1025"/>
      <c r="P32" s="308"/>
      <c r="T32" s="105"/>
      <c r="U32" s="105"/>
    </row>
    <row r="33" spans="2:16" ht="18" customHeight="1">
      <c r="B33" s="499" t="s">
        <v>177</v>
      </c>
      <c r="C33" s="500">
        <f>C12+C13+C14+C15</f>
        <v>14255.346666666668</v>
      </c>
      <c r="D33" s="500">
        <f t="shared" ref="D33:O33" si="20">D12+D13+D14+D15</f>
        <v>12838.258794666668</v>
      </c>
      <c r="E33" s="500">
        <f t="shared" si="20"/>
        <v>10471.246666666666</v>
      </c>
      <c r="F33" s="500">
        <f>F12+F13+F14+F15</f>
        <v>10061.226794666665</v>
      </c>
      <c r="G33" s="500">
        <f t="shared" si="20"/>
        <v>8950.1587946666659</v>
      </c>
      <c r="H33" s="500">
        <f t="shared" si="20"/>
        <v>9585.0547946666666</v>
      </c>
      <c r="I33" s="500">
        <f t="shared" si="20"/>
        <v>7282.9187946666671</v>
      </c>
      <c r="J33" s="500">
        <f t="shared" si="20"/>
        <v>8504.1587946666659</v>
      </c>
      <c r="K33" s="500">
        <f t="shared" si="20"/>
        <v>7234.3667946666665</v>
      </c>
      <c r="L33" s="500">
        <f t="shared" si="20"/>
        <v>9978.189698666667</v>
      </c>
      <c r="M33" s="500">
        <f t="shared" si="20"/>
        <v>8676.1966666666667</v>
      </c>
      <c r="N33" s="500">
        <f t="shared" si="20"/>
        <v>6653.5917760000002</v>
      </c>
      <c r="O33" s="500">
        <f t="shared" si="20"/>
        <v>7690.831776</v>
      </c>
      <c r="P33" s="503"/>
    </row>
    <row r="34" spans="2:16" ht="24.75" customHeight="1">
      <c r="B34" s="501" t="s">
        <v>178</v>
      </c>
      <c r="C34" s="495">
        <f t="shared" ref="C34:O34" si="21">C33/C31</f>
        <v>77.474710144927542</v>
      </c>
      <c r="D34" s="495">
        <f t="shared" si="21"/>
        <v>69.773145623188412</v>
      </c>
      <c r="E34" s="495">
        <f t="shared" si="21"/>
        <v>56.908949275362318</v>
      </c>
      <c r="F34" s="495">
        <f t="shared" si="21"/>
        <v>54.680580405797095</v>
      </c>
      <c r="G34" s="495">
        <f t="shared" si="21"/>
        <v>48.642167362318837</v>
      </c>
      <c r="H34" s="495">
        <f t="shared" si="21"/>
        <v>52.092689101449274</v>
      </c>
      <c r="I34" s="495">
        <f t="shared" si="21"/>
        <v>39.581080405797103</v>
      </c>
      <c r="J34" s="495">
        <f t="shared" si="21"/>
        <v>46.218254318840579</v>
      </c>
      <c r="K34" s="495">
        <f t="shared" si="21"/>
        <v>39.317210840579712</v>
      </c>
      <c r="L34" s="495">
        <f t="shared" si="21"/>
        <v>54.229291840579712</v>
      </c>
      <c r="M34" s="495">
        <f t="shared" si="21"/>
        <v>47.153242753623189</v>
      </c>
      <c r="N34" s="495">
        <f t="shared" si="21"/>
        <v>36.160824869565218</v>
      </c>
      <c r="O34" s="495">
        <f t="shared" si="21"/>
        <v>41.797998782608694</v>
      </c>
      <c r="P34" s="89"/>
    </row>
    <row r="35" spans="2:16" ht="24.75" customHeight="1">
      <c r="B35" s="501" t="s">
        <v>179</v>
      </c>
      <c r="C35" s="496">
        <f>C34*('Tabela BDI e Tributos'!$I16+'Tabela BDI e Tributos'!$I38)+C34</f>
        <v>100.56217376811595</v>
      </c>
      <c r="D35" s="496">
        <f>D34*('Tabela BDI e Tributos'!$I16+'Tabela BDI e Tributos'!$I38)+D34</f>
        <v>90.565543018898566</v>
      </c>
      <c r="E35" s="496">
        <f>E34*('Tabela BDI e Tributos'!$I16+'Tabela BDI e Tributos'!$I38)+E34</f>
        <v>73.867816159420286</v>
      </c>
      <c r="F35" s="496">
        <f>F34*('Tabela BDI e Tributos'!$I16+'Tabela BDI e Tributos'!$I38)+F34</f>
        <v>70.975393366724632</v>
      </c>
      <c r="G35" s="496">
        <f>G34*('Tabela BDI e Tributos'!$I16+'Tabela BDI e Tributos'!$I38)+G34</f>
        <v>63.137533236289855</v>
      </c>
      <c r="H35" s="496">
        <f>H34*('Tabela BDI e Tributos'!$I16+'Tabela BDI e Tributos'!$I38)+H34</f>
        <v>67.616310453681166</v>
      </c>
      <c r="I35" s="496">
        <f>I34*('Tabela BDI e Tributos'!$I16+'Tabela BDI e Tributos'!$I38)+I34</f>
        <v>51.37624236672464</v>
      </c>
      <c r="J35" s="496">
        <f>J34*('Tabela BDI e Tributos'!$I16+'Tabela BDI e Tributos'!$I38)+J34</f>
        <v>59.991294105855076</v>
      </c>
      <c r="K35" s="496">
        <f>K34*('Tabela BDI e Tributos'!$I16+'Tabela BDI e Tributos'!$I38)+K34</f>
        <v>51.033739671072468</v>
      </c>
      <c r="L35" s="496">
        <f>L34*('Tabela BDI e Tributos'!$I16+'Tabela BDI e Tributos'!$I38)+L34</f>
        <v>70.389620809072468</v>
      </c>
      <c r="M35" s="496">
        <f>M34*('Tabela BDI e Tributos'!$I16+'Tabela BDI e Tributos'!$I38)+M34</f>
        <v>61.204909094202904</v>
      </c>
      <c r="N35" s="496">
        <f>N34*('Tabela BDI e Tributos'!$I16+'Tabela BDI e Tributos'!$I38)+N34</f>
        <v>46.936750680695653</v>
      </c>
      <c r="O35" s="496">
        <f>O34*('Tabela BDI e Tributos'!$I16+'Tabela BDI e Tributos'!$I38)+O34</f>
        <v>54.253802419826087</v>
      </c>
      <c r="P35" s="89"/>
    </row>
    <row r="36" spans="2:16" ht="24.75" customHeight="1">
      <c r="B36" s="501" t="s">
        <v>180</v>
      </c>
      <c r="C36" s="497">
        <f t="shared" ref="C36:I36" si="22">C34/C35</f>
        <v>0.77041602465331271</v>
      </c>
      <c r="D36" s="497">
        <f t="shared" si="22"/>
        <v>0.77041602465331271</v>
      </c>
      <c r="E36" s="497">
        <f t="shared" si="22"/>
        <v>0.77041602465331283</v>
      </c>
      <c r="F36" s="497">
        <f t="shared" si="22"/>
        <v>0.77041602465331271</v>
      </c>
      <c r="G36" s="497">
        <f t="shared" si="22"/>
        <v>0.77041602465331271</v>
      </c>
      <c r="H36" s="497">
        <f t="shared" si="22"/>
        <v>0.77041602465331271</v>
      </c>
      <c r="I36" s="497">
        <f t="shared" si="22"/>
        <v>0.77041602465331283</v>
      </c>
      <c r="J36" s="497"/>
      <c r="K36" s="497"/>
      <c r="L36" s="497"/>
      <c r="M36" s="497">
        <f>M34/M35</f>
        <v>0.77041602465331271</v>
      </c>
      <c r="N36" s="497">
        <f>N34/N35</f>
        <v>0.77041602465331283</v>
      </c>
      <c r="O36" s="496"/>
      <c r="P36" s="89"/>
    </row>
    <row r="37" spans="2:16" ht="22.5" customHeight="1" thickBot="1">
      <c r="B37" s="502" t="s">
        <v>181</v>
      </c>
      <c r="C37" s="498">
        <f t="shared" ref="C37:O37" si="23">C33/C7</f>
        <v>2.0364780952380954</v>
      </c>
      <c r="D37" s="498">
        <f t="shared" si="23"/>
        <v>2.3342288717575759</v>
      </c>
      <c r="E37" s="498">
        <f t="shared" si="23"/>
        <v>2.3269437037037037</v>
      </c>
      <c r="F37" s="498">
        <f t="shared" si="23"/>
        <v>2.7192504850450447</v>
      </c>
      <c r="G37" s="498">
        <f t="shared" si="23"/>
        <v>2.9833862648888885</v>
      </c>
      <c r="H37" s="498">
        <f t="shared" si="23"/>
        <v>2.8191337631372551</v>
      </c>
      <c r="I37" s="498">
        <f t="shared" si="23"/>
        <v>3.6414593973333336</v>
      </c>
      <c r="J37" s="498">
        <f t="shared" si="23"/>
        <v>2.8347195982222222</v>
      </c>
      <c r="K37" s="498">
        <f t="shared" si="23"/>
        <v>3.288348543030303</v>
      </c>
      <c r="L37" s="498">
        <f t="shared" si="23"/>
        <v>2.2173754885925927</v>
      </c>
      <c r="M37" s="498">
        <f t="shared" si="23"/>
        <v>3.4704786666666667</v>
      </c>
      <c r="N37" s="498">
        <f t="shared" si="23"/>
        <v>2.6614367104000003</v>
      </c>
      <c r="O37" s="498">
        <f t="shared" si="23"/>
        <v>2.1973805074285715</v>
      </c>
      <c r="P37" s="504"/>
    </row>
    <row r="38" spans="2:16" ht="18" customHeight="1">
      <c r="C38" s="351"/>
      <c r="F38" s="80"/>
      <c r="G38" s="80"/>
      <c r="H38" s="80"/>
      <c r="I38" s="80"/>
      <c r="J38" s="80"/>
      <c r="K38" s="80"/>
      <c r="L38" s="80"/>
      <c r="M38" s="80"/>
    </row>
    <row r="44" spans="2:16" ht="18" customHeight="1">
      <c r="B44" s="457" t="s">
        <v>182</v>
      </c>
    </row>
    <row r="53" spans="6:9" ht="18" customHeight="1">
      <c r="G53" s="458"/>
      <c r="H53" s="458"/>
    </row>
    <row r="54" spans="6:9" ht="18" customHeight="1">
      <c r="F54" s="461"/>
      <c r="G54" s="459"/>
      <c r="H54" s="463"/>
    </row>
    <row r="55" spans="6:9" ht="27" customHeight="1">
      <c r="F55" s="461"/>
      <c r="G55" s="459"/>
      <c r="H55" s="459"/>
    </row>
    <row r="56" spans="6:9" ht="24" customHeight="1">
      <c r="F56" s="461"/>
      <c r="G56" s="462"/>
      <c r="H56" s="460"/>
      <c r="I56" s="464"/>
    </row>
    <row r="57" spans="6:9" ht="24" customHeight="1">
      <c r="F57" s="461"/>
      <c r="G57" s="462"/>
      <c r="H57" s="460"/>
      <c r="I57" s="464"/>
    </row>
    <row r="58" spans="6:9" ht="24" customHeight="1">
      <c r="F58" s="461"/>
      <c r="G58" s="462"/>
      <c r="H58" s="460"/>
      <c r="I58" s="464"/>
    </row>
    <row r="59" spans="6:9" ht="24" customHeight="1">
      <c r="F59" s="461"/>
      <c r="G59" s="462"/>
      <c r="H59" s="460"/>
      <c r="I59" s="464"/>
    </row>
    <row r="60" spans="6:9" ht="24" customHeight="1">
      <c r="F60" s="461"/>
      <c r="G60" s="460"/>
      <c r="H60" s="460"/>
    </row>
    <row r="61" spans="6:9" ht="24" customHeight="1">
      <c r="F61" s="461"/>
      <c r="G61" s="460"/>
      <c r="H61" s="460"/>
    </row>
    <row r="62" spans="6:9" ht="24" customHeight="1">
      <c r="F62" s="461"/>
      <c r="G62" s="460"/>
      <c r="H62" s="460"/>
    </row>
    <row r="63" spans="6:9" ht="23.25" customHeight="1"/>
    <row r="64" spans="6:9" ht="23.25" customHeight="1"/>
    <row r="65" ht="23.25" customHeight="1"/>
  </sheetData>
  <mergeCells count="2">
    <mergeCell ref="B32:O32"/>
    <mergeCell ref="B4:P4"/>
  </mergeCells>
  <phoneticPr fontId="0" type="noConversion"/>
  <dataValidations count="2">
    <dataValidation type="list" allowBlank="1" showInputMessage="1" showErrorMessage="1" sqref="C8:P8" xr:uid="{00000000-0002-0000-0600-000000000000}">
      <formula1>$T$1:$T$3</formula1>
    </dataValidation>
    <dataValidation type="list" allowBlank="1" showInputMessage="1" showErrorMessage="1" sqref="C10:P10" xr:uid="{00000000-0002-0000-0600-000001000000}">
      <formula1>$U$1:$U$4</formula1>
    </dataValidation>
  </dataValidations>
  <printOptions horizontalCentered="1" verticalCentered="1"/>
  <pageMargins left="0" right="0" top="0" bottom="0" header="0" footer="0"/>
  <pageSetup paperSize="9" scale="65" orientation="portrait" r:id="rId1"/>
  <headerFooter alignWithMargins="0"/>
  <ignoredErrors>
    <ignoredError sqref="C25:D25 G25:I25 F25" formula="1"/>
  </ignoredError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8">
    <tabColor rgb="FFFF0000"/>
    <pageSetUpPr fitToPage="1"/>
  </sheetPr>
  <dimension ref="A1:AB109"/>
  <sheetViews>
    <sheetView showGridLines="0" topLeftCell="A37" zoomScaleNormal="100" zoomScaleSheetLayoutView="100" workbookViewId="0">
      <selection activeCell="C19" sqref="C19"/>
    </sheetView>
  </sheetViews>
  <sheetFormatPr defaultColWidth="9.140625" defaultRowHeight="18" customHeight="1"/>
  <cols>
    <col min="1" max="1" width="3.42578125" style="80" customWidth="1"/>
    <col min="2" max="2" width="8.42578125" style="80" customWidth="1"/>
    <col min="3" max="3" width="22.5703125" style="80" customWidth="1"/>
    <col min="4" max="4" width="11.7109375" style="80" customWidth="1"/>
    <col min="5" max="5" width="8.140625" style="80" customWidth="1"/>
    <col min="6" max="6" width="12" style="80" customWidth="1"/>
    <col min="7" max="7" width="11.5703125" style="399" customWidth="1"/>
    <col min="8" max="8" width="10.28515625" style="399" customWidth="1"/>
    <col min="9" max="9" width="17.85546875" style="80" customWidth="1"/>
    <col min="10" max="10" width="10.28515625" style="80" customWidth="1"/>
    <col min="11" max="11" width="33.85546875" style="80" customWidth="1"/>
    <col min="12" max="12" width="12.7109375" style="80" customWidth="1"/>
    <col min="13" max="14" width="11.28515625" style="80" bestFit="1" customWidth="1"/>
    <col min="15" max="16384" width="9.140625" style="80"/>
  </cols>
  <sheetData>
    <row r="1" spans="1:28" ht="18" customHeight="1">
      <c r="K1" s="80" t="s">
        <v>183</v>
      </c>
    </row>
    <row r="3" spans="1:28" ht="18" customHeight="1" thickBot="1"/>
    <row r="4" spans="1:28" ht="22.5" customHeight="1" thickBot="1">
      <c r="B4" s="960" t="s">
        <v>38</v>
      </c>
      <c r="C4" s="961"/>
      <c r="D4" s="961"/>
      <c r="E4" s="961"/>
      <c r="F4" s="961"/>
      <c r="G4" s="961"/>
      <c r="H4" s="961"/>
      <c r="I4" s="962"/>
    </row>
    <row r="5" spans="1:28" ht="18" customHeight="1" thickBot="1">
      <c r="B5" s="81"/>
      <c r="C5" s="81"/>
      <c r="D5" s="81"/>
      <c r="E5" s="81"/>
      <c r="F5" s="81"/>
      <c r="G5" s="400"/>
      <c r="H5" s="400"/>
      <c r="I5" s="81"/>
    </row>
    <row r="6" spans="1:28" ht="18" customHeight="1">
      <c r="B6" s="1042" t="s">
        <v>184</v>
      </c>
      <c r="C6" s="1043"/>
      <c r="D6" s="1043"/>
      <c r="E6" s="1043"/>
      <c r="F6" s="1043"/>
      <c r="G6" s="1043"/>
      <c r="H6" s="1043"/>
      <c r="I6" s="1044"/>
    </row>
    <row r="7" spans="1:28" s="29" customFormat="1" ht="41.25" customHeight="1">
      <c r="A7" s="175"/>
      <c r="B7" s="171" t="s">
        <v>1</v>
      </c>
      <c r="C7" s="1038" t="s">
        <v>185</v>
      </c>
      <c r="D7" s="1039"/>
      <c r="E7" s="409" t="s">
        <v>186</v>
      </c>
      <c r="F7" s="409" t="s">
        <v>187</v>
      </c>
      <c r="G7" s="410" t="s">
        <v>188</v>
      </c>
      <c r="H7" s="410" t="s">
        <v>189</v>
      </c>
      <c r="I7" s="411" t="s">
        <v>190</v>
      </c>
      <c r="J7" s="174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</row>
    <row r="8" spans="1:28" s="29" customFormat="1" ht="17.25" customHeight="1">
      <c r="A8" s="175"/>
      <c r="B8" s="171"/>
      <c r="C8" s="397"/>
      <c r="D8" s="395"/>
      <c r="E8" s="172"/>
      <c r="F8" s="180"/>
      <c r="G8" s="403"/>
      <c r="H8" s="403"/>
      <c r="I8" s="398"/>
      <c r="J8" s="174"/>
      <c r="K8" s="394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</row>
    <row r="9" spans="1:28" ht="17.25" customHeight="1">
      <c r="B9" s="129">
        <v>1</v>
      </c>
      <c r="C9" s="1045" t="s">
        <v>191</v>
      </c>
      <c r="D9" s="1046"/>
      <c r="E9" s="85" t="s">
        <v>192</v>
      </c>
      <c r="F9" s="415">
        <f>Mobilização!G61</f>
        <v>170545</v>
      </c>
      <c r="G9" s="402"/>
      <c r="H9" s="402">
        <v>1</v>
      </c>
      <c r="I9" s="118">
        <f>F9*H9</f>
        <v>170545</v>
      </c>
      <c r="J9" s="82"/>
      <c r="K9" s="25"/>
    </row>
    <row r="10" spans="1:28" ht="17.25" customHeight="1">
      <c r="B10" s="129">
        <v>2</v>
      </c>
      <c r="C10" s="1045" t="s">
        <v>193</v>
      </c>
      <c r="D10" s="1046"/>
      <c r="E10" s="85" t="s">
        <v>194</v>
      </c>
      <c r="F10" s="415" t="e">
        <f>'Mao Obra_Fabricação'!#REF!</f>
        <v>#REF!</v>
      </c>
      <c r="G10" s="402"/>
      <c r="H10" s="402">
        <v>1</v>
      </c>
      <c r="I10" s="118" t="e">
        <f>F10*H10</f>
        <v>#REF!</v>
      </c>
      <c r="J10" s="82"/>
      <c r="K10" s="25"/>
    </row>
    <row r="11" spans="1:28" ht="17.25" customHeight="1">
      <c r="B11" s="129">
        <v>3</v>
      </c>
      <c r="C11" s="1045" t="s">
        <v>195</v>
      </c>
      <c r="D11" s="1046"/>
      <c r="E11" s="85" t="s">
        <v>194</v>
      </c>
      <c r="F11" s="415">
        <f>((7/7*50*22)+2500)*1.45</f>
        <v>5220</v>
      </c>
      <c r="G11" s="402"/>
      <c r="H11" s="402">
        <v>1</v>
      </c>
      <c r="I11" s="118">
        <f>F11*H11</f>
        <v>5220</v>
      </c>
      <c r="J11" s="82"/>
      <c r="K11" s="25"/>
    </row>
    <row r="12" spans="1:28" ht="17.25" customHeight="1">
      <c r="B12" s="129">
        <v>4</v>
      </c>
      <c r="C12" s="136" t="s">
        <v>196</v>
      </c>
      <c r="D12" s="137"/>
      <c r="E12" s="85" t="s">
        <v>192</v>
      </c>
      <c r="F12" s="415">
        <f>Desmobilização!G55</f>
        <v>3779.342723004695</v>
      </c>
      <c r="G12" s="402"/>
      <c r="H12" s="402">
        <v>1</v>
      </c>
      <c r="I12" s="118">
        <f>F12*H12</f>
        <v>3779.342723004695</v>
      </c>
      <c r="J12" s="82"/>
      <c r="K12" s="25"/>
    </row>
    <row r="13" spans="1:28" s="404" customFormat="1" ht="6.75" customHeight="1">
      <c r="B13" s="422"/>
      <c r="C13" s="423"/>
      <c r="D13" s="423"/>
      <c r="E13" s="423"/>
      <c r="F13" s="423"/>
      <c r="G13" s="423"/>
      <c r="H13" s="423"/>
      <c r="I13" s="424"/>
      <c r="J13" s="405"/>
    </row>
    <row r="14" spans="1:28" ht="17.25" customHeight="1">
      <c r="B14" s="129">
        <v>5</v>
      </c>
      <c r="C14" s="1047" t="s">
        <v>197</v>
      </c>
      <c r="D14" s="1048"/>
      <c r="E14" s="85" t="s">
        <v>194</v>
      </c>
      <c r="F14" s="415">
        <f>'Ferramentas Manual'!G5</f>
        <v>1207.1399999999999</v>
      </c>
      <c r="G14" s="402"/>
      <c r="H14" s="402">
        <v>1</v>
      </c>
      <c r="I14" s="118">
        <f>F14*H14</f>
        <v>1207.1399999999999</v>
      </c>
      <c r="J14" s="82"/>
      <c r="K14" s="25"/>
      <c r="L14" s="166"/>
    </row>
    <row r="15" spans="1:28" ht="17.25" customHeight="1">
      <c r="B15" s="129">
        <v>6</v>
      </c>
      <c r="C15" s="1047" t="s">
        <v>198</v>
      </c>
      <c r="D15" s="1048"/>
      <c r="E15" s="85" t="s">
        <v>194</v>
      </c>
      <c r="F15" s="415">
        <f>'Ferramentas Eletricas'!G5</f>
        <v>10082.133333333335</v>
      </c>
      <c r="G15" s="402"/>
      <c r="H15" s="402">
        <v>1</v>
      </c>
      <c r="I15" s="118">
        <f>F15*H15</f>
        <v>10082.133333333335</v>
      </c>
      <c r="J15" s="82" t="s">
        <v>199</v>
      </c>
      <c r="K15" s="132"/>
    </row>
    <row r="16" spans="1:28" s="404" customFormat="1" ht="6.75" customHeight="1">
      <c r="B16" s="422"/>
      <c r="C16" s="423"/>
      <c r="D16" s="423"/>
      <c r="E16" s="423"/>
      <c r="F16" s="423"/>
      <c r="G16" s="423"/>
      <c r="H16" s="423"/>
      <c r="I16" s="424"/>
      <c r="J16" s="405">
        <v>225</v>
      </c>
    </row>
    <row r="17" spans="2:14" ht="17.25" customHeight="1">
      <c r="B17" s="129">
        <v>7</v>
      </c>
      <c r="C17" s="136" t="s">
        <v>9</v>
      </c>
      <c r="D17" s="137"/>
      <c r="E17" s="85" t="s">
        <v>200</v>
      </c>
      <c r="F17" s="415">
        <f>'Tabela Mão de obra'!C35*1.5</f>
        <v>150.84326065217394</v>
      </c>
      <c r="G17" s="493">
        <f>9*5</f>
        <v>45</v>
      </c>
      <c r="H17" s="406">
        <v>1</v>
      </c>
      <c r="I17" s="118">
        <f>F17*G17*H17</f>
        <v>6787.9467293478274</v>
      </c>
      <c r="J17" s="82">
        <f t="shared" ref="J17:J22" si="0">G17*H17</f>
        <v>45</v>
      </c>
      <c r="K17" s="132"/>
    </row>
    <row r="18" spans="2:14" ht="17.25" customHeight="1">
      <c r="B18" s="129">
        <v>9</v>
      </c>
      <c r="C18" s="136" t="s">
        <v>201</v>
      </c>
      <c r="D18" s="137"/>
      <c r="E18" s="85" t="s">
        <v>200</v>
      </c>
      <c r="F18" s="415">
        <f>'Tabela Mão de obra'!L35*1.5</f>
        <v>105.5844312136087</v>
      </c>
      <c r="G18" s="484">
        <f>G17</f>
        <v>45</v>
      </c>
      <c r="H18" s="406">
        <v>1</v>
      </c>
      <c r="I18" s="118">
        <f t="shared" ref="I18:I23" si="1">F18*G18*H18</f>
        <v>4751.2994046123913</v>
      </c>
      <c r="J18" s="82">
        <f t="shared" si="0"/>
        <v>45</v>
      </c>
    </row>
    <row r="19" spans="2:14" ht="17.25" customHeight="1">
      <c r="B19" s="129">
        <v>10</v>
      </c>
      <c r="C19" s="136" t="s">
        <v>202</v>
      </c>
      <c r="D19" s="137"/>
      <c r="E19" s="85" t="s">
        <v>200</v>
      </c>
      <c r="F19" s="415">
        <f>F18*1.5</f>
        <v>158.37664682041304</v>
      </c>
      <c r="G19" s="484">
        <f>G17</f>
        <v>45</v>
      </c>
      <c r="H19" s="406">
        <v>1</v>
      </c>
      <c r="I19" s="118">
        <f t="shared" ref="I19" si="2">F19*G19*H19</f>
        <v>7126.9491069185869</v>
      </c>
      <c r="J19" s="82">
        <f t="shared" si="0"/>
        <v>45</v>
      </c>
    </row>
    <row r="20" spans="2:14" ht="17.25" customHeight="1">
      <c r="B20" s="129">
        <v>11</v>
      </c>
      <c r="C20" s="1047" t="s">
        <v>203</v>
      </c>
      <c r="D20" s="1048"/>
      <c r="E20" s="85" t="s">
        <v>200</v>
      </c>
      <c r="F20" s="415">
        <f>'Tabela Mão de obra'!D35*1.5</f>
        <v>135.84831452834786</v>
      </c>
      <c r="G20" s="493">
        <f>9*5</f>
        <v>45</v>
      </c>
      <c r="H20" s="406">
        <v>2</v>
      </c>
      <c r="I20" s="118">
        <f t="shared" si="1"/>
        <v>12226.348307551307</v>
      </c>
      <c r="J20" s="82">
        <f t="shared" si="0"/>
        <v>90</v>
      </c>
    </row>
    <row r="21" spans="2:14" ht="17.25" customHeight="1">
      <c r="B21" s="129">
        <v>12</v>
      </c>
      <c r="C21" s="138" t="s">
        <v>204</v>
      </c>
      <c r="D21" s="139"/>
      <c r="E21" s="85" t="s">
        <v>200</v>
      </c>
      <c r="F21" s="415">
        <f>'Tabela Mão de obra'!G35*1.5</f>
        <v>94.706299854434775</v>
      </c>
      <c r="G21" s="484">
        <f t="shared" ref="G21:G22" si="3">G20</f>
        <v>45</v>
      </c>
      <c r="H21" s="406">
        <v>18</v>
      </c>
      <c r="I21" s="118">
        <f>F21*G21*H21</f>
        <v>76712.102882092164</v>
      </c>
      <c r="J21" s="82">
        <f t="shared" si="0"/>
        <v>810</v>
      </c>
    </row>
    <row r="22" spans="2:14" ht="17.25" customHeight="1">
      <c r="B22" s="129">
        <v>13</v>
      </c>
      <c r="C22" s="138" t="s">
        <v>205</v>
      </c>
      <c r="D22" s="139"/>
      <c r="E22" s="85" t="s">
        <v>200</v>
      </c>
      <c r="F22" s="415">
        <f>'Tabela Mão de obra'!F35*1.5</f>
        <v>106.46309005008695</v>
      </c>
      <c r="G22" s="484">
        <f t="shared" si="3"/>
        <v>45</v>
      </c>
      <c r="H22" s="406">
        <v>2</v>
      </c>
      <c r="I22" s="118">
        <f t="shared" si="1"/>
        <v>9581.678104507826</v>
      </c>
      <c r="J22" s="82">
        <f t="shared" si="0"/>
        <v>90</v>
      </c>
    </row>
    <row r="23" spans="2:14" ht="17.25" customHeight="1">
      <c r="B23" s="129">
        <v>15</v>
      </c>
      <c r="C23" s="138" t="s">
        <v>206</v>
      </c>
      <c r="D23" s="139"/>
      <c r="E23" s="85" t="s">
        <v>200</v>
      </c>
      <c r="F23" s="415">
        <f>'Tabela Mão de obra'!H35*1.5</f>
        <v>101.42446568052175</v>
      </c>
      <c r="G23" s="484">
        <f>G22</f>
        <v>45</v>
      </c>
      <c r="H23" s="406">
        <v>5</v>
      </c>
      <c r="I23" s="118">
        <f t="shared" si="1"/>
        <v>22820.504778117393</v>
      </c>
      <c r="J23" s="82">
        <f>G23*H23</f>
        <v>225</v>
      </c>
    </row>
    <row r="24" spans="2:14" ht="17.25" customHeight="1">
      <c r="B24" s="129"/>
      <c r="C24" s="138"/>
      <c r="D24" s="139"/>
      <c r="E24" s="85"/>
      <c r="F24" s="415"/>
      <c r="G24" s="474"/>
      <c r="H24" s="476"/>
      <c r="I24" s="118"/>
      <c r="J24" s="82"/>
    </row>
    <row r="25" spans="2:14" ht="17.25" customHeight="1">
      <c r="B25" s="1054" t="s">
        <v>207</v>
      </c>
      <c r="C25" s="1055"/>
      <c r="D25" s="1055"/>
      <c r="E25" s="380"/>
      <c r="F25" s="431">
        <f>AVERAGE(F17:F24)</f>
        <v>121.892358399941</v>
      </c>
      <c r="G25" s="485">
        <f>SUM(G17:G24)</f>
        <v>315</v>
      </c>
      <c r="H25" s="485">
        <f>SUM(H17:H24)</f>
        <v>30</v>
      </c>
      <c r="I25" s="118">
        <f>SUM(I17:I24)</f>
        <v>140006.82931314749</v>
      </c>
      <c r="J25" s="82"/>
    </row>
    <row r="26" spans="2:14" s="404" customFormat="1" ht="9" customHeight="1">
      <c r="B26" s="422"/>
      <c r="C26" s="423"/>
      <c r="D26" s="423"/>
      <c r="E26" s="423"/>
      <c r="F26" s="423"/>
      <c r="G26" s="423"/>
      <c r="H26" s="423"/>
      <c r="I26" s="424"/>
      <c r="J26" s="405"/>
    </row>
    <row r="27" spans="2:14" s="42" customFormat="1" ht="18" customHeight="1">
      <c r="B27" s="419"/>
      <c r="C27" s="420"/>
      <c r="D27" s="420"/>
      <c r="E27" s="420"/>
      <c r="F27" s="420"/>
      <c r="G27" s="420"/>
      <c r="H27" s="430" t="s">
        <v>208</v>
      </c>
      <c r="I27" s="416" t="e">
        <f>SUM(I9:I24)</f>
        <v>#REF!</v>
      </c>
      <c r="K27" s="134"/>
      <c r="L27" s="133"/>
      <c r="M27" s="133"/>
      <c r="N27" s="133"/>
    </row>
    <row r="28" spans="2:14" s="42" customFormat="1" ht="18" customHeight="1">
      <c r="B28" s="1063" t="s">
        <v>209</v>
      </c>
      <c r="C28" s="1064"/>
      <c r="D28" s="1064"/>
      <c r="E28" s="1064"/>
      <c r="F28" s="1065"/>
      <c r="G28" s="481">
        <f>SUM(H17:H24)</f>
        <v>30</v>
      </c>
      <c r="H28" s="477"/>
      <c r="I28" s="478"/>
      <c r="M28" s="135"/>
    </row>
    <row r="29" spans="2:14" s="404" customFormat="1" ht="8.25" customHeight="1">
      <c r="B29" s="422"/>
      <c r="C29" s="423"/>
      <c r="D29" s="423"/>
      <c r="E29" s="423"/>
      <c r="F29" s="423"/>
      <c r="G29" s="423"/>
      <c r="H29" s="423"/>
      <c r="I29" s="424"/>
      <c r="J29" s="405"/>
    </row>
    <row r="30" spans="2:14" ht="18" customHeight="1">
      <c r="B30" s="1033" t="s">
        <v>210</v>
      </c>
      <c r="C30" s="1034"/>
      <c r="D30" s="1034"/>
      <c r="E30" s="1034"/>
      <c r="F30" s="1034"/>
      <c r="G30" s="1034"/>
      <c r="H30" s="1034"/>
      <c r="I30" s="1035"/>
      <c r="L30" s="132"/>
      <c r="M30" s="132"/>
    </row>
    <row r="31" spans="2:14" ht="54" customHeight="1">
      <c r="B31" s="171" t="s">
        <v>1</v>
      </c>
      <c r="C31" s="176" t="s">
        <v>211</v>
      </c>
      <c r="D31" s="412" t="s">
        <v>212</v>
      </c>
      <c r="E31" s="409" t="s">
        <v>186</v>
      </c>
      <c r="F31" s="409" t="s">
        <v>213</v>
      </c>
      <c r="G31" s="449" t="s">
        <v>214</v>
      </c>
      <c r="H31" s="410" t="s">
        <v>215</v>
      </c>
      <c r="I31" s="178" t="s">
        <v>190</v>
      </c>
      <c r="J31" s="82"/>
    </row>
    <row r="32" spans="2:14" ht="17.25" customHeight="1">
      <c r="B32" s="129">
        <v>1</v>
      </c>
      <c r="C32" s="425" t="s">
        <v>216</v>
      </c>
      <c r="D32" s="85">
        <v>0</v>
      </c>
      <c r="E32" s="85" t="s">
        <v>217</v>
      </c>
      <c r="F32" s="414">
        <v>2200</v>
      </c>
      <c r="G32" s="450">
        <f>F32+((F32*H$37)+(F32*H$38))</f>
        <v>3069</v>
      </c>
      <c r="H32" s="413">
        <v>1</v>
      </c>
      <c r="I32" s="118">
        <f>D32*F32*H32</f>
        <v>0</v>
      </c>
      <c r="J32" s="82"/>
    </row>
    <row r="33" spans="2:28" ht="24.75" customHeight="1">
      <c r="B33" s="129">
        <v>2</v>
      </c>
      <c r="C33" s="425" t="s">
        <v>218</v>
      </c>
      <c r="D33" s="85">
        <v>0</v>
      </c>
      <c r="E33" s="85" t="s">
        <v>217</v>
      </c>
      <c r="F33" s="414">
        <v>4500</v>
      </c>
      <c r="G33" s="450">
        <f t="shared" ref="G33:G35" si="4">F33+((F33*H$37)+(F33*H$38))</f>
        <v>6277.5</v>
      </c>
      <c r="H33" s="413">
        <v>1</v>
      </c>
      <c r="I33" s="118">
        <f>D33*F33*H33</f>
        <v>0</v>
      </c>
      <c r="J33" s="82"/>
    </row>
    <row r="34" spans="2:28" ht="17.25" customHeight="1">
      <c r="B34" s="129">
        <v>3</v>
      </c>
      <c r="C34" s="425" t="s">
        <v>219</v>
      </c>
      <c r="D34" s="85">
        <v>0</v>
      </c>
      <c r="E34" s="85" t="s">
        <v>220</v>
      </c>
      <c r="F34" s="414">
        <f>16400*1</f>
        <v>16400</v>
      </c>
      <c r="G34" s="450">
        <f t="shared" si="4"/>
        <v>22878</v>
      </c>
      <c r="H34" s="413">
        <v>1</v>
      </c>
      <c r="I34" s="118">
        <f>D34*F34*H34</f>
        <v>0</v>
      </c>
      <c r="J34" s="82"/>
    </row>
    <row r="35" spans="2:28" ht="17.25" customHeight="1">
      <c r="B35" s="129">
        <v>4</v>
      </c>
      <c r="C35" s="425" t="s">
        <v>221</v>
      </c>
      <c r="D35" s="85">
        <v>0</v>
      </c>
      <c r="E35" s="85" t="str">
        <f>E34</f>
        <v>Mês</v>
      </c>
      <c r="F35" s="414">
        <f>58300*1</f>
        <v>58300</v>
      </c>
      <c r="G35" s="450">
        <f t="shared" si="4"/>
        <v>81328.5</v>
      </c>
      <c r="H35" s="413">
        <v>1</v>
      </c>
      <c r="I35" s="118">
        <f>D35*F35*H35</f>
        <v>0</v>
      </c>
      <c r="J35" s="82"/>
    </row>
    <row r="36" spans="2:28" ht="17.25" customHeight="1">
      <c r="B36" s="441"/>
      <c r="C36" s="442"/>
      <c r="D36" s="443"/>
      <c r="E36" s="443"/>
      <c r="F36" s="444"/>
      <c r="G36" s="455">
        <f>SUM(G32:G35)</f>
        <v>113553</v>
      </c>
      <c r="H36" s="445" t="s">
        <v>222</v>
      </c>
      <c r="I36" s="447">
        <f>SUM(I32:I35)</f>
        <v>0</v>
      </c>
      <c r="J36" s="82"/>
    </row>
    <row r="37" spans="2:28" ht="17.25" customHeight="1">
      <c r="B37" s="422"/>
      <c r="C37" s="423"/>
      <c r="D37" s="423"/>
      <c r="E37" s="423"/>
      <c r="F37" s="423"/>
      <c r="G37" s="438" t="s">
        <v>19</v>
      </c>
      <c r="H37" s="439">
        <v>0.2</v>
      </c>
      <c r="I37" s="446">
        <f>I36*H37</f>
        <v>0</v>
      </c>
      <c r="J37" s="82"/>
    </row>
    <row r="38" spans="2:28" ht="17.25" customHeight="1">
      <c r="B38" s="422"/>
      <c r="C38" s="423"/>
      <c r="D38" s="423"/>
      <c r="E38" s="423"/>
      <c r="F38" s="423"/>
      <c r="G38" s="438" t="s">
        <v>223</v>
      </c>
      <c r="H38" s="440">
        <v>0.19500000000000001</v>
      </c>
      <c r="I38" s="446">
        <f>I36*H38</f>
        <v>0</v>
      </c>
      <c r="J38" s="82"/>
    </row>
    <row r="39" spans="2:28" s="42" customFormat="1" ht="18" customHeight="1">
      <c r="B39" s="419"/>
      <c r="C39" s="420"/>
      <c r="D39" s="420"/>
      <c r="E39" s="421"/>
      <c r="F39" s="1061" t="s">
        <v>224</v>
      </c>
      <c r="G39" s="1062"/>
      <c r="H39" s="1062"/>
      <c r="I39" s="448">
        <f>SUM(I36:I38)</f>
        <v>0</v>
      </c>
      <c r="M39" s="80"/>
      <c r="N39" s="80"/>
      <c r="O39" s="80"/>
    </row>
    <row r="40" spans="2:28" s="404" customFormat="1" ht="8.25" customHeight="1">
      <c r="B40" s="422"/>
      <c r="C40" s="423"/>
      <c r="D40" s="423"/>
      <c r="E40" s="423"/>
      <c r="F40" s="423"/>
      <c r="G40" s="423"/>
      <c r="H40" s="423"/>
      <c r="I40" s="424"/>
      <c r="J40" s="405"/>
    </row>
    <row r="41" spans="2:28" ht="18" customHeight="1">
      <c r="B41" s="1033" t="s">
        <v>225</v>
      </c>
      <c r="C41" s="1034"/>
      <c r="D41" s="1034"/>
      <c r="E41" s="1034"/>
      <c r="F41" s="1034"/>
      <c r="G41" s="1034"/>
      <c r="H41" s="1034"/>
      <c r="I41" s="1035"/>
      <c r="AB41" s="36"/>
    </row>
    <row r="42" spans="2:28" ht="41.1" customHeight="1">
      <c r="B42" s="171" t="s">
        <v>1</v>
      </c>
      <c r="C42" s="1038" t="s">
        <v>226</v>
      </c>
      <c r="D42" s="1039"/>
      <c r="E42" s="172" t="s">
        <v>227</v>
      </c>
      <c r="F42" s="172" t="s">
        <v>213</v>
      </c>
      <c r="G42" s="401" t="s">
        <v>228</v>
      </c>
      <c r="H42" s="401" t="s">
        <v>228</v>
      </c>
      <c r="I42" s="432" t="s">
        <v>190</v>
      </c>
      <c r="J42" s="82"/>
    </row>
    <row r="43" spans="2:28" ht="20.25" hidden="1" customHeight="1">
      <c r="B43" s="129">
        <v>1</v>
      </c>
      <c r="C43" s="1047"/>
      <c r="D43" s="1048"/>
      <c r="E43" s="85"/>
      <c r="F43" s="85"/>
      <c r="G43" s="402"/>
      <c r="H43" s="402"/>
      <c r="I43" s="118">
        <f>F43*H43</f>
        <v>0</v>
      </c>
      <c r="J43" s="82"/>
    </row>
    <row r="44" spans="2:28" ht="20.25" hidden="1" customHeight="1">
      <c r="B44" s="129">
        <v>2</v>
      </c>
      <c r="C44" s="1047"/>
      <c r="D44" s="1048"/>
      <c r="E44" s="85"/>
      <c r="F44" s="85"/>
      <c r="G44" s="402"/>
      <c r="H44" s="402"/>
      <c r="I44" s="118">
        <f>F44*H44</f>
        <v>0</v>
      </c>
      <c r="J44" s="82"/>
    </row>
    <row r="45" spans="2:28" ht="20.25" hidden="1" customHeight="1">
      <c r="B45" s="129">
        <v>3</v>
      </c>
      <c r="C45" s="1047"/>
      <c r="D45" s="1048"/>
      <c r="E45" s="85"/>
      <c r="F45" s="85"/>
      <c r="G45" s="402"/>
      <c r="H45" s="402"/>
      <c r="I45" s="118">
        <f>F45*H45</f>
        <v>0</v>
      </c>
      <c r="J45" s="82"/>
    </row>
    <row r="46" spans="2:28" ht="20.25" hidden="1" customHeight="1">
      <c r="B46" s="129">
        <v>4</v>
      </c>
      <c r="C46" s="1047"/>
      <c r="D46" s="1048"/>
      <c r="E46" s="85"/>
      <c r="F46" s="85"/>
      <c r="G46" s="402"/>
      <c r="H46" s="402"/>
      <c r="I46" s="118">
        <f>F46*H46</f>
        <v>0</v>
      </c>
      <c r="J46" s="82"/>
    </row>
    <row r="47" spans="2:28" ht="21.75" hidden="1" customHeight="1">
      <c r="B47" s="129">
        <v>5</v>
      </c>
      <c r="C47" s="1047"/>
      <c r="D47" s="1048"/>
      <c r="E47" s="85"/>
      <c r="F47" s="85"/>
      <c r="G47" s="402"/>
      <c r="H47" s="402"/>
      <c r="I47" s="118">
        <f>F47*H47</f>
        <v>0</v>
      </c>
      <c r="J47" s="82"/>
    </row>
    <row r="48" spans="2:28" ht="21.75" customHeight="1">
      <c r="B48" s="129"/>
      <c r="C48" s="426" t="s">
        <v>229</v>
      </c>
      <c r="D48" s="427" t="e">
        <f>I48/D49</f>
        <v>#REF!</v>
      </c>
      <c r="E48" s="418" t="s">
        <v>230</v>
      </c>
      <c r="F48" s="1068" t="s">
        <v>231</v>
      </c>
      <c r="G48" s="1069"/>
      <c r="H48" s="1070"/>
      <c r="I48" s="1029" t="e">
        <f>#REF!</f>
        <v>#REF!</v>
      </c>
      <c r="J48" s="82"/>
    </row>
    <row r="49" spans="1:28" s="42" customFormat="1" ht="18" customHeight="1">
      <c r="B49" s="417"/>
      <c r="C49" s="396" t="s">
        <v>232</v>
      </c>
      <c r="D49" s="418">
        <v>0</v>
      </c>
      <c r="E49" s="418" t="s">
        <v>230</v>
      </c>
      <c r="F49" s="1071"/>
      <c r="G49" s="1072"/>
      <c r="H49" s="1073"/>
      <c r="I49" s="1030"/>
    </row>
    <row r="50" spans="1:28" s="404" customFormat="1" ht="15" customHeight="1">
      <c r="B50" s="422"/>
      <c r="C50" s="423"/>
      <c r="D50" s="423"/>
      <c r="E50" s="423"/>
      <c r="F50" s="423"/>
      <c r="G50" s="423"/>
      <c r="H50" s="423"/>
      <c r="I50" s="424"/>
      <c r="J50" s="405"/>
    </row>
    <row r="51" spans="1:28" ht="18" hidden="1" customHeight="1">
      <c r="B51" s="1033" t="s">
        <v>233</v>
      </c>
      <c r="C51" s="1034"/>
      <c r="D51" s="1034"/>
      <c r="E51" s="1034"/>
      <c r="F51" s="1034"/>
      <c r="G51" s="1034"/>
      <c r="H51" s="1034"/>
      <c r="I51" s="1035"/>
    </row>
    <row r="52" spans="1:28" ht="41.1" hidden="1" customHeight="1">
      <c r="B52" s="171" t="s">
        <v>1</v>
      </c>
      <c r="C52" s="1038" t="s">
        <v>234</v>
      </c>
      <c r="D52" s="1039"/>
      <c r="E52" s="172" t="s">
        <v>227</v>
      </c>
      <c r="F52" s="172" t="s">
        <v>213</v>
      </c>
      <c r="G52" s="401" t="s">
        <v>228</v>
      </c>
      <c r="H52" s="401" t="s">
        <v>228</v>
      </c>
      <c r="I52" s="173" t="s">
        <v>190</v>
      </c>
      <c r="J52" s="82"/>
    </row>
    <row r="53" spans="1:28" ht="18" hidden="1" customHeight="1">
      <c r="B53" s="129">
        <v>1</v>
      </c>
      <c r="C53" s="1036"/>
      <c r="D53" s="1037"/>
      <c r="E53" s="85"/>
      <c r="F53" s="85"/>
      <c r="G53" s="402"/>
      <c r="H53" s="402"/>
      <c r="I53" s="118">
        <f>F53*H53</f>
        <v>0</v>
      </c>
      <c r="J53" s="82"/>
    </row>
    <row r="54" spans="1:28" ht="18" hidden="1" customHeight="1">
      <c r="B54" s="129">
        <v>2</v>
      </c>
      <c r="C54" s="1036"/>
      <c r="D54" s="1037"/>
      <c r="E54" s="85"/>
      <c r="F54" s="85"/>
      <c r="G54" s="402"/>
      <c r="H54" s="402"/>
      <c r="I54" s="118">
        <f>F54*H54</f>
        <v>0</v>
      </c>
      <c r="J54" s="82"/>
    </row>
    <row r="55" spans="1:28" ht="18" hidden="1" customHeight="1">
      <c r="B55" s="129">
        <v>3</v>
      </c>
      <c r="C55" s="1036"/>
      <c r="D55" s="1037"/>
      <c r="E55" s="85"/>
      <c r="F55" s="85"/>
      <c r="G55" s="402"/>
      <c r="H55" s="402"/>
      <c r="I55" s="118">
        <f>F55*H55</f>
        <v>0</v>
      </c>
      <c r="J55" s="82"/>
    </row>
    <row r="56" spans="1:28" ht="18" hidden="1" customHeight="1">
      <c r="B56" s="129">
        <v>4</v>
      </c>
      <c r="C56" s="83"/>
      <c r="D56" s="84"/>
      <c r="E56" s="85"/>
      <c r="F56" s="85"/>
      <c r="G56" s="402"/>
      <c r="H56" s="402"/>
      <c r="I56" s="118">
        <f>F56*H56</f>
        <v>0</v>
      </c>
      <c r="J56" s="82"/>
    </row>
    <row r="57" spans="1:28" ht="18" hidden="1" customHeight="1">
      <c r="B57" s="129">
        <v>5</v>
      </c>
      <c r="C57" s="83"/>
      <c r="D57" s="84"/>
      <c r="E57" s="85"/>
      <c r="F57" s="85"/>
      <c r="G57" s="402"/>
      <c r="H57" s="402"/>
      <c r="I57" s="118">
        <f>F57*H57</f>
        <v>0</v>
      </c>
      <c r="J57" s="82"/>
    </row>
    <row r="58" spans="1:28" s="42" customFormat="1" ht="18" customHeight="1" thickBot="1">
      <c r="B58" s="1066" t="s">
        <v>235</v>
      </c>
      <c r="C58" s="1067"/>
      <c r="D58" s="1067"/>
      <c r="E58" s="428">
        <f>SUM(I53:I57)</f>
        <v>0</v>
      </c>
      <c r="F58" s="429"/>
      <c r="G58" s="429"/>
      <c r="H58" s="429"/>
      <c r="I58" s="380"/>
    </row>
    <row r="59" spans="1:28" ht="18" customHeight="1" thickBot="1">
      <c r="B59" s="86"/>
      <c r="C59" s="86"/>
      <c r="D59" s="86"/>
      <c r="E59" s="87"/>
      <c r="F59" s="87"/>
      <c r="G59" s="400"/>
      <c r="H59" s="400"/>
      <c r="I59" s="87"/>
    </row>
    <row r="60" spans="1:28" ht="18" customHeight="1" thickBot="1">
      <c r="B60" s="1056" t="s">
        <v>236</v>
      </c>
      <c r="C60" s="1057"/>
      <c r="D60" s="1057"/>
      <c r="E60" s="1057"/>
      <c r="F60" s="1058"/>
      <c r="G60" s="433"/>
      <c r="H60" s="1059"/>
      <c r="I60" s="1060"/>
    </row>
    <row r="61" spans="1:28" s="29" customFormat="1" ht="26.25" customHeight="1">
      <c r="A61" s="175"/>
      <c r="B61" s="171" t="s">
        <v>74</v>
      </c>
      <c r="C61" s="172" t="str">
        <f>B6</f>
        <v>A - Mão de Obra / Mobilizações / Maquinas / Ferramentas</v>
      </c>
      <c r="D61" s="1050" t="s">
        <v>237</v>
      </c>
      <c r="E61" s="1050"/>
      <c r="F61" s="1051"/>
      <c r="G61" s="434"/>
      <c r="H61" s="1040" t="e">
        <f>I27</f>
        <v>#REF!</v>
      </c>
      <c r="I61" s="1041"/>
      <c r="J61" s="451" t="e">
        <f>H61/H$65</f>
        <v>#REF!</v>
      </c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</row>
    <row r="62" spans="1:28" s="29" customFormat="1" ht="26.25" customHeight="1">
      <c r="A62" s="175"/>
      <c r="B62" s="171" t="s">
        <v>95</v>
      </c>
      <c r="C62" s="172" t="str">
        <f>B30</f>
        <v>B – Equipamentos de Elevação de carga e Pessoas</v>
      </c>
      <c r="D62" s="1050" t="s">
        <v>238</v>
      </c>
      <c r="E62" s="1050"/>
      <c r="F62" s="1051"/>
      <c r="G62" s="434"/>
      <c r="H62" s="1040">
        <f>I39</f>
        <v>0</v>
      </c>
      <c r="I62" s="1041"/>
      <c r="J62" s="451" t="e">
        <f t="shared" ref="J62:J63" si="5">H62/H$65</f>
        <v>#REF!</v>
      </c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</row>
    <row r="63" spans="1:28" s="29" customFormat="1" ht="26.25" customHeight="1">
      <c r="A63" s="175"/>
      <c r="B63" s="171" t="s">
        <v>116</v>
      </c>
      <c r="C63" s="179" t="str">
        <f>B41</f>
        <v>C – Materiais</v>
      </c>
      <c r="D63" s="1050" t="s">
        <v>239</v>
      </c>
      <c r="E63" s="1050"/>
      <c r="F63" s="1051"/>
      <c r="G63" s="434"/>
      <c r="H63" s="1040" t="e">
        <f>I48</f>
        <v>#REF!</v>
      </c>
      <c r="I63" s="1041"/>
      <c r="J63" s="451" t="e">
        <f t="shared" si="5"/>
        <v>#REF!</v>
      </c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</row>
    <row r="64" spans="1:28" s="29" customFormat="1" ht="26.25" customHeight="1">
      <c r="A64" s="175"/>
      <c r="B64" s="171" t="s">
        <v>124</v>
      </c>
      <c r="C64" s="179" t="s">
        <v>240</v>
      </c>
      <c r="D64" s="1050" t="s">
        <v>241</v>
      </c>
      <c r="E64" s="1050"/>
      <c r="F64" s="1051"/>
      <c r="G64" s="434"/>
      <c r="H64" s="1040"/>
      <c r="I64" s="1041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</row>
    <row r="65" spans="1:28" s="29" customFormat="1" ht="18" customHeight="1">
      <c r="A65" s="175"/>
      <c r="B65" s="171"/>
      <c r="C65" s="479"/>
      <c r="D65" s="480"/>
      <c r="E65" s="480"/>
      <c r="F65" s="480" t="s">
        <v>242</v>
      </c>
      <c r="G65" s="435"/>
      <c r="H65" s="1052" t="e">
        <f>SUM(H61:H64)</f>
        <v>#REF!</v>
      </c>
      <c r="I65" s="1053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</row>
    <row r="66" spans="1:28" s="29" customFormat="1" ht="15.75" hidden="1" customHeight="1">
      <c r="A66" s="175"/>
      <c r="B66" s="171"/>
      <c r="C66" s="467" t="s">
        <v>243</v>
      </c>
      <c r="D66" s="180" t="s">
        <v>244</v>
      </c>
      <c r="E66" s="180"/>
      <c r="F66" s="407">
        <f>'Tabela BDI e Tributos'!I16-25%</f>
        <v>-9.9999999999999978E-2</v>
      </c>
      <c r="G66" s="434"/>
      <c r="H66" s="1040" t="e">
        <f>H65*F66</f>
        <v>#REF!</v>
      </c>
      <c r="I66" s="1041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</row>
    <row r="67" spans="1:28" s="29" customFormat="1" ht="15.75" hidden="1" customHeight="1">
      <c r="A67" s="175"/>
      <c r="B67" s="171"/>
      <c r="C67" s="179"/>
      <c r="D67" s="31" t="s">
        <v>245</v>
      </c>
      <c r="E67" s="31"/>
      <c r="F67" s="408"/>
      <c r="G67" s="435"/>
      <c r="H67" s="1040" t="e">
        <f>H65+H66</f>
        <v>#REF!</v>
      </c>
      <c r="I67" s="1041"/>
      <c r="J67" s="1049"/>
      <c r="K67" s="1049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</row>
    <row r="68" spans="1:28" s="29" customFormat="1" ht="15.75" hidden="1" customHeight="1">
      <c r="A68" s="175"/>
      <c r="B68" s="171"/>
      <c r="C68" s="467" t="s">
        <v>243</v>
      </c>
      <c r="D68" s="180" t="s">
        <v>246</v>
      </c>
      <c r="E68" s="180"/>
      <c r="F68" s="407">
        <f>'Tabela BDI e Tributos'!I38-19.8%</f>
        <v>-5.0000000000000017E-2</v>
      </c>
      <c r="G68" s="436"/>
      <c r="H68" s="1040" t="e">
        <f>H69-H67</f>
        <v>#REF!</v>
      </c>
      <c r="I68" s="1041"/>
      <c r="J68" s="30"/>
      <c r="K68" s="30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</row>
    <row r="69" spans="1:28" s="29" customFormat="1" ht="15.75" hidden="1" customHeight="1" thickBot="1">
      <c r="A69" s="175"/>
      <c r="B69" s="184"/>
      <c r="C69" s="185"/>
      <c r="D69" s="1031" t="s">
        <v>247</v>
      </c>
      <c r="E69" s="1032"/>
      <c r="F69" s="1032"/>
      <c r="G69" s="437"/>
      <c r="H69" s="1040" t="e">
        <f>H67/(1-F68)</f>
        <v>#REF!</v>
      </c>
      <c r="I69" s="1041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</row>
    <row r="70" spans="1:28" ht="18" customHeight="1">
      <c r="B70" s="82"/>
      <c r="C70" s="82"/>
      <c r="D70" s="82"/>
      <c r="E70" s="82"/>
      <c r="F70" s="82"/>
      <c r="I70" s="82"/>
    </row>
    <row r="71" spans="1:28" ht="18" customHeight="1">
      <c r="B71" s="34"/>
      <c r="C71" s="34"/>
      <c r="D71" s="34"/>
      <c r="E71" s="34"/>
      <c r="F71" s="34"/>
      <c r="I71" s="82"/>
    </row>
    <row r="72" spans="1:28" ht="18" customHeight="1">
      <c r="B72" s="82"/>
      <c r="C72" s="86"/>
      <c r="D72" s="82"/>
      <c r="E72" s="82"/>
      <c r="F72" s="82"/>
      <c r="I72" s="82"/>
      <c r="K72" s="453"/>
    </row>
    <row r="73" spans="1:28" ht="18" customHeight="1">
      <c r="B73" s="82"/>
      <c r="C73" s="86"/>
      <c r="D73" s="82"/>
      <c r="E73" s="82"/>
      <c r="I73" s="82"/>
      <c r="K73" s="453"/>
    </row>
    <row r="74" spans="1:28" ht="18" customHeight="1">
      <c r="B74" s="82"/>
      <c r="C74" s="86"/>
      <c r="D74" s="82"/>
      <c r="E74" s="82"/>
      <c r="F74" s="82"/>
      <c r="I74" s="82"/>
      <c r="K74" s="453"/>
    </row>
    <row r="75" spans="1:28" ht="18" customHeight="1">
      <c r="B75" s="82"/>
      <c r="C75" s="86"/>
      <c r="D75" s="456"/>
      <c r="E75" s="82"/>
      <c r="F75" s="82"/>
      <c r="I75" s="82"/>
      <c r="K75" s="453"/>
    </row>
    <row r="76" spans="1:28" ht="18" customHeight="1">
      <c r="B76" s="82"/>
      <c r="C76" s="82"/>
      <c r="D76" s="82"/>
      <c r="E76" s="82"/>
      <c r="F76" s="82"/>
      <c r="I76" s="82"/>
      <c r="K76" s="453"/>
    </row>
    <row r="77" spans="1:28" ht="18" customHeight="1">
      <c r="B77" s="82"/>
      <c r="C77" s="82"/>
      <c r="D77" s="82"/>
      <c r="E77" s="82"/>
      <c r="F77" s="82"/>
      <c r="I77" s="82"/>
      <c r="K77" s="453"/>
    </row>
    <row r="78" spans="1:28" ht="18" customHeight="1">
      <c r="B78" s="82"/>
      <c r="C78" s="82"/>
      <c r="D78" s="82"/>
      <c r="E78" s="82"/>
      <c r="F78" s="82"/>
      <c r="I78" s="82"/>
      <c r="K78" s="453"/>
    </row>
    <row r="79" spans="1:28" ht="18" customHeight="1">
      <c r="B79" s="82"/>
      <c r="C79" s="82"/>
      <c r="D79" s="82"/>
      <c r="E79" s="82"/>
      <c r="F79" s="82"/>
      <c r="I79" s="82"/>
      <c r="K79" s="453"/>
    </row>
    <row r="80" spans="1:28" ht="18" customHeight="1">
      <c r="B80" s="82"/>
      <c r="C80" s="82"/>
      <c r="D80" s="82"/>
      <c r="E80" s="82"/>
      <c r="F80" s="82"/>
      <c r="I80" s="82"/>
      <c r="K80" s="453"/>
    </row>
    <row r="81" spans="2:11" ht="18" customHeight="1">
      <c r="B81" s="82"/>
      <c r="C81" s="82"/>
      <c r="D81" s="82"/>
      <c r="E81" s="82"/>
      <c r="F81" s="82"/>
      <c r="I81" s="82"/>
      <c r="K81" s="453"/>
    </row>
    <row r="82" spans="2:11" ht="18" customHeight="1">
      <c r="B82" s="82"/>
      <c r="C82" s="82"/>
      <c r="D82" s="82"/>
      <c r="E82" s="82"/>
      <c r="F82" s="82"/>
      <c r="I82" s="82"/>
      <c r="K82" s="453"/>
    </row>
    <row r="83" spans="2:11" ht="18" customHeight="1">
      <c r="B83" s="82"/>
      <c r="C83" s="82"/>
      <c r="D83" s="82"/>
      <c r="E83" s="82"/>
      <c r="F83" s="82"/>
      <c r="I83" s="82"/>
      <c r="K83" s="454"/>
    </row>
    <row r="84" spans="2:11" ht="18" customHeight="1">
      <c r="B84" s="82"/>
      <c r="C84" s="82"/>
      <c r="D84" s="82"/>
      <c r="E84" s="82"/>
      <c r="F84" s="82"/>
      <c r="I84" s="82"/>
    </row>
    <row r="85" spans="2:11" ht="18" customHeight="1">
      <c r="B85" s="82"/>
      <c r="C85" s="82"/>
      <c r="D85" s="82"/>
      <c r="E85" s="82"/>
      <c r="F85" s="82"/>
      <c r="I85" s="82"/>
    </row>
    <row r="86" spans="2:11" ht="18" customHeight="1">
      <c r="B86" s="82"/>
      <c r="C86" s="82"/>
      <c r="D86" s="82"/>
      <c r="E86" s="82"/>
      <c r="F86" s="82"/>
      <c r="I86" s="82"/>
    </row>
    <row r="87" spans="2:11" ht="18" customHeight="1">
      <c r="B87" s="82"/>
      <c r="C87" s="82"/>
      <c r="D87" s="82"/>
      <c r="E87" s="82"/>
      <c r="F87" s="82"/>
      <c r="I87" s="82"/>
    </row>
    <row r="88" spans="2:11" ht="18" customHeight="1">
      <c r="B88" s="82"/>
      <c r="C88" s="82"/>
      <c r="D88" s="82"/>
      <c r="E88" s="82"/>
      <c r="F88" s="82"/>
      <c r="I88" s="82"/>
    </row>
    <row r="89" spans="2:11" ht="18" customHeight="1">
      <c r="B89" s="82"/>
      <c r="C89" s="82"/>
      <c r="D89" s="82"/>
      <c r="E89" s="82"/>
      <c r="F89" s="82"/>
      <c r="I89" s="82"/>
    </row>
    <row r="90" spans="2:11" ht="18" customHeight="1">
      <c r="B90" s="82"/>
      <c r="C90" s="82"/>
      <c r="D90" s="82"/>
      <c r="E90" s="82"/>
      <c r="F90" s="82"/>
      <c r="I90" s="82"/>
    </row>
    <row r="91" spans="2:11" ht="18" customHeight="1">
      <c r="B91" s="82"/>
      <c r="C91" s="82"/>
      <c r="D91" s="82"/>
      <c r="E91" s="82"/>
      <c r="F91" s="82"/>
      <c r="I91" s="82"/>
    </row>
    <row r="92" spans="2:11" ht="18" customHeight="1">
      <c r="B92" s="82"/>
      <c r="C92" s="82"/>
      <c r="D92" s="82"/>
      <c r="E92" s="82"/>
      <c r="F92" s="82"/>
      <c r="I92" s="82"/>
    </row>
    <row r="93" spans="2:11" ht="18" customHeight="1">
      <c r="B93" s="82"/>
      <c r="C93" s="82"/>
      <c r="D93" s="82"/>
      <c r="E93" s="82"/>
      <c r="F93" s="82"/>
      <c r="I93" s="82"/>
    </row>
    <row r="94" spans="2:11" ht="18" customHeight="1">
      <c r="B94" s="82"/>
      <c r="C94" s="82"/>
      <c r="D94" s="82"/>
      <c r="E94" s="82"/>
      <c r="F94" s="82"/>
      <c r="I94" s="82"/>
    </row>
    <row r="95" spans="2:11" ht="18" customHeight="1">
      <c r="B95" s="82"/>
      <c r="C95" s="82"/>
      <c r="D95" s="82"/>
      <c r="E95" s="82"/>
      <c r="F95" s="82"/>
      <c r="I95" s="82"/>
    </row>
    <row r="96" spans="2:11" ht="18" customHeight="1">
      <c r="B96" s="82"/>
      <c r="C96" s="82"/>
      <c r="D96" s="82"/>
      <c r="E96" s="82"/>
      <c r="F96" s="82"/>
      <c r="I96" s="82"/>
    </row>
    <row r="97" spans="2:9" ht="18" customHeight="1">
      <c r="B97" s="82"/>
      <c r="C97" s="82"/>
      <c r="D97" s="82"/>
      <c r="E97" s="82"/>
      <c r="F97" s="82"/>
      <c r="I97" s="82"/>
    </row>
    <row r="98" spans="2:9" ht="18" customHeight="1">
      <c r="B98" s="82"/>
      <c r="C98" s="82"/>
      <c r="D98" s="82"/>
      <c r="E98" s="82"/>
      <c r="F98" s="82"/>
      <c r="I98" s="82"/>
    </row>
    <row r="99" spans="2:9" ht="18" customHeight="1">
      <c r="B99" s="82"/>
      <c r="C99" s="82"/>
      <c r="D99" s="82"/>
      <c r="E99" s="82"/>
      <c r="F99" s="82"/>
      <c r="I99" s="82"/>
    </row>
    <row r="100" spans="2:9" ht="18" customHeight="1">
      <c r="B100" s="82"/>
      <c r="C100" s="82"/>
      <c r="D100" s="82"/>
      <c r="E100" s="82"/>
      <c r="F100" s="82"/>
      <c r="I100" s="82"/>
    </row>
    <row r="101" spans="2:9" ht="18" customHeight="1">
      <c r="B101" s="82"/>
      <c r="C101" s="82"/>
      <c r="D101" s="82"/>
      <c r="E101" s="82"/>
      <c r="F101" s="82"/>
      <c r="I101" s="82"/>
    </row>
    <row r="102" spans="2:9" ht="18" customHeight="1">
      <c r="B102" s="82"/>
      <c r="C102" s="82"/>
      <c r="D102" s="82"/>
      <c r="E102" s="82"/>
      <c r="F102" s="82"/>
      <c r="I102" s="82"/>
    </row>
    <row r="103" spans="2:9" ht="18" customHeight="1">
      <c r="B103" s="82"/>
      <c r="C103" s="82"/>
      <c r="D103" s="82"/>
      <c r="E103" s="82"/>
      <c r="F103" s="82"/>
      <c r="I103" s="82"/>
    </row>
    <row r="104" spans="2:9" ht="18" customHeight="1">
      <c r="B104" s="82"/>
      <c r="C104" s="82"/>
      <c r="D104" s="82"/>
      <c r="E104" s="82"/>
      <c r="F104" s="82"/>
      <c r="I104" s="82"/>
    </row>
    <row r="105" spans="2:9" ht="18" customHeight="1">
      <c r="B105" s="82"/>
      <c r="C105" s="82"/>
      <c r="D105" s="82"/>
      <c r="E105" s="82"/>
      <c r="F105" s="82"/>
      <c r="I105" s="82"/>
    </row>
    <row r="106" spans="2:9" ht="18" customHeight="1">
      <c r="B106" s="82"/>
      <c r="C106" s="82"/>
      <c r="D106" s="82"/>
      <c r="E106" s="82"/>
      <c r="F106" s="82"/>
      <c r="I106" s="82"/>
    </row>
    <row r="107" spans="2:9" ht="18" customHeight="1">
      <c r="B107" s="82"/>
      <c r="C107" s="82"/>
      <c r="D107" s="82"/>
      <c r="E107" s="82"/>
      <c r="F107" s="82"/>
      <c r="I107" s="82"/>
    </row>
    <row r="108" spans="2:9" ht="18" customHeight="1">
      <c r="B108" s="82"/>
      <c r="C108" s="82"/>
      <c r="D108" s="82"/>
      <c r="E108" s="82"/>
      <c r="F108" s="82"/>
      <c r="I108" s="82"/>
    </row>
    <row r="109" spans="2:9" ht="18" customHeight="1">
      <c r="B109" s="82"/>
      <c r="C109" s="82"/>
      <c r="D109" s="82"/>
      <c r="E109" s="82"/>
      <c r="F109" s="82"/>
      <c r="I109" s="82"/>
    </row>
  </sheetData>
  <mergeCells count="45">
    <mergeCell ref="B25:D25"/>
    <mergeCell ref="B60:F60"/>
    <mergeCell ref="H60:I60"/>
    <mergeCell ref="C53:D53"/>
    <mergeCell ref="C43:D43"/>
    <mergeCell ref="C44:D44"/>
    <mergeCell ref="C45:D45"/>
    <mergeCell ref="C46:D46"/>
    <mergeCell ref="B30:I30"/>
    <mergeCell ref="C47:D47"/>
    <mergeCell ref="F39:H39"/>
    <mergeCell ref="B28:F28"/>
    <mergeCell ref="B58:D58"/>
    <mergeCell ref="B41:I41"/>
    <mergeCell ref="C42:D42"/>
    <mergeCell ref="F48:H49"/>
    <mergeCell ref="J67:K67"/>
    <mergeCell ref="D61:F61"/>
    <mergeCell ref="D62:F62"/>
    <mergeCell ref="D63:F63"/>
    <mergeCell ref="D64:F64"/>
    <mergeCell ref="H61:I61"/>
    <mergeCell ref="H62:I62"/>
    <mergeCell ref="H63:I63"/>
    <mergeCell ref="H64:I64"/>
    <mergeCell ref="H65:I65"/>
    <mergeCell ref="H66:I66"/>
    <mergeCell ref="H67:I67"/>
    <mergeCell ref="B4:I4"/>
    <mergeCell ref="B6:I6"/>
    <mergeCell ref="C9:D9"/>
    <mergeCell ref="C7:D7"/>
    <mergeCell ref="C20:D20"/>
    <mergeCell ref="C14:D14"/>
    <mergeCell ref="C15:D15"/>
    <mergeCell ref="C11:D11"/>
    <mergeCell ref="C10:D10"/>
    <mergeCell ref="I48:I49"/>
    <mergeCell ref="D69:F69"/>
    <mergeCell ref="B51:I51"/>
    <mergeCell ref="C54:D54"/>
    <mergeCell ref="C55:D55"/>
    <mergeCell ref="C52:D52"/>
    <mergeCell ref="H68:I68"/>
    <mergeCell ref="H69:I69"/>
  </mergeCells>
  <printOptions horizontalCentered="1" verticalCentered="1"/>
  <pageMargins left="0" right="0" top="0" bottom="0" header="0" footer="0"/>
  <pageSetup paperSize="9" scale="4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748F9-6373-44CD-9FAC-C83B22086A8A}">
  <sheetPr>
    <tabColor rgb="FFFF0000"/>
    <pageSetUpPr fitToPage="1"/>
  </sheetPr>
  <dimension ref="B2:AC45"/>
  <sheetViews>
    <sheetView showGridLines="0" topLeftCell="C1" zoomScale="115" zoomScaleNormal="115" zoomScaleSheetLayoutView="100" workbookViewId="0">
      <selection activeCell="I20" sqref="I20"/>
    </sheetView>
  </sheetViews>
  <sheetFormatPr defaultColWidth="9.140625" defaultRowHeight="14.65"/>
  <cols>
    <col min="1" max="1" width="3.140625" style="859" customWidth="1"/>
    <col min="2" max="2" width="2.85546875" style="859" customWidth="1"/>
    <col min="3" max="3" width="9.28515625" style="859" bestFit="1" customWidth="1"/>
    <col min="4" max="4" width="42.42578125" style="859" customWidth="1"/>
    <col min="5" max="5" width="8.5703125" style="859" bestFit="1" customWidth="1"/>
    <col min="6" max="6" width="10.85546875" style="859" customWidth="1"/>
    <col min="7" max="7" width="10.85546875" style="859" hidden="1" customWidth="1"/>
    <col min="8" max="8" width="8.5703125" style="859" customWidth="1"/>
    <col min="9" max="9" width="21.28515625" style="859" customWidth="1"/>
    <col min="10" max="10" width="13.5703125" style="859" hidden="1" customWidth="1"/>
    <col min="11" max="12" width="13.85546875" style="859" hidden="1" customWidth="1"/>
    <col min="13" max="13" width="21.140625" style="859" customWidth="1"/>
    <col min="14" max="14" width="16.42578125" style="859" customWidth="1"/>
    <col min="15" max="15" width="2.85546875" style="859" customWidth="1"/>
    <col min="16" max="16" width="3.28515625" style="859" customWidth="1"/>
    <col min="17" max="28" width="11" style="859" customWidth="1"/>
    <col min="29" max="16384" width="9.140625" style="859"/>
  </cols>
  <sheetData>
    <row r="2" spans="2:28">
      <c r="B2" s="860"/>
      <c r="C2" s="861"/>
      <c r="D2" s="861"/>
      <c r="E2" s="861"/>
      <c r="F2" s="861"/>
      <c r="G2" s="861"/>
      <c r="H2" s="861"/>
      <c r="I2" s="861"/>
      <c r="J2" s="861"/>
      <c r="K2" s="861"/>
      <c r="L2" s="861"/>
      <c r="M2" s="861"/>
      <c r="N2" s="861"/>
      <c r="O2" s="862"/>
      <c r="Q2" s="860"/>
      <c r="R2" s="861"/>
      <c r="S2" s="861"/>
      <c r="T2" s="861"/>
      <c r="U2" s="861"/>
      <c r="V2" s="861"/>
      <c r="W2" s="861"/>
      <c r="X2" s="861"/>
      <c r="Y2" s="861"/>
      <c r="Z2" s="861"/>
      <c r="AA2" s="861"/>
      <c r="AB2" s="862"/>
    </row>
    <row r="3" spans="2:28" ht="28.5" customHeight="1">
      <c r="B3" s="863"/>
      <c r="C3" s="864"/>
      <c r="D3" s="865"/>
      <c r="E3" s="1074" t="s">
        <v>248</v>
      </c>
      <c r="F3" s="1074"/>
      <c r="G3" s="1074"/>
      <c r="H3" s="1074"/>
      <c r="I3" s="1074"/>
      <c r="J3" s="1074"/>
      <c r="K3" s="1074"/>
      <c r="L3" s="1074"/>
      <c r="M3" s="1074"/>
      <c r="N3" s="866"/>
      <c r="O3" s="867"/>
      <c r="Q3" s="863"/>
      <c r="AB3" s="867"/>
    </row>
    <row r="4" spans="2:28" ht="10.5" customHeight="1">
      <c r="B4" s="863"/>
      <c r="C4" s="868"/>
      <c r="D4" s="869"/>
      <c r="E4" s="1075"/>
      <c r="F4" s="1075"/>
      <c r="G4" s="1075"/>
      <c r="H4" s="1075"/>
      <c r="I4" s="1075"/>
      <c r="J4" s="1075"/>
      <c r="K4" s="1075"/>
      <c r="L4" s="1075"/>
      <c r="M4" s="1075"/>
      <c r="N4" s="870"/>
      <c r="O4" s="867"/>
      <c r="Q4" s="863"/>
      <c r="AB4" s="867"/>
    </row>
    <row r="5" spans="2:28" ht="10.5" customHeight="1" thickBot="1">
      <c r="B5" s="863"/>
      <c r="C5" s="871"/>
      <c r="D5" s="872"/>
      <c r="E5" s="1076"/>
      <c r="F5" s="1076"/>
      <c r="G5" s="1076"/>
      <c r="H5" s="1076"/>
      <c r="I5" s="1076"/>
      <c r="J5" s="1076"/>
      <c r="K5" s="1076"/>
      <c r="L5" s="1076"/>
      <c r="M5" s="1076"/>
      <c r="N5" s="873"/>
      <c r="O5" s="867"/>
      <c r="Q5" s="863"/>
      <c r="AB5" s="867"/>
    </row>
    <row r="6" spans="2:28" ht="32.25" customHeight="1">
      <c r="B6" s="863"/>
      <c r="C6" s="874" t="s">
        <v>249</v>
      </c>
      <c r="D6" s="1080" t="s">
        <v>250</v>
      </c>
      <c r="E6" s="1080"/>
      <c r="F6" s="1080"/>
      <c r="G6" s="1080"/>
      <c r="H6" s="1080"/>
      <c r="I6" s="1080"/>
      <c r="J6" s="1080"/>
      <c r="K6" s="1080"/>
      <c r="L6" s="1080"/>
      <c r="M6" s="1081"/>
      <c r="N6" s="875" t="s">
        <v>251</v>
      </c>
      <c r="O6" s="867"/>
      <c r="Q6" s="863"/>
      <c r="AB6" s="867"/>
    </row>
    <row r="7" spans="2:28">
      <c r="B7" s="863"/>
      <c r="C7" s="876" t="s">
        <v>252</v>
      </c>
      <c r="D7" s="1082" t="s">
        <v>253</v>
      </c>
      <c r="E7" s="1082"/>
      <c r="F7" s="1082"/>
      <c r="G7" s="1082"/>
      <c r="H7" s="1082"/>
      <c r="I7" s="1082"/>
      <c r="J7" s="1082"/>
      <c r="K7" s="1082"/>
      <c r="L7" s="1082"/>
      <c r="M7" s="1083"/>
      <c r="N7" s="877" t="s">
        <v>254</v>
      </c>
      <c r="O7" s="867"/>
      <c r="Q7" s="863"/>
      <c r="AB7" s="867"/>
    </row>
    <row r="8" spans="2:28" ht="24.75" customHeight="1" thickBot="1">
      <c r="B8" s="863"/>
      <c r="C8" s="878"/>
      <c r="D8" s="879" t="s">
        <v>255</v>
      </c>
      <c r="E8" s="880"/>
      <c r="F8" s="880"/>
      <c r="G8" s="880"/>
      <c r="H8" s="880"/>
      <c r="I8" s="880"/>
      <c r="J8" s="880"/>
      <c r="K8" s="880"/>
      <c r="L8" s="880"/>
      <c r="M8" s="880"/>
      <c r="N8" s="881"/>
      <c r="O8" s="867"/>
      <c r="Q8" s="863"/>
      <c r="AB8" s="867"/>
    </row>
    <row r="9" spans="2:28" ht="20.100000000000001" customHeight="1">
      <c r="B9" s="863"/>
      <c r="C9" s="1084" t="s">
        <v>256</v>
      </c>
      <c r="D9" s="1085"/>
      <c r="E9" s="1085"/>
      <c r="F9" s="1085"/>
      <c r="G9" s="1085"/>
      <c r="H9" s="1085"/>
      <c r="I9" s="1085"/>
      <c r="J9" s="1085"/>
      <c r="K9" s="1085"/>
      <c r="L9" s="1085"/>
      <c r="M9" s="1085"/>
      <c r="N9" s="1086"/>
      <c r="O9" s="867"/>
      <c r="Q9" s="863"/>
      <c r="AB9" s="867"/>
    </row>
    <row r="10" spans="2:28" ht="20.100000000000001" customHeight="1">
      <c r="B10" s="863"/>
      <c r="C10" s="1087"/>
      <c r="D10" s="1088"/>
      <c r="E10" s="1088"/>
      <c r="F10" s="1088"/>
      <c r="G10" s="1088"/>
      <c r="H10" s="1088"/>
      <c r="I10" s="1088"/>
      <c r="J10" s="1088"/>
      <c r="K10" s="1088"/>
      <c r="L10" s="1088"/>
      <c r="M10" s="1088"/>
      <c r="N10" s="882"/>
      <c r="O10" s="867"/>
      <c r="Q10" s="863"/>
      <c r="AB10" s="867"/>
    </row>
    <row r="11" spans="2:28" ht="43.7">
      <c r="B11" s="863"/>
      <c r="C11" s="883" t="s">
        <v>1</v>
      </c>
      <c r="D11" s="884" t="s">
        <v>257</v>
      </c>
      <c r="E11" s="884" t="s">
        <v>3</v>
      </c>
      <c r="F11" s="884" t="s">
        <v>258</v>
      </c>
      <c r="G11" s="884" t="s">
        <v>259</v>
      </c>
      <c r="H11" s="885" t="s">
        <v>260</v>
      </c>
      <c r="I11" s="885" t="s">
        <v>261</v>
      </c>
      <c r="J11" s="885" t="s">
        <v>262</v>
      </c>
      <c r="K11" s="885" t="s">
        <v>263</v>
      </c>
      <c r="L11" s="885" t="s">
        <v>264</v>
      </c>
      <c r="M11" s="884" t="s">
        <v>265</v>
      </c>
      <c r="N11" s="886" t="s">
        <v>266</v>
      </c>
      <c r="O11" s="867"/>
      <c r="Q11" s="863"/>
      <c r="AB11" s="867"/>
    </row>
    <row r="12" spans="2:28" ht="17.25" customHeight="1">
      <c r="B12" s="863"/>
      <c r="C12" s="887">
        <v>1</v>
      </c>
      <c r="D12" s="888" t="s">
        <v>267</v>
      </c>
      <c r="E12" s="889" t="s">
        <v>268</v>
      </c>
      <c r="F12" s="887">
        <v>1</v>
      </c>
      <c r="G12" s="890"/>
      <c r="H12" s="887">
        <v>1</v>
      </c>
      <c r="I12" s="891">
        <f>Mobilização!G61</f>
        <v>170545</v>
      </c>
      <c r="J12" s="891"/>
      <c r="K12" s="891">
        <f t="shared" ref="K12:K17" si="0">I12*1.75</f>
        <v>298453.75</v>
      </c>
      <c r="L12" s="891">
        <f>I12*2</f>
        <v>341090</v>
      </c>
      <c r="M12" s="891">
        <f>I12*F12</f>
        <v>170545</v>
      </c>
      <c r="N12" s="891"/>
      <c r="O12" s="867"/>
      <c r="Q12" s="863"/>
      <c r="AB12" s="867"/>
    </row>
    <row r="13" spans="2:28" ht="17.25" customHeight="1">
      <c r="B13" s="863"/>
      <c r="C13" s="892">
        <v>2</v>
      </c>
      <c r="D13" s="888" t="s">
        <v>269</v>
      </c>
      <c r="E13" s="893" t="s">
        <v>268</v>
      </c>
      <c r="F13" s="892">
        <v>1</v>
      </c>
      <c r="G13" s="894"/>
      <c r="H13" s="892">
        <v>1</v>
      </c>
      <c r="I13" s="895">
        <f>Desmobilização!G55</f>
        <v>3779.342723004695</v>
      </c>
      <c r="J13" s="895"/>
      <c r="K13" s="895">
        <f t="shared" si="0"/>
        <v>6613.8497652582164</v>
      </c>
      <c r="L13" s="895">
        <f>I13*2</f>
        <v>7558.68544600939</v>
      </c>
      <c r="M13" s="895">
        <f>I13*F13</f>
        <v>3779.342723004695</v>
      </c>
      <c r="N13" s="895"/>
      <c r="O13" s="867"/>
      <c r="Q13" s="863"/>
      <c r="AB13" s="867"/>
    </row>
    <row r="14" spans="2:28" ht="17.25" customHeight="1">
      <c r="B14" s="863"/>
      <c r="C14" s="887">
        <v>3</v>
      </c>
      <c r="D14" s="888" t="s">
        <v>270</v>
      </c>
      <c r="E14" s="893" t="s">
        <v>268</v>
      </c>
      <c r="F14" s="892">
        <v>1</v>
      </c>
      <c r="G14" s="894"/>
      <c r="H14" s="892">
        <v>1</v>
      </c>
      <c r="I14" s="895">
        <f>'MP Basico_Perfil e Chapas'!H45+'MP Basico_Perfil e Chapas'!H60</f>
        <v>560239.61128833331</v>
      </c>
      <c r="J14" s="895"/>
      <c r="K14" s="895">
        <f t="shared" ref="K14" si="1">I14*1.75</f>
        <v>980419.3197545833</v>
      </c>
      <c r="L14" s="895">
        <f>I14*2</f>
        <v>1120479.2225766666</v>
      </c>
      <c r="M14" s="895">
        <f>I14*F14</f>
        <v>560239.61128833331</v>
      </c>
      <c r="N14" s="895"/>
      <c r="O14" s="867"/>
      <c r="Q14" s="863"/>
      <c r="AB14" s="867"/>
    </row>
    <row r="15" spans="2:28">
      <c r="B15" s="863"/>
      <c r="C15" s="887">
        <v>3</v>
      </c>
      <c r="D15" s="888" t="s">
        <v>271</v>
      </c>
      <c r="E15" s="893" t="s">
        <v>268</v>
      </c>
      <c r="F15" s="892">
        <v>1</v>
      </c>
      <c r="G15" s="894"/>
      <c r="H15" s="892">
        <v>1</v>
      </c>
      <c r="I15" s="895">
        <f>'Materiais Basicos_Deck e Telha'!J43</f>
        <v>245065.91999999998</v>
      </c>
      <c r="J15" s="895"/>
      <c r="K15" s="895">
        <f t="shared" si="0"/>
        <v>428865.36</v>
      </c>
      <c r="L15" s="895">
        <f>I15*2</f>
        <v>490131.83999999997</v>
      </c>
      <c r="M15" s="895">
        <f>I15*F15</f>
        <v>245065.91999999998</v>
      </c>
      <c r="N15" s="895"/>
      <c r="O15" s="867"/>
      <c r="Q15" s="863"/>
      <c r="AB15" s="867"/>
    </row>
    <row r="16" spans="2:28" ht="17.25" customHeight="1">
      <c r="B16" s="863"/>
      <c r="C16" s="887">
        <v>5</v>
      </c>
      <c r="D16" s="888" t="s">
        <v>272</v>
      </c>
      <c r="E16" s="893" t="s">
        <v>268</v>
      </c>
      <c r="F16" s="892">
        <v>1</v>
      </c>
      <c r="G16" s="894"/>
      <c r="H16" s="892">
        <v>1</v>
      </c>
      <c r="I16" s="895">
        <f>'Lista Consumiveis'!F33*1.448</f>
        <v>17216.633119999999</v>
      </c>
      <c r="J16" s="895"/>
      <c r="K16" s="895">
        <f t="shared" si="0"/>
        <v>30129.107959999998</v>
      </c>
      <c r="L16" s="895">
        <f>I16*2</f>
        <v>34433.266239999997</v>
      </c>
      <c r="M16" s="895">
        <f>I16*F16</f>
        <v>17216.633119999999</v>
      </c>
      <c r="N16" s="895"/>
      <c r="O16" s="867"/>
      <c r="Q16" s="863"/>
      <c r="AB16" s="867"/>
    </row>
    <row r="17" spans="2:29" ht="17.25" customHeight="1">
      <c r="B17" s="863"/>
      <c r="C17" s="892">
        <v>6</v>
      </c>
      <c r="D17" s="888" t="s">
        <v>273</v>
      </c>
      <c r="E17" s="893" t="s">
        <v>268</v>
      </c>
      <c r="F17" s="892">
        <v>1</v>
      </c>
      <c r="G17" s="892">
        <v>0</v>
      </c>
      <c r="H17" s="892">
        <v>1</v>
      </c>
      <c r="I17" s="895">
        <f>'Materiais_Jato e Pintura'!F5</f>
        <v>30324.933869999997</v>
      </c>
      <c r="J17" s="895">
        <f>I17*1.2</f>
        <v>36389.920643999998</v>
      </c>
      <c r="K17" s="895">
        <f t="shared" si="0"/>
        <v>53068.634272499992</v>
      </c>
      <c r="L17" s="895">
        <f t="shared" ref="L17" si="2">I17*2</f>
        <v>60649.867739999994</v>
      </c>
      <c r="M17" s="895">
        <f>I17*H17*F17</f>
        <v>30324.933869999997</v>
      </c>
      <c r="N17" s="895"/>
      <c r="O17" s="867"/>
      <c r="Q17" s="863"/>
      <c r="AB17" s="867"/>
    </row>
    <row r="18" spans="2:29" ht="17.25" customHeight="1">
      <c r="B18" s="863"/>
      <c r="C18" s="887">
        <v>7</v>
      </c>
      <c r="D18" s="888" t="s">
        <v>274</v>
      </c>
      <c r="E18" s="893" t="s">
        <v>268</v>
      </c>
      <c r="F18" s="892">
        <v>1</v>
      </c>
      <c r="G18" s="892">
        <v>0</v>
      </c>
      <c r="H18" s="892">
        <v>1</v>
      </c>
      <c r="I18" s="895">
        <f>'Ferramentas Manual'!G5</f>
        <v>1207.1399999999999</v>
      </c>
      <c r="J18" s="896" t="s">
        <v>275</v>
      </c>
      <c r="K18" s="896" t="s">
        <v>275</v>
      </c>
      <c r="L18" s="896" t="s">
        <v>275</v>
      </c>
      <c r="M18" s="896">
        <f>F18*H18*I18</f>
        <v>1207.1399999999999</v>
      </c>
      <c r="N18" s="895"/>
      <c r="O18" s="867"/>
      <c r="Q18" s="863"/>
      <c r="AB18" s="867"/>
    </row>
    <row r="19" spans="2:29" ht="17.25" customHeight="1">
      <c r="B19" s="863"/>
      <c r="C19" s="892">
        <v>8</v>
      </c>
      <c r="D19" s="888" t="s">
        <v>276</v>
      </c>
      <c r="E19" s="893" t="s">
        <v>268</v>
      </c>
      <c r="F19" s="892">
        <v>1</v>
      </c>
      <c r="G19" s="892">
        <v>0</v>
      </c>
      <c r="H19" s="892">
        <v>1</v>
      </c>
      <c r="I19" s="895">
        <f>'Ferramentas Eletricas'!G5</f>
        <v>10082.133333333335</v>
      </c>
      <c r="J19" s="896" t="s">
        <v>275</v>
      </c>
      <c r="K19" s="896" t="s">
        <v>275</v>
      </c>
      <c r="L19" s="896" t="s">
        <v>275</v>
      </c>
      <c r="M19" s="896">
        <f>F19*H19*I19</f>
        <v>10082.133333333335</v>
      </c>
      <c r="N19" s="895"/>
      <c r="O19" s="867"/>
      <c r="Q19" s="863"/>
      <c r="AB19" s="867"/>
    </row>
    <row r="20" spans="2:29" ht="17.25" customHeight="1">
      <c r="B20" s="863"/>
      <c r="C20" s="887">
        <v>9</v>
      </c>
      <c r="D20" s="888" t="s">
        <v>277</v>
      </c>
      <c r="E20" s="893" t="s">
        <v>268</v>
      </c>
      <c r="F20" s="892">
        <v>1</v>
      </c>
      <c r="G20" s="892"/>
      <c r="H20" s="892">
        <v>1</v>
      </c>
      <c r="I20" s="895">
        <f>'Mao Obra_Fabricação'!G4</f>
        <v>338133.79454066226</v>
      </c>
      <c r="J20" s="896"/>
      <c r="K20" s="896"/>
      <c r="L20" s="896"/>
      <c r="M20" s="896">
        <f t="shared" ref="M20:M21" si="3">F20*H20*I20</f>
        <v>338133.79454066226</v>
      </c>
      <c r="N20" s="895" t="s">
        <v>278</v>
      </c>
      <c r="O20" s="867"/>
      <c r="Q20" s="863"/>
      <c r="AB20" s="867"/>
    </row>
    <row r="21" spans="2:29" ht="17.25" customHeight="1">
      <c r="B21" s="863"/>
      <c r="C21" s="892">
        <v>10</v>
      </c>
      <c r="D21" s="888" t="s">
        <v>279</v>
      </c>
      <c r="E21" s="893" t="s">
        <v>268</v>
      </c>
      <c r="F21" s="892">
        <v>1</v>
      </c>
      <c r="G21" s="892"/>
      <c r="H21" s="892">
        <v>1</v>
      </c>
      <c r="I21" s="895">
        <f>'Mao Obra_Montagem'!G5</f>
        <v>225587.55950873042</v>
      </c>
      <c r="J21" s="896"/>
      <c r="K21" s="896"/>
      <c r="L21" s="896"/>
      <c r="M21" s="896">
        <f t="shared" si="3"/>
        <v>225587.55950873042</v>
      </c>
      <c r="N21" s="895" t="s">
        <v>280</v>
      </c>
      <c r="O21" s="867"/>
      <c r="Q21" s="863"/>
      <c r="AB21" s="867"/>
    </row>
    <row r="22" spans="2:29" ht="20.100000000000001" customHeight="1">
      <c r="B22" s="863"/>
      <c r="C22" s="897"/>
      <c r="D22" s="898" t="s">
        <v>281</v>
      </c>
      <c r="E22" s="898"/>
      <c r="F22" s="898"/>
      <c r="G22" s="898"/>
      <c r="H22" s="898"/>
      <c r="I22" s="899"/>
      <c r="J22" s="899"/>
      <c r="K22" s="900"/>
      <c r="L22" s="900"/>
      <c r="M22" s="901">
        <f>SUM(M12:M21)</f>
        <v>1602182.0683840639</v>
      </c>
      <c r="N22" s="902"/>
      <c r="O22" s="867"/>
      <c r="Q22" s="863"/>
      <c r="AB22" s="867"/>
    </row>
    <row r="23" spans="2:29" ht="17.25" customHeight="1">
      <c r="B23" s="863"/>
      <c r="C23" s="892"/>
      <c r="D23" s="903" t="s">
        <v>282</v>
      </c>
      <c r="E23" s="904">
        <f>'Materiais Basicos'!L15</f>
        <v>323.49876999999992</v>
      </c>
      <c r="F23" s="892"/>
      <c r="G23" s="892"/>
      <c r="H23" s="905" t="s">
        <v>283</v>
      </c>
      <c r="I23" s="895">
        <f>M22/E23</f>
        <v>4952.6681921667405</v>
      </c>
      <c r="J23" s="896"/>
      <c r="K23" s="896"/>
      <c r="L23" s="896"/>
      <c r="M23" s="896"/>
      <c r="N23" s="895"/>
      <c r="O23" s="867"/>
      <c r="Q23" s="863"/>
      <c r="AB23" s="867"/>
    </row>
    <row r="24" spans="2:29" ht="17.25" customHeight="1">
      <c r="B24" s="863"/>
      <c r="C24" s="892"/>
      <c r="D24" s="903" t="s">
        <v>284</v>
      </c>
      <c r="E24" s="904">
        <f>'Materiais Basicos'!V26</f>
        <v>0</v>
      </c>
      <c r="F24" s="892"/>
      <c r="G24" s="892"/>
      <c r="H24" s="905" t="s">
        <v>285</v>
      </c>
      <c r="I24" s="895" t="e">
        <f>M22/E24</f>
        <v>#DIV/0!</v>
      </c>
      <c r="J24" s="896"/>
      <c r="K24" s="896"/>
      <c r="L24" s="896"/>
      <c r="M24" s="896"/>
      <c r="N24" s="895"/>
      <c r="O24" s="867"/>
      <c r="Q24" s="863"/>
      <c r="AB24" s="867"/>
    </row>
    <row r="25" spans="2:29">
      <c r="B25" s="906"/>
      <c r="C25" s="907"/>
      <c r="D25" s="907"/>
      <c r="E25" s="907"/>
      <c r="F25" s="907"/>
      <c r="G25" s="907"/>
      <c r="H25" s="907"/>
      <c r="I25" s="907"/>
      <c r="J25" s="907"/>
      <c r="K25" s="907"/>
      <c r="L25" s="907"/>
      <c r="M25" s="907"/>
      <c r="N25" s="907"/>
      <c r="O25" s="908"/>
      <c r="Q25" s="906"/>
      <c r="R25" s="907"/>
      <c r="S25" s="907"/>
      <c r="T25" s="907"/>
      <c r="U25" s="907"/>
      <c r="V25" s="907"/>
      <c r="W25" s="907"/>
      <c r="X25" s="907"/>
      <c r="Y25" s="907"/>
      <c r="Z25" s="907"/>
      <c r="AA25" s="907"/>
      <c r="AB25" s="908"/>
    </row>
    <row r="26" spans="2:29" ht="17.25" customHeight="1" thickTop="1">
      <c r="I26" s="909"/>
      <c r="M26" s="909"/>
    </row>
    <row r="27" spans="2:29" ht="15">
      <c r="B27" s="907"/>
      <c r="C27" s="907"/>
      <c r="D27" s="907"/>
      <c r="E27" s="907"/>
      <c r="F27" s="907"/>
      <c r="G27" s="907"/>
      <c r="H27" s="907"/>
      <c r="I27" s="907"/>
      <c r="J27" s="907"/>
      <c r="K27" s="907"/>
      <c r="L27" s="907"/>
      <c r="M27" s="907"/>
      <c r="N27" s="907"/>
      <c r="O27" s="907"/>
      <c r="P27" s="907"/>
      <c r="Q27" s="907"/>
      <c r="R27" s="907"/>
      <c r="S27" s="907"/>
      <c r="T27" s="907"/>
      <c r="U27" s="907"/>
      <c r="V27" s="907"/>
      <c r="W27" s="907"/>
      <c r="X27" s="907"/>
      <c r="Y27" s="907"/>
      <c r="Z27" s="907"/>
      <c r="AA27" s="907"/>
      <c r="AB27" s="907"/>
    </row>
    <row r="28" spans="2:29" ht="24" customHeight="1">
      <c r="B28" s="863"/>
      <c r="C28" s="1084" t="s">
        <v>286</v>
      </c>
      <c r="D28" s="1085"/>
      <c r="E28" s="1085"/>
      <c r="F28" s="1085"/>
      <c r="G28" s="1085"/>
      <c r="H28" s="1085"/>
      <c r="I28" s="1085"/>
      <c r="J28" s="1085"/>
      <c r="K28" s="1085"/>
      <c r="L28" s="1085"/>
      <c r="M28" s="1085"/>
      <c r="N28" s="1086"/>
      <c r="AC28" s="863"/>
    </row>
    <row r="29" spans="2:29" ht="17.25" customHeight="1">
      <c r="B29" s="863"/>
      <c r="I29" s="910" t="s">
        <v>287</v>
      </c>
      <c r="J29" s="911"/>
      <c r="K29" s="911"/>
      <c r="L29" s="911"/>
      <c r="M29" s="910" t="s">
        <v>288</v>
      </c>
      <c r="N29" s="910" t="s">
        <v>289</v>
      </c>
      <c r="Y29" s="863"/>
      <c r="AC29" s="863"/>
    </row>
    <row r="30" spans="2:29" ht="19.5" customHeight="1">
      <c r="B30" s="863"/>
      <c r="C30" s="910" t="s">
        <v>1</v>
      </c>
      <c r="D30" s="910" t="s">
        <v>290</v>
      </c>
      <c r="E30" s="1079" t="s">
        <v>291</v>
      </c>
      <c r="F30" s="1079"/>
      <c r="G30" s="912"/>
      <c r="H30" s="913" t="s">
        <v>292</v>
      </c>
      <c r="I30" s="914">
        <v>60000</v>
      </c>
      <c r="M30" s="914">
        <v>0</v>
      </c>
      <c r="N30" s="914">
        <v>1500</v>
      </c>
      <c r="Y30" s="863"/>
      <c r="AC30" s="863"/>
    </row>
    <row r="31" spans="2:29" ht="19.5" customHeight="1">
      <c r="B31" s="863"/>
      <c r="C31" s="915">
        <v>1</v>
      </c>
      <c r="D31" s="888" t="s">
        <v>267</v>
      </c>
      <c r="E31" s="1077">
        <f>I12</f>
        <v>170545</v>
      </c>
      <c r="F31" s="1077"/>
      <c r="G31" s="916"/>
      <c r="H31" s="917">
        <f>E31/E$41</f>
        <v>0.10644545546063254</v>
      </c>
      <c r="I31" s="916">
        <f>E31/I$30</f>
        <v>2.8424166666666668</v>
      </c>
      <c r="M31" s="916" t="str">
        <f>IFERROR(E31/M$30,"")</f>
        <v/>
      </c>
      <c r="N31" s="916">
        <f t="shared" ref="N31:N39" si="4">E31/N$30</f>
        <v>113.69666666666667</v>
      </c>
      <c r="Y31" s="863"/>
      <c r="AC31" s="863"/>
    </row>
    <row r="32" spans="2:29" ht="19.5" customHeight="1">
      <c r="B32" s="863"/>
      <c r="C32" s="915">
        <v>2</v>
      </c>
      <c r="D32" s="888" t="s">
        <v>269</v>
      </c>
      <c r="E32" s="1077">
        <f t="shared" ref="E32:E40" si="5">I13</f>
        <v>3779.342723004695</v>
      </c>
      <c r="F32" s="1077"/>
      <c r="G32" s="916"/>
      <c r="H32" s="917">
        <f>E32/E$41</f>
        <v>2.3588721891117416E-3</v>
      </c>
      <c r="I32" s="916">
        <f t="shared" ref="I32:I39" si="6">E32/I$30</f>
        <v>6.2989045383411588E-2</v>
      </c>
      <c r="M32" s="916" t="str">
        <f t="shared" ref="M32:M40" si="7">IFERROR(E32/M$30,"")</f>
        <v/>
      </c>
      <c r="N32" s="916">
        <f t="shared" si="4"/>
        <v>2.5195618153364632</v>
      </c>
      <c r="Y32" s="863"/>
      <c r="AC32" s="863"/>
    </row>
    <row r="33" spans="2:29" ht="19.5" customHeight="1">
      <c r="B33" s="863"/>
      <c r="C33" s="915">
        <v>3</v>
      </c>
      <c r="D33" s="888" t="s">
        <v>270</v>
      </c>
      <c r="E33" s="1077">
        <f t="shared" si="5"/>
        <v>560239.61128833331</v>
      </c>
      <c r="F33" s="1077"/>
      <c r="G33" s="916"/>
      <c r="H33" s="917">
        <f t="shared" ref="H33" si="8">E33/E$41</f>
        <v>0.34967287572590444</v>
      </c>
      <c r="I33" s="916">
        <f t="shared" ref="I33" si="9">E33/I$30</f>
        <v>9.3373268548055552</v>
      </c>
      <c r="M33" s="916" t="str">
        <f t="shared" si="7"/>
        <v/>
      </c>
      <c r="N33" s="916">
        <f t="shared" ref="N33" si="10">E33/N$30</f>
        <v>373.4930741922222</v>
      </c>
      <c r="Y33" s="863"/>
      <c r="AC33" s="863"/>
    </row>
    <row r="34" spans="2:29" ht="19.5" customHeight="1">
      <c r="B34" s="863"/>
      <c r="C34" s="915">
        <v>4</v>
      </c>
      <c r="D34" s="888" t="s">
        <v>271</v>
      </c>
      <c r="E34" s="1077">
        <f t="shared" si="5"/>
        <v>245065.91999999998</v>
      </c>
      <c r="F34" s="1077"/>
      <c r="G34" s="916"/>
      <c r="H34" s="917">
        <f t="shared" ref="H34" si="11">E34/E$41</f>
        <v>0.15295759753894242</v>
      </c>
      <c r="I34" s="916">
        <f t="shared" ref="I34" si="12">E34/I$30</f>
        <v>4.0844319999999996</v>
      </c>
      <c r="M34" s="916" t="str">
        <f t="shared" si="7"/>
        <v/>
      </c>
      <c r="N34" s="916">
        <f t="shared" ref="N34" si="13">E34/N$30</f>
        <v>163.37727999999998</v>
      </c>
      <c r="Y34" s="863"/>
      <c r="AC34" s="863"/>
    </row>
    <row r="35" spans="2:29" ht="19.5" customHeight="1">
      <c r="B35" s="863"/>
      <c r="C35" s="915">
        <v>5</v>
      </c>
      <c r="D35" s="888" t="s">
        <v>272</v>
      </c>
      <c r="E35" s="1077">
        <f t="shared" si="5"/>
        <v>17216.633119999999</v>
      </c>
      <c r="F35" s="1077"/>
      <c r="G35" s="916"/>
      <c r="H35" s="917">
        <f t="shared" ref="H35:H40" si="14">E35/E$41</f>
        <v>1.0745740736796804E-2</v>
      </c>
      <c r="I35" s="916">
        <f t="shared" si="6"/>
        <v>0.28694388533333332</v>
      </c>
      <c r="M35" s="916" t="str">
        <f t="shared" si="7"/>
        <v/>
      </c>
      <c r="N35" s="916">
        <f t="shared" si="4"/>
        <v>11.477755413333332</v>
      </c>
      <c r="Y35" s="863"/>
      <c r="AC35" s="863"/>
    </row>
    <row r="36" spans="2:29" ht="19.5" customHeight="1">
      <c r="B36" s="863"/>
      <c r="C36" s="915">
        <v>6</v>
      </c>
      <c r="D36" s="888" t="s">
        <v>273</v>
      </c>
      <c r="E36" s="1077">
        <f t="shared" si="5"/>
        <v>30324.933869999997</v>
      </c>
      <c r="F36" s="1077"/>
      <c r="G36" s="916"/>
      <c r="H36" s="917">
        <f t="shared" si="14"/>
        <v>1.8927270794252028E-2</v>
      </c>
      <c r="I36" s="916">
        <f t="shared" si="6"/>
        <v>0.50541556449999991</v>
      </c>
      <c r="M36" s="916" t="str">
        <f t="shared" si="7"/>
        <v/>
      </c>
      <c r="N36" s="916">
        <f t="shared" si="4"/>
        <v>20.216622579999999</v>
      </c>
      <c r="Y36" s="863"/>
      <c r="AC36" s="863"/>
    </row>
    <row r="37" spans="2:29" ht="19.5" customHeight="1">
      <c r="B37" s="863"/>
      <c r="C37" s="915">
        <v>7</v>
      </c>
      <c r="D37" s="888" t="s">
        <v>274</v>
      </c>
      <c r="E37" s="1077">
        <f t="shared" si="5"/>
        <v>1207.1399999999999</v>
      </c>
      <c r="F37" s="1077"/>
      <c r="G37" s="916"/>
      <c r="H37" s="917">
        <f t="shared" si="14"/>
        <v>7.5343497085665341E-4</v>
      </c>
      <c r="I37" s="916">
        <f t="shared" si="6"/>
        <v>2.0118999999999998E-2</v>
      </c>
      <c r="M37" s="916" t="str">
        <f t="shared" si="7"/>
        <v/>
      </c>
      <c r="N37" s="916">
        <f t="shared" si="4"/>
        <v>0.80475999999999992</v>
      </c>
      <c r="Y37" s="863"/>
      <c r="AC37" s="863"/>
    </row>
    <row r="38" spans="2:29" ht="19.5" customHeight="1">
      <c r="B38" s="863"/>
      <c r="C38" s="915">
        <v>8</v>
      </c>
      <c r="D38" s="888" t="s">
        <v>276</v>
      </c>
      <c r="E38" s="1077">
        <f t="shared" si="5"/>
        <v>10082.133333333335</v>
      </c>
      <c r="F38" s="1077"/>
      <c r="G38" s="916"/>
      <c r="H38" s="917">
        <f t="shared" si="14"/>
        <v>6.2927513247617479E-3</v>
      </c>
      <c r="I38" s="916">
        <f t="shared" si="6"/>
        <v>0.16803555555555558</v>
      </c>
      <c r="M38" s="916" t="str">
        <f t="shared" si="7"/>
        <v/>
      </c>
      <c r="N38" s="916">
        <f t="shared" si="4"/>
        <v>6.7214222222222233</v>
      </c>
      <c r="Y38" s="863"/>
      <c r="AC38" s="863"/>
    </row>
    <row r="39" spans="2:29" ht="19.5" customHeight="1">
      <c r="B39" s="863"/>
      <c r="C39" s="915">
        <v>9</v>
      </c>
      <c r="D39" s="888" t="s">
        <v>277</v>
      </c>
      <c r="E39" s="1077">
        <f t="shared" si="5"/>
        <v>338133.79454066226</v>
      </c>
      <c r="F39" s="1077"/>
      <c r="G39" s="916"/>
      <c r="H39" s="917">
        <f t="shared" si="14"/>
        <v>0.21104579885961325</v>
      </c>
      <c r="I39" s="916">
        <f t="shared" si="6"/>
        <v>5.6355632423443707</v>
      </c>
      <c r="M39" s="916" t="str">
        <f t="shared" si="7"/>
        <v/>
      </c>
      <c r="N39" s="916">
        <f t="shared" si="4"/>
        <v>225.42252969377483</v>
      </c>
      <c r="Y39" s="863"/>
      <c r="AC39" s="863"/>
    </row>
    <row r="40" spans="2:29" ht="19.5" customHeight="1">
      <c r="B40" s="863"/>
      <c r="C40" s="915">
        <v>10</v>
      </c>
      <c r="D40" s="888" t="s">
        <v>279</v>
      </c>
      <c r="E40" s="1077">
        <f t="shared" si="5"/>
        <v>225587.55950873042</v>
      </c>
      <c r="F40" s="1077"/>
      <c r="G40" s="916"/>
      <c r="H40" s="917">
        <f t="shared" si="14"/>
        <v>0.14080020239912844</v>
      </c>
      <c r="I40" s="916">
        <f t="shared" ref="I40" si="15">E40/I$30</f>
        <v>3.7597926584788404</v>
      </c>
      <c r="M40" s="916" t="str">
        <f t="shared" si="7"/>
        <v/>
      </c>
      <c r="N40" s="916">
        <f t="shared" ref="N40" si="16">E40/N$30</f>
        <v>150.39170633915361</v>
      </c>
      <c r="Y40" s="863"/>
      <c r="AC40" s="863"/>
    </row>
    <row r="41" spans="2:29" ht="19.5" customHeight="1">
      <c r="B41" s="863"/>
      <c r="C41" s="915">
        <v>11</v>
      </c>
      <c r="D41" s="888"/>
      <c r="E41" s="1079">
        <f>SUM(E31:F40)</f>
        <v>1602182.0683840639</v>
      </c>
      <c r="F41" s="1079"/>
      <c r="G41" s="916"/>
      <c r="H41" s="918">
        <f>SUM(H31:H40)</f>
        <v>1</v>
      </c>
      <c r="I41" s="919">
        <f>SUM(I31:I40)</f>
        <v>26.703034473067735</v>
      </c>
      <c r="M41" s="919">
        <f>SUM(M31:M39)</f>
        <v>0</v>
      </c>
      <c r="N41" s="919">
        <f>SUM(N31:N39)</f>
        <v>917.72967258355584</v>
      </c>
      <c r="Y41" s="863"/>
      <c r="AC41" s="863"/>
    </row>
    <row r="42" spans="2:29" ht="19.5" hidden="1" customHeight="1">
      <c r="B42" s="863"/>
      <c r="C42" s="915"/>
      <c r="D42" s="920"/>
      <c r="E42" s="1078"/>
      <c r="F42" s="1078"/>
      <c r="G42" s="921"/>
      <c r="H42" s="922"/>
      <c r="Y42" s="863"/>
      <c r="AC42" s="863"/>
    </row>
    <row r="43" spans="2:29" ht="19.5" hidden="1" customHeight="1">
      <c r="B43" s="906"/>
      <c r="C43" s="915"/>
      <c r="D43" s="923"/>
      <c r="E43" s="1089" t="e">
        <f>E41/E42</f>
        <v>#DIV/0!</v>
      </c>
      <c r="F43" s="1089"/>
      <c r="G43" s="924"/>
      <c r="H43" s="925"/>
      <c r="Y43" s="906"/>
      <c r="AC43" s="906"/>
    </row>
    <row r="44" spans="2:29" ht="15" thickBot="1">
      <c r="B44" s="906"/>
      <c r="C44" s="907"/>
      <c r="D44" s="907"/>
      <c r="E44" s="907"/>
      <c r="F44" s="907"/>
      <c r="G44" s="907"/>
      <c r="H44" s="907"/>
      <c r="I44" s="907"/>
      <c r="J44" s="907"/>
      <c r="K44" s="907"/>
      <c r="L44" s="907"/>
      <c r="M44" s="907"/>
      <c r="N44" s="907"/>
      <c r="O44" s="907"/>
      <c r="P44" s="907"/>
      <c r="Q44" s="907"/>
      <c r="R44" s="907"/>
      <c r="S44" s="907"/>
      <c r="T44" s="907"/>
      <c r="U44" s="907"/>
      <c r="V44" s="907"/>
      <c r="W44" s="907"/>
      <c r="X44" s="907"/>
      <c r="Y44" s="907"/>
      <c r="Z44" s="907"/>
      <c r="AA44" s="907"/>
      <c r="AB44" s="907"/>
      <c r="AC44" s="863"/>
    </row>
    <row r="45" spans="2:29" ht="15" thickTop="1"/>
  </sheetData>
  <mergeCells count="20">
    <mergeCell ref="E43:F43"/>
    <mergeCell ref="E37:F37"/>
    <mergeCell ref="E38:F38"/>
    <mergeCell ref="E41:F41"/>
    <mergeCell ref="E31:F31"/>
    <mergeCell ref="E39:F39"/>
    <mergeCell ref="E36:F36"/>
    <mergeCell ref="E32:F32"/>
    <mergeCell ref="E33:F33"/>
    <mergeCell ref="E3:M5"/>
    <mergeCell ref="E35:F35"/>
    <mergeCell ref="E42:F42"/>
    <mergeCell ref="E30:F30"/>
    <mergeCell ref="D6:M6"/>
    <mergeCell ref="D7:M7"/>
    <mergeCell ref="C9:N9"/>
    <mergeCell ref="C10:M10"/>
    <mergeCell ref="E34:F34"/>
    <mergeCell ref="E40:F40"/>
    <mergeCell ref="C28:N28"/>
  </mergeCells>
  <pageMargins left="0.25" right="0.25" top="0.75" bottom="0.75" header="0.3" footer="0.3"/>
  <pageSetup paperSize="9" scale="3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21">
    <tabColor theme="9" tint="0.59999389629810485"/>
    <pageSetUpPr fitToPage="1"/>
  </sheetPr>
  <dimension ref="A1:AH97"/>
  <sheetViews>
    <sheetView showGridLines="0" topLeftCell="A28" zoomScaleNormal="100" zoomScaleSheetLayoutView="100" workbookViewId="0">
      <selection activeCell="G60" sqref="G60"/>
    </sheetView>
  </sheetViews>
  <sheetFormatPr defaultColWidth="9.140625" defaultRowHeight="18" customHeight="1"/>
  <cols>
    <col min="1" max="1" width="3.42578125" style="80" customWidth="1"/>
    <col min="2" max="2" width="8.42578125" style="80" customWidth="1"/>
    <col min="3" max="3" width="37.85546875" style="80" customWidth="1"/>
    <col min="4" max="4" width="15.28515625" style="80" customWidth="1"/>
    <col min="5" max="5" width="17.42578125" style="80" customWidth="1"/>
    <col min="6" max="6" width="17.85546875" style="80" customWidth="1"/>
    <col min="7" max="7" width="16.140625" style="80" customWidth="1"/>
    <col min="8" max="8" width="18.140625" style="80" customWidth="1"/>
    <col min="9" max="9" width="16.7109375" style="80" customWidth="1"/>
    <col min="10" max="10" width="11.7109375" style="80" bestFit="1" customWidth="1"/>
    <col min="11" max="11" width="10.42578125" style="80" bestFit="1" customWidth="1"/>
    <col min="12" max="12" width="20.7109375" style="80" bestFit="1" customWidth="1"/>
    <col min="13" max="13" width="9.140625" style="80"/>
    <col min="14" max="14" width="9.85546875" style="80" bestFit="1" customWidth="1"/>
    <col min="15" max="15" width="12.140625" style="80" bestFit="1" customWidth="1"/>
    <col min="16" max="16384" width="9.140625" style="80"/>
  </cols>
  <sheetData>
    <row r="1" spans="1:34" ht="18" customHeight="1">
      <c r="B1" s="490"/>
      <c r="C1" s="218"/>
      <c r="D1" s="218"/>
      <c r="E1" s="218"/>
      <c r="F1" s="218"/>
      <c r="G1" s="218"/>
      <c r="H1" s="219"/>
    </row>
    <row r="2" spans="1:34" ht="18" customHeight="1">
      <c r="B2" s="491"/>
      <c r="H2" s="221"/>
    </row>
    <row r="3" spans="1:34" ht="18" customHeight="1">
      <c r="B3" s="491"/>
      <c r="H3" s="221"/>
    </row>
    <row r="4" spans="1:34" ht="22.5" customHeight="1">
      <c r="B4" s="1100" t="s">
        <v>293</v>
      </c>
      <c r="C4" s="961"/>
      <c r="D4" s="961"/>
      <c r="E4" s="961"/>
      <c r="F4" s="961"/>
      <c r="G4" s="961"/>
      <c r="H4" s="1101"/>
    </row>
    <row r="5" spans="1:34" ht="18" customHeight="1">
      <c r="B5" s="492"/>
      <c r="C5" s="223"/>
      <c r="D5" s="223"/>
      <c r="E5" s="223"/>
      <c r="F5" s="223"/>
      <c r="G5" s="223"/>
      <c r="H5" s="224"/>
    </row>
    <row r="6" spans="1:34" ht="18" customHeight="1">
      <c r="B6" s="1102" t="s">
        <v>294</v>
      </c>
      <c r="C6" s="1103"/>
      <c r="D6" s="1103"/>
      <c r="E6" s="1103"/>
      <c r="F6" s="1103"/>
      <c r="G6" s="1103"/>
      <c r="H6" s="1104"/>
    </row>
    <row r="7" spans="1:34" s="29" customFormat="1" ht="39" customHeight="1">
      <c r="A7" s="175"/>
      <c r="B7" s="171" t="s">
        <v>1</v>
      </c>
      <c r="C7" s="488" t="s">
        <v>295</v>
      </c>
      <c r="D7" s="177" t="s">
        <v>296</v>
      </c>
      <c r="E7" s="172" t="s">
        <v>297</v>
      </c>
      <c r="F7" s="172" t="s">
        <v>213</v>
      </c>
      <c r="G7" s="172" t="s">
        <v>298</v>
      </c>
      <c r="H7" s="173" t="s">
        <v>190</v>
      </c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</row>
    <row r="8" spans="1:34" ht="18" customHeight="1">
      <c r="B8" s="129">
        <v>1</v>
      </c>
      <c r="C8" s="489" t="str">
        <f>'Tabela Mão de obra'!C6</f>
        <v>SUPERVISOR OBRA</v>
      </c>
      <c r="D8" s="85">
        <v>0</v>
      </c>
      <c r="E8" s="85" t="s">
        <v>200</v>
      </c>
      <c r="F8" s="85">
        <f>IFERROR(HLOOKUP(C8,'Tabela Mão de obra'!B$6:O$34,29,0),"")</f>
        <v>77.474710144927542</v>
      </c>
      <c r="G8" s="85">
        <v>0</v>
      </c>
      <c r="H8" s="118">
        <f t="shared" ref="H8:H14" si="0">IFERROR(F8*G8,"-")</f>
        <v>0</v>
      </c>
      <c r="I8" s="82"/>
    </row>
    <row r="9" spans="1:34" ht="18" customHeight="1">
      <c r="B9" s="129">
        <v>2</v>
      </c>
      <c r="C9" s="489" t="s">
        <v>143</v>
      </c>
      <c r="D9" s="85">
        <v>0</v>
      </c>
      <c r="E9" s="85" t="s">
        <v>200</v>
      </c>
      <c r="F9" s="85">
        <f>IFERROR(HLOOKUP(C9,'Tabela Mão de obra'!B$6:O$34,29,0),"")</f>
        <v>39.581080405797103</v>
      </c>
      <c r="G9" s="85">
        <v>0</v>
      </c>
      <c r="H9" s="118">
        <f t="shared" si="0"/>
        <v>0</v>
      </c>
      <c r="I9" s="82"/>
    </row>
    <row r="10" spans="1:34" ht="18" customHeight="1">
      <c r="B10" s="129">
        <v>3</v>
      </c>
      <c r="C10" s="489" t="s">
        <v>141</v>
      </c>
      <c r="D10" s="85">
        <v>0</v>
      </c>
      <c r="E10" s="85" t="s">
        <v>200</v>
      </c>
      <c r="F10" s="85">
        <f>IFERROR(HLOOKUP(C10,'Tabela Mão de obra'!B$6:O$34,29,0),"")</f>
        <v>48.642167362318837</v>
      </c>
      <c r="G10" s="85">
        <v>0</v>
      </c>
      <c r="H10" s="118">
        <f t="shared" si="0"/>
        <v>0</v>
      </c>
      <c r="I10" s="82"/>
    </row>
    <row r="11" spans="1:34" ht="18" customHeight="1">
      <c r="B11" s="129">
        <v>4</v>
      </c>
      <c r="C11" s="489"/>
      <c r="D11" s="85">
        <v>0</v>
      </c>
      <c r="E11" s="85"/>
      <c r="F11" s="85" t="str">
        <f>F12</f>
        <v/>
      </c>
      <c r="G11" s="85"/>
      <c r="H11" s="118" t="str">
        <f t="shared" ref="H11" si="1">IFERROR(F11*G11,"-")</f>
        <v>-</v>
      </c>
      <c r="I11" s="82"/>
    </row>
    <row r="12" spans="1:34" ht="18" hidden="1" customHeight="1">
      <c r="B12" s="129">
        <v>5</v>
      </c>
      <c r="C12" s="489"/>
      <c r="D12" s="85">
        <v>0</v>
      </c>
      <c r="E12" s="85"/>
      <c r="F12" s="85" t="str">
        <f>IFERROR(HLOOKUP(C12,'Tabela Mão de obra'!B$6:O$34,29,0),"")</f>
        <v/>
      </c>
      <c r="G12" s="85"/>
      <c r="H12" s="118" t="str">
        <f t="shared" si="0"/>
        <v>-</v>
      </c>
      <c r="I12" s="82"/>
    </row>
    <row r="13" spans="1:34" ht="17.25" hidden="1" customHeight="1">
      <c r="B13" s="129"/>
      <c r="C13" s="489"/>
      <c r="D13" s="85"/>
      <c r="E13" s="85"/>
      <c r="F13" s="85" t="str">
        <f>IFERROR(HLOOKUP(C13,'Tabela Mão de obra'!B$6:O$34,29,0),"")</f>
        <v/>
      </c>
      <c r="G13" s="85"/>
      <c r="H13" s="118" t="str">
        <f t="shared" si="0"/>
        <v>-</v>
      </c>
      <c r="I13" s="82"/>
    </row>
    <row r="14" spans="1:34" ht="18" hidden="1" customHeight="1">
      <c r="B14" s="129"/>
      <c r="C14" s="489"/>
      <c r="D14" s="85"/>
      <c r="E14" s="85"/>
      <c r="F14" s="85" t="str">
        <f>IFERROR(HLOOKUP(C14,'Tabela Mão de obra'!B$6:O$34,29,0),"")</f>
        <v/>
      </c>
      <c r="G14" s="85"/>
      <c r="H14" s="118" t="str">
        <f t="shared" si="0"/>
        <v>-</v>
      </c>
      <c r="I14" s="82"/>
    </row>
    <row r="15" spans="1:34" s="42" customFormat="1" ht="18" customHeight="1">
      <c r="B15" s="1054" t="s">
        <v>299</v>
      </c>
      <c r="C15" s="1055"/>
      <c r="D15" s="1055"/>
      <c r="E15" s="1092">
        <f>SUM(H8:H14)</f>
        <v>0</v>
      </c>
      <c r="F15" s="1092"/>
      <c r="G15" s="1092"/>
      <c r="H15" s="1093"/>
    </row>
    <row r="16" spans="1:34" s="42" customFormat="1" ht="18" customHeight="1">
      <c r="B16" s="1054" t="s">
        <v>209</v>
      </c>
      <c r="C16" s="1055"/>
      <c r="D16" s="1055"/>
      <c r="E16" s="1105"/>
      <c r="F16" s="1105"/>
      <c r="G16" s="1105"/>
      <c r="H16" s="1106"/>
    </row>
    <row r="17" spans="2:34" ht="22.5" customHeight="1">
      <c r="B17" s="1033" t="s">
        <v>300</v>
      </c>
      <c r="C17" s="1034"/>
      <c r="D17" s="1034"/>
      <c r="E17" s="1034"/>
      <c r="F17" s="1034"/>
      <c r="G17" s="1034"/>
      <c r="H17" s="1035"/>
    </row>
    <row r="18" spans="2:34" ht="54" customHeight="1">
      <c r="B18" s="171" t="s">
        <v>1</v>
      </c>
      <c r="C18" s="176" t="s">
        <v>211</v>
      </c>
      <c r="D18" s="177" t="s">
        <v>301</v>
      </c>
      <c r="E18" s="172" t="s">
        <v>302</v>
      </c>
      <c r="F18" s="172" t="s">
        <v>213</v>
      </c>
      <c r="G18" s="172" t="s">
        <v>215</v>
      </c>
      <c r="H18" s="178" t="s">
        <v>190</v>
      </c>
      <c r="I18" s="82"/>
    </row>
    <row r="19" spans="2:34" ht="18" customHeight="1">
      <c r="B19" s="129">
        <v>1</v>
      </c>
      <c r="C19" s="210" t="s">
        <v>303</v>
      </c>
      <c r="D19" s="85">
        <v>1</v>
      </c>
      <c r="E19" s="85" t="s">
        <v>304</v>
      </c>
      <c r="F19" s="85">
        <v>3500</v>
      </c>
      <c r="G19" s="85">
        <v>1</v>
      </c>
      <c r="H19" s="118">
        <f>D19*F19*G19</f>
        <v>3500</v>
      </c>
      <c r="I19" s="82"/>
    </row>
    <row r="20" spans="2:34" ht="18" customHeight="1">
      <c r="B20" s="129">
        <v>2</v>
      </c>
      <c r="C20" s="210" t="s">
        <v>305</v>
      </c>
      <c r="D20" s="85">
        <v>0</v>
      </c>
      <c r="E20" s="85" t="s">
        <v>304</v>
      </c>
      <c r="F20" s="85">
        <f>4500+1500</f>
        <v>6000</v>
      </c>
      <c r="G20" s="85">
        <v>0</v>
      </c>
      <c r="H20" s="118">
        <f t="shared" ref="H20:H27" si="2">D20*F20*G20</f>
        <v>0</v>
      </c>
      <c r="I20" s="82"/>
    </row>
    <row r="21" spans="2:34" ht="18" customHeight="1">
      <c r="B21" s="129">
        <v>3</v>
      </c>
      <c r="C21" s="210" t="s">
        <v>306</v>
      </c>
      <c r="D21" s="85">
        <v>1</v>
      </c>
      <c r="E21" s="85" t="s">
        <v>268</v>
      </c>
      <c r="F21" s="85">
        <v>700</v>
      </c>
      <c r="G21" s="85">
        <v>2</v>
      </c>
      <c r="H21" s="118">
        <f t="shared" si="2"/>
        <v>1400</v>
      </c>
      <c r="I21" s="82"/>
    </row>
    <row r="22" spans="2:34" ht="18" customHeight="1">
      <c r="B22" s="129">
        <v>4</v>
      </c>
      <c r="C22" s="210" t="s">
        <v>307</v>
      </c>
      <c r="D22" s="85">
        <v>1</v>
      </c>
      <c r="E22" s="85" t="s">
        <v>268</v>
      </c>
      <c r="F22" s="85">
        <v>800</v>
      </c>
      <c r="G22" s="85">
        <v>1</v>
      </c>
      <c r="H22" s="118">
        <f t="shared" si="2"/>
        <v>800</v>
      </c>
      <c r="I22" s="82"/>
    </row>
    <row r="23" spans="2:34" ht="18" customHeight="1">
      <c r="B23" s="129">
        <v>5</v>
      </c>
      <c r="C23" s="489" t="s">
        <v>308</v>
      </c>
      <c r="D23" s="85">
        <v>1</v>
      </c>
      <c r="E23" s="85" t="s">
        <v>309</v>
      </c>
      <c r="F23" s="85">
        <v>1000</v>
      </c>
      <c r="G23" s="85">
        <v>2</v>
      </c>
      <c r="H23" s="118">
        <f t="shared" si="2"/>
        <v>2000</v>
      </c>
      <c r="I23" s="82"/>
    </row>
    <row r="24" spans="2:34" ht="18" customHeight="1">
      <c r="B24" s="129">
        <v>6</v>
      </c>
      <c r="C24" s="489" t="s">
        <v>310</v>
      </c>
      <c r="D24" s="85">
        <v>1</v>
      </c>
      <c r="E24" s="85" t="s">
        <v>268</v>
      </c>
      <c r="F24" s="85">
        <v>1000</v>
      </c>
      <c r="G24" s="85">
        <v>1</v>
      </c>
      <c r="H24" s="118">
        <f t="shared" si="2"/>
        <v>1000</v>
      </c>
      <c r="I24" s="82"/>
    </row>
    <row r="25" spans="2:34" ht="18" customHeight="1">
      <c r="B25" s="129">
        <v>7</v>
      </c>
      <c r="C25" s="489" t="s">
        <v>311</v>
      </c>
      <c r="D25" s="85">
        <v>1</v>
      </c>
      <c r="E25" s="85" t="s">
        <v>309</v>
      </c>
      <c r="F25" s="85">
        <v>2100</v>
      </c>
      <c r="G25" s="85">
        <v>6</v>
      </c>
      <c r="H25" s="118">
        <f t="shared" si="2"/>
        <v>12600</v>
      </c>
      <c r="I25" s="82"/>
    </row>
    <row r="26" spans="2:34" ht="18" customHeight="1">
      <c r="B26" s="129">
        <v>8</v>
      </c>
      <c r="C26" s="489" t="s">
        <v>312</v>
      </c>
      <c r="D26" s="85">
        <v>1</v>
      </c>
      <c r="E26" s="85" t="s">
        <v>309</v>
      </c>
      <c r="F26" s="85">
        <v>700</v>
      </c>
      <c r="G26" s="85">
        <f>45*2</f>
        <v>90</v>
      </c>
      <c r="H26" s="118">
        <f t="shared" si="2"/>
        <v>63000</v>
      </c>
      <c r="I26" s="82"/>
    </row>
    <row r="27" spans="2:34" ht="18" customHeight="1">
      <c r="B27" s="129">
        <v>9</v>
      </c>
      <c r="C27" s="489" t="s">
        <v>313</v>
      </c>
      <c r="D27" s="85">
        <v>1</v>
      </c>
      <c r="E27" s="85" t="s">
        <v>309</v>
      </c>
      <c r="F27" s="85">
        <v>350</v>
      </c>
      <c r="G27" s="85">
        <f>50*2</f>
        <v>100</v>
      </c>
      <c r="H27" s="118">
        <f t="shared" si="2"/>
        <v>35000</v>
      </c>
      <c r="I27" s="82"/>
    </row>
    <row r="28" spans="2:34" ht="18" customHeight="1">
      <c r="B28" s="129">
        <v>10</v>
      </c>
      <c r="C28" s="489" t="s">
        <v>314</v>
      </c>
      <c r="D28" s="85">
        <v>1</v>
      </c>
      <c r="E28" s="85" t="s">
        <v>309</v>
      </c>
      <c r="F28" s="85">
        <v>11000</v>
      </c>
      <c r="G28" s="85">
        <v>2</v>
      </c>
      <c r="H28" s="118">
        <f t="shared" ref="H28" si="3">D28*F28*G28</f>
        <v>22000</v>
      </c>
      <c r="I28" s="82"/>
    </row>
    <row r="29" spans="2:34" ht="18" customHeight="1">
      <c r="B29" s="129">
        <v>11</v>
      </c>
      <c r="C29" s="489" t="s">
        <v>315</v>
      </c>
      <c r="D29" s="85">
        <v>1</v>
      </c>
      <c r="E29" s="85" t="s">
        <v>309</v>
      </c>
      <c r="F29" s="85">
        <v>3500</v>
      </c>
      <c r="G29" s="85">
        <v>2</v>
      </c>
      <c r="H29" s="118">
        <f t="shared" ref="H29" si="4">D29*F29*G29</f>
        <v>7000</v>
      </c>
      <c r="I29" s="82"/>
    </row>
    <row r="30" spans="2:34" ht="18" customHeight="1">
      <c r="B30" s="129"/>
      <c r="C30" s="210"/>
      <c r="D30" s="85"/>
      <c r="E30" s="85"/>
      <c r="F30" s="85"/>
      <c r="G30" s="85"/>
      <c r="H30" s="118"/>
      <c r="I30" s="82"/>
    </row>
    <row r="31" spans="2:34" s="42" customFormat="1" ht="18" customHeight="1">
      <c r="B31" s="1061" t="s">
        <v>224</v>
      </c>
      <c r="C31" s="1062"/>
      <c r="D31" s="1062"/>
      <c r="E31" s="1092">
        <f>SUM(H19:H30)</f>
        <v>148300</v>
      </c>
      <c r="F31" s="1092"/>
      <c r="G31" s="1092"/>
      <c r="H31" s="1093"/>
    </row>
    <row r="32" spans="2:34" ht="18" customHeight="1">
      <c r="B32" s="1033" t="s">
        <v>225</v>
      </c>
      <c r="C32" s="1034"/>
      <c r="D32" s="1034"/>
      <c r="E32" s="1034"/>
      <c r="F32" s="1034"/>
      <c r="G32" s="1034"/>
      <c r="H32" s="1035"/>
      <c r="AH32" s="36"/>
    </row>
    <row r="33" spans="2:15" ht="41.1" hidden="1" customHeight="1">
      <c r="B33" s="171" t="s">
        <v>1</v>
      </c>
      <c r="C33" s="1038" t="s">
        <v>226</v>
      </c>
      <c r="D33" s="1039"/>
      <c r="E33" s="172" t="s">
        <v>227</v>
      </c>
      <c r="F33" s="172" t="s">
        <v>213</v>
      </c>
      <c r="G33" s="172" t="s">
        <v>228</v>
      </c>
      <c r="H33" s="173" t="s">
        <v>190</v>
      </c>
      <c r="I33" s="82"/>
      <c r="N33" s="287">
        <f>E15</f>
        <v>0</v>
      </c>
    </row>
    <row r="34" spans="2:15" ht="18" hidden="1" customHeight="1">
      <c r="B34" s="129">
        <v>1</v>
      </c>
      <c r="C34" s="1036"/>
      <c r="D34" s="1037"/>
      <c r="E34" s="85"/>
      <c r="F34" s="85"/>
      <c r="G34" s="85"/>
      <c r="H34" s="118">
        <f>F34*G34</f>
        <v>0</v>
      </c>
      <c r="I34" s="82"/>
      <c r="N34" s="287">
        <f>E31</f>
        <v>148300</v>
      </c>
    </row>
    <row r="35" spans="2:15" ht="18" hidden="1" customHeight="1">
      <c r="B35" s="129">
        <v>2</v>
      </c>
      <c r="C35" s="1036"/>
      <c r="D35" s="1037"/>
      <c r="E35" s="85"/>
      <c r="F35" s="85"/>
      <c r="G35" s="85"/>
      <c r="H35" s="118">
        <f>F35*G35</f>
        <v>0</v>
      </c>
      <c r="I35" s="82"/>
      <c r="M35" s="291">
        <v>0.2</v>
      </c>
      <c r="N35" s="289">
        <f>N33+N34</f>
        <v>148300</v>
      </c>
      <c r="O35" s="132">
        <f>N35*M35</f>
        <v>29660</v>
      </c>
    </row>
    <row r="36" spans="2:15" ht="18" hidden="1" customHeight="1">
      <c r="B36" s="129">
        <v>3</v>
      </c>
      <c r="C36" s="1036"/>
      <c r="D36" s="1037"/>
      <c r="E36" s="85"/>
      <c r="F36" s="85"/>
      <c r="G36" s="85"/>
      <c r="H36" s="118">
        <f>F36*G36</f>
        <v>0</v>
      </c>
      <c r="I36" s="82"/>
      <c r="M36" s="290">
        <v>1.2E-2</v>
      </c>
      <c r="N36" s="289">
        <f>N35+O35</f>
        <v>177960</v>
      </c>
      <c r="O36" s="132">
        <f>N36*M36</f>
        <v>2135.52</v>
      </c>
    </row>
    <row r="37" spans="2:15" ht="18" hidden="1" customHeight="1">
      <c r="B37" s="129">
        <v>4</v>
      </c>
      <c r="C37" s="1036"/>
      <c r="D37" s="1037"/>
      <c r="E37" s="85"/>
      <c r="F37" s="85"/>
      <c r="G37" s="85"/>
      <c r="H37" s="118">
        <f>F37*G37</f>
        <v>0</v>
      </c>
      <c r="I37" s="82"/>
      <c r="N37" s="288"/>
      <c r="O37" s="132">
        <f>O35+O36+N36</f>
        <v>209755.51999999999</v>
      </c>
    </row>
    <row r="38" spans="2:15" ht="18" hidden="1" customHeight="1">
      <c r="B38" s="129">
        <v>5</v>
      </c>
      <c r="C38" s="1036"/>
      <c r="D38" s="1037"/>
      <c r="E38" s="85"/>
      <c r="F38" s="85"/>
      <c r="G38" s="85"/>
      <c r="H38" s="118">
        <f>F38*G38</f>
        <v>0</v>
      </c>
      <c r="I38" s="82"/>
      <c r="N38" s="288"/>
    </row>
    <row r="39" spans="2:15" s="42" customFormat="1" ht="18" hidden="1" customHeight="1">
      <c r="B39" s="1061" t="s">
        <v>316</v>
      </c>
      <c r="C39" s="1062"/>
      <c r="D39" s="1062"/>
      <c r="E39" s="1092">
        <f>SUM(H34:H38)</f>
        <v>0</v>
      </c>
      <c r="F39" s="1092"/>
      <c r="G39" s="1092"/>
      <c r="H39" s="1093"/>
    </row>
    <row r="40" spans="2:15" ht="18" customHeight="1">
      <c r="B40" s="1033" t="s">
        <v>233</v>
      </c>
      <c r="C40" s="1034"/>
      <c r="D40" s="1034"/>
      <c r="E40" s="1034"/>
      <c r="F40" s="1034"/>
      <c r="G40" s="1034"/>
      <c r="H40" s="1035"/>
    </row>
    <row r="41" spans="2:15" ht="41.1" customHeight="1">
      <c r="B41" s="171" t="s">
        <v>1</v>
      </c>
      <c r="C41" s="488" t="s">
        <v>234</v>
      </c>
      <c r="D41" s="177" t="s">
        <v>317</v>
      </c>
      <c r="E41" s="172" t="s">
        <v>227</v>
      </c>
      <c r="F41" s="172" t="s">
        <v>213</v>
      </c>
      <c r="G41" s="172" t="s">
        <v>228</v>
      </c>
      <c r="H41" s="173" t="s">
        <v>190</v>
      </c>
      <c r="I41" s="82"/>
    </row>
    <row r="42" spans="2:15" ht="18" customHeight="1">
      <c r="B42" s="129">
        <v>1</v>
      </c>
      <c r="C42" s="489" t="s">
        <v>318</v>
      </c>
      <c r="D42" s="85">
        <v>1</v>
      </c>
      <c r="E42" s="85" t="s">
        <v>309</v>
      </c>
      <c r="F42" s="85">
        <v>0</v>
      </c>
      <c r="G42" s="85">
        <v>1</v>
      </c>
      <c r="H42" s="118">
        <f>D42*F42*G42</f>
        <v>0</v>
      </c>
      <c r="I42" s="82"/>
    </row>
    <row r="43" spans="2:15" ht="18" customHeight="1">
      <c r="B43" s="129">
        <v>2</v>
      </c>
      <c r="C43" s="489" t="s">
        <v>319</v>
      </c>
      <c r="D43" s="85">
        <f>6*22</f>
        <v>132</v>
      </c>
      <c r="E43" s="85" t="s">
        <v>309</v>
      </c>
      <c r="F43" s="85">
        <v>0</v>
      </c>
      <c r="G43" s="85">
        <v>1</v>
      </c>
      <c r="H43" s="118">
        <f>F43*G43*D43</f>
        <v>0</v>
      </c>
      <c r="I43" s="82"/>
    </row>
    <row r="44" spans="2:15" ht="18" customHeight="1">
      <c r="B44" s="129">
        <v>3</v>
      </c>
      <c r="C44" s="489"/>
      <c r="D44" s="85"/>
      <c r="E44" s="85"/>
      <c r="F44" s="85"/>
      <c r="G44" s="85"/>
      <c r="H44" s="118"/>
      <c r="I44" s="82"/>
    </row>
    <row r="45" spans="2:15" ht="18" hidden="1" customHeight="1">
      <c r="B45" s="129">
        <v>4</v>
      </c>
      <c r="C45" s="489"/>
      <c r="D45" s="85"/>
      <c r="E45" s="85"/>
      <c r="F45" s="85"/>
      <c r="G45" s="85"/>
      <c r="H45" s="118"/>
      <c r="I45" s="82"/>
    </row>
    <row r="46" spans="2:15" ht="18" hidden="1" customHeight="1">
      <c r="B46" s="129">
        <v>5</v>
      </c>
      <c r="C46" s="489"/>
      <c r="D46" s="85"/>
      <c r="E46" s="85"/>
      <c r="F46" s="85"/>
      <c r="G46" s="85"/>
      <c r="H46" s="118"/>
      <c r="I46" s="82"/>
    </row>
    <row r="47" spans="2:15" ht="18" hidden="1" customHeight="1">
      <c r="B47" s="129">
        <v>6</v>
      </c>
      <c r="C47" s="489"/>
      <c r="D47" s="85"/>
      <c r="E47" s="85"/>
      <c r="F47" s="85"/>
      <c r="G47" s="85"/>
      <c r="H47" s="118"/>
      <c r="I47" s="82"/>
    </row>
    <row r="48" spans="2:15" ht="18" hidden="1" customHeight="1">
      <c r="B48" s="129">
        <v>7</v>
      </c>
      <c r="C48" s="489"/>
      <c r="D48" s="85"/>
      <c r="E48" s="85"/>
      <c r="F48" s="85"/>
      <c r="G48" s="85"/>
      <c r="H48" s="118"/>
      <c r="I48" s="82"/>
    </row>
    <row r="49" spans="1:34" ht="18" customHeight="1">
      <c r="B49" s="129"/>
      <c r="C49" s="489"/>
      <c r="D49" s="85"/>
      <c r="E49" s="85"/>
      <c r="F49" s="85"/>
      <c r="G49" s="85"/>
      <c r="H49" s="118"/>
      <c r="I49" s="82"/>
    </row>
    <row r="50" spans="1:34" s="42" customFormat="1" ht="18" customHeight="1" thickBot="1">
      <c r="B50" s="1066" t="s">
        <v>235</v>
      </c>
      <c r="C50" s="1067"/>
      <c r="D50" s="1067"/>
      <c r="E50" s="1095">
        <f>SUM(H42:H49)</f>
        <v>0</v>
      </c>
      <c r="F50" s="1095"/>
      <c r="G50" s="1095"/>
      <c r="H50" s="1096"/>
    </row>
    <row r="51" spans="1:34" ht="18" customHeight="1" thickBot="1">
      <c r="B51" s="82"/>
      <c r="C51" s="86"/>
      <c r="D51" s="86"/>
      <c r="E51" s="87"/>
      <c r="F51" s="87"/>
      <c r="G51" s="87"/>
      <c r="H51" s="87"/>
    </row>
    <row r="52" spans="1:34" ht="18" customHeight="1" thickBot="1">
      <c r="B52" s="1097" t="s">
        <v>236</v>
      </c>
      <c r="C52" s="1098"/>
      <c r="D52" s="1098"/>
      <c r="E52" s="1098"/>
      <c r="F52" s="1098"/>
      <c r="G52" s="1099"/>
      <c r="H52" s="82"/>
    </row>
    <row r="53" spans="1:34" s="29" customFormat="1" ht="18" customHeight="1">
      <c r="A53" s="175"/>
      <c r="B53" s="171" t="s">
        <v>74</v>
      </c>
      <c r="C53" s="179" t="s">
        <v>320</v>
      </c>
      <c r="D53" s="1050" t="s">
        <v>237</v>
      </c>
      <c r="E53" s="1050"/>
      <c r="F53" s="1050"/>
      <c r="G53" s="181">
        <f>E15</f>
        <v>0</v>
      </c>
      <c r="H53" s="174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</row>
    <row r="54" spans="1:34" s="29" customFormat="1" ht="18" customHeight="1">
      <c r="A54" s="175"/>
      <c r="B54" s="171" t="s">
        <v>95</v>
      </c>
      <c r="C54" s="179" t="s">
        <v>321</v>
      </c>
      <c r="D54" s="1050" t="s">
        <v>238</v>
      </c>
      <c r="E54" s="1050"/>
      <c r="F54" s="1050"/>
      <c r="G54" s="181">
        <f>E31</f>
        <v>148300</v>
      </c>
      <c r="H54" s="174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</row>
    <row r="55" spans="1:34" s="29" customFormat="1" ht="18" customHeight="1">
      <c r="A55" s="175"/>
      <c r="B55" s="171" t="s">
        <v>116</v>
      </c>
      <c r="C55" s="179" t="s">
        <v>322</v>
      </c>
      <c r="D55" s="1050" t="s">
        <v>239</v>
      </c>
      <c r="E55" s="1050"/>
      <c r="F55" s="1050"/>
      <c r="G55" s="181">
        <f>E39</f>
        <v>0</v>
      </c>
      <c r="H55" s="174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</row>
    <row r="56" spans="1:34" s="29" customFormat="1" ht="18" customHeight="1">
      <c r="A56" s="175"/>
      <c r="B56" s="171" t="s">
        <v>124</v>
      </c>
      <c r="C56" s="179" t="s">
        <v>240</v>
      </c>
      <c r="D56" s="1050" t="s">
        <v>241</v>
      </c>
      <c r="E56" s="1050"/>
      <c r="F56" s="1050"/>
      <c r="G56" s="181">
        <f>E50</f>
        <v>0</v>
      </c>
      <c r="H56" s="174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</row>
    <row r="57" spans="1:34" s="29" customFormat="1" ht="18" customHeight="1">
      <c r="A57" s="175"/>
      <c r="B57" s="171"/>
      <c r="C57" s="179"/>
      <c r="D57" s="1091" t="s">
        <v>323</v>
      </c>
      <c r="E57" s="1091"/>
      <c r="F57" s="1091"/>
      <c r="G57" s="33">
        <f>SUM(G53:G56)</f>
        <v>148300</v>
      </c>
      <c r="H57" s="30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</row>
    <row r="58" spans="1:34" s="29" customFormat="1" ht="18" customHeight="1">
      <c r="A58" s="175"/>
      <c r="B58" s="171"/>
      <c r="C58" s="179"/>
      <c r="D58" s="180" t="s">
        <v>244</v>
      </c>
      <c r="E58" s="180"/>
      <c r="F58" s="182">
        <f>'Tabela BDI e Tributos'!I16</f>
        <v>0.15000000000000002</v>
      </c>
      <c r="G58" s="181">
        <f>G57*F58</f>
        <v>22245.000000000004</v>
      </c>
      <c r="H58" s="174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</row>
    <row r="59" spans="1:34" s="29" customFormat="1" ht="18" customHeight="1">
      <c r="A59" s="175"/>
      <c r="B59" s="171"/>
      <c r="C59" s="179"/>
      <c r="D59" s="31" t="s">
        <v>245</v>
      </c>
      <c r="E59" s="31"/>
      <c r="F59" s="41"/>
      <c r="G59" s="33">
        <f>G57+G58</f>
        <v>170545</v>
      </c>
      <c r="H59" s="30"/>
      <c r="I59" s="1049"/>
      <c r="J59" s="1049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</row>
    <row r="60" spans="1:34" s="29" customFormat="1" ht="18" customHeight="1">
      <c r="A60" s="175"/>
      <c r="B60" s="171"/>
      <c r="C60" s="179"/>
      <c r="D60" s="180" t="s">
        <v>246</v>
      </c>
      <c r="E60" s="180"/>
      <c r="F60" s="182">
        <v>0</v>
      </c>
      <c r="G60" s="183">
        <f>G61-G59</f>
        <v>0</v>
      </c>
      <c r="H60" s="30"/>
      <c r="I60" s="1049"/>
      <c r="J60" s="1049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</row>
    <row r="61" spans="1:34" s="29" customFormat="1" ht="18" customHeight="1">
      <c r="A61" s="175"/>
      <c r="B61" s="184"/>
      <c r="C61" s="185"/>
      <c r="D61" s="1031" t="s">
        <v>324</v>
      </c>
      <c r="E61" s="1032"/>
      <c r="F61" s="1094"/>
      <c r="G61" s="468">
        <f>G59/(1-F60)</f>
        <v>170545</v>
      </c>
      <c r="H61" s="30"/>
      <c r="I61" s="1049"/>
      <c r="J61" s="1049"/>
      <c r="K61" s="175"/>
      <c r="L61" s="394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</row>
    <row r="62" spans="1:34" ht="18" customHeight="1">
      <c r="B62" s="82"/>
      <c r="C62" s="82"/>
      <c r="D62" s="82"/>
      <c r="E62" s="82"/>
      <c r="F62" s="82"/>
      <c r="H62" s="30"/>
      <c r="I62" s="1049"/>
      <c r="J62" s="1049"/>
      <c r="K62" s="175"/>
      <c r="L62" s="394"/>
    </row>
    <row r="63" spans="1:34" ht="16.5" customHeight="1">
      <c r="B63" s="1090"/>
      <c r="C63" s="1090"/>
      <c r="D63" s="1090"/>
      <c r="E63" s="1090"/>
      <c r="F63" s="1090"/>
      <c r="G63" s="1090"/>
      <c r="H63" s="30"/>
      <c r="I63" s="1049"/>
      <c r="J63" s="1049"/>
      <c r="K63" s="175"/>
      <c r="L63" s="394"/>
    </row>
    <row r="64" spans="1:34" ht="18" customHeight="1">
      <c r="C64" s="34"/>
      <c r="D64" s="34"/>
      <c r="E64" s="34"/>
      <c r="F64" s="34"/>
      <c r="G64" s="34"/>
      <c r="H64" s="82"/>
    </row>
    <row r="65" spans="2:8" ht="18" customHeight="1">
      <c r="B65" s="82"/>
      <c r="C65" s="82"/>
      <c r="D65" s="82"/>
      <c r="E65" s="82"/>
      <c r="F65" s="82"/>
      <c r="G65" s="82"/>
      <c r="H65" s="82"/>
    </row>
    <row r="66" spans="2:8" ht="18" customHeight="1">
      <c r="B66" s="82"/>
      <c r="C66" s="82"/>
      <c r="D66" s="82"/>
      <c r="E66" s="82"/>
      <c r="F66" s="82"/>
      <c r="G66" s="82"/>
      <c r="H66" s="82"/>
    </row>
    <row r="67" spans="2:8" ht="18" customHeight="1">
      <c r="B67" s="82"/>
      <c r="C67" s="82"/>
      <c r="D67" s="82"/>
      <c r="E67" s="82"/>
      <c r="F67" s="82"/>
      <c r="G67" s="82"/>
      <c r="H67" s="82"/>
    </row>
    <row r="68" spans="2:8" ht="18" customHeight="1">
      <c r="B68" s="82"/>
      <c r="C68" s="82"/>
      <c r="D68" s="82"/>
      <c r="E68" s="82"/>
      <c r="F68" s="82"/>
      <c r="G68" s="82"/>
      <c r="H68" s="82"/>
    </row>
    <row r="69" spans="2:8" ht="18" customHeight="1">
      <c r="B69" s="82"/>
      <c r="C69" s="82"/>
      <c r="D69" s="82"/>
      <c r="E69" s="82"/>
      <c r="F69" s="82"/>
      <c r="G69" s="82"/>
      <c r="H69" s="82"/>
    </row>
    <row r="70" spans="2:8" ht="18" customHeight="1">
      <c r="B70" s="82"/>
      <c r="C70" s="82"/>
      <c r="D70" s="82"/>
      <c r="E70" s="82"/>
      <c r="F70" s="82"/>
      <c r="G70" s="82"/>
      <c r="H70" s="82"/>
    </row>
    <row r="71" spans="2:8" ht="18" customHeight="1">
      <c r="B71" s="82"/>
      <c r="C71" s="82"/>
      <c r="D71" s="82"/>
      <c r="E71" s="82"/>
      <c r="F71" s="82"/>
      <c r="G71" s="82"/>
      <c r="H71" s="82"/>
    </row>
    <row r="72" spans="2:8" ht="18" customHeight="1">
      <c r="B72" s="82"/>
      <c r="C72" s="82"/>
      <c r="D72" s="82"/>
      <c r="E72" s="82"/>
      <c r="F72" s="82"/>
      <c r="G72" s="82"/>
      <c r="H72" s="82"/>
    </row>
    <row r="73" spans="2:8" ht="18" customHeight="1">
      <c r="B73" s="82"/>
      <c r="C73" s="82"/>
      <c r="D73" s="82"/>
      <c r="E73" s="82"/>
      <c r="F73" s="82"/>
      <c r="G73" s="82"/>
      <c r="H73" s="82"/>
    </row>
    <row r="74" spans="2:8" ht="18" customHeight="1">
      <c r="B74" s="82"/>
      <c r="C74" s="82"/>
      <c r="D74" s="82"/>
      <c r="E74" s="82"/>
      <c r="F74" s="82"/>
      <c r="G74" s="82"/>
      <c r="H74" s="82"/>
    </row>
    <row r="75" spans="2:8" ht="18" customHeight="1">
      <c r="B75" s="82"/>
      <c r="C75" s="82"/>
      <c r="D75" s="82"/>
      <c r="E75" s="82"/>
      <c r="F75" s="82"/>
      <c r="G75" s="82"/>
      <c r="H75" s="82"/>
    </row>
    <row r="76" spans="2:8" ht="18" customHeight="1">
      <c r="B76" s="82"/>
      <c r="C76" s="82"/>
      <c r="D76" s="82"/>
      <c r="E76" s="82"/>
      <c r="F76" s="82"/>
      <c r="G76" s="82"/>
      <c r="H76" s="82"/>
    </row>
    <row r="77" spans="2:8" ht="18" customHeight="1">
      <c r="B77" s="82"/>
      <c r="C77" s="82"/>
      <c r="D77" s="82"/>
      <c r="E77" s="82"/>
      <c r="F77" s="82"/>
      <c r="G77" s="82"/>
      <c r="H77" s="82"/>
    </row>
    <row r="78" spans="2:8" ht="18" customHeight="1">
      <c r="B78" s="82"/>
      <c r="C78" s="82"/>
      <c r="D78" s="82"/>
      <c r="E78" s="82"/>
      <c r="F78" s="82"/>
      <c r="G78" s="82"/>
      <c r="H78" s="82"/>
    </row>
    <row r="79" spans="2:8" ht="18" customHeight="1">
      <c r="B79" s="82"/>
      <c r="C79" s="82"/>
      <c r="D79" s="82"/>
      <c r="E79" s="82"/>
      <c r="F79" s="82"/>
      <c r="G79" s="82"/>
      <c r="H79" s="82"/>
    </row>
    <row r="80" spans="2:8" ht="18" customHeight="1">
      <c r="B80" s="82"/>
      <c r="C80" s="82"/>
      <c r="D80" s="82"/>
      <c r="E80" s="82"/>
      <c r="F80" s="82"/>
      <c r="G80" s="82"/>
      <c r="H80" s="82"/>
    </row>
    <row r="81" spans="2:8" ht="18" customHeight="1">
      <c r="B81" s="82"/>
      <c r="C81" s="82"/>
      <c r="D81" s="82"/>
      <c r="E81" s="82"/>
      <c r="F81" s="82"/>
      <c r="G81" s="82"/>
      <c r="H81" s="82"/>
    </row>
    <row r="82" spans="2:8" ht="18" customHeight="1">
      <c r="B82" s="82"/>
      <c r="C82" s="82"/>
      <c r="D82" s="82"/>
      <c r="E82" s="82"/>
      <c r="F82" s="82"/>
      <c r="G82" s="82"/>
      <c r="H82" s="82"/>
    </row>
    <row r="83" spans="2:8" ht="18" customHeight="1">
      <c r="B83" s="82"/>
      <c r="C83" s="82"/>
      <c r="D83" s="82"/>
      <c r="E83" s="82"/>
      <c r="F83" s="82"/>
      <c r="G83" s="82"/>
      <c r="H83" s="82"/>
    </row>
    <row r="84" spans="2:8" ht="18" customHeight="1">
      <c r="B84" s="82"/>
      <c r="C84" s="82"/>
      <c r="D84" s="82"/>
      <c r="E84" s="82"/>
      <c r="F84" s="82"/>
      <c r="G84" s="82"/>
      <c r="H84" s="82"/>
    </row>
    <row r="85" spans="2:8" ht="18" customHeight="1">
      <c r="B85" s="82"/>
      <c r="C85" s="82"/>
      <c r="D85" s="82"/>
      <c r="E85" s="82"/>
      <c r="F85" s="82"/>
      <c r="G85" s="82"/>
      <c r="H85" s="82"/>
    </row>
    <row r="86" spans="2:8" ht="18" customHeight="1">
      <c r="B86" s="82"/>
      <c r="C86" s="82"/>
      <c r="D86" s="82"/>
      <c r="E86" s="82"/>
      <c r="F86" s="82"/>
      <c r="G86" s="82"/>
      <c r="H86" s="82"/>
    </row>
    <row r="87" spans="2:8" ht="18" customHeight="1">
      <c r="B87" s="82"/>
      <c r="C87" s="82"/>
      <c r="D87" s="82"/>
      <c r="E87" s="82"/>
      <c r="F87" s="82"/>
      <c r="G87" s="82"/>
      <c r="H87" s="82"/>
    </row>
    <row r="88" spans="2:8" ht="18" customHeight="1">
      <c r="B88" s="82"/>
      <c r="C88" s="82"/>
      <c r="D88" s="82"/>
      <c r="E88" s="82"/>
      <c r="F88" s="82"/>
      <c r="G88" s="82"/>
      <c r="H88" s="82"/>
    </row>
    <row r="89" spans="2:8" ht="18" customHeight="1">
      <c r="B89" s="82"/>
      <c r="C89" s="82"/>
      <c r="D89" s="82"/>
      <c r="E89" s="82"/>
      <c r="F89" s="82"/>
      <c r="G89" s="82"/>
      <c r="H89" s="82"/>
    </row>
    <row r="90" spans="2:8" ht="18" customHeight="1">
      <c r="B90" s="82"/>
      <c r="C90" s="82"/>
      <c r="D90" s="82"/>
      <c r="E90" s="82"/>
      <c r="F90" s="82"/>
      <c r="G90" s="82"/>
      <c r="H90" s="82"/>
    </row>
    <row r="91" spans="2:8" ht="18" customHeight="1">
      <c r="B91" s="82"/>
      <c r="C91" s="82"/>
      <c r="D91" s="82"/>
      <c r="E91" s="82"/>
      <c r="F91" s="82"/>
      <c r="G91" s="82"/>
      <c r="H91" s="82"/>
    </row>
    <row r="92" spans="2:8" ht="18" customHeight="1">
      <c r="B92" s="82"/>
      <c r="C92" s="82"/>
      <c r="D92" s="82"/>
      <c r="E92" s="82"/>
      <c r="F92" s="82"/>
      <c r="G92" s="82"/>
      <c r="H92" s="82"/>
    </row>
    <row r="93" spans="2:8" ht="18" customHeight="1">
      <c r="B93" s="82"/>
      <c r="C93" s="82"/>
      <c r="D93" s="82"/>
      <c r="E93" s="82"/>
      <c r="F93" s="82"/>
      <c r="G93" s="82"/>
      <c r="H93" s="82"/>
    </row>
    <row r="94" spans="2:8" ht="18" customHeight="1">
      <c r="B94" s="82"/>
      <c r="C94" s="82"/>
      <c r="D94" s="82"/>
      <c r="E94" s="82"/>
      <c r="F94" s="82"/>
      <c r="G94" s="82"/>
      <c r="H94" s="82"/>
    </row>
    <row r="95" spans="2:8" ht="18" customHeight="1">
      <c r="B95" s="82"/>
      <c r="C95" s="82"/>
      <c r="D95" s="82"/>
      <c r="E95" s="82"/>
      <c r="F95" s="82"/>
      <c r="G95" s="82"/>
      <c r="H95" s="82"/>
    </row>
    <row r="96" spans="2:8" ht="18" customHeight="1">
      <c r="B96" s="82"/>
      <c r="C96" s="82"/>
      <c r="D96" s="82"/>
      <c r="E96" s="82"/>
      <c r="F96" s="82"/>
      <c r="G96" s="82"/>
      <c r="H96" s="82"/>
    </row>
    <row r="97" spans="2:8" ht="18" customHeight="1">
      <c r="B97" s="82"/>
      <c r="C97" s="82"/>
      <c r="D97" s="82"/>
      <c r="E97" s="82"/>
      <c r="F97" s="82"/>
      <c r="G97" s="82"/>
      <c r="H97" s="82"/>
    </row>
  </sheetData>
  <mergeCells count="34">
    <mergeCell ref="I62:J62"/>
    <mergeCell ref="I63:J63"/>
    <mergeCell ref="B4:H4"/>
    <mergeCell ref="B6:H6"/>
    <mergeCell ref="E16:H16"/>
    <mergeCell ref="B15:D15"/>
    <mergeCell ref="E15:H15"/>
    <mergeCell ref="B16:D16"/>
    <mergeCell ref="C37:D37"/>
    <mergeCell ref="B17:H17"/>
    <mergeCell ref="B31:D31"/>
    <mergeCell ref="E31:H31"/>
    <mergeCell ref="B32:H32"/>
    <mergeCell ref="C33:D33"/>
    <mergeCell ref="C34:D34"/>
    <mergeCell ref="C35:D35"/>
    <mergeCell ref="C36:D36"/>
    <mergeCell ref="C38:D38"/>
    <mergeCell ref="I59:J59"/>
    <mergeCell ref="D61:F61"/>
    <mergeCell ref="B50:D50"/>
    <mergeCell ref="E50:H50"/>
    <mergeCell ref="B52:G52"/>
    <mergeCell ref="D53:F53"/>
    <mergeCell ref="D54:F54"/>
    <mergeCell ref="B40:H40"/>
    <mergeCell ref="I60:J60"/>
    <mergeCell ref="I61:J61"/>
    <mergeCell ref="B63:G63"/>
    <mergeCell ref="D55:F55"/>
    <mergeCell ref="D56:F56"/>
    <mergeCell ref="D57:F57"/>
    <mergeCell ref="B39:D39"/>
    <mergeCell ref="E39:H39"/>
  </mergeCells>
  <printOptions horizontalCentered="1" verticalCentered="1"/>
  <pageMargins left="0" right="0" top="0" bottom="0" header="0" footer="0"/>
  <pageSetup paperSize="9" scale="63" orientation="portrait" r:id="rId1"/>
  <headerFooter alignWithMargins="0"/>
  <ignoredErrors>
    <ignoredError sqref="F11" formula="1"/>
  </ignoredError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2">
    <tabColor rgb="FFFFFF00"/>
    <pageSetUpPr fitToPage="1"/>
  </sheetPr>
  <dimension ref="A1:AH91"/>
  <sheetViews>
    <sheetView showGridLines="0" topLeftCell="A28" zoomScaleNormal="100" zoomScaleSheetLayoutView="100" workbookViewId="0">
      <selection activeCell="D5" sqref="D5"/>
    </sheetView>
  </sheetViews>
  <sheetFormatPr defaultColWidth="9.140625" defaultRowHeight="18" customHeight="1"/>
  <cols>
    <col min="1" max="1" width="3.42578125" style="80" customWidth="1"/>
    <col min="2" max="2" width="8.42578125" style="34" customWidth="1"/>
    <col min="3" max="3" width="37.85546875" style="25" customWidth="1"/>
    <col min="4" max="4" width="12.5703125" style="80" customWidth="1"/>
    <col min="5" max="5" width="17.42578125" style="80" customWidth="1"/>
    <col min="6" max="6" width="17.85546875" style="80" customWidth="1"/>
    <col min="7" max="7" width="16.140625" style="80" customWidth="1"/>
    <col min="8" max="8" width="18.140625" style="80" customWidth="1"/>
    <col min="9" max="9" width="3.140625" style="80" customWidth="1"/>
    <col min="10" max="16384" width="9.140625" style="80"/>
  </cols>
  <sheetData>
    <row r="1" spans="1:34" ht="18" customHeight="1">
      <c r="B1" s="217"/>
      <c r="C1" s="225"/>
      <c r="D1" s="218"/>
      <c r="E1" s="218"/>
      <c r="F1" s="218"/>
      <c r="G1" s="218"/>
      <c r="H1" s="219"/>
    </row>
    <row r="2" spans="1:34" ht="18" customHeight="1">
      <c r="B2" s="220"/>
      <c r="H2" s="221"/>
    </row>
    <row r="3" spans="1:34" ht="18" customHeight="1">
      <c r="B3" s="220"/>
      <c r="H3" s="221"/>
    </row>
    <row r="4" spans="1:34" ht="22.5" customHeight="1">
      <c r="B4" s="1100" t="s">
        <v>325</v>
      </c>
      <c r="C4" s="961"/>
      <c r="D4" s="961"/>
      <c r="E4" s="961"/>
      <c r="F4" s="961"/>
      <c r="G4" s="961"/>
      <c r="H4" s="1101"/>
    </row>
    <row r="5" spans="1:34" ht="18" customHeight="1">
      <c r="B5" s="222"/>
      <c r="C5" s="226"/>
      <c r="D5" s="223"/>
      <c r="E5" s="223"/>
      <c r="F5" s="223"/>
      <c r="G5" s="223"/>
      <c r="H5" s="224"/>
    </row>
    <row r="6" spans="1:34" ht="18" customHeight="1">
      <c r="B6" s="1107" t="s">
        <v>326</v>
      </c>
      <c r="C6" s="1108"/>
      <c r="D6" s="1108"/>
      <c r="E6" s="1108"/>
      <c r="F6" s="1108"/>
      <c r="G6" s="1108"/>
      <c r="H6" s="1109"/>
    </row>
    <row r="7" spans="1:34" s="29" customFormat="1" ht="38.25" customHeight="1">
      <c r="A7" s="175"/>
      <c r="B7" s="186" t="s">
        <v>1</v>
      </c>
      <c r="C7" s="488" t="s">
        <v>295</v>
      </c>
      <c r="D7" s="177" t="s">
        <v>296</v>
      </c>
      <c r="E7" s="172" t="s">
        <v>297</v>
      </c>
      <c r="F7" s="172" t="s">
        <v>213</v>
      </c>
      <c r="G7" s="172" t="s">
        <v>298</v>
      </c>
      <c r="H7" s="173" t="s">
        <v>190</v>
      </c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</row>
    <row r="8" spans="1:34" ht="18" customHeight="1">
      <c r="B8" s="129">
        <v>1</v>
      </c>
      <c r="C8" s="489" t="str">
        <f>'Tabela Mão de obra'!C6</f>
        <v>SUPERVISOR OBRA</v>
      </c>
      <c r="D8" s="85">
        <v>0</v>
      </c>
      <c r="E8" s="85" t="s">
        <v>200</v>
      </c>
      <c r="F8" s="85">
        <f>IFERROR(HLOOKUP(C8,'Tabela Mão de obra'!B$6:O$34,29,0),"")</f>
        <v>77.474710144927542</v>
      </c>
      <c r="G8" s="85">
        <v>0</v>
      </c>
      <c r="H8" s="118">
        <f>F8*G8</f>
        <v>0</v>
      </c>
      <c r="I8" s="82"/>
    </row>
    <row r="9" spans="1:34" ht="18" customHeight="1">
      <c r="B9" s="140">
        <v>2</v>
      </c>
      <c r="C9" s="489" t="str">
        <f>'Tabela Mão de obra'!D6</f>
        <v>LIDER EQUIPE</v>
      </c>
      <c r="D9" s="85">
        <v>0</v>
      </c>
      <c r="E9" s="85" t="s">
        <v>200</v>
      </c>
      <c r="F9" s="85">
        <f>IFERROR(HLOOKUP(C9,'Tabela Mão de obra'!B$6:O$34,29,0),"")</f>
        <v>69.773145623188412</v>
      </c>
      <c r="G9" s="85">
        <v>0</v>
      </c>
      <c r="H9" s="118">
        <f>F9*G9</f>
        <v>0</v>
      </c>
      <c r="I9" s="82"/>
    </row>
    <row r="10" spans="1:34" ht="18" customHeight="1">
      <c r="B10" s="129">
        <v>3</v>
      </c>
      <c r="C10" s="489" t="s">
        <v>141</v>
      </c>
      <c r="D10" s="85">
        <v>0</v>
      </c>
      <c r="E10" s="85" t="s">
        <v>200</v>
      </c>
      <c r="F10" s="85">
        <f>IFERROR(HLOOKUP(C10,'Tabela Mão de obra'!B$6:O$34,29,0),"")</f>
        <v>48.642167362318837</v>
      </c>
      <c r="G10" s="85">
        <v>0</v>
      </c>
      <c r="H10" s="118">
        <f>F10*G10</f>
        <v>0</v>
      </c>
      <c r="I10" s="82"/>
    </row>
    <row r="11" spans="1:34" ht="18" customHeight="1">
      <c r="B11" s="140">
        <v>4</v>
      </c>
      <c r="C11" s="489" t="s">
        <v>140</v>
      </c>
      <c r="D11" s="85">
        <v>0</v>
      </c>
      <c r="E11" s="85" t="s">
        <v>200</v>
      </c>
      <c r="F11" s="85">
        <f>IFERROR(HLOOKUP(C11,'Tabela Mão de obra'!B$6:O$34,29,0),"")</f>
        <v>54.680580405797095</v>
      </c>
      <c r="G11" s="85">
        <f>D11*4*9</f>
        <v>0</v>
      </c>
      <c r="H11" s="118">
        <f t="shared" ref="H11:H16" si="0">F11*G11</f>
        <v>0</v>
      </c>
      <c r="I11" s="82"/>
    </row>
    <row r="12" spans="1:34" ht="18" customHeight="1">
      <c r="B12" s="129">
        <v>5</v>
      </c>
      <c r="C12" s="489" t="s">
        <v>142</v>
      </c>
      <c r="D12" s="85">
        <v>0</v>
      </c>
      <c r="E12" s="85" t="s">
        <v>200</v>
      </c>
      <c r="F12" s="85">
        <f>IFERROR(HLOOKUP(C12,'Tabela Mão de obra'!B$6:O$34,29,0),"")</f>
        <v>52.092689101449274</v>
      </c>
      <c r="G12" s="85">
        <v>0</v>
      </c>
      <c r="H12" s="118">
        <f t="shared" si="0"/>
        <v>0</v>
      </c>
      <c r="I12" s="82"/>
    </row>
    <row r="13" spans="1:34" ht="18" customHeight="1">
      <c r="B13" s="140">
        <v>6</v>
      </c>
      <c r="C13" s="489" t="s">
        <v>147</v>
      </c>
      <c r="D13" s="85">
        <v>0</v>
      </c>
      <c r="E13" s="85" t="s">
        <v>200</v>
      </c>
      <c r="F13" s="85">
        <f>IFERROR(HLOOKUP(C13,'Tabela Mão de obra'!B$6:O$34,29,0),"")</f>
        <v>47.153242753623189</v>
      </c>
      <c r="G13" s="85">
        <v>0</v>
      </c>
      <c r="H13" s="118">
        <f t="shared" si="0"/>
        <v>0</v>
      </c>
      <c r="I13" s="82"/>
    </row>
    <row r="14" spans="1:34" ht="18" customHeight="1">
      <c r="B14" s="129">
        <v>7</v>
      </c>
      <c r="C14" s="489" t="s">
        <v>146</v>
      </c>
      <c r="D14" s="85">
        <v>0</v>
      </c>
      <c r="E14" s="85" t="s">
        <v>200</v>
      </c>
      <c r="F14" s="85">
        <f>IFERROR(HLOOKUP(C14,'Tabela Mão de obra'!B$6:O$34,29,0),"")</f>
        <v>54.229291840579712</v>
      </c>
      <c r="G14" s="85">
        <f>D14*2*9</f>
        <v>0</v>
      </c>
      <c r="H14" s="118">
        <f t="shared" si="0"/>
        <v>0</v>
      </c>
      <c r="I14" s="82"/>
    </row>
    <row r="15" spans="1:34" ht="18" customHeight="1">
      <c r="B15" s="140">
        <v>8</v>
      </c>
      <c r="C15" s="489" t="s">
        <v>139</v>
      </c>
      <c r="D15" s="85">
        <v>0</v>
      </c>
      <c r="E15" s="85" t="s">
        <v>200</v>
      </c>
      <c r="F15" s="85">
        <f>IFERROR(HLOOKUP(C15,'Tabela Mão de obra'!B$6:O$34,29,0),"")</f>
        <v>56.908949275362318</v>
      </c>
      <c r="G15" s="85">
        <f>D15*4*9</f>
        <v>0</v>
      </c>
      <c r="H15" s="118">
        <f t="shared" si="0"/>
        <v>0</v>
      </c>
      <c r="I15" s="82"/>
    </row>
    <row r="16" spans="1:34" ht="18" customHeight="1">
      <c r="B16" s="129">
        <v>9</v>
      </c>
      <c r="C16" s="489" t="s">
        <v>148</v>
      </c>
      <c r="D16" s="85">
        <v>0</v>
      </c>
      <c r="E16" s="85" t="s">
        <v>200</v>
      </c>
      <c r="F16" s="85">
        <f>IFERROR(HLOOKUP(C16,'Tabela Mão de obra'!B$6:O$34,29,0),"")</f>
        <v>36.160824869565218</v>
      </c>
      <c r="G16" s="85">
        <f>D16*4*9</f>
        <v>0</v>
      </c>
      <c r="H16" s="118">
        <f t="shared" si="0"/>
        <v>0</v>
      </c>
      <c r="I16" s="82"/>
    </row>
    <row r="17" spans="2:34" ht="18" customHeight="1">
      <c r="B17" s="140">
        <v>10</v>
      </c>
      <c r="C17" s="1045"/>
      <c r="D17" s="1046"/>
      <c r="E17" s="85"/>
      <c r="F17" s="85"/>
      <c r="G17" s="85"/>
      <c r="H17" s="118">
        <f>F17*G17</f>
        <v>0</v>
      </c>
      <c r="I17" s="82"/>
    </row>
    <row r="18" spans="2:34" ht="18" customHeight="1">
      <c r="B18" s="129">
        <v>11</v>
      </c>
      <c r="C18" s="1045"/>
      <c r="D18" s="1046"/>
      <c r="E18" s="85"/>
      <c r="F18" s="85"/>
      <c r="G18" s="85"/>
      <c r="H18" s="118">
        <f>F18*G18</f>
        <v>0</v>
      </c>
      <c r="I18" s="82"/>
    </row>
    <row r="19" spans="2:34" s="42" customFormat="1" ht="18" customHeight="1">
      <c r="B19" s="1054" t="s">
        <v>299</v>
      </c>
      <c r="C19" s="1055"/>
      <c r="D19" s="1055"/>
      <c r="E19" s="1092">
        <f>SUM(H8:H18)</f>
        <v>0</v>
      </c>
      <c r="F19" s="1092"/>
      <c r="G19" s="1092"/>
      <c r="H19" s="1093"/>
    </row>
    <row r="20" spans="2:34" s="42" customFormat="1" ht="18" customHeight="1">
      <c r="B20" s="1054" t="s">
        <v>209</v>
      </c>
      <c r="C20" s="1055"/>
      <c r="D20" s="1055"/>
      <c r="E20" s="1105"/>
      <c r="F20" s="1105"/>
      <c r="G20" s="1105"/>
      <c r="H20" s="1106"/>
    </row>
    <row r="21" spans="2:34" ht="18" customHeight="1">
      <c r="B21" s="1033" t="s">
        <v>327</v>
      </c>
      <c r="C21" s="1034"/>
      <c r="D21" s="1034"/>
      <c r="E21" s="1034"/>
      <c r="F21" s="1034"/>
      <c r="G21" s="1034"/>
      <c r="H21" s="1035"/>
    </row>
    <row r="22" spans="2:34" ht="54" customHeight="1">
      <c r="B22" s="186" t="s">
        <v>1</v>
      </c>
      <c r="C22" s="209" t="s">
        <v>211</v>
      </c>
      <c r="D22" s="177" t="s">
        <v>301</v>
      </c>
      <c r="E22" s="172" t="s">
        <v>302</v>
      </c>
      <c r="F22" s="172" t="s">
        <v>213</v>
      </c>
      <c r="G22" s="172" t="s">
        <v>215</v>
      </c>
      <c r="H22" s="178" t="s">
        <v>190</v>
      </c>
      <c r="I22" s="82"/>
    </row>
    <row r="23" spans="2:34" ht="18" customHeight="1">
      <c r="B23" s="140">
        <v>1</v>
      </c>
      <c r="C23" s="210" t="s">
        <v>303</v>
      </c>
      <c r="D23" s="85">
        <v>0</v>
      </c>
      <c r="E23" s="85" t="s">
        <v>304</v>
      </c>
      <c r="F23" s="85">
        <f>2500+1500</f>
        <v>4000</v>
      </c>
      <c r="G23" s="85">
        <v>0</v>
      </c>
      <c r="H23" s="118">
        <f>D23*F23*G23</f>
        <v>0</v>
      </c>
      <c r="I23" s="82"/>
    </row>
    <row r="24" spans="2:34" ht="18" customHeight="1">
      <c r="B24" s="140">
        <v>2</v>
      </c>
      <c r="C24" s="210" t="s">
        <v>328</v>
      </c>
      <c r="D24" s="85">
        <v>0</v>
      </c>
      <c r="E24" s="85" t="s">
        <v>304</v>
      </c>
      <c r="F24" s="85">
        <v>20000</v>
      </c>
      <c r="G24" s="85">
        <v>0</v>
      </c>
      <c r="H24" s="118">
        <f>D24*F24*G24</f>
        <v>0</v>
      </c>
      <c r="I24" s="82"/>
    </row>
    <row r="25" spans="2:34" ht="18" customHeight="1">
      <c r="B25" s="140">
        <v>3</v>
      </c>
      <c r="C25" s="210" t="s">
        <v>306</v>
      </c>
      <c r="D25" s="85">
        <v>0</v>
      </c>
      <c r="E25" s="85" t="s">
        <v>268</v>
      </c>
      <c r="F25" s="85">
        <v>1200</v>
      </c>
      <c r="G25" s="85">
        <v>0</v>
      </c>
      <c r="H25" s="118">
        <f>D25*F25*G25</f>
        <v>0</v>
      </c>
      <c r="I25" s="82"/>
    </row>
    <row r="26" spans="2:34" ht="18" customHeight="1">
      <c r="B26" s="140">
        <v>4</v>
      </c>
      <c r="C26" s="210" t="s">
        <v>307</v>
      </c>
      <c r="D26" s="85">
        <v>1</v>
      </c>
      <c r="E26" s="85" t="s">
        <v>268</v>
      </c>
      <c r="F26" s="85">
        <v>800</v>
      </c>
      <c r="G26" s="85">
        <v>1</v>
      </c>
      <c r="H26" s="118">
        <f>D26*F26*G26</f>
        <v>800</v>
      </c>
      <c r="I26" s="82"/>
    </row>
    <row r="27" spans="2:34" ht="18" customHeight="1">
      <c r="B27" s="140">
        <v>5</v>
      </c>
      <c r="C27" s="210"/>
      <c r="D27" s="85"/>
      <c r="E27" s="85"/>
      <c r="F27" s="85"/>
      <c r="G27" s="85"/>
      <c r="H27" s="118">
        <f>D27*F27*G27</f>
        <v>0</v>
      </c>
      <c r="I27" s="82"/>
    </row>
    <row r="28" spans="2:34" s="42" customFormat="1" ht="18" customHeight="1">
      <c r="B28" s="1061" t="s">
        <v>224</v>
      </c>
      <c r="C28" s="1062"/>
      <c r="D28" s="1062"/>
      <c r="E28" s="1092">
        <f>SUM(H23:H27)</f>
        <v>800</v>
      </c>
      <c r="F28" s="1092"/>
      <c r="G28" s="1092"/>
      <c r="H28" s="1093"/>
    </row>
    <row r="29" spans="2:34" ht="18" customHeight="1">
      <c r="B29" s="1033" t="s">
        <v>225</v>
      </c>
      <c r="C29" s="1034"/>
      <c r="D29" s="1034"/>
      <c r="E29" s="1034"/>
      <c r="F29" s="1034"/>
      <c r="G29" s="1034"/>
      <c r="H29" s="1035"/>
      <c r="AH29" s="36"/>
    </row>
    <row r="30" spans="2:34" ht="41.1" customHeight="1">
      <c r="B30" s="186" t="s">
        <v>1</v>
      </c>
      <c r="C30" s="1038" t="s">
        <v>226</v>
      </c>
      <c r="D30" s="1039"/>
      <c r="E30" s="172" t="s">
        <v>227</v>
      </c>
      <c r="F30" s="172" t="s">
        <v>213</v>
      </c>
      <c r="G30" s="172" t="s">
        <v>228</v>
      </c>
      <c r="H30" s="173" t="s">
        <v>190</v>
      </c>
      <c r="I30" s="82"/>
    </row>
    <row r="31" spans="2:34" ht="18" customHeight="1">
      <c r="B31" s="140">
        <v>1</v>
      </c>
      <c r="C31" s="1036"/>
      <c r="D31" s="1037"/>
      <c r="E31" s="85"/>
      <c r="F31" s="85"/>
      <c r="G31" s="85"/>
      <c r="H31" s="118">
        <f>F31*G31</f>
        <v>0</v>
      </c>
      <c r="I31" s="82"/>
    </row>
    <row r="32" spans="2:34" ht="18" customHeight="1">
      <c r="B32" s="140">
        <v>2</v>
      </c>
      <c r="C32" s="1036"/>
      <c r="D32" s="1037"/>
      <c r="E32" s="85"/>
      <c r="F32" s="85"/>
      <c r="G32" s="85"/>
      <c r="H32" s="118">
        <f>F32*G32</f>
        <v>0</v>
      </c>
      <c r="I32" s="82"/>
    </row>
    <row r="33" spans="1:34" ht="18" customHeight="1">
      <c r="B33" s="140">
        <v>3</v>
      </c>
      <c r="C33" s="136"/>
      <c r="D33" s="84"/>
      <c r="E33" s="85"/>
      <c r="F33" s="85"/>
      <c r="G33" s="85"/>
      <c r="H33" s="118">
        <f>F33*G33</f>
        <v>0</v>
      </c>
      <c r="I33" s="82"/>
    </row>
    <row r="34" spans="1:34" ht="18" customHeight="1">
      <c r="B34" s="140">
        <v>4</v>
      </c>
      <c r="C34" s="136"/>
      <c r="D34" s="84"/>
      <c r="E34" s="85"/>
      <c r="F34" s="85"/>
      <c r="G34" s="85"/>
      <c r="H34" s="118">
        <f>F34*G34</f>
        <v>0</v>
      </c>
      <c r="I34" s="82"/>
    </row>
    <row r="35" spans="1:34" ht="18" customHeight="1">
      <c r="B35" s="140">
        <v>5</v>
      </c>
      <c r="C35" s="136"/>
      <c r="D35" s="84"/>
      <c r="E35" s="85"/>
      <c r="F35" s="85"/>
      <c r="G35" s="85"/>
      <c r="H35" s="118">
        <f>F35*G35</f>
        <v>0</v>
      </c>
      <c r="I35" s="82"/>
    </row>
    <row r="36" spans="1:34" s="42" customFormat="1" ht="18" customHeight="1">
      <c r="B36" s="1061" t="s">
        <v>316</v>
      </c>
      <c r="C36" s="1062"/>
      <c r="D36" s="1062"/>
      <c r="E36" s="1092">
        <f>SUM(H31:H35)</f>
        <v>0</v>
      </c>
      <c r="F36" s="1092"/>
      <c r="G36" s="1092"/>
      <c r="H36" s="1093"/>
    </row>
    <row r="37" spans="1:34" ht="18" customHeight="1">
      <c r="B37" s="1033" t="s">
        <v>233</v>
      </c>
      <c r="C37" s="1034"/>
      <c r="D37" s="1034"/>
      <c r="E37" s="1034"/>
      <c r="F37" s="1034"/>
      <c r="G37" s="1034"/>
      <c r="H37" s="1035"/>
    </row>
    <row r="38" spans="1:34" ht="41.1" customHeight="1">
      <c r="B38" s="186" t="s">
        <v>1</v>
      </c>
      <c r="C38" s="1038" t="s">
        <v>234</v>
      </c>
      <c r="D38" s="1039"/>
      <c r="E38" s="172" t="s">
        <v>227</v>
      </c>
      <c r="F38" s="172" t="s">
        <v>213</v>
      </c>
      <c r="G38" s="172" t="s">
        <v>228</v>
      </c>
      <c r="H38" s="173" t="s">
        <v>190</v>
      </c>
      <c r="I38" s="82"/>
    </row>
    <row r="39" spans="1:34" ht="18" customHeight="1">
      <c r="B39" s="140">
        <v>1</v>
      </c>
      <c r="C39" s="1045" t="s">
        <v>329</v>
      </c>
      <c r="D39" s="1046"/>
      <c r="E39" s="85">
        <v>1</v>
      </c>
      <c r="F39" s="85">
        <v>1000</v>
      </c>
      <c r="G39" s="85">
        <v>2</v>
      </c>
      <c r="H39" s="118">
        <f>F39*G39</f>
        <v>2000</v>
      </c>
      <c r="I39" s="82"/>
    </row>
    <row r="40" spans="1:34" ht="18" customHeight="1">
      <c r="B40" s="140">
        <v>2</v>
      </c>
      <c r="C40" s="1036"/>
      <c r="D40" s="1037"/>
      <c r="E40" s="85"/>
      <c r="F40" s="85"/>
      <c r="G40" s="85"/>
      <c r="H40" s="118">
        <f>F40*G40</f>
        <v>0</v>
      </c>
      <c r="I40" s="82"/>
    </row>
    <row r="41" spans="1:34" ht="18" customHeight="1">
      <c r="B41" s="140">
        <v>3</v>
      </c>
      <c r="C41" s="1036"/>
      <c r="D41" s="1037"/>
      <c r="E41" s="85"/>
      <c r="F41" s="85"/>
      <c r="G41" s="85"/>
      <c r="H41" s="118">
        <f>F41*G41</f>
        <v>0</v>
      </c>
      <c r="I41" s="82"/>
    </row>
    <row r="42" spans="1:34" ht="18" customHeight="1">
      <c r="B42" s="140">
        <v>4</v>
      </c>
      <c r="C42" s="136"/>
      <c r="D42" s="84"/>
      <c r="E42" s="85"/>
      <c r="F42" s="85"/>
      <c r="G42" s="85"/>
      <c r="H42" s="118">
        <f>F42*G42</f>
        <v>0</v>
      </c>
      <c r="I42" s="82"/>
    </row>
    <row r="43" spans="1:34" ht="18" customHeight="1">
      <c r="B43" s="140">
        <v>5</v>
      </c>
      <c r="C43" s="136"/>
      <c r="D43" s="84"/>
      <c r="E43" s="85"/>
      <c r="F43" s="85"/>
      <c r="G43" s="85"/>
      <c r="H43" s="118">
        <f>F43*G43</f>
        <v>0</v>
      </c>
      <c r="I43" s="82"/>
    </row>
    <row r="44" spans="1:34" s="42" customFormat="1" ht="18" customHeight="1" thickBot="1">
      <c r="B44" s="1066" t="s">
        <v>235</v>
      </c>
      <c r="C44" s="1067"/>
      <c r="D44" s="1067"/>
      <c r="E44" s="1095">
        <f>SUM(H39:H43)</f>
        <v>2000</v>
      </c>
      <c r="F44" s="1095"/>
      <c r="G44" s="1095"/>
      <c r="H44" s="1096"/>
    </row>
    <row r="45" spans="1:34" ht="18" customHeight="1" thickBot="1">
      <c r="B45" s="141"/>
      <c r="C45" s="211"/>
      <c r="D45" s="86"/>
      <c r="E45" s="87"/>
      <c r="F45" s="87"/>
      <c r="G45" s="87"/>
      <c r="H45" s="87"/>
    </row>
    <row r="46" spans="1:34" ht="18" customHeight="1" thickBot="1">
      <c r="B46" s="1097" t="s">
        <v>236</v>
      </c>
      <c r="C46" s="1098"/>
      <c r="D46" s="1098"/>
      <c r="E46" s="1098"/>
      <c r="F46" s="1098"/>
      <c r="G46" s="1099"/>
      <c r="H46" s="82"/>
    </row>
    <row r="47" spans="1:34" s="29" customFormat="1" ht="18" customHeight="1">
      <c r="A47" s="175"/>
      <c r="B47" s="186" t="s">
        <v>74</v>
      </c>
      <c r="C47" s="180" t="s">
        <v>320</v>
      </c>
      <c r="D47" s="1050" t="s">
        <v>237</v>
      </c>
      <c r="E47" s="1050"/>
      <c r="F47" s="1050"/>
      <c r="G47" s="181">
        <f>E19</f>
        <v>0</v>
      </c>
      <c r="H47" s="174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</row>
    <row r="48" spans="1:34" s="29" customFormat="1" ht="18" customHeight="1">
      <c r="A48" s="175"/>
      <c r="B48" s="186" t="s">
        <v>95</v>
      </c>
      <c r="C48" s="180" t="s">
        <v>321</v>
      </c>
      <c r="D48" s="1050" t="s">
        <v>238</v>
      </c>
      <c r="E48" s="1050"/>
      <c r="F48" s="1050"/>
      <c r="G48" s="181">
        <f>E28</f>
        <v>800</v>
      </c>
      <c r="H48" s="174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</row>
    <row r="49" spans="1:34" s="29" customFormat="1" ht="18" customHeight="1">
      <c r="A49" s="175"/>
      <c r="B49" s="186" t="s">
        <v>116</v>
      </c>
      <c r="C49" s="180" t="s">
        <v>322</v>
      </c>
      <c r="D49" s="1050" t="s">
        <v>239</v>
      </c>
      <c r="E49" s="1050"/>
      <c r="F49" s="1050"/>
      <c r="G49" s="181">
        <f>E36</f>
        <v>0</v>
      </c>
      <c r="H49" s="174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</row>
    <row r="50" spans="1:34" s="29" customFormat="1" ht="18" customHeight="1">
      <c r="A50" s="175"/>
      <c r="B50" s="186" t="s">
        <v>124</v>
      </c>
      <c r="C50" s="180" t="s">
        <v>240</v>
      </c>
      <c r="D50" s="1050" t="s">
        <v>241</v>
      </c>
      <c r="E50" s="1050"/>
      <c r="F50" s="1050"/>
      <c r="G50" s="181">
        <f>E44</f>
        <v>2000</v>
      </c>
      <c r="H50" s="174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</row>
    <row r="51" spans="1:34" s="29" customFormat="1" ht="18" customHeight="1">
      <c r="A51" s="175"/>
      <c r="B51" s="186"/>
      <c r="C51" s="180"/>
      <c r="D51" s="1091" t="s">
        <v>323</v>
      </c>
      <c r="E51" s="1091"/>
      <c r="F51" s="1091"/>
      <c r="G51" s="33">
        <f>SUM(G47:G50)</f>
        <v>2800</v>
      </c>
      <c r="H51" s="30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</row>
    <row r="52" spans="1:34" s="29" customFormat="1" ht="18" customHeight="1">
      <c r="A52" s="175"/>
      <c r="B52" s="186"/>
      <c r="C52" s="180"/>
      <c r="D52" s="180" t="s">
        <v>244</v>
      </c>
      <c r="E52" s="180"/>
      <c r="F52" s="182">
        <f>'Tabela BDI e Tributos'!I16</f>
        <v>0.15000000000000002</v>
      </c>
      <c r="G52" s="181">
        <f>G51*F52</f>
        <v>420.00000000000006</v>
      </c>
      <c r="H52" s="174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</row>
    <row r="53" spans="1:34" s="29" customFormat="1" ht="18" customHeight="1">
      <c r="A53" s="175"/>
      <c r="B53" s="186"/>
      <c r="C53" s="180"/>
      <c r="D53" s="31" t="s">
        <v>245</v>
      </c>
      <c r="E53" s="31"/>
      <c r="F53" s="41"/>
      <c r="G53" s="33">
        <f>G51+G52</f>
        <v>3220</v>
      </c>
      <c r="H53" s="30"/>
      <c r="I53" s="1049"/>
      <c r="J53" s="1049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</row>
    <row r="54" spans="1:34" s="29" customFormat="1" ht="18" customHeight="1">
      <c r="A54" s="175"/>
      <c r="B54" s="186"/>
      <c r="C54" s="180"/>
      <c r="D54" s="180" t="s">
        <v>246</v>
      </c>
      <c r="E54" s="180"/>
      <c r="F54" s="182">
        <f>'Tabela BDI e Tributos'!I38</f>
        <v>0.14799999999999999</v>
      </c>
      <c r="G54" s="183">
        <f>G55-G53</f>
        <v>559.34272300469502</v>
      </c>
      <c r="H54" s="174"/>
      <c r="I54" s="30"/>
      <c r="J54" s="30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</row>
    <row r="55" spans="1:34" s="29" customFormat="1" ht="18" customHeight="1" thickBot="1">
      <c r="A55" s="175"/>
      <c r="B55" s="187"/>
      <c r="C55" s="212"/>
      <c r="D55" s="1031" t="s">
        <v>330</v>
      </c>
      <c r="E55" s="1032"/>
      <c r="F55" s="1094"/>
      <c r="G55" s="106">
        <f>G53/(1-F54)</f>
        <v>3779.342723004695</v>
      </c>
      <c r="H55" s="32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</row>
    <row r="56" spans="1:34" ht="18" customHeight="1">
      <c r="B56" s="141"/>
      <c r="C56" s="211"/>
      <c r="D56" s="82"/>
      <c r="E56" s="82"/>
      <c r="F56" s="82"/>
      <c r="G56" s="82"/>
      <c r="H56" s="82"/>
    </row>
    <row r="57" spans="1:34" ht="86.25" customHeight="1">
      <c r="B57" s="1090"/>
      <c r="C57" s="1090"/>
      <c r="D57" s="1090"/>
      <c r="E57" s="1090"/>
      <c r="F57" s="1090"/>
      <c r="G57" s="1090"/>
      <c r="H57" s="82"/>
    </row>
    <row r="58" spans="1:34" ht="18" customHeight="1">
      <c r="D58" s="34"/>
      <c r="E58" s="34"/>
      <c r="F58" s="34"/>
      <c r="G58" s="34"/>
      <c r="H58" s="82"/>
    </row>
    <row r="59" spans="1:34" ht="18" customHeight="1">
      <c r="B59" s="141"/>
      <c r="C59" s="211"/>
      <c r="D59" s="82"/>
      <c r="E59" s="82"/>
      <c r="F59" s="82"/>
      <c r="G59" s="82"/>
      <c r="H59" s="82"/>
    </row>
    <row r="60" spans="1:34" ht="18" customHeight="1">
      <c r="B60" s="141"/>
      <c r="C60" s="211"/>
      <c r="D60" s="82"/>
      <c r="E60" s="82"/>
      <c r="F60" s="82"/>
      <c r="G60" s="82"/>
      <c r="H60" s="82"/>
    </row>
    <row r="61" spans="1:34" ht="18" customHeight="1">
      <c r="B61" s="141"/>
      <c r="C61" s="211"/>
      <c r="D61" s="82"/>
      <c r="E61" s="82"/>
      <c r="F61" s="82"/>
      <c r="G61" s="82"/>
      <c r="H61" s="82"/>
    </row>
    <row r="62" spans="1:34" ht="18" customHeight="1">
      <c r="B62" s="141"/>
      <c r="C62" s="211"/>
      <c r="D62" s="82"/>
      <c r="E62" s="82"/>
      <c r="F62" s="82"/>
      <c r="G62" s="82"/>
      <c r="H62" s="82"/>
    </row>
    <row r="63" spans="1:34" ht="18" customHeight="1">
      <c r="B63" s="141"/>
      <c r="C63" s="211"/>
      <c r="D63" s="82"/>
      <c r="E63" s="82"/>
      <c r="F63" s="82"/>
      <c r="G63" s="82"/>
      <c r="H63" s="82"/>
    </row>
    <row r="64" spans="1:34" ht="18" customHeight="1">
      <c r="B64" s="141"/>
      <c r="C64" s="211"/>
      <c r="D64" s="82"/>
      <c r="E64" s="82"/>
      <c r="F64" s="82"/>
      <c r="G64" s="82"/>
      <c r="H64" s="82"/>
    </row>
    <row r="65" spans="2:8" ht="18" customHeight="1">
      <c r="B65" s="141"/>
      <c r="C65" s="211"/>
      <c r="D65" s="82"/>
      <c r="E65" s="82"/>
      <c r="F65" s="82"/>
      <c r="G65" s="82"/>
      <c r="H65" s="82"/>
    </row>
    <row r="66" spans="2:8" ht="18" customHeight="1">
      <c r="B66" s="141"/>
      <c r="C66" s="211"/>
      <c r="D66" s="82"/>
      <c r="E66" s="82"/>
      <c r="F66" s="82"/>
      <c r="G66" s="82"/>
      <c r="H66" s="82"/>
    </row>
    <row r="67" spans="2:8" ht="18" customHeight="1">
      <c r="B67" s="141"/>
      <c r="C67" s="211"/>
      <c r="D67" s="82"/>
      <c r="E67" s="82"/>
      <c r="F67" s="82"/>
      <c r="G67" s="82"/>
      <c r="H67" s="82"/>
    </row>
    <row r="68" spans="2:8" ht="18" customHeight="1">
      <c r="B68" s="141"/>
      <c r="C68" s="211"/>
      <c r="D68" s="82"/>
      <c r="E68" s="82"/>
      <c r="F68" s="82"/>
      <c r="G68" s="82"/>
      <c r="H68" s="82"/>
    </row>
    <row r="69" spans="2:8" ht="18" customHeight="1">
      <c r="B69" s="141"/>
      <c r="C69" s="211"/>
      <c r="D69" s="82"/>
      <c r="E69" s="82"/>
      <c r="F69" s="82"/>
      <c r="G69" s="82"/>
      <c r="H69" s="82"/>
    </row>
    <row r="70" spans="2:8" ht="18" customHeight="1">
      <c r="B70" s="141"/>
      <c r="C70" s="211"/>
      <c r="D70" s="82"/>
      <c r="E70" s="82"/>
      <c r="F70" s="82"/>
      <c r="G70" s="82"/>
      <c r="H70" s="82"/>
    </row>
    <row r="71" spans="2:8" ht="18" customHeight="1">
      <c r="B71" s="141"/>
      <c r="C71" s="211"/>
      <c r="D71" s="82"/>
      <c r="E71" s="82"/>
      <c r="F71" s="82"/>
      <c r="G71" s="82"/>
      <c r="H71" s="82"/>
    </row>
    <row r="72" spans="2:8" ht="18" customHeight="1">
      <c r="B72" s="141"/>
      <c r="C72" s="211"/>
      <c r="D72" s="82"/>
      <c r="E72" s="82"/>
      <c r="F72" s="82"/>
      <c r="G72" s="82"/>
      <c r="H72" s="82"/>
    </row>
    <row r="73" spans="2:8" ht="18" customHeight="1">
      <c r="B73" s="141"/>
      <c r="C73" s="211"/>
      <c r="D73" s="82"/>
      <c r="E73" s="82"/>
      <c r="F73" s="82"/>
      <c r="G73" s="82"/>
      <c r="H73" s="82"/>
    </row>
    <row r="74" spans="2:8" ht="18" customHeight="1">
      <c r="B74" s="141"/>
      <c r="C74" s="211"/>
      <c r="D74" s="82"/>
      <c r="E74" s="82"/>
      <c r="F74" s="82"/>
      <c r="G74" s="82"/>
      <c r="H74" s="82"/>
    </row>
    <row r="75" spans="2:8" ht="18" customHeight="1">
      <c r="B75" s="141"/>
      <c r="C75" s="211"/>
      <c r="D75" s="82"/>
      <c r="E75" s="82"/>
      <c r="F75" s="82"/>
      <c r="G75" s="82"/>
      <c r="H75" s="82"/>
    </row>
    <row r="76" spans="2:8" ht="18" customHeight="1">
      <c r="B76" s="141"/>
      <c r="C76" s="211"/>
      <c r="D76" s="82"/>
      <c r="E76" s="82"/>
      <c r="F76" s="82"/>
      <c r="G76" s="82"/>
      <c r="H76" s="82"/>
    </row>
    <row r="77" spans="2:8" ht="18" customHeight="1">
      <c r="B77" s="141"/>
      <c r="C77" s="211"/>
      <c r="D77" s="82"/>
      <c r="E77" s="82"/>
      <c r="F77" s="82"/>
      <c r="G77" s="82"/>
      <c r="H77" s="82"/>
    </row>
    <row r="78" spans="2:8" ht="18" customHeight="1">
      <c r="B78" s="141"/>
      <c r="C78" s="211"/>
      <c r="D78" s="82"/>
      <c r="E78" s="82"/>
      <c r="F78" s="82"/>
      <c r="G78" s="82"/>
      <c r="H78" s="82"/>
    </row>
    <row r="79" spans="2:8" ht="18" customHeight="1">
      <c r="B79" s="141"/>
      <c r="C79" s="211"/>
      <c r="D79" s="82"/>
      <c r="E79" s="82"/>
      <c r="F79" s="82"/>
      <c r="G79" s="82"/>
      <c r="H79" s="82"/>
    </row>
    <row r="80" spans="2:8" ht="18" customHeight="1">
      <c r="B80" s="141"/>
      <c r="C80" s="211"/>
      <c r="D80" s="82"/>
      <c r="E80" s="82"/>
      <c r="F80" s="82"/>
      <c r="G80" s="82"/>
      <c r="H80" s="82"/>
    </row>
    <row r="81" spans="2:8" ht="18" customHeight="1">
      <c r="B81" s="141"/>
      <c r="C81" s="211"/>
      <c r="D81" s="82"/>
      <c r="E81" s="82"/>
      <c r="F81" s="82"/>
      <c r="G81" s="82"/>
      <c r="H81" s="82"/>
    </row>
    <row r="82" spans="2:8" ht="18" customHeight="1">
      <c r="B82" s="141"/>
      <c r="C82" s="211"/>
      <c r="D82" s="82"/>
      <c r="E82" s="82"/>
      <c r="F82" s="82"/>
      <c r="G82" s="82"/>
      <c r="H82" s="82"/>
    </row>
    <row r="83" spans="2:8" ht="18" customHeight="1">
      <c r="B83" s="141"/>
      <c r="C83" s="211"/>
      <c r="D83" s="82"/>
      <c r="E83" s="82"/>
      <c r="F83" s="82"/>
      <c r="G83" s="82"/>
      <c r="H83" s="82"/>
    </row>
    <row r="84" spans="2:8" ht="18" customHeight="1">
      <c r="B84" s="141"/>
      <c r="C84" s="211"/>
      <c r="D84" s="82"/>
      <c r="E84" s="82"/>
      <c r="F84" s="82"/>
      <c r="G84" s="82"/>
      <c r="H84" s="82"/>
    </row>
    <row r="85" spans="2:8" ht="18" customHeight="1">
      <c r="B85" s="141"/>
      <c r="C85" s="211"/>
      <c r="D85" s="82"/>
      <c r="E85" s="82"/>
      <c r="F85" s="82"/>
      <c r="G85" s="82"/>
      <c r="H85" s="82"/>
    </row>
    <row r="86" spans="2:8" ht="18" customHeight="1">
      <c r="B86" s="141"/>
      <c r="C86" s="211"/>
      <c r="D86" s="82"/>
      <c r="E86" s="82"/>
      <c r="F86" s="82"/>
      <c r="G86" s="82"/>
      <c r="H86" s="82"/>
    </row>
    <row r="87" spans="2:8" ht="18" customHeight="1">
      <c r="B87" s="141"/>
      <c r="C87" s="211"/>
      <c r="D87" s="82"/>
      <c r="E87" s="82"/>
      <c r="F87" s="82"/>
      <c r="G87" s="82"/>
      <c r="H87" s="82"/>
    </row>
    <row r="88" spans="2:8" ht="18" customHeight="1">
      <c r="B88" s="141"/>
      <c r="C88" s="211"/>
      <c r="D88" s="82"/>
      <c r="E88" s="82"/>
      <c r="F88" s="82"/>
      <c r="G88" s="82"/>
      <c r="H88" s="82"/>
    </row>
    <row r="89" spans="2:8" ht="18" customHeight="1">
      <c r="B89" s="141"/>
      <c r="C89" s="211"/>
      <c r="D89" s="82"/>
      <c r="E89" s="82"/>
      <c r="F89" s="82"/>
      <c r="G89" s="82"/>
      <c r="H89" s="82"/>
    </row>
    <row r="90" spans="2:8" ht="18" customHeight="1">
      <c r="B90" s="141"/>
      <c r="C90" s="211"/>
      <c r="D90" s="82"/>
      <c r="E90" s="82"/>
      <c r="F90" s="82"/>
      <c r="G90" s="82"/>
      <c r="H90" s="82"/>
    </row>
    <row r="91" spans="2:8" ht="18" customHeight="1">
      <c r="B91" s="141"/>
      <c r="C91" s="211"/>
      <c r="D91" s="82"/>
      <c r="E91" s="82"/>
      <c r="F91" s="82"/>
      <c r="G91" s="82"/>
      <c r="H91" s="82"/>
    </row>
  </sheetData>
  <mergeCells count="33">
    <mergeCell ref="C17:D17"/>
    <mergeCell ref="C18:D18"/>
    <mergeCell ref="B19:D19"/>
    <mergeCell ref="E19:H19"/>
    <mergeCell ref="B4:H4"/>
    <mergeCell ref="B6:H6"/>
    <mergeCell ref="B20:D20"/>
    <mergeCell ref="E20:H20"/>
    <mergeCell ref="C41:D41"/>
    <mergeCell ref="B21:H21"/>
    <mergeCell ref="B28:D28"/>
    <mergeCell ref="E28:H28"/>
    <mergeCell ref="B29:H29"/>
    <mergeCell ref="C30:D30"/>
    <mergeCell ref="E36:H36"/>
    <mergeCell ref="B37:H37"/>
    <mergeCell ref="C38:D38"/>
    <mergeCell ref="C39:D39"/>
    <mergeCell ref="C40:D40"/>
    <mergeCell ref="C31:D31"/>
    <mergeCell ref="C32:D32"/>
    <mergeCell ref="B36:D36"/>
    <mergeCell ref="B44:D44"/>
    <mergeCell ref="E44:H44"/>
    <mergeCell ref="B46:G46"/>
    <mergeCell ref="D47:F47"/>
    <mergeCell ref="D48:F48"/>
    <mergeCell ref="B57:G57"/>
    <mergeCell ref="D49:F49"/>
    <mergeCell ref="D50:F50"/>
    <mergeCell ref="D51:F51"/>
    <mergeCell ref="I53:J53"/>
    <mergeCell ref="D55:F55"/>
  </mergeCells>
  <printOptions horizontalCentered="1" verticalCentered="1"/>
  <pageMargins left="0" right="0" top="0" bottom="0" header="0" footer="0"/>
  <pageSetup paperSize="9" scale="61"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36A11-1228-4F5F-AEBD-5BA02C061BC8}">
  <sheetPr>
    <tabColor rgb="FFFFC000"/>
  </sheetPr>
  <dimension ref="A1:G28"/>
  <sheetViews>
    <sheetView showGridLines="0" tabSelected="1" zoomScale="115" zoomScaleNormal="115" zoomScaleSheetLayoutView="100" workbookViewId="0">
      <selection activeCell="D16" sqref="D16"/>
    </sheetView>
  </sheetViews>
  <sheetFormatPr defaultRowHeight="12.4"/>
  <cols>
    <col min="1" max="1" width="9.28515625" bestFit="1" customWidth="1"/>
    <col min="2" max="2" width="52" customWidth="1"/>
    <col min="3" max="3" width="13" customWidth="1"/>
    <col min="4" max="4" width="8.28515625" customWidth="1"/>
    <col min="5" max="5" width="8.7109375" customWidth="1"/>
    <col min="6" max="6" width="11.7109375" customWidth="1"/>
    <col min="7" max="7" width="13" customWidth="1"/>
    <col min="8" max="8" width="11.28515625" bestFit="1" customWidth="1"/>
    <col min="9" max="9" width="13.5703125" customWidth="1"/>
    <col min="10" max="10" width="12.85546875" customWidth="1"/>
    <col min="11" max="11" width="13.140625" customWidth="1"/>
    <col min="12" max="12" width="13" customWidth="1"/>
    <col min="13" max="13" width="11.5703125" customWidth="1"/>
    <col min="14" max="14" width="12.85546875" customWidth="1"/>
  </cols>
  <sheetData>
    <row r="1" spans="1:7" ht="65.25" customHeight="1" thickBot="1">
      <c r="A1" s="247"/>
      <c r="B1" s="248"/>
      <c r="C1" s="248"/>
      <c r="D1" s="248"/>
      <c r="E1" s="248"/>
      <c r="F1" s="248"/>
      <c r="G1" s="248"/>
    </row>
    <row r="2" spans="1:7" ht="15" customHeight="1">
      <c r="A2" s="1110" t="s">
        <v>1</v>
      </c>
      <c r="B2" s="1112" t="s">
        <v>331</v>
      </c>
      <c r="C2" s="533"/>
      <c r="D2" s="1114" t="s">
        <v>332</v>
      </c>
      <c r="E2" s="1116" t="s">
        <v>333</v>
      </c>
      <c r="F2" s="1116"/>
      <c r="G2" s="1116"/>
    </row>
    <row r="3" spans="1:7" ht="16.5" customHeight="1">
      <c r="A3" s="1111"/>
      <c r="B3" s="1113"/>
      <c r="C3" s="534"/>
      <c r="D3" s="1115"/>
      <c r="E3" s="229" t="s">
        <v>334</v>
      </c>
      <c r="F3" s="229" t="s">
        <v>335</v>
      </c>
      <c r="G3" s="230" t="s">
        <v>336</v>
      </c>
    </row>
    <row r="4" spans="1:7" ht="24" customHeight="1">
      <c r="A4" s="249">
        <v>1</v>
      </c>
      <c r="B4" s="547" t="str">
        <f>B9</f>
        <v>MÃO DE OBRA - FABRICAÇÃO</v>
      </c>
      <c r="C4" s="231"/>
      <c r="D4" s="232" t="s">
        <v>268</v>
      </c>
      <c r="E4" s="233">
        <v>1</v>
      </c>
      <c r="F4" s="544">
        <f>SUM(F5:F7)</f>
        <v>338133.79454066226</v>
      </c>
      <c r="G4" s="545">
        <f>E4*F4</f>
        <v>338133.79454066226</v>
      </c>
    </row>
    <row r="5" spans="1:7" ht="24" customHeight="1">
      <c r="A5" s="250" t="s">
        <v>337</v>
      </c>
      <c r="B5" s="548" t="str">
        <f>B4 &amp; " -&gt; Custo Direto"</f>
        <v>MÃO DE OBRA - FABRICAÇÃO -&gt; Custo Direto</v>
      </c>
      <c r="C5" s="236"/>
      <c r="D5" s="237" t="s">
        <v>268</v>
      </c>
      <c r="E5" s="238">
        <v>1</v>
      </c>
      <c r="F5" s="239">
        <f>G9</f>
        <v>256569.36661597679</v>
      </c>
      <c r="G5" s="239">
        <f>E5*F5</f>
        <v>256569.36661597679</v>
      </c>
    </row>
    <row r="6" spans="1:7" ht="24" customHeight="1">
      <c r="A6" s="250" t="s">
        <v>338</v>
      </c>
      <c r="B6" s="548" t="str">
        <f>B4&amp; " -&gt; BDI"</f>
        <v>MÃO DE OBRA - FABRICAÇÃO -&gt; BDI</v>
      </c>
      <c r="C6" s="236"/>
      <c r="D6" s="237" t="s">
        <v>268</v>
      </c>
      <c r="E6" s="238">
        <v>1</v>
      </c>
      <c r="F6" s="240">
        <f>F5*'Tabela BDI e Tributos'!I38</f>
        <v>37972.266259164564</v>
      </c>
      <c r="G6" s="239">
        <f>E6*F6</f>
        <v>37972.266259164564</v>
      </c>
    </row>
    <row r="7" spans="1:7" ht="24" customHeight="1">
      <c r="A7" s="250" t="s">
        <v>339</v>
      </c>
      <c r="B7" s="548" t="str">
        <f>B4 &amp; " -&gt; Impostos"</f>
        <v>MÃO DE OBRA - FABRICAÇÃO -&gt; Impostos</v>
      </c>
      <c r="C7" s="236"/>
      <c r="D7" s="237" t="s">
        <v>268</v>
      </c>
      <c r="E7" s="238">
        <v>1</v>
      </c>
      <c r="F7" s="240">
        <f>(F5+F6)*'Tabela BDI e Tributos'!I38</f>
        <v>43592.161665520915</v>
      </c>
      <c r="G7" s="239">
        <f>E7*F7</f>
        <v>43592.161665520915</v>
      </c>
    </row>
    <row r="8" spans="1:7" ht="21.75" customHeight="1">
      <c r="A8" s="251"/>
      <c r="B8" s="246"/>
      <c r="C8" s="246"/>
      <c r="D8" s="230"/>
      <c r="E8" s="242"/>
      <c r="F8" s="244" t="str">
        <f>IFERROR(HLOOKUP(B8,'Tabela Mão de obra'!B$6:O$34,29,0),"")</f>
        <v/>
      </c>
      <c r="G8" s="245" t="str">
        <f t="shared" ref="G8" si="0">IFERROR(E8*F8,"")</f>
        <v/>
      </c>
    </row>
    <row r="9" spans="1:7" ht="21.75" customHeight="1">
      <c r="A9" s="249">
        <v>5</v>
      </c>
      <c r="B9" s="243" t="s">
        <v>340</v>
      </c>
      <c r="C9" s="540" t="s">
        <v>341</v>
      </c>
      <c r="D9" s="232" t="s">
        <v>342</v>
      </c>
      <c r="E9" s="233" t="s">
        <v>343</v>
      </c>
      <c r="F9" s="234" t="s">
        <v>344</v>
      </c>
      <c r="G9" s="545">
        <f>SUM(G10:G28)</f>
        <v>256569.36661597679</v>
      </c>
    </row>
    <row r="10" spans="1:7" ht="21.75" customHeight="1">
      <c r="A10" s="251" t="s">
        <v>345</v>
      </c>
      <c r="B10" s="241" t="s">
        <v>9</v>
      </c>
      <c r="C10" s="465">
        <v>44</v>
      </c>
      <c r="D10" s="542">
        <v>1</v>
      </c>
      <c r="E10" s="543">
        <f t="shared" ref="E10:E18" si="1">C10*8.6</f>
        <v>378.4</v>
      </c>
      <c r="F10" s="541">
        <f>IFERROR(HLOOKUP(B10,'Tabela Mão de obra'!B$6:O$34,29,0),"")</f>
        <v>77.474710144927542</v>
      </c>
      <c r="G10" s="245">
        <f>D10*E10*F10</f>
        <v>29316.430318840579</v>
      </c>
    </row>
    <row r="11" spans="1:7" ht="21.75" customHeight="1">
      <c r="A11" s="251" t="s">
        <v>346</v>
      </c>
      <c r="B11" s="241" t="s">
        <v>347</v>
      </c>
      <c r="C11" s="465">
        <v>44</v>
      </c>
      <c r="D11" s="542">
        <v>1</v>
      </c>
      <c r="E11" s="543">
        <f t="shared" si="1"/>
        <v>378.4</v>
      </c>
      <c r="F11" s="541">
        <f>IFERROR(HLOOKUP(B11,'Tabela Mão de obra'!B$6:O$34,29,0),"")</f>
        <v>69.773145623188412</v>
      </c>
      <c r="G11" s="245">
        <f t="shared" ref="G11:G18" si="2">D11*E11*F11</f>
        <v>26402.158303814493</v>
      </c>
    </row>
    <row r="12" spans="1:7" ht="21.75" customHeight="1">
      <c r="A12" s="251" t="s">
        <v>348</v>
      </c>
      <c r="B12" s="241" t="s">
        <v>12</v>
      </c>
      <c r="C12" s="465">
        <v>44</v>
      </c>
      <c r="D12" s="542">
        <v>3</v>
      </c>
      <c r="E12" s="543">
        <f t="shared" si="1"/>
        <v>378.4</v>
      </c>
      <c r="F12" s="541">
        <f>IFERROR(HLOOKUP(B12,'Tabela Mão de obra'!B$6:O$34,29,0),"")</f>
        <v>54.680580405797095</v>
      </c>
      <c r="G12" s="245">
        <f t="shared" si="2"/>
        <v>62073.394876660852</v>
      </c>
    </row>
    <row r="13" spans="1:7" ht="21.75" customHeight="1">
      <c r="A13" s="251" t="s">
        <v>349</v>
      </c>
      <c r="B13" s="241" t="s">
        <v>350</v>
      </c>
      <c r="C13" s="465">
        <v>44</v>
      </c>
      <c r="D13" s="542">
        <v>3</v>
      </c>
      <c r="E13" s="543">
        <f>C13*8.6</f>
        <v>378.4</v>
      </c>
      <c r="F13" s="541">
        <f>IFERROR(HLOOKUP(B13,'Tabela Mão de obra'!B$6:O$34,29,0),"")</f>
        <v>39.581080405797103</v>
      </c>
      <c r="G13" s="245">
        <f t="shared" si="2"/>
        <v>44932.442476660864</v>
      </c>
    </row>
    <row r="14" spans="1:7" ht="21.75" customHeight="1">
      <c r="A14" s="251" t="s">
        <v>351</v>
      </c>
      <c r="B14" s="241" t="s">
        <v>352</v>
      </c>
      <c r="C14" s="465">
        <v>44</v>
      </c>
      <c r="D14" s="542">
        <v>2</v>
      </c>
      <c r="E14" s="543">
        <f t="shared" si="1"/>
        <v>378.4</v>
      </c>
      <c r="F14" s="541">
        <f>IFERROR(HLOOKUP(B14,'Tabela Mão de obra'!B$6:O$34,29,0),"")</f>
        <v>48.642167362318837</v>
      </c>
      <c r="G14" s="245">
        <f t="shared" si="2"/>
        <v>36812.392259802895</v>
      </c>
    </row>
    <row r="15" spans="1:7" ht="21.75" customHeight="1">
      <c r="A15" s="251" t="s">
        <v>351</v>
      </c>
      <c r="B15" s="241" t="s">
        <v>14</v>
      </c>
      <c r="C15" s="465">
        <v>44</v>
      </c>
      <c r="D15" s="542">
        <v>2</v>
      </c>
      <c r="E15" s="543">
        <f t="shared" si="1"/>
        <v>378.4</v>
      </c>
      <c r="F15" s="541">
        <f>IFERROR(HLOOKUP(B15,'Tabela Mão de obra'!B$6:O$34,29,0),"")</f>
        <v>52.092689101449274</v>
      </c>
      <c r="G15" s="245">
        <f t="shared" si="2"/>
        <v>39423.747111976809</v>
      </c>
    </row>
    <row r="16" spans="1:7" ht="21.75" customHeight="1">
      <c r="A16" s="251" t="s">
        <v>351</v>
      </c>
      <c r="B16" s="241" t="s">
        <v>353</v>
      </c>
      <c r="C16" s="465">
        <v>0</v>
      </c>
      <c r="D16" s="542">
        <v>0</v>
      </c>
      <c r="E16" s="543">
        <f t="shared" ref="E16" si="3">C16*8.6</f>
        <v>0</v>
      </c>
      <c r="F16" s="541">
        <f>IFERROR(HLOOKUP(B16,'Tabela Mão de obra'!B$6:O$34,29,0),"")</f>
        <v>46.218254318840579</v>
      </c>
      <c r="G16" s="245">
        <f t="shared" ref="G16" si="4">D16*E16*F16</f>
        <v>0</v>
      </c>
    </row>
    <row r="17" spans="1:7" ht="21.75" customHeight="1">
      <c r="A17" s="251" t="s">
        <v>354</v>
      </c>
      <c r="B17" s="241" t="s">
        <v>355</v>
      </c>
      <c r="C17" s="465">
        <v>22</v>
      </c>
      <c r="D17" s="542">
        <v>1</v>
      </c>
      <c r="E17" s="543">
        <f t="shared" si="1"/>
        <v>189.2</v>
      </c>
      <c r="F17" s="541">
        <f>IFERROR(HLOOKUP(B17,'Tabela Mão de obra'!B$6:O$34,29,0),"")</f>
        <v>36.160824869565218</v>
      </c>
      <c r="G17" s="245">
        <f t="shared" si="2"/>
        <v>6841.6280653217391</v>
      </c>
    </row>
    <row r="18" spans="1:7" ht="21.75" customHeight="1">
      <c r="A18" s="251" t="s">
        <v>356</v>
      </c>
      <c r="B18" s="241" t="s">
        <v>139</v>
      </c>
      <c r="C18" s="549">
        <v>22</v>
      </c>
      <c r="D18" s="542">
        <v>1</v>
      </c>
      <c r="E18" s="543">
        <f t="shared" si="1"/>
        <v>189.2</v>
      </c>
      <c r="F18" s="541">
        <f>IFERROR(HLOOKUP(B18,'Tabela Mão de obra'!B$6:O$34,29,0),"")</f>
        <v>56.908949275362318</v>
      </c>
      <c r="G18" s="245">
        <f t="shared" si="2"/>
        <v>10767.17320289855</v>
      </c>
    </row>
    <row r="19" spans="1:7" ht="21.75" customHeight="1">
      <c r="A19" s="251"/>
      <c r="B19" s="241"/>
      <c r="C19" s="241"/>
      <c r="D19" s="230"/>
      <c r="E19" s="465"/>
      <c r="F19" s="466" t="str">
        <f>IFERROR(HLOOKUP(B19,'Tabela Mão de obra'!B$6:O$34,29,0),"")</f>
        <v/>
      </c>
      <c r="G19" s="245"/>
    </row>
    <row r="20" spans="1:7" ht="21.75" customHeight="1">
      <c r="A20" s="249"/>
      <c r="B20" s="243"/>
      <c r="C20" s="243"/>
      <c r="D20" s="546">
        <f>SUM(D10:D19)</f>
        <v>14</v>
      </c>
      <c r="E20" s="546">
        <f>SUM(E10:E19)</f>
        <v>2648.7999999999997</v>
      </c>
      <c r="F20" s="544"/>
      <c r="G20" s="235"/>
    </row>
    <row r="21" spans="1:7" ht="21.75" hidden="1" customHeight="1">
      <c r="A21" s="251" t="s">
        <v>357</v>
      </c>
      <c r="B21" s="241"/>
      <c r="C21" s="241"/>
      <c r="D21" s="230"/>
      <c r="E21" s="465"/>
      <c r="F21" s="466" t="str">
        <f>IFERROR(HLOOKUP(B21,'Tabela Mão de obra'!B$6:O$34,29,0),"")</f>
        <v/>
      </c>
      <c r="G21" s="245"/>
    </row>
    <row r="22" spans="1:7" ht="21.75" hidden="1" customHeight="1">
      <c r="A22" s="251" t="s">
        <v>358</v>
      </c>
      <c r="B22" s="241"/>
      <c r="C22" s="241"/>
      <c r="D22" s="230"/>
      <c r="E22" s="465"/>
      <c r="F22" s="466" t="str">
        <f>IFERROR(HLOOKUP(B22,'Tabela Mão de obra'!B$6:O$34,29,0),"")</f>
        <v/>
      </c>
      <c r="G22" s="245"/>
    </row>
    <row r="23" spans="1:7" ht="21.75" hidden="1" customHeight="1">
      <c r="A23" s="251" t="s">
        <v>359</v>
      </c>
      <c r="B23" s="241"/>
      <c r="C23" s="241"/>
      <c r="D23" s="230"/>
      <c r="E23" s="465"/>
      <c r="F23" s="466" t="str">
        <f>IFERROR(HLOOKUP(B23,'Tabela Mão de obra'!B$6:O$34,29,0),"")</f>
        <v/>
      </c>
      <c r="G23" s="245"/>
    </row>
    <row r="24" spans="1:7" ht="21.75" hidden="1" customHeight="1">
      <c r="A24" s="251" t="s">
        <v>360</v>
      </c>
      <c r="B24" s="241"/>
      <c r="C24" s="241"/>
      <c r="D24" s="230"/>
      <c r="E24" s="465"/>
      <c r="F24" s="466" t="str">
        <f>IFERROR(HLOOKUP(B24,'Tabela Mão de obra'!B$6:O$34,29,0),"")</f>
        <v/>
      </c>
      <c r="G24" s="245"/>
    </row>
    <row r="25" spans="1:7" ht="21.75" hidden="1" customHeight="1">
      <c r="A25" s="251" t="s">
        <v>361</v>
      </c>
      <c r="B25" s="241"/>
      <c r="C25" s="241"/>
      <c r="D25" s="230"/>
      <c r="E25" s="465"/>
      <c r="F25" s="466" t="str">
        <f>IFERROR(HLOOKUP(B25,'Tabela Mão de obra'!B$6:O$34,29,0),"")</f>
        <v/>
      </c>
      <c r="G25" s="245"/>
    </row>
    <row r="26" spans="1:7" ht="21.75" hidden="1" customHeight="1">
      <c r="A26" s="251" t="s">
        <v>362</v>
      </c>
      <c r="B26" s="241"/>
      <c r="C26" s="241"/>
      <c r="D26" s="230"/>
      <c r="E26" s="465"/>
      <c r="F26" s="466" t="str">
        <f>IFERROR(HLOOKUP(B26,'Tabela Mão de obra'!B$6:O$34,29,0),"")</f>
        <v/>
      </c>
      <c r="G26" s="245"/>
    </row>
    <row r="27" spans="1:7" ht="21.75" hidden="1" customHeight="1">
      <c r="A27" s="251" t="s">
        <v>363</v>
      </c>
      <c r="B27" s="241"/>
      <c r="C27" s="241"/>
      <c r="D27" s="230"/>
      <c r="E27" s="465"/>
      <c r="F27" s="466" t="str">
        <f>IFERROR(HLOOKUP(B27,'Tabela Mão de obra'!B$6:O$34,29,0),"")</f>
        <v/>
      </c>
      <c r="G27" s="245"/>
    </row>
    <row r="28" spans="1:7" ht="21.75" hidden="1" customHeight="1">
      <c r="A28" s="251" t="s">
        <v>364</v>
      </c>
      <c r="B28" s="241"/>
      <c r="C28" s="241"/>
      <c r="D28" s="230"/>
      <c r="E28" s="465"/>
      <c r="F28" s="466" t="str">
        <f>IFERROR(HLOOKUP(B28,'Tabela Mão de obra'!B$6:O$34,29,0),"")</f>
        <v/>
      </c>
      <c r="G28" s="245"/>
    </row>
  </sheetData>
  <mergeCells count="4">
    <mergeCell ref="A2:A3"/>
    <mergeCell ref="B2:B3"/>
    <mergeCell ref="D2:D3"/>
    <mergeCell ref="E2:G2"/>
  </mergeCells>
  <phoneticPr fontId="2" type="noConversion"/>
  <dataValidations count="2">
    <dataValidation type="list" allowBlank="1" showInputMessage="1" showErrorMessage="1" sqref="G3" xr:uid="{3D36364E-B358-43D7-B673-C14F13177821}">
      <formula1>Moedas</formula1>
    </dataValidation>
    <dataValidation allowBlank="1" showErrorMessage="1" prompt="Escolha a moeda de seu contrato no cabeçalho do QQP." sqref="G4:G28" xr:uid="{57FE51AE-0BC9-43C3-B873-7CD7CCFE3EFC}"/>
  </dataValidations>
  <printOptions horizontalCentered="1"/>
  <pageMargins left="0.25" right="0.25" top="0.75" bottom="0.75" header="0.3" footer="0.3"/>
  <pageSetup paperSize="9" scale="73" orientation="portrait"/>
  <ignoredErrors>
    <ignoredError sqref="F17:F19 F11:F15" unlockedFormula="1"/>
  </ignoredError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B75F9-6C58-4041-B54B-7891AA2FA9A5}">
  <sheetPr>
    <tabColor rgb="FFFFC000"/>
  </sheetPr>
  <dimension ref="A1:G28"/>
  <sheetViews>
    <sheetView showGridLines="0" topLeftCell="A2" zoomScale="115" zoomScaleNormal="115" zoomScaleSheetLayoutView="100" workbookViewId="0">
      <selection activeCell="E11" sqref="E11"/>
    </sheetView>
  </sheetViews>
  <sheetFormatPr defaultRowHeight="12.4"/>
  <cols>
    <col min="1" max="1" width="9.28515625" bestFit="1" customWidth="1"/>
    <col min="2" max="2" width="52" customWidth="1"/>
    <col min="3" max="3" width="12.85546875" customWidth="1"/>
    <col min="4" max="4" width="11.7109375" customWidth="1"/>
    <col min="5" max="5" width="13.28515625" customWidth="1"/>
    <col min="6" max="6" width="13.7109375" customWidth="1"/>
    <col min="7" max="7" width="14.7109375" customWidth="1"/>
    <col min="8" max="8" width="11.28515625" bestFit="1" customWidth="1"/>
    <col min="9" max="9" width="13.5703125" customWidth="1"/>
    <col min="10" max="10" width="12.85546875" customWidth="1"/>
    <col min="11" max="11" width="13.140625" customWidth="1"/>
    <col min="12" max="12" width="13" customWidth="1"/>
    <col min="13" max="13" width="11.5703125" customWidth="1"/>
    <col min="14" max="14" width="12.85546875" customWidth="1"/>
  </cols>
  <sheetData>
    <row r="1" spans="1:7" ht="58.5" customHeight="1">
      <c r="A1" s="227"/>
      <c r="B1" s="228"/>
      <c r="C1" s="228"/>
      <c r="D1" s="228"/>
      <c r="E1" s="228"/>
      <c r="F1" s="228"/>
      <c r="G1" s="789"/>
    </row>
    <row r="2" spans="1:7" ht="18" customHeight="1">
      <c r="A2" s="1119" t="s">
        <v>1</v>
      </c>
      <c r="B2" s="1120" t="s">
        <v>331</v>
      </c>
      <c r="C2" s="1121" t="s">
        <v>341</v>
      </c>
      <c r="D2" s="1121" t="s">
        <v>332</v>
      </c>
      <c r="E2" s="1117" t="s">
        <v>333</v>
      </c>
      <c r="F2" s="1117"/>
      <c r="G2" s="1118"/>
    </row>
    <row r="3" spans="1:7" ht="18" customHeight="1">
      <c r="A3" s="1111"/>
      <c r="B3" s="1113"/>
      <c r="C3" s="1115"/>
      <c r="D3" s="1115"/>
      <c r="E3" s="229" t="s">
        <v>334</v>
      </c>
      <c r="F3" s="229" t="s">
        <v>335</v>
      </c>
      <c r="G3" s="790" t="s">
        <v>336</v>
      </c>
    </row>
    <row r="4" spans="1:7" ht="16.5" customHeight="1">
      <c r="A4" s="249">
        <v>1</v>
      </c>
      <c r="B4" s="547" t="str">
        <f>B9</f>
        <v>MÃO DE OBRA - MONTAGEM</v>
      </c>
      <c r="C4" s="231"/>
      <c r="D4" s="232" t="s">
        <v>268</v>
      </c>
      <c r="E4" s="233">
        <v>1</v>
      </c>
      <c r="F4" s="544">
        <f>SUM(F5:F7)</f>
        <v>297302.74702679389</v>
      </c>
      <c r="G4" s="791">
        <f>E4*F4</f>
        <v>297302.74702679389</v>
      </c>
    </row>
    <row r="5" spans="1:7" ht="24" customHeight="1">
      <c r="A5" s="250" t="s">
        <v>337</v>
      </c>
      <c r="B5" s="548" t="str">
        <f>B4 &amp; " -&gt; Custo Direto"</f>
        <v>MÃO DE OBRA - MONTAGEM -&gt; Custo Direto</v>
      </c>
      <c r="C5" s="236"/>
      <c r="D5" s="237" t="s">
        <v>268</v>
      </c>
      <c r="E5" s="238">
        <v>1</v>
      </c>
      <c r="F5" s="239">
        <f>G9</f>
        <v>225587.55950873042</v>
      </c>
      <c r="G5" s="792">
        <f>E5*F5</f>
        <v>225587.55950873042</v>
      </c>
    </row>
    <row r="6" spans="1:7" ht="24" customHeight="1">
      <c r="A6" s="250" t="s">
        <v>338</v>
      </c>
      <c r="B6" s="548" t="str">
        <f>B4&amp; " -&gt; BDI"</f>
        <v>MÃO DE OBRA - MONTAGEM -&gt; BDI</v>
      </c>
      <c r="C6" s="236"/>
      <c r="D6" s="237" t="s">
        <v>268</v>
      </c>
      <c r="E6" s="238">
        <v>1</v>
      </c>
      <c r="F6" s="240">
        <f>F5*'Tabela BDI e Tributos'!I38</f>
        <v>33386.958807292103</v>
      </c>
      <c r="G6" s="792">
        <f>E6*F6</f>
        <v>33386.958807292103</v>
      </c>
    </row>
    <row r="7" spans="1:7" ht="24" customHeight="1">
      <c r="A7" s="250" t="s">
        <v>339</v>
      </c>
      <c r="B7" s="548" t="str">
        <f>B4 &amp; " -&gt; Impostos"</f>
        <v>MÃO DE OBRA - MONTAGEM -&gt; Impostos</v>
      </c>
      <c r="C7" s="236"/>
      <c r="D7" s="237" t="s">
        <v>268</v>
      </c>
      <c r="E7" s="238">
        <v>1</v>
      </c>
      <c r="F7" s="240">
        <f>(F5+F6)*'Tabela BDI e Tributos'!I38</f>
        <v>38328.228710771335</v>
      </c>
      <c r="G7" s="792">
        <f>E7*F7</f>
        <v>38328.228710771335</v>
      </c>
    </row>
    <row r="8" spans="1:7" ht="24" customHeight="1">
      <c r="A8" s="251"/>
      <c r="B8" s="246"/>
      <c r="C8" s="246"/>
      <c r="D8" s="230"/>
      <c r="E8" s="242"/>
      <c r="F8" s="244" t="str">
        <f>IFERROR(HLOOKUP(B8,'Tabela Mão de obra'!B$6:O$34,29,0),"")</f>
        <v/>
      </c>
      <c r="G8" s="793" t="str">
        <f t="shared" ref="G8" si="0">IFERROR(E8*F8,"")</f>
        <v/>
      </c>
    </row>
    <row r="9" spans="1:7" ht="21.75" customHeight="1">
      <c r="A9" s="249">
        <v>5</v>
      </c>
      <c r="B9" s="243" t="s">
        <v>365</v>
      </c>
      <c r="C9" s="540" t="s">
        <v>341</v>
      </c>
      <c r="D9" s="232" t="s">
        <v>342</v>
      </c>
      <c r="E9" s="233" t="s">
        <v>343</v>
      </c>
      <c r="F9" s="234" t="s">
        <v>344</v>
      </c>
      <c r="G9" s="791">
        <f>SUM(G10:G28)</f>
        <v>225587.55950873042</v>
      </c>
    </row>
    <row r="10" spans="1:7" ht="21.75" customHeight="1">
      <c r="A10" s="251" t="s">
        <v>345</v>
      </c>
      <c r="B10" s="241" t="s">
        <v>9</v>
      </c>
      <c r="C10" s="465">
        <v>22</v>
      </c>
      <c r="D10" s="542">
        <v>1</v>
      </c>
      <c r="E10" s="543">
        <f t="shared" ref="E10:E18" si="1">C10*8.6</f>
        <v>189.2</v>
      </c>
      <c r="F10" s="541">
        <f>IFERROR(HLOOKUP(B10,'Tabela Mão de obra'!B$6:O$34,29,0),"")</f>
        <v>77.474710144927542</v>
      </c>
      <c r="G10" s="793">
        <f t="shared" ref="G10" si="2">D10*E10*F10</f>
        <v>14658.21515942029</v>
      </c>
    </row>
    <row r="11" spans="1:7" ht="21.75" customHeight="1">
      <c r="A11" s="251" t="s">
        <v>346</v>
      </c>
      <c r="B11" s="241" t="s">
        <v>347</v>
      </c>
      <c r="C11" s="465">
        <v>44</v>
      </c>
      <c r="D11" s="542">
        <v>1</v>
      </c>
      <c r="E11" s="543">
        <f t="shared" si="1"/>
        <v>378.4</v>
      </c>
      <c r="F11" s="541">
        <f>IFERROR(HLOOKUP(B11,'Tabela Mão de obra'!B$6:O$34,29,0),"")</f>
        <v>69.773145623188412</v>
      </c>
      <c r="G11" s="793">
        <f t="shared" ref="G11:G18" si="3">D11*E11*F11</f>
        <v>26402.158303814493</v>
      </c>
    </row>
    <row r="12" spans="1:7" ht="21.75" customHeight="1">
      <c r="A12" s="251" t="s">
        <v>348</v>
      </c>
      <c r="B12" s="241" t="s">
        <v>12</v>
      </c>
      <c r="C12" s="465">
        <v>0</v>
      </c>
      <c r="D12" s="542">
        <v>0</v>
      </c>
      <c r="E12" s="543">
        <f t="shared" si="1"/>
        <v>0</v>
      </c>
      <c r="F12" s="541">
        <f>IFERROR(HLOOKUP(B12,'Tabela Mão de obra'!B$6:O$34,29,0),"")</f>
        <v>54.680580405797095</v>
      </c>
      <c r="G12" s="793">
        <f t="shared" si="3"/>
        <v>0</v>
      </c>
    </row>
    <row r="13" spans="1:7" ht="21.75" customHeight="1">
      <c r="A13" s="251" t="s">
        <v>349</v>
      </c>
      <c r="B13" s="241" t="s">
        <v>350</v>
      </c>
      <c r="C13" s="465">
        <v>44</v>
      </c>
      <c r="D13" s="542">
        <v>5</v>
      </c>
      <c r="E13" s="543">
        <f>C13*8.6</f>
        <v>378.4</v>
      </c>
      <c r="F13" s="541">
        <f>IFERROR(HLOOKUP(B13,'Tabela Mão de obra'!B$6:O$34,29,0),"")</f>
        <v>39.581080405797103</v>
      </c>
      <c r="G13" s="793">
        <f t="shared" si="3"/>
        <v>74887.404127768124</v>
      </c>
    </row>
    <row r="14" spans="1:7" ht="21.75" customHeight="1">
      <c r="A14" s="251" t="s">
        <v>351</v>
      </c>
      <c r="B14" s="241" t="s">
        <v>352</v>
      </c>
      <c r="C14" s="465">
        <v>44</v>
      </c>
      <c r="D14" s="542">
        <v>5</v>
      </c>
      <c r="E14" s="543">
        <f t="shared" si="1"/>
        <v>378.4</v>
      </c>
      <c r="F14" s="541">
        <f>IFERROR(HLOOKUP(B14,'Tabela Mão de obra'!B$6:O$34,29,0),"")</f>
        <v>48.642167362318837</v>
      </c>
      <c r="G14" s="793">
        <f t="shared" si="3"/>
        <v>92030.980649507241</v>
      </c>
    </row>
    <row r="15" spans="1:7" ht="21.75" customHeight="1">
      <c r="A15" s="251" t="s">
        <v>351</v>
      </c>
      <c r="B15" s="241" t="s">
        <v>14</v>
      </c>
      <c r="C15" s="465">
        <v>0</v>
      </c>
      <c r="D15" s="542">
        <v>0</v>
      </c>
      <c r="E15" s="543">
        <f t="shared" si="1"/>
        <v>0</v>
      </c>
      <c r="F15" s="541">
        <f>IFERROR(HLOOKUP(B15,'Tabela Mão de obra'!B$6:O$34,29,0),"")</f>
        <v>52.092689101449274</v>
      </c>
      <c r="G15" s="793">
        <f t="shared" si="3"/>
        <v>0</v>
      </c>
    </row>
    <row r="16" spans="1:7" ht="21.75" customHeight="1">
      <c r="A16" s="251" t="s">
        <v>351</v>
      </c>
      <c r="B16" s="241" t="s">
        <v>353</v>
      </c>
      <c r="C16" s="465">
        <v>0</v>
      </c>
      <c r="D16" s="542">
        <v>0</v>
      </c>
      <c r="E16" s="543">
        <f t="shared" si="1"/>
        <v>0</v>
      </c>
      <c r="F16" s="541">
        <f>IFERROR(HLOOKUP(B16,'Tabela Mão de obra'!B$6:O$34,29,0),"")</f>
        <v>46.218254318840579</v>
      </c>
      <c r="G16" s="793">
        <f t="shared" si="3"/>
        <v>0</v>
      </c>
    </row>
    <row r="17" spans="1:7" ht="21.75" customHeight="1">
      <c r="A17" s="251" t="s">
        <v>354</v>
      </c>
      <c r="B17" s="241" t="s">
        <v>355</v>
      </c>
      <c r="C17" s="465">
        <v>22</v>
      </c>
      <c r="D17" s="542">
        <v>1</v>
      </c>
      <c r="E17" s="543">
        <f t="shared" si="1"/>
        <v>189.2</v>
      </c>
      <c r="F17" s="541">
        <f>IFERROR(HLOOKUP(B17,'Tabela Mão de obra'!B$6:O$34,29,0),"")</f>
        <v>36.160824869565218</v>
      </c>
      <c r="G17" s="793">
        <f t="shared" si="3"/>
        <v>6841.6280653217391</v>
      </c>
    </row>
    <row r="18" spans="1:7" ht="21.75" customHeight="1">
      <c r="A18" s="251" t="s">
        <v>356</v>
      </c>
      <c r="B18" s="241" t="s">
        <v>139</v>
      </c>
      <c r="C18" s="549">
        <v>22</v>
      </c>
      <c r="D18" s="542">
        <v>1</v>
      </c>
      <c r="E18" s="543">
        <f t="shared" si="1"/>
        <v>189.2</v>
      </c>
      <c r="F18" s="541">
        <f>IFERROR(HLOOKUP(B18,'Tabela Mão de obra'!B$6:O$34,29,0),"")</f>
        <v>56.908949275362318</v>
      </c>
      <c r="G18" s="793">
        <f t="shared" si="3"/>
        <v>10767.17320289855</v>
      </c>
    </row>
    <row r="19" spans="1:7" ht="21.75" customHeight="1">
      <c r="A19" s="251"/>
      <c r="B19" s="241"/>
      <c r="C19" s="241"/>
      <c r="D19" s="230"/>
      <c r="E19" s="465"/>
      <c r="F19" s="466" t="str">
        <f>IFERROR(HLOOKUP(B19,'Tabela Mão de obra'!B$6:O$34,29,0),"")</f>
        <v/>
      </c>
      <c r="G19" s="793"/>
    </row>
    <row r="20" spans="1:7" ht="21.75" customHeight="1">
      <c r="A20" s="794"/>
      <c r="B20" s="795"/>
      <c r="C20" s="795"/>
      <c r="D20" s="796">
        <f>SUM(D10:D19)</f>
        <v>14</v>
      </c>
      <c r="E20" s="796">
        <f>SUM(E10:E19)</f>
        <v>1702.8</v>
      </c>
      <c r="F20" s="797"/>
      <c r="G20" s="798"/>
    </row>
    <row r="21" spans="1:7" ht="21.75" hidden="1" customHeight="1">
      <c r="A21" s="799" t="s">
        <v>357</v>
      </c>
      <c r="B21" s="800"/>
      <c r="C21" s="800"/>
      <c r="D21" s="801"/>
      <c r="E21" s="802"/>
      <c r="F21" s="803" t="str">
        <f>IFERROR(HLOOKUP(B21,'Tabela Mão de obra'!B$6:O$34,29,0),"")</f>
        <v/>
      </c>
      <c r="G21" s="804"/>
    </row>
    <row r="22" spans="1:7" ht="21.75" hidden="1" customHeight="1">
      <c r="A22" s="251" t="s">
        <v>358</v>
      </c>
      <c r="B22" s="241"/>
      <c r="C22" s="241"/>
      <c r="D22" s="230"/>
      <c r="E22" s="465"/>
      <c r="F22" s="466" t="str">
        <f>IFERROR(HLOOKUP(B22,'Tabela Mão de obra'!B$6:O$34,29,0),"")</f>
        <v/>
      </c>
      <c r="G22" s="245"/>
    </row>
    <row r="23" spans="1:7" ht="21.75" hidden="1" customHeight="1">
      <c r="A23" s="251" t="s">
        <v>359</v>
      </c>
      <c r="B23" s="241"/>
      <c r="C23" s="241"/>
      <c r="D23" s="230"/>
      <c r="E23" s="465"/>
      <c r="F23" s="466" t="str">
        <f>IFERROR(HLOOKUP(B23,'Tabela Mão de obra'!B$6:O$34,29,0),"")</f>
        <v/>
      </c>
      <c r="G23" s="245"/>
    </row>
    <row r="24" spans="1:7" ht="21.75" hidden="1" customHeight="1">
      <c r="A24" s="251" t="s">
        <v>360</v>
      </c>
      <c r="B24" s="241"/>
      <c r="C24" s="241"/>
      <c r="D24" s="230"/>
      <c r="E24" s="465"/>
      <c r="F24" s="466" t="str">
        <f>IFERROR(HLOOKUP(B24,'Tabela Mão de obra'!B$6:O$34,29,0),"")</f>
        <v/>
      </c>
      <c r="G24" s="245"/>
    </row>
    <row r="25" spans="1:7" ht="21.75" hidden="1" customHeight="1">
      <c r="A25" s="251" t="s">
        <v>361</v>
      </c>
      <c r="B25" s="241"/>
      <c r="C25" s="241"/>
      <c r="D25" s="230"/>
      <c r="E25" s="465"/>
      <c r="F25" s="466" t="str">
        <f>IFERROR(HLOOKUP(B25,'Tabela Mão de obra'!B$6:O$34,29,0),"")</f>
        <v/>
      </c>
      <c r="G25" s="245"/>
    </row>
    <row r="26" spans="1:7" ht="21.75" hidden="1" customHeight="1">
      <c r="A26" s="251" t="s">
        <v>362</v>
      </c>
      <c r="B26" s="241"/>
      <c r="C26" s="241"/>
      <c r="D26" s="230"/>
      <c r="E26" s="465"/>
      <c r="F26" s="466" t="str">
        <f>IFERROR(HLOOKUP(B26,'Tabela Mão de obra'!B$6:O$34,29,0),"")</f>
        <v/>
      </c>
      <c r="G26" s="245"/>
    </row>
    <row r="27" spans="1:7" ht="21.75" hidden="1" customHeight="1">
      <c r="A27" s="251" t="s">
        <v>363</v>
      </c>
      <c r="B27" s="241"/>
      <c r="C27" s="241"/>
      <c r="D27" s="230"/>
      <c r="E27" s="465"/>
      <c r="F27" s="466" t="str">
        <f>IFERROR(HLOOKUP(B27,'Tabela Mão de obra'!B$6:O$34,29,0),"")</f>
        <v/>
      </c>
      <c r="G27" s="245"/>
    </row>
    <row r="28" spans="1:7" ht="21.75" hidden="1" customHeight="1">
      <c r="A28" s="251" t="s">
        <v>364</v>
      </c>
      <c r="B28" s="241"/>
      <c r="C28" s="241"/>
      <c r="D28" s="230"/>
      <c r="E28" s="465"/>
      <c r="F28" s="466" t="str">
        <f>IFERROR(HLOOKUP(B28,'Tabela Mão de obra'!B$6:O$34,29,0),"")</f>
        <v/>
      </c>
      <c r="G28" s="245"/>
    </row>
  </sheetData>
  <mergeCells count="5">
    <mergeCell ref="E2:G2"/>
    <mergeCell ref="A2:A3"/>
    <mergeCell ref="B2:B3"/>
    <mergeCell ref="D2:D3"/>
    <mergeCell ref="C2:C3"/>
  </mergeCells>
  <phoneticPr fontId="2" type="noConversion"/>
  <dataValidations count="2">
    <dataValidation type="list" allowBlank="1" showInputMessage="1" showErrorMessage="1" sqref="G3" xr:uid="{08B279B3-0CA2-4B94-8C74-80FF8F06232A}">
      <formula1>Moedas</formula1>
    </dataValidation>
    <dataValidation allowBlank="1" showErrorMessage="1" prompt="Escolha a moeda de seu contrato no cabeçalho do QQP." sqref="G4:G28" xr:uid="{23C97943-13C1-400E-B471-73AB89F142D6}"/>
  </dataValidations>
  <printOptions horizontalCentered="1"/>
  <pageMargins left="0.25" right="0.25" top="0.75" bottom="0.75" header="0.3" footer="0.3"/>
  <pageSetup paperSize="9" scale="73" orientation="portrait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2CCC8-29DC-48BF-A45B-490C46A31A72}">
  <sheetPr>
    <tabColor rgb="FF002060"/>
  </sheetPr>
  <dimension ref="A1:J56"/>
  <sheetViews>
    <sheetView showGridLines="0" topLeftCell="A26" zoomScale="85" zoomScaleNormal="85" workbookViewId="0">
      <selection activeCell="F41" sqref="F41"/>
    </sheetView>
  </sheetViews>
  <sheetFormatPr defaultColWidth="16.5703125" defaultRowHeight="15.95"/>
  <cols>
    <col min="1" max="1" width="8" style="805" bestFit="1" customWidth="1"/>
    <col min="2" max="2" width="65.85546875" style="805" bestFit="1" customWidth="1"/>
    <col min="3" max="3" width="10.42578125" style="805" bestFit="1" customWidth="1"/>
    <col min="4" max="4" width="8.42578125" style="805" bestFit="1" customWidth="1"/>
    <col min="5" max="5" width="12.42578125" style="805" bestFit="1" customWidth="1"/>
    <col min="6" max="6" width="17.42578125" style="805" bestFit="1" customWidth="1"/>
    <col min="7" max="7" width="17.140625" style="805" bestFit="1" customWidth="1"/>
    <col min="8" max="8" width="20.85546875" style="805" customWidth="1"/>
    <col min="9" max="9" width="13" style="806" customWidth="1"/>
    <col min="10" max="256" width="16.5703125" style="805"/>
    <col min="257" max="257" width="8" style="805" bestFit="1" customWidth="1"/>
    <col min="258" max="258" width="28.5703125" style="805" customWidth="1"/>
    <col min="259" max="259" width="10.42578125" style="805" bestFit="1" customWidth="1"/>
    <col min="260" max="260" width="8.42578125" style="805" bestFit="1" customWidth="1"/>
    <col min="261" max="261" width="12.42578125" style="805" bestFit="1" customWidth="1"/>
    <col min="262" max="262" width="17.42578125" style="805" bestFit="1" customWidth="1"/>
    <col min="263" max="263" width="17.140625" style="805" bestFit="1" customWidth="1"/>
    <col min="264" max="264" width="16.5703125" style="805" bestFit="1"/>
    <col min="265" max="265" width="13" style="805" customWidth="1"/>
    <col min="266" max="512" width="16.5703125" style="805"/>
    <col min="513" max="513" width="8" style="805" bestFit="1" customWidth="1"/>
    <col min="514" max="514" width="28.5703125" style="805" customWidth="1"/>
    <col min="515" max="515" width="10.42578125" style="805" bestFit="1" customWidth="1"/>
    <col min="516" max="516" width="8.42578125" style="805" bestFit="1" customWidth="1"/>
    <col min="517" max="517" width="12.42578125" style="805" bestFit="1" customWidth="1"/>
    <col min="518" max="518" width="17.42578125" style="805" bestFit="1" customWidth="1"/>
    <col min="519" max="519" width="17.140625" style="805" bestFit="1" customWidth="1"/>
    <col min="520" max="520" width="16.5703125" style="805" bestFit="1"/>
    <col min="521" max="521" width="13" style="805" customWidth="1"/>
    <col min="522" max="768" width="16.5703125" style="805"/>
    <col min="769" max="769" width="8" style="805" bestFit="1" customWidth="1"/>
    <col min="770" max="770" width="28.5703125" style="805" customWidth="1"/>
    <col min="771" max="771" width="10.42578125" style="805" bestFit="1" customWidth="1"/>
    <col min="772" max="772" width="8.42578125" style="805" bestFit="1" customWidth="1"/>
    <col min="773" max="773" width="12.42578125" style="805" bestFit="1" customWidth="1"/>
    <col min="774" max="774" width="17.42578125" style="805" bestFit="1" customWidth="1"/>
    <col min="775" max="775" width="17.140625" style="805" bestFit="1" customWidth="1"/>
    <col min="776" max="776" width="16.5703125" style="805" bestFit="1"/>
    <col min="777" max="777" width="13" style="805" customWidth="1"/>
    <col min="778" max="1024" width="16.5703125" style="805"/>
    <col min="1025" max="1025" width="8" style="805" bestFit="1" customWidth="1"/>
    <col min="1026" max="1026" width="28.5703125" style="805" customWidth="1"/>
    <col min="1027" max="1027" width="10.42578125" style="805" bestFit="1" customWidth="1"/>
    <col min="1028" max="1028" width="8.42578125" style="805" bestFit="1" customWidth="1"/>
    <col min="1029" max="1029" width="12.42578125" style="805" bestFit="1" customWidth="1"/>
    <col min="1030" max="1030" width="17.42578125" style="805" bestFit="1" customWidth="1"/>
    <col min="1031" max="1031" width="17.140625" style="805" bestFit="1" customWidth="1"/>
    <col min="1032" max="1032" width="16.5703125" style="805" bestFit="1"/>
    <col min="1033" max="1033" width="13" style="805" customWidth="1"/>
    <col min="1034" max="1280" width="16.5703125" style="805"/>
    <col min="1281" max="1281" width="8" style="805" bestFit="1" customWidth="1"/>
    <col min="1282" max="1282" width="28.5703125" style="805" customWidth="1"/>
    <col min="1283" max="1283" width="10.42578125" style="805" bestFit="1" customWidth="1"/>
    <col min="1284" max="1284" width="8.42578125" style="805" bestFit="1" customWidth="1"/>
    <col min="1285" max="1285" width="12.42578125" style="805" bestFit="1" customWidth="1"/>
    <col min="1286" max="1286" width="17.42578125" style="805" bestFit="1" customWidth="1"/>
    <col min="1287" max="1287" width="17.140625" style="805" bestFit="1" customWidth="1"/>
    <col min="1288" max="1288" width="16.5703125" style="805" bestFit="1"/>
    <col min="1289" max="1289" width="13" style="805" customWidth="1"/>
    <col min="1290" max="1536" width="16.5703125" style="805"/>
    <col min="1537" max="1537" width="8" style="805" bestFit="1" customWidth="1"/>
    <col min="1538" max="1538" width="28.5703125" style="805" customWidth="1"/>
    <col min="1539" max="1539" width="10.42578125" style="805" bestFit="1" customWidth="1"/>
    <col min="1540" max="1540" width="8.42578125" style="805" bestFit="1" customWidth="1"/>
    <col min="1541" max="1541" width="12.42578125" style="805" bestFit="1" customWidth="1"/>
    <col min="1542" max="1542" width="17.42578125" style="805" bestFit="1" customWidth="1"/>
    <col min="1543" max="1543" width="17.140625" style="805" bestFit="1" customWidth="1"/>
    <col min="1544" max="1544" width="16.5703125" style="805" bestFit="1"/>
    <col min="1545" max="1545" width="13" style="805" customWidth="1"/>
    <col min="1546" max="1792" width="16.5703125" style="805"/>
    <col min="1793" max="1793" width="8" style="805" bestFit="1" customWidth="1"/>
    <col min="1794" max="1794" width="28.5703125" style="805" customWidth="1"/>
    <col min="1795" max="1795" width="10.42578125" style="805" bestFit="1" customWidth="1"/>
    <col min="1796" max="1796" width="8.42578125" style="805" bestFit="1" customWidth="1"/>
    <col min="1797" max="1797" width="12.42578125" style="805" bestFit="1" customWidth="1"/>
    <col min="1798" max="1798" width="17.42578125" style="805" bestFit="1" customWidth="1"/>
    <col min="1799" max="1799" width="17.140625" style="805" bestFit="1" customWidth="1"/>
    <col min="1800" max="1800" width="16.5703125" style="805" bestFit="1"/>
    <col min="1801" max="1801" width="13" style="805" customWidth="1"/>
    <col min="1802" max="2048" width="16.5703125" style="805"/>
    <col min="2049" max="2049" width="8" style="805" bestFit="1" customWidth="1"/>
    <col min="2050" max="2050" width="28.5703125" style="805" customWidth="1"/>
    <col min="2051" max="2051" width="10.42578125" style="805" bestFit="1" customWidth="1"/>
    <col min="2052" max="2052" width="8.42578125" style="805" bestFit="1" customWidth="1"/>
    <col min="2053" max="2053" width="12.42578125" style="805" bestFit="1" customWidth="1"/>
    <col min="2054" max="2054" width="17.42578125" style="805" bestFit="1" customWidth="1"/>
    <col min="2055" max="2055" width="17.140625" style="805" bestFit="1" customWidth="1"/>
    <col min="2056" max="2056" width="16.5703125" style="805" bestFit="1"/>
    <col min="2057" max="2057" width="13" style="805" customWidth="1"/>
    <col min="2058" max="2304" width="16.5703125" style="805"/>
    <col min="2305" max="2305" width="8" style="805" bestFit="1" customWidth="1"/>
    <col min="2306" max="2306" width="28.5703125" style="805" customWidth="1"/>
    <col min="2307" max="2307" width="10.42578125" style="805" bestFit="1" customWidth="1"/>
    <col min="2308" max="2308" width="8.42578125" style="805" bestFit="1" customWidth="1"/>
    <col min="2309" max="2309" width="12.42578125" style="805" bestFit="1" customWidth="1"/>
    <col min="2310" max="2310" width="17.42578125" style="805" bestFit="1" customWidth="1"/>
    <col min="2311" max="2311" width="17.140625" style="805" bestFit="1" customWidth="1"/>
    <col min="2312" max="2312" width="16.5703125" style="805" bestFit="1"/>
    <col min="2313" max="2313" width="13" style="805" customWidth="1"/>
    <col min="2314" max="2560" width="16.5703125" style="805"/>
    <col min="2561" max="2561" width="8" style="805" bestFit="1" customWidth="1"/>
    <col min="2562" max="2562" width="28.5703125" style="805" customWidth="1"/>
    <col min="2563" max="2563" width="10.42578125" style="805" bestFit="1" customWidth="1"/>
    <col min="2564" max="2564" width="8.42578125" style="805" bestFit="1" customWidth="1"/>
    <col min="2565" max="2565" width="12.42578125" style="805" bestFit="1" customWidth="1"/>
    <col min="2566" max="2566" width="17.42578125" style="805" bestFit="1" customWidth="1"/>
    <col min="2567" max="2567" width="17.140625" style="805" bestFit="1" customWidth="1"/>
    <col min="2568" max="2568" width="16.5703125" style="805" bestFit="1"/>
    <col min="2569" max="2569" width="13" style="805" customWidth="1"/>
    <col min="2570" max="2816" width="16.5703125" style="805"/>
    <col min="2817" max="2817" width="8" style="805" bestFit="1" customWidth="1"/>
    <col min="2818" max="2818" width="28.5703125" style="805" customWidth="1"/>
    <col min="2819" max="2819" width="10.42578125" style="805" bestFit="1" customWidth="1"/>
    <col min="2820" max="2820" width="8.42578125" style="805" bestFit="1" customWidth="1"/>
    <col min="2821" max="2821" width="12.42578125" style="805" bestFit="1" customWidth="1"/>
    <col min="2822" max="2822" width="17.42578125" style="805" bestFit="1" customWidth="1"/>
    <col min="2823" max="2823" width="17.140625" style="805" bestFit="1" customWidth="1"/>
    <col min="2824" max="2824" width="16.5703125" style="805" bestFit="1"/>
    <col min="2825" max="2825" width="13" style="805" customWidth="1"/>
    <col min="2826" max="3072" width="16.5703125" style="805"/>
    <col min="3073" max="3073" width="8" style="805" bestFit="1" customWidth="1"/>
    <col min="3074" max="3074" width="28.5703125" style="805" customWidth="1"/>
    <col min="3075" max="3075" width="10.42578125" style="805" bestFit="1" customWidth="1"/>
    <col min="3076" max="3076" width="8.42578125" style="805" bestFit="1" customWidth="1"/>
    <col min="3077" max="3077" width="12.42578125" style="805" bestFit="1" customWidth="1"/>
    <col min="3078" max="3078" width="17.42578125" style="805" bestFit="1" customWidth="1"/>
    <col min="3079" max="3079" width="17.140625" style="805" bestFit="1" customWidth="1"/>
    <col min="3080" max="3080" width="16.5703125" style="805" bestFit="1"/>
    <col min="3081" max="3081" width="13" style="805" customWidth="1"/>
    <col min="3082" max="3328" width="16.5703125" style="805"/>
    <col min="3329" max="3329" width="8" style="805" bestFit="1" customWidth="1"/>
    <col min="3330" max="3330" width="28.5703125" style="805" customWidth="1"/>
    <col min="3331" max="3331" width="10.42578125" style="805" bestFit="1" customWidth="1"/>
    <col min="3332" max="3332" width="8.42578125" style="805" bestFit="1" customWidth="1"/>
    <col min="3333" max="3333" width="12.42578125" style="805" bestFit="1" customWidth="1"/>
    <col min="3334" max="3334" width="17.42578125" style="805" bestFit="1" customWidth="1"/>
    <col min="3335" max="3335" width="17.140625" style="805" bestFit="1" customWidth="1"/>
    <col min="3336" max="3336" width="16.5703125" style="805" bestFit="1"/>
    <col min="3337" max="3337" width="13" style="805" customWidth="1"/>
    <col min="3338" max="3584" width="16.5703125" style="805"/>
    <col min="3585" max="3585" width="8" style="805" bestFit="1" customWidth="1"/>
    <col min="3586" max="3586" width="28.5703125" style="805" customWidth="1"/>
    <col min="3587" max="3587" width="10.42578125" style="805" bestFit="1" customWidth="1"/>
    <col min="3588" max="3588" width="8.42578125" style="805" bestFit="1" customWidth="1"/>
    <col min="3589" max="3589" width="12.42578125" style="805" bestFit="1" customWidth="1"/>
    <col min="3590" max="3590" width="17.42578125" style="805" bestFit="1" customWidth="1"/>
    <col min="3591" max="3591" width="17.140625" style="805" bestFit="1" customWidth="1"/>
    <col min="3592" max="3592" width="16.5703125" style="805" bestFit="1"/>
    <col min="3593" max="3593" width="13" style="805" customWidth="1"/>
    <col min="3594" max="3840" width="16.5703125" style="805"/>
    <col min="3841" max="3841" width="8" style="805" bestFit="1" customWidth="1"/>
    <col min="3842" max="3842" width="28.5703125" style="805" customWidth="1"/>
    <col min="3843" max="3843" width="10.42578125" style="805" bestFit="1" customWidth="1"/>
    <col min="3844" max="3844" width="8.42578125" style="805" bestFit="1" customWidth="1"/>
    <col min="3845" max="3845" width="12.42578125" style="805" bestFit="1" customWidth="1"/>
    <col min="3846" max="3846" width="17.42578125" style="805" bestFit="1" customWidth="1"/>
    <col min="3847" max="3847" width="17.140625" style="805" bestFit="1" customWidth="1"/>
    <col min="3848" max="3848" width="16.5703125" style="805" bestFit="1"/>
    <col min="3849" max="3849" width="13" style="805" customWidth="1"/>
    <col min="3850" max="4096" width="16.5703125" style="805"/>
    <col min="4097" max="4097" width="8" style="805" bestFit="1" customWidth="1"/>
    <col min="4098" max="4098" width="28.5703125" style="805" customWidth="1"/>
    <col min="4099" max="4099" width="10.42578125" style="805" bestFit="1" customWidth="1"/>
    <col min="4100" max="4100" width="8.42578125" style="805" bestFit="1" customWidth="1"/>
    <col min="4101" max="4101" width="12.42578125" style="805" bestFit="1" customWidth="1"/>
    <col min="4102" max="4102" width="17.42578125" style="805" bestFit="1" customWidth="1"/>
    <col min="4103" max="4103" width="17.140625" style="805" bestFit="1" customWidth="1"/>
    <col min="4104" max="4104" width="16.5703125" style="805" bestFit="1"/>
    <col min="4105" max="4105" width="13" style="805" customWidth="1"/>
    <col min="4106" max="4352" width="16.5703125" style="805"/>
    <col min="4353" max="4353" width="8" style="805" bestFit="1" customWidth="1"/>
    <col min="4354" max="4354" width="28.5703125" style="805" customWidth="1"/>
    <col min="4355" max="4355" width="10.42578125" style="805" bestFit="1" customWidth="1"/>
    <col min="4356" max="4356" width="8.42578125" style="805" bestFit="1" customWidth="1"/>
    <col min="4357" max="4357" width="12.42578125" style="805" bestFit="1" customWidth="1"/>
    <col min="4358" max="4358" width="17.42578125" style="805" bestFit="1" customWidth="1"/>
    <col min="4359" max="4359" width="17.140625" style="805" bestFit="1" customWidth="1"/>
    <col min="4360" max="4360" width="16.5703125" style="805" bestFit="1"/>
    <col min="4361" max="4361" width="13" style="805" customWidth="1"/>
    <col min="4362" max="4608" width="16.5703125" style="805"/>
    <col min="4609" max="4609" width="8" style="805" bestFit="1" customWidth="1"/>
    <col min="4610" max="4610" width="28.5703125" style="805" customWidth="1"/>
    <col min="4611" max="4611" width="10.42578125" style="805" bestFit="1" customWidth="1"/>
    <col min="4612" max="4612" width="8.42578125" style="805" bestFit="1" customWidth="1"/>
    <col min="4613" max="4613" width="12.42578125" style="805" bestFit="1" customWidth="1"/>
    <col min="4614" max="4614" width="17.42578125" style="805" bestFit="1" customWidth="1"/>
    <col min="4615" max="4615" width="17.140625" style="805" bestFit="1" customWidth="1"/>
    <col min="4616" max="4616" width="16.5703125" style="805" bestFit="1"/>
    <col min="4617" max="4617" width="13" style="805" customWidth="1"/>
    <col min="4618" max="4864" width="16.5703125" style="805"/>
    <col min="4865" max="4865" width="8" style="805" bestFit="1" customWidth="1"/>
    <col min="4866" max="4866" width="28.5703125" style="805" customWidth="1"/>
    <col min="4867" max="4867" width="10.42578125" style="805" bestFit="1" customWidth="1"/>
    <col min="4868" max="4868" width="8.42578125" style="805" bestFit="1" customWidth="1"/>
    <col min="4869" max="4869" width="12.42578125" style="805" bestFit="1" customWidth="1"/>
    <col min="4870" max="4870" width="17.42578125" style="805" bestFit="1" customWidth="1"/>
    <col min="4871" max="4871" width="17.140625" style="805" bestFit="1" customWidth="1"/>
    <col min="4872" max="4872" width="16.5703125" style="805" bestFit="1"/>
    <col min="4873" max="4873" width="13" style="805" customWidth="1"/>
    <col min="4874" max="5120" width="16.5703125" style="805"/>
    <col min="5121" max="5121" width="8" style="805" bestFit="1" customWidth="1"/>
    <col min="5122" max="5122" width="28.5703125" style="805" customWidth="1"/>
    <col min="5123" max="5123" width="10.42578125" style="805" bestFit="1" customWidth="1"/>
    <col min="5124" max="5124" width="8.42578125" style="805" bestFit="1" customWidth="1"/>
    <col min="5125" max="5125" width="12.42578125" style="805" bestFit="1" customWidth="1"/>
    <col min="5126" max="5126" width="17.42578125" style="805" bestFit="1" customWidth="1"/>
    <col min="5127" max="5127" width="17.140625" style="805" bestFit="1" customWidth="1"/>
    <col min="5128" max="5128" width="16.5703125" style="805" bestFit="1"/>
    <col min="5129" max="5129" width="13" style="805" customWidth="1"/>
    <col min="5130" max="5376" width="16.5703125" style="805"/>
    <col min="5377" max="5377" width="8" style="805" bestFit="1" customWidth="1"/>
    <col min="5378" max="5378" width="28.5703125" style="805" customWidth="1"/>
    <col min="5379" max="5379" width="10.42578125" style="805" bestFit="1" customWidth="1"/>
    <col min="5380" max="5380" width="8.42578125" style="805" bestFit="1" customWidth="1"/>
    <col min="5381" max="5381" width="12.42578125" style="805" bestFit="1" customWidth="1"/>
    <col min="5382" max="5382" width="17.42578125" style="805" bestFit="1" customWidth="1"/>
    <col min="5383" max="5383" width="17.140625" style="805" bestFit="1" customWidth="1"/>
    <col min="5384" max="5384" width="16.5703125" style="805" bestFit="1"/>
    <col min="5385" max="5385" width="13" style="805" customWidth="1"/>
    <col min="5386" max="5632" width="16.5703125" style="805"/>
    <col min="5633" max="5633" width="8" style="805" bestFit="1" customWidth="1"/>
    <col min="5634" max="5634" width="28.5703125" style="805" customWidth="1"/>
    <col min="5635" max="5635" width="10.42578125" style="805" bestFit="1" customWidth="1"/>
    <col min="5636" max="5636" width="8.42578125" style="805" bestFit="1" customWidth="1"/>
    <col min="5637" max="5637" width="12.42578125" style="805" bestFit="1" customWidth="1"/>
    <col min="5638" max="5638" width="17.42578125" style="805" bestFit="1" customWidth="1"/>
    <col min="5639" max="5639" width="17.140625" style="805" bestFit="1" customWidth="1"/>
    <col min="5640" max="5640" width="16.5703125" style="805" bestFit="1"/>
    <col min="5641" max="5641" width="13" style="805" customWidth="1"/>
    <col min="5642" max="5888" width="16.5703125" style="805"/>
    <col min="5889" max="5889" width="8" style="805" bestFit="1" customWidth="1"/>
    <col min="5890" max="5890" width="28.5703125" style="805" customWidth="1"/>
    <col min="5891" max="5891" width="10.42578125" style="805" bestFit="1" customWidth="1"/>
    <col min="5892" max="5892" width="8.42578125" style="805" bestFit="1" customWidth="1"/>
    <col min="5893" max="5893" width="12.42578125" style="805" bestFit="1" customWidth="1"/>
    <col min="5894" max="5894" width="17.42578125" style="805" bestFit="1" customWidth="1"/>
    <col min="5895" max="5895" width="17.140625" style="805" bestFit="1" customWidth="1"/>
    <col min="5896" max="5896" width="16.5703125" style="805" bestFit="1"/>
    <col min="5897" max="5897" width="13" style="805" customWidth="1"/>
    <col min="5898" max="6144" width="16.5703125" style="805"/>
    <col min="6145" max="6145" width="8" style="805" bestFit="1" customWidth="1"/>
    <col min="6146" max="6146" width="28.5703125" style="805" customWidth="1"/>
    <col min="6147" max="6147" width="10.42578125" style="805" bestFit="1" customWidth="1"/>
    <col min="6148" max="6148" width="8.42578125" style="805" bestFit="1" customWidth="1"/>
    <col min="6149" max="6149" width="12.42578125" style="805" bestFit="1" customWidth="1"/>
    <col min="6150" max="6150" width="17.42578125" style="805" bestFit="1" customWidth="1"/>
    <col min="6151" max="6151" width="17.140625" style="805" bestFit="1" customWidth="1"/>
    <col min="6152" max="6152" width="16.5703125" style="805" bestFit="1"/>
    <col min="6153" max="6153" width="13" style="805" customWidth="1"/>
    <col min="6154" max="6400" width="16.5703125" style="805"/>
    <col min="6401" max="6401" width="8" style="805" bestFit="1" customWidth="1"/>
    <col min="6402" max="6402" width="28.5703125" style="805" customWidth="1"/>
    <col min="6403" max="6403" width="10.42578125" style="805" bestFit="1" customWidth="1"/>
    <col min="6404" max="6404" width="8.42578125" style="805" bestFit="1" customWidth="1"/>
    <col min="6405" max="6405" width="12.42578125" style="805" bestFit="1" customWidth="1"/>
    <col min="6406" max="6406" width="17.42578125" style="805" bestFit="1" customWidth="1"/>
    <col min="6407" max="6407" width="17.140625" style="805" bestFit="1" customWidth="1"/>
    <col min="6408" max="6408" width="16.5703125" style="805" bestFit="1"/>
    <col min="6409" max="6409" width="13" style="805" customWidth="1"/>
    <col min="6410" max="6656" width="16.5703125" style="805"/>
    <col min="6657" max="6657" width="8" style="805" bestFit="1" customWidth="1"/>
    <col min="6658" max="6658" width="28.5703125" style="805" customWidth="1"/>
    <col min="6659" max="6659" width="10.42578125" style="805" bestFit="1" customWidth="1"/>
    <col min="6660" max="6660" width="8.42578125" style="805" bestFit="1" customWidth="1"/>
    <col min="6661" max="6661" width="12.42578125" style="805" bestFit="1" customWidth="1"/>
    <col min="6662" max="6662" width="17.42578125" style="805" bestFit="1" customWidth="1"/>
    <col min="6663" max="6663" width="17.140625" style="805" bestFit="1" customWidth="1"/>
    <col min="6664" max="6664" width="16.5703125" style="805" bestFit="1"/>
    <col min="6665" max="6665" width="13" style="805" customWidth="1"/>
    <col min="6666" max="6912" width="16.5703125" style="805"/>
    <col min="6913" max="6913" width="8" style="805" bestFit="1" customWidth="1"/>
    <col min="6914" max="6914" width="28.5703125" style="805" customWidth="1"/>
    <col min="6915" max="6915" width="10.42578125" style="805" bestFit="1" customWidth="1"/>
    <col min="6916" max="6916" width="8.42578125" style="805" bestFit="1" customWidth="1"/>
    <col min="6917" max="6917" width="12.42578125" style="805" bestFit="1" customWidth="1"/>
    <col min="6918" max="6918" width="17.42578125" style="805" bestFit="1" customWidth="1"/>
    <col min="6919" max="6919" width="17.140625" style="805" bestFit="1" customWidth="1"/>
    <col min="6920" max="6920" width="16.5703125" style="805" bestFit="1"/>
    <col min="6921" max="6921" width="13" style="805" customWidth="1"/>
    <col min="6922" max="7168" width="16.5703125" style="805"/>
    <col min="7169" max="7169" width="8" style="805" bestFit="1" customWidth="1"/>
    <col min="7170" max="7170" width="28.5703125" style="805" customWidth="1"/>
    <col min="7171" max="7171" width="10.42578125" style="805" bestFit="1" customWidth="1"/>
    <col min="7172" max="7172" width="8.42578125" style="805" bestFit="1" customWidth="1"/>
    <col min="7173" max="7173" width="12.42578125" style="805" bestFit="1" customWidth="1"/>
    <col min="7174" max="7174" width="17.42578125" style="805" bestFit="1" customWidth="1"/>
    <col min="7175" max="7175" width="17.140625" style="805" bestFit="1" customWidth="1"/>
    <col min="7176" max="7176" width="16.5703125" style="805" bestFit="1"/>
    <col min="7177" max="7177" width="13" style="805" customWidth="1"/>
    <col min="7178" max="7424" width="16.5703125" style="805"/>
    <col min="7425" max="7425" width="8" style="805" bestFit="1" customWidth="1"/>
    <col min="7426" max="7426" width="28.5703125" style="805" customWidth="1"/>
    <col min="7427" max="7427" width="10.42578125" style="805" bestFit="1" customWidth="1"/>
    <col min="7428" max="7428" width="8.42578125" style="805" bestFit="1" customWidth="1"/>
    <col min="7429" max="7429" width="12.42578125" style="805" bestFit="1" customWidth="1"/>
    <col min="7430" max="7430" width="17.42578125" style="805" bestFit="1" customWidth="1"/>
    <col min="7431" max="7431" width="17.140625" style="805" bestFit="1" customWidth="1"/>
    <col min="7432" max="7432" width="16.5703125" style="805" bestFit="1"/>
    <col min="7433" max="7433" width="13" style="805" customWidth="1"/>
    <col min="7434" max="7680" width="16.5703125" style="805"/>
    <col min="7681" max="7681" width="8" style="805" bestFit="1" customWidth="1"/>
    <col min="7682" max="7682" width="28.5703125" style="805" customWidth="1"/>
    <col min="7683" max="7683" width="10.42578125" style="805" bestFit="1" customWidth="1"/>
    <col min="7684" max="7684" width="8.42578125" style="805" bestFit="1" customWidth="1"/>
    <col min="7685" max="7685" width="12.42578125" style="805" bestFit="1" customWidth="1"/>
    <col min="7686" max="7686" width="17.42578125" style="805" bestFit="1" customWidth="1"/>
    <col min="7687" max="7687" width="17.140625" style="805" bestFit="1" customWidth="1"/>
    <col min="7688" max="7688" width="16.5703125" style="805" bestFit="1"/>
    <col min="7689" max="7689" width="13" style="805" customWidth="1"/>
    <col min="7690" max="7936" width="16.5703125" style="805"/>
    <col min="7937" max="7937" width="8" style="805" bestFit="1" customWidth="1"/>
    <col min="7938" max="7938" width="28.5703125" style="805" customWidth="1"/>
    <col min="7939" max="7939" width="10.42578125" style="805" bestFit="1" customWidth="1"/>
    <col min="7940" max="7940" width="8.42578125" style="805" bestFit="1" customWidth="1"/>
    <col min="7941" max="7941" width="12.42578125" style="805" bestFit="1" customWidth="1"/>
    <col min="7942" max="7942" width="17.42578125" style="805" bestFit="1" customWidth="1"/>
    <col min="7943" max="7943" width="17.140625" style="805" bestFit="1" customWidth="1"/>
    <col min="7944" max="7944" width="16.5703125" style="805" bestFit="1"/>
    <col min="7945" max="7945" width="13" style="805" customWidth="1"/>
    <col min="7946" max="8192" width="16.5703125" style="805"/>
    <col min="8193" max="8193" width="8" style="805" bestFit="1" customWidth="1"/>
    <col min="8194" max="8194" width="28.5703125" style="805" customWidth="1"/>
    <col min="8195" max="8195" width="10.42578125" style="805" bestFit="1" customWidth="1"/>
    <col min="8196" max="8196" width="8.42578125" style="805" bestFit="1" customWidth="1"/>
    <col min="8197" max="8197" width="12.42578125" style="805" bestFit="1" customWidth="1"/>
    <col min="8198" max="8198" width="17.42578125" style="805" bestFit="1" customWidth="1"/>
    <col min="8199" max="8199" width="17.140625" style="805" bestFit="1" customWidth="1"/>
    <col min="8200" max="8200" width="16.5703125" style="805" bestFit="1"/>
    <col min="8201" max="8201" width="13" style="805" customWidth="1"/>
    <col min="8202" max="8448" width="16.5703125" style="805"/>
    <col min="8449" max="8449" width="8" style="805" bestFit="1" customWidth="1"/>
    <col min="8450" max="8450" width="28.5703125" style="805" customWidth="1"/>
    <col min="8451" max="8451" width="10.42578125" style="805" bestFit="1" customWidth="1"/>
    <col min="8452" max="8452" width="8.42578125" style="805" bestFit="1" customWidth="1"/>
    <col min="8453" max="8453" width="12.42578125" style="805" bestFit="1" customWidth="1"/>
    <col min="8454" max="8454" width="17.42578125" style="805" bestFit="1" customWidth="1"/>
    <col min="8455" max="8455" width="17.140625" style="805" bestFit="1" customWidth="1"/>
    <col min="8456" max="8456" width="16.5703125" style="805" bestFit="1"/>
    <col min="8457" max="8457" width="13" style="805" customWidth="1"/>
    <col min="8458" max="8704" width="16.5703125" style="805"/>
    <col min="8705" max="8705" width="8" style="805" bestFit="1" customWidth="1"/>
    <col min="8706" max="8706" width="28.5703125" style="805" customWidth="1"/>
    <col min="8707" max="8707" width="10.42578125" style="805" bestFit="1" customWidth="1"/>
    <col min="8708" max="8708" width="8.42578125" style="805" bestFit="1" customWidth="1"/>
    <col min="8709" max="8709" width="12.42578125" style="805" bestFit="1" customWidth="1"/>
    <col min="8710" max="8710" width="17.42578125" style="805" bestFit="1" customWidth="1"/>
    <col min="8711" max="8711" width="17.140625" style="805" bestFit="1" customWidth="1"/>
    <col min="8712" max="8712" width="16.5703125" style="805" bestFit="1"/>
    <col min="8713" max="8713" width="13" style="805" customWidth="1"/>
    <col min="8714" max="8960" width="16.5703125" style="805"/>
    <col min="8961" max="8961" width="8" style="805" bestFit="1" customWidth="1"/>
    <col min="8962" max="8962" width="28.5703125" style="805" customWidth="1"/>
    <col min="8963" max="8963" width="10.42578125" style="805" bestFit="1" customWidth="1"/>
    <col min="8964" max="8964" width="8.42578125" style="805" bestFit="1" customWidth="1"/>
    <col min="8965" max="8965" width="12.42578125" style="805" bestFit="1" customWidth="1"/>
    <col min="8966" max="8966" width="17.42578125" style="805" bestFit="1" customWidth="1"/>
    <col min="8967" max="8967" width="17.140625" style="805" bestFit="1" customWidth="1"/>
    <col min="8968" max="8968" width="16.5703125" style="805" bestFit="1"/>
    <col min="8969" max="8969" width="13" style="805" customWidth="1"/>
    <col min="8970" max="9216" width="16.5703125" style="805"/>
    <col min="9217" max="9217" width="8" style="805" bestFit="1" customWidth="1"/>
    <col min="9218" max="9218" width="28.5703125" style="805" customWidth="1"/>
    <col min="9219" max="9219" width="10.42578125" style="805" bestFit="1" customWidth="1"/>
    <col min="9220" max="9220" width="8.42578125" style="805" bestFit="1" customWidth="1"/>
    <col min="9221" max="9221" width="12.42578125" style="805" bestFit="1" customWidth="1"/>
    <col min="9222" max="9222" width="17.42578125" style="805" bestFit="1" customWidth="1"/>
    <col min="9223" max="9223" width="17.140625" style="805" bestFit="1" customWidth="1"/>
    <col min="9224" max="9224" width="16.5703125" style="805" bestFit="1"/>
    <col min="9225" max="9225" width="13" style="805" customWidth="1"/>
    <col min="9226" max="9472" width="16.5703125" style="805"/>
    <col min="9473" max="9473" width="8" style="805" bestFit="1" customWidth="1"/>
    <col min="9474" max="9474" width="28.5703125" style="805" customWidth="1"/>
    <col min="9475" max="9475" width="10.42578125" style="805" bestFit="1" customWidth="1"/>
    <col min="9476" max="9476" width="8.42578125" style="805" bestFit="1" customWidth="1"/>
    <col min="9477" max="9477" width="12.42578125" style="805" bestFit="1" customWidth="1"/>
    <col min="9478" max="9478" width="17.42578125" style="805" bestFit="1" customWidth="1"/>
    <col min="9479" max="9479" width="17.140625" style="805" bestFit="1" customWidth="1"/>
    <col min="9480" max="9480" width="16.5703125" style="805" bestFit="1"/>
    <col min="9481" max="9481" width="13" style="805" customWidth="1"/>
    <col min="9482" max="9728" width="16.5703125" style="805"/>
    <col min="9729" max="9729" width="8" style="805" bestFit="1" customWidth="1"/>
    <col min="9730" max="9730" width="28.5703125" style="805" customWidth="1"/>
    <col min="9731" max="9731" width="10.42578125" style="805" bestFit="1" customWidth="1"/>
    <col min="9732" max="9732" width="8.42578125" style="805" bestFit="1" customWidth="1"/>
    <col min="9733" max="9733" width="12.42578125" style="805" bestFit="1" customWidth="1"/>
    <col min="9734" max="9734" width="17.42578125" style="805" bestFit="1" customWidth="1"/>
    <col min="9735" max="9735" width="17.140625" style="805" bestFit="1" customWidth="1"/>
    <col min="9736" max="9736" width="16.5703125" style="805" bestFit="1"/>
    <col min="9737" max="9737" width="13" style="805" customWidth="1"/>
    <col min="9738" max="9984" width="16.5703125" style="805"/>
    <col min="9985" max="9985" width="8" style="805" bestFit="1" customWidth="1"/>
    <col min="9986" max="9986" width="28.5703125" style="805" customWidth="1"/>
    <col min="9987" max="9987" width="10.42578125" style="805" bestFit="1" customWidth="1"/>
    <col min="9988" max="9988" width="8.42578125" style="805" bestFit="1" customWidth="1"/>
    <col min="9989" max="9989" width="12.42578125" style="805" bestFit="1" customWidth="1"/>
    <col min="9990" max="9990" width="17.42578125" style="805" bestFit="1" customWidth="1"/>
    <col min="9991" max="9991" width="17.140625" style="805" bestFit="1" customWidth="1"/>
    <col min="9992" max="9992" width="16.5703125" style="805" bestFit="1"/>
    <col min="9993" max="9993" width="13" style="805" customWidth="1"/>
    <col min="9994" max="10240" width="16.5703125" style="805"/>
    <col min="10241" max="10241" width="8" style="805" bestFit="1" customWidth="1"/>
    <col min="10242" max="10242" width="28.5703125" style="805" customWidth="1"/>
    <col min="10243" max="10243" width="10.42578125" style="805" bestFit="1" customWidth="1"/>
    <col min="10244" max="10244" width="8.42578125" style="805" bestFit="1" customWidth="1"/>
    <col min="10245" max="10245" width="12.42578125" style="805" bestFit="1" customWidth="1"/>
    <col min="10246" max="10246" width="17.42578125" style="805" bestFit="1" customWidth="1"/>
    <col min="10247" max="10247" width="17.140625" style="805" bestFit="1" customWidth="1"/>
    <col min="10248" max="10248" width="16.5703125" style="805" bestFit="1"/>
    <col min="10249" max="10249" width="13" style="805" customWidth="1"/>
    <col min="10250" max="10496" width="16.5703125" style="805"/>
    <col min="10497" max="10497" width="8" style="805" bestFit="1" customWidth="1"/>
    <col min="10498" max="10498" width="28.5703125" style="805" customWidth="1"/>
    <col min="10499" max="10499" width="10.42578125" style="805" bestFit="1" customWidth="1"/>
    <col min="10500" max="10500" width="8.42578125" style="805" bestFit="1" customWidth="1"/>
    <col min="10501" max="10501" width="12.42578125" style="805" bestFit="1" customWidth="1"/>
    <col min="10502" max="10502" width="17.42578125" style="805" bestFit="1" customWidth="1"/>
    <col min="10503" max="10503" width="17.140625" style="805" bestFit="1" customWidth="1"/>
    <col min="10504" max="10504" width="16.5703125" style="805" bestFit="1"/>
    <col min="10505" max="10505" width="13" style="805" customWidth="1"/>
    <col min="10506" max="10752" width="16.5703125" style="805"/>
    <col min="10753" max="10753" width="8" style="805" bestFit="1" customWidth="1"/>
    <col min="10754" max="10754" width="28.5703125" style="805" customWidth="1"/>
    <col min="10755" max="10755" width="10.42578125" style="805" bestFit="1" customWidth="1"/>
    <col min="10756" max="10756" width="8.42578125" style="805" bestFit="1" customWidth="1"/>
    <col min="10757" max="10757" width="12.42578125" style="805" bestFit="1" customWidth="1"/>
    <col min="10758" max="10758" width="17.42578125" style="805" bestFit="1" customWidth="1"/>
    <col min="10759" max="10759" width="17.140625" style="805" bestFit="1" customWidth="1"/>
    <col min="10760" max="10760" width="16.5703125" style="805" bestFit="1"/>
    <col min="10761" max="10761" width="13" style="805" customWidth="1"/>
    <col min="10762" max="11008" width="16.5703125" style="805"/>
    <col min="11009" max="11009" width="8" style="805" bestFit="1" customWidth="1"/>
    <col min="11010" max="11010" width="28.5703125" style="805" customWidth="1"/>
    <col min="11011" max="11011" width="10.42578125" style="805" bestFit="1" customWidth="1"/>
    <col min="11012" max="11012" width="8.42578125" style="805" bestFit="1" customWidth="1"/>
    <col min="11013" max="11013" width="12.42578125" style="805" bestFit="1" customWidth="1"/>
    <col min="11014" max="11014" width="17.42578125" style="805" bestFit="1" customWidth="1"/>
    <col min="11015" max="11015" width="17.140625" style="805" bestFit="1" customWidth="1"/>
    <col min="11016" max="11016" width="16.5703125" style="805" bestFit="1"/>
    <col min="11017" max="11017" width="13" style="805" customWidth="1"/>
    <col min="11018" max="11264" width="16.5703125" style="805"/>
    <col min="11265" max="11265" width="8" style="805" bestFit="1" customWidth="1"/>
    <col min="11266" max="11266" width="28.5703125" style="805" customWidth="1"/>
    <col min="11267" max="11267" width="10.42578125" style="805" bestFit="1" customWidth="1"/>
    <col min="11268" max="11268" width="8.42578125" style="805" bestFit="1" customWidth="1"/>
    <col min="11269" max="11269" width="12.42578125" style="805" bestFit="1" customWidth="1"/>
    <col min="11270" max="11270" width="17.42578125" style="805" bestFit="1" customWidth="1"/>
    <col min="11271" max="11271" width="17.140625" style="805" bestFit="1" customWidth="1"/>
    <col min="11272" max="11272" width="16.5703125" style="805" bestFit="1"/>
    <col min="11273" max="11273" width="13" style="805" customWidth="1"/>
    <col min="11274" max="11520" width="16.5703125" style="805"/>
    <col min="11521" max="11521" width="8" style="805" bestFit="1" customWidth="1"/>
    <col min="11522" max="11522" width="28.5703125" style="805" customWidth="1"/>
    <col min="11523" max="11523" width="10.42578125" style="805" bestFit="1" customWidth="1"/>
    <col min="11524" max="11524" width="8.42578125" style="805" bestFit="1" customWidth="1"/>
    <col min="11525" max="11525" width="12.42578125" style="805" bestFit="1" customWidth="1"/>
    <col min="11526" max="11526" width="17.42578125" style="805" bestFit="1" customWidth="1"/>
    <col min="11527" max="11527" width="17.140625" style="805" bestFit="1" customWidth="1"/>
    <col min="11528" max="11528" width="16.5703125" style="805" bestFit="1"/>
    <col min="11529" max="11529" width="13" style="805" customWidth="1"/>
    <col min="11530" max="11776" width="16.5703125" style="805"/>
    <col min="11777" max="11777" width="8" style="805" bestFit="1" customWidth="1"/>
    <col min="11778" max="11778" width="28.5703125" style="805" customWidth="1"/>
    <col min="11779" max="11779" width="10.42578125" style="805" bestFit="1" customWidth="1"/>
    <col min="11780" max="11780" width="8.42578125" style="805" bestFit="1" customWidth="1"/>
    <col min="11781" max="11781" width="12.42578125" style="805" bestFit="1" customWidth="1"/>
    <col min="11782" max="11782" width="17.42578125" style="805" bestFit="1" customWidth="1"/>
    <col min="11783" max="11783" width="17.140625" style="805" bestFit="1" customWidth="1"/>
    <col min="11784" max="11784" width="16.5703125" style="805" bestFit="1"/>
    <col min="11785" max="11785" width="13" style="805" customWidth="1"/>
    <col min="11786" max="12032" width="16.5703125" style="805"/>
    <col min="12033" max="12033" width="8" style="805" bestFit="1" customWidth="1"/>
    <col min="12034" max="12034" width="28.5703125" style="805" customWidth="1"/>
    <col min="12035" max="12035" width="10.42578125" style="805" bestFit="1" customWidth="1"/>
    <col min="12036" max="12036" width="8.42578125" style="805" bestFit="1" customWidth="1"/>
    <col min="12037" max="12037" width="12.42578125" style="805" bestFit="1" customWidth="1"/>
    <col min="12038" max="12038" width="17.42578125" style="805" bestFit="1" customWidth="1"/>
    <col min="12039" max="12039" width="17.140625" style="805" bestFit="1" customWidth="1"/>
    <col min="12040" max="12040" width="16.5703125" style="805" bestFit="1"/>
    <col min="12041" max="12041" width="13" style="805" customWidth="1"/>
    <col min="12042" max="12288" width="16.5703125" style="805"/>
    <col min="12289" max="12289" width="8" style="805" bestFit="1" customWidth="1"/>
    <col min="12290" max="12290" width="28.5703125" style="805" customWidth="1"/>
    <col min="12291" max="12291" width="10.42578125" style="805" bestFit="1" customWidth="1"/>
    <col min="12292" max="12292" width="8.42578125" style="805" bestFit="1" customWidth="1"/>
    <col min="12293" max="12293" width="12.42578125" style="805" bestFit="1" customWidth="1"/>
    <col min="12294" max="12294" width="17.42578125" style="805" bestFit="1" customWidth="1"/>
    <col min="12295" max="12295" width="17.140625" style="805" bestFit="1" customWidth="1"/>
    <col min="12296" max="12296" width="16.5703125" style="805" bestFit="1"/>
    <col min="12297" max="12297" width="13" style="805" customWidth="1"/>
    <col min="12298" max="12544" width="16.5703125" style="805"/>
    <col min="12545" max="12545" width="8" style="805" bestFit="1" customWidth="1"/>
    <col min="12546" max="12546" width="28.5703125" style="805" customWidth="1"/>
    <col min="12547" max="12547" width="10.42578125" style="805" bestFit="1" customWidth="1"/>
    <col min="12548" max="12548" width="8.42578125" style="805" bestFit="1" customWidth="1"/>
    <col min="12549" max="12549" width="12.42578125" style="805" bestFit="1" customWidth="1"/>
    <col min="12550" max="12550" width="17.42578125" style="805" bestFit="1" customWidth="1"/>
    <col min="12551" max="12551" width="17.140625" style="805" bestFit="1" customWidth="1"/>
    <col min="12552" max="12552" width="16.5703125" style="805" bestFit="1"/>
    <col min="12553" max="12553" width="13" style="805" customWidth="1"/>
    <col min="12554" max="12800" width="16.5703125" style="805"/>
    <col min="12801" max="12801" width="8" style="805" bestFit="1" customWidth="1"/>
    <col min="12802" max="12802" width="28.5703125" style="805" customWidth="1"/>
    <col min="12803" max="12803" width="10.42578125" style="805" bestFit="1" customWidth="1"/>
    <col min="12804" max="12804" width="8.42578125" style="805" bestFit="1" customWidth="1"/>
    <col min="12805" max="12805" width="12.42578125" style="805" bestFit="1" customWidth="1"/>
    <col min="12806" max="12806" width="17.42578125" style="805" bestFit="1" customWidth="1"/>
    <col min="12807" max="12807" width="17.140625" style="805" bestFit="1" customWidth="1"/>
    <col min="12808" max="12808" width="16.5703125" style="805" bestFit="1"/>
    <col min="12809" max="12809" width="13" style="805" customWidth="1"/>
    <col min="12810" max="13056" width="16.5703125" style="805"/>
    <col min="13057" max="13057" width="8" style="805" bestFit="1" customWidth="1"/>
    <col min="13058" max="13058" width="28.5703125" style="805" customWidth="1"/>
    <col min="13059" max="13059" width="10.42578125" style="805" bestFit="1" customWidth="1"/>
    <col min="13060" max="13060" width="8.42578125" style="805" bestFit="1" customWidth="1"/>
    <col min="13061" max="13061" width="12.42578125" style="805" bestFit="1" customWidth="1"/>
    <col min="13062" max="13062" width="17.42578125" style="805" bestFit="1" customWidth="1"/>
    <col min="13063" max="13063" width="17.140625" style="805" bestFit="1" customWidth="1"/>
    <col min="13064" max="13064" width="16.5703125" style="805" bestFit="1"/>
    <col min="13065" max="13065" width="13" style="805" customWidth="1"/>
    <col min="13066" max="13312" width="16.5703125" style="805"/>
    <col min="13313" max="13313" width="8" style="805" bestFit="1" customWidth="1"/>
    <col min="13314" max="13314" width="28.5703125" style="805" customWidth="1"/>
    <col min="13315" max="13315" width="10.42578125" style="805" bestFit="1" customWidth="1"/>
    <col min="13316" max="13316" width="8.42578125" style="805" bestFit="1" customWidth="1"/>
    <col min="13317" max="13317" width="12.42578125" style="805" bestFit="1" customWidth="1"/>
    <col min="13318" max="13318" width="17.42578125" style="805" bestFit="1" customWidth="1"/>
    <col min="13319" max="13319" width="17.140625" style="805" bestFit="1" customWidth="1"/>
    <col min="13320" max="13320" width="16.5703125" style="805" bestFit="1"/>
    <col min="13321" max="13321" width="13" style="805" customWidth="1"/>
    <col min="13322" max="13568" width="16.5703125" style="805"/>
    <col min="13569" max="13569" width="8" style="805" bestFit="1" customWidth="1"/>
    <col min="13570" max="13570" width="28.5703125" style="805" customWidth="1"/>
    <col min="13571" max="13571" width="10.42578125" style="805" bestFit="1" customWidth="1"/>
    <col min="13572" max="13572" width="8.42578125" style="805" bestFit="1" customWidth="1"/>
    <col min="13573" max="13573" width="12.42578125" style="805" bestFit="1" customWidth="1"/>
    <col min="13574" max="13574" width="17.42578125" style="805" bestFit="1" customWidth="1"/>
    <col min="13575" max="13575" width="17.140625" style="805" bestFit="1" customWidth="1"/>
    <col min="13576" max="13576" width="16.5703125" style="805" bestFit="1"/>
    <col min="13577" max="13577" width="13" style="805" customWidth="1"/>
    <col min="13578" max="13824" width="16.5703125" style="805"/>
    <col min="13825" max="13825" width="8" style="805" bestFit="1" customWidth="1"/>
    <col min="13826" max="13826" width="28.5703125" style="805" customWidth="1"/>
    <col min="13827" max="13827" width="10.42578125" style="805" bestFit="1" customWidth="1"/>
    <col min="13828" max="13828" width="8.42578125" style="805" bestFit="1" customWidth="1"/>
    <col min="13829" max="13829" width="12.42578125" style="805" bestFit="1" customWidth="1"/>
    <col min="13830" max="13830" width="17.42578125" style="805" bestFit="1" customWidth="1"/>
    <col min="13831" max="13831" width="17.140625" style="805" bestFit="1" customWidth="1"/>
    <col min="13832" max="13832" width="16.5703125" style="805" bestFit="1"/>
    <col min="13833" max="13833" width="13" style="805" customWidth="1"/>
    <col min="13834" max="14080" width="16.5703125" style="805"/>
    <col min="14081" max="14081" width="8" style="805" bestFit="1" customWidth="1"/>
    <col min="14082" max="14082" width="28.5703125" style="805" customWidth="1"/>
    <col min="14083" max="14083" width="10.42578125" style="805" bestFit="1" customWidth="1"/>
    <col min="14084" max="14084" width="8.42578125" style="805" bestFit="1" customWidth="1"/>
    <col min="14085" max="14085" width="12.42578125" style="805" bestFit="1" customWidth="1"/>
    <col min="14086" max="14086" width="17.42578125" style="805" bestFit="1" customWidth="1"/>
    <col min="14087" max="14087" width="17.140625" style="805" bestFit="1" customWidth="1"/>
    <col min="14088" max="14088" width="16.5703125" style="805" bestFit="1"/>
    <col min="14089" max="14089" width="13" style="805" customWidth="1"/>
    <col min="14090" max="14336" width="16.5703125" style="805"/>
    <col min="14337" max="14337" width="8" style="805" bestFit="1" customWidth="1"/>
    <col min="14338" max="14338" width="28.5703125" style="805" customWidth="1"/>
    <col min="14339" max="14339" width="10.42578125" style="805" bestFit="1" customWidth="1"/>
    <col min="14340" max="14340" width="8.42578125" style="805" bestFit="1" customWidth="1"/>
    <col min="14341" max="14341" width="12.42578125" style="805" bestFit="1" customWidth="1"/>
    <col min="14342" max="14342" width="17.42578125" style="805" bestFit="1" customWidth="1"/>
    <col min="14343" max="14343" width="17.140625" style="805" bestFit="1" customWidth="1"/>
    <col min="14344" max="14344" width="16.5703125" style="805" bestFit="1"/>
    <col min="14345" max="14345" width="13" style="805" customWidth="1"/>
    <col min="14346" max="14592" width="16.5703125" style="805"/>
    <col min="14593" max="14593" width="8" style="805" bestFit="1" customWidth="1"/>
    <col min="14594" max="14594" width="28.5703125" style="805" customWidth="1"/>
    <col min="14595" max="14595" width="10.42578125" style="805" bestFit="1" customWidth="1"/>
    <col min="14596" max="14596" width="8.42578125" style="805" bestFit="1" customWidth="1"/>
    <col min="14597" max="14597" width="12.42578125" style="805" bestFit="1" customWidth="1"/>
    <col min="14598" max="14598" width="17.42578125" style="805" bestFit="1" customWidth="1"/>
    <col min="14599" max="14599" width="17.140625" style="805" bestFit="1" customWidth="1"/>
    <col min="14600" max="14600" width="16.5703125" style="805" bestFit="1"/>
    <col min="14601" max="14601" width="13" style="805" customWidth="1"/>
    <col min="14602" max="14848" width="16.5703125" style="805"/>
    <col min="14849" max="14849" width="8" style="805" bestFit="1" customWidth="1"/>
    <col min="14850" max="14850" width="28.5703125" style="805" customWidth="1"/>
    <col min="14851" max="14851" width="10.42578125" style="805" bestFit="1" customWidth="1"/>
    <col min="14852" max="14852" width="8.42578125" style="805" bestFit="1" customWidth="1"/>
    <col min="14853" max="14853" width="12.42578125" style="805" bestFit="1" customWidth="1"/>
    <col min="14854" max="14854" width="17.42578125" style="805" bestFit="1" customWidth="1"/>
    <col min="14855" max="14855" width="17.140625" style="805" bestFit="1" customWidth="1"/>
    <col min="14856" max="14856" width="16.5703125" style="805" bestFit="1"/>
    <col min="14857" max="14857" width="13" style="805" customWidth="1"/>
    <col min="14858" max="15104" width="16.5703125" style="805"/>
    <col min="15105" max="15105" width="8" style="805" bestFit="1" customWidth="1"/>
    <col min="15106" max="15106" width="28.5703125" style="805" customWidth="1"/>
    <col min="15107" max="15107" width="10.42578125" style="805" bestFit="1" customWidth="1"/>
    <col min="15108" max="15108" width="8.42578125" style="805" bestFit="1" customWidth="1"/>
    <col min="15109" max="15109" width="12.42578125" style="805" bestFit="1" customWidth="1"/>
    <col min="15110" max="15110" width="17.42578125" style="805" bestFit="1" customWidth="1"/>
    <col min="15111" max="15111" width="17.140625" style="805" bestFit="1" customWidth="1"/>
    <col min="15112" max="15112" width="16.5703125" style="805" bestFit="1"/>
    <col min="15113" max="15113" width="13" style="805" customWidth="1"/>
    <col min="15114" max="15360" width="16.5703125" style="805"/>
    <col min="15361" max="15361" width="8" style="805" bestFit="1" customWidth="1"/>
    <col min="15362" max="15362" width="28.5703125" style="805" customWidth="1"/>
    <col min="15363" max="15363" width="10.42578125" style="805" bestFit="1" customWidth="1"/>
    <col min="15364" max="15364" width="8.42578125" style="805" bestFit="1" customWidth="1"/>
    <col min="15365" max="15365" width="12.42578125" style="805" bestFit="1" customWidth="1"/>
    <col min="15366" max="15366" width="17.42578125" style="805" bestFit="1" customWidth="1"/>
    <col min="15367" max="15367" width="17.140625" style="805" bestFit="1" customWidth="1"/>
    <col min="15368" max="15368" width="16.5703125" style="805" bestFit="1"/>
    <col min="15369" max="15369" width="13" style="805" customWidth="1"/>
    <col min="15370" max="15616" width="16.5703125" style="805"/>
    <col min="15617" max="15617" width="8" style="805" bestFit="1" customWidth="1"/>
    <col min="15618" max="15618" width="28.5703125" style="805" customWidth="1"/>
    <col min="15619" max="15619" width="10.42578125" style="805" bestFit="1" customWidth="1"/>
    <col min="15620" max="15620" width="8.42578125" style="805" bestFit="1" customWidth="1"/>
    <col min="15621" max="15621" width="12.42578125" style="805" bestFit="1" customWidth="1"/>
    <col min="15622" max="15622" width="17.42578125" style="805" bestFit="1" customWidth="1"/>
    <col min="15623" max="15623" width="17.140625" style="805" bestFit="1" customWidth="1"/>
    <col min="15624" max="15624" width="16.5703125" style="805" bestFit="1"/>
    <col min="15625" max="15625" width="13" style="805" customWidth="1"/>
    <col min="15626" max="15872" width="16.5703125" style="805"/>
    <col min="15873" max="15873" width="8" style="805" bestFit="1" customWidth="1"/>
    <col min="15874" max="15874" width="28.5703125" style="805" customWidth="1"/>
    <col min="15875" max="15875" width="10.42578125" style="805" bestFit="1" customWidth="1"/>
    <col min="15876" max="15876" width="8.42578125" style="805" bestFit="1" customWidth="1"/>
    <col min="15877" max="15877" width="12.42578125" style="805" bestFit="1" customWidth="1"/>
    <col min="15878" max="15878" width="17.42578125" style="805" bestFit="1" customWidth="1"/>
    <col min="15879" max="15879" width="17.140625" style="805" bestFit="1" customWidth="1"/>
    <col min="15880" max="15880" width="16.5703125" style="805" bestFit="1"/>
    <col min="15881" max="15881" width="13" style="805" customWidth="1"/>
    <col min="15882" max="16128" width="16.5703125" style="805"/>
    <col min="16129" max="16129" width="8" style="805" bestFit="1" customWidth="1"/>
    <col min="16130" max="16130" width="28.5703125" style="805" customWidth="1"/>
    <col min="16131" max="16131" width="10.42578125" style="805" bestFit="1" customWidth="1"/>
    <col min="16132" max="16132" width="8.42578125" style="805" bestFit="1" customWidth="1"/>
    <col min="16133" max="16133" width="12.42578125" style="805" bestFit="1" customWidth="1"/>
    <col min="16134" max="16134" width="17.42578125" style="805" bestFit="1" customWidth="1"/>
    <col min="16135" max="16135" width="17.140625" style="805" bestFit="1" customWidth="1"/>
    <col min="16136" max="16136" width="16.5703125" style="805" bestFit="1"/>
    <col min="16137" max="16137" width="13" style="805" customWidth="1"/>
    <col min="16138" max="16384" width="16.5703125" style="805"/>
  </cols>
  <sheetData>
    <row r="1" spans="1:10" ht="22.9" customHeight="1">
      <c r="A1" s="1181" t="s">
        <v>366</v>
      </c>
      <c r="B1" s="1182"/>
      <c r="C1" s="1182"/>
      <c r="D1" s="1182"/>
      <c r="E1" s="1182"/>
      <c r="F1" s="1182"/>
      <c r="G1" s="1182"/>
      <c r="H1" s="1183"/>
      <c r="I1" s="810"/>
      <c r="J1" s="811"/>
    </row>
    <row r="2" spans="1:10" ht="22.9" customHeight="1">
      <c r="A2" s="1184" t="s">
        <v>367</v>
      </c>
      <c r="B2" s="1185"/>
      <c r="C2" s="1185"/>
      <c r="D2" s="1185"/>
      <c r="E2" s="1185"/>
      <c r="F2" s="1185"/>
      <c r="G2" s="1185"/>
      <c r="H2" s="1186"/>
      <c r="I2" s="811"/>
      <c r="J2" s="811"/>
    </row>
    <row r="3" spans="1:10" s="807" customFormat="1" ht="22.9" customHeight="1">
      <c r="A3" s="812" t="s">
        <v>368</v>
      </c>
      <c r="B3" s="813" t="s">
        <v>369</v>
      </c>
      <c r="C3" s="813" t="s">
        <v>370</v>
      </c>
      <c r="D3" s="813" t="s">
        <v>371</v>
      </c>
      <c r="E3" s="813" t="s">
        <v>372</v>
      </c>
      <c r="F3" s="813" t="s">
        <v>373</v>
      </c>
      <c r="G3" s="813" t="s">
        <v>374</v>
      </c>
      <c r="H3" s="813" t="s">
        <v>375</v>
      </c>
      <c r="I3" s="814" t="s">
        <v>376</v>
      </c>
      <c r="J3" s="814" t="s">
        <v>377</v>
      </c>
    </row>
    <row r="4" spans="1:10" ht="47.65">
      <c r="A4" s="815" t="s">
        <v>378</v>
      </c>
      <c r="B4" s="844" t="s">
        <v>379</v>
      </c>
      <c r="C4" s="816" t="s">
        <v>380</v>
      </c>
      <c r="D4" s="817">
        <v>6</v>
      </c>
      <c r="E4" s="816">
        <v>4000</v>
      </c>
      <c r="F4" s="816">
        <v>24</v>
      </c>
      <c r="G4" s="816">
        <v>24</v>
      </c>
      <c r="H4" s="816">
        <v>218.4</v>
      </c>
      <c r="I4" s="813">
        <v>75</v>
      </c>
      <c r="J4" s="818">
        <v>1800</v>
      </c>
    </row>
    <row r="5" spans="1:10" s="808" customFormat="1" ht="47.65">
      <c r="A5" s="819" t="s">
        <v>381</v>
      </c>
      <c r="B5" s="844" t="s">
        <v>379</v>
      </c>
      <c r="C5" s="817" t="s">
        <v>380</v>
      </c>
      <c r="D5" s="817">
        <v>23</v>
      </c>
      <c r="E5" s="816">
        <v>7450</v>
      </c>
      <c r="F5" s="816">
        <v>171.35</v>
      </c>
      <c r="G5" s="816">
        <v>171.35</v>
      </c>
      <c r="H5" s="820">
        <v>1559.29</v>
      </c>
      <c r="I5" s="813">
        <v>75</v>
      </c>
      <c r="J5" s="818">
        <v>12851.25</v>
      </c>
    </row>
    <row r="6" spans="1:10" s="808" customFormat="1" ht="47.65">
      <c r="A6" s="819" t="s">
        <v>382</v>
      </c>
      <c r="B6" s="844" t="s">
        <v>379</v>
      </c>
      <c r="C6" s="817" t="s">
        <v>380</v>
      </c>
      <c r="D6" s="817">
        <v>2</v>
      </c>
      <c r="E6" s="816">
        <v>7800</v>
      </c>
      <c r="F6" s="816">
        <v>15.6</v>
      </c>
      <c r="G6" s="816">
        <v>15.6</v>
      </c>
      <c r="H6" s="816">
        <v>141.96</v>
      </c>
      <c r="I6" s="813">
        <v>75</v>
      </c>
      <c r="J6" s="818">
        <v>1170</v>
      </c>
    </row>
    <row r="7" spans="1:10" s="808" customFormat="1" ht="49.5" customHeight="1">
      <c r="A7" s="819" t="s">
        <v>383</v>
      </c>
      <c r="B7" s="844" t="s">
        <v>379</v>
      </c>
      <c r="C7" s="817" t="s">
        <v>380</v>
      </c>
      <c r="D7" s="817">
        <v>18</v>
      </c>
      <c r="E7" s="816">
        <v>8400</v>
      </c>
      <c r="F7" s="816">
        <v>151.19999999999999</v>
      </c>
      <c r="G7" s="816">
        <v>151.19999999999999</v>
      </c>
      <c r="H7" s="820">
        <v>1375.92</v>
      </c>
      <c r="I7" s="813">
        <v>120</v>
      </c>
      <c r="J7" s="818">
        <v>11340</v>
      </c>
    </row>
    <row r="8" spans="1:10" s="808" customFormat="1" ht="45.75" customHeight="1">
      <c r="A8" s="819" t="s">
        <v>384</v>
      </c>
      <c r="B8" s="844" t="s">
        <v>379</v>
      </c>
      <c r="C8" s="817" t="s">
        <v>380</v>
      </c>
      <c r="D8" s="817">
        <v>18</v>
      </c>
      <c r="E8" s="816">
        <v>8950</v>
      </c>
      <c r="F8" s="816">
        <v>161.1</v>
      </c>
      <c r="G8" s="816">
        <v>161.1</v>
      </c>
      <c r="H8" s="820">
        <v>1466.01</v>
      </c>
      <c r="I8" s="813">
        <v>120</v>
      </c>
      <c r="J8" s="818">
        <v>12082.5</v>
      </c>
    </row>
    <row r="9" spans="1:10" s="808" customFormat="1" ht="22.9" customHeight="1">
      <c r="A9" s="819" t="s">
        <v>385</v>
      </c>
      <c r="B9" s="816" t="s">
        <v>386</v>
      </c>
      <c r="C9" s="817" t="s">
        <v>380</v>
      </c>
      <c r="D9" s="817">
        <v>13</v>
      </c>
      <c r="E9" s="816">
        <v>9900</v>
      </c>
      <c r="F9" s="816">
        <v>128.69999999999999</v>
      </c>
      <c r="G9" s="816">
        <v>128.69999999999999</v>
      </c>
      <c r="H9" s="820">
        <v>1171.17</v>
      </c>
      <c r="I9" s="813">
        <v>75</v>
      </c>
      <c r="J9" s="818">
        <v>9652.5</v>
      </c>
    </row>
    <row r="10" spans="1:10" s="808" customFormat="1" ht="22.9" customHeight="1">
      <c r="A10" s="819" t="s">
        <v>387</v>
      </c>
      <c r="B10" s="816" t="s">
        <v>386</v>
      </c>
      <c r="C10" s="817" t="s">
        <v>380</v>
      </c>
      <c r="D10" s="817">
        <v>17</v>
      </c>
      <c r="E10" s="816">
        <v>10100</v>
      </c>
      <c r="F10" s="816">
        <v>171.7</v>
      </c>
      <c r="G10" s="816">
        <v>171.7</v>
      </c>
      <c r="H10" s="820">
        <v>1562.47</v>
      </c>
      <c r="I10" s="813">
        <v>75</v>
      </c>
      <c r="J10" s="818">
        <v>12877.5</v>
      </c>
    </row>
    <row r="11" spans="1:10" s="808" customFormat="1" ht="22.9" customHeight="1">
      <c r="A11" s="819"/>
      <c r="B11" s="816"/>
      <c r="C11" s="817"/>
      <c r="D11" s="817"/>
      <c r="E11" s="816"/>
      <c r="F11" s="816"/>
      <c r="G11" s="816"/>
      <c r="H11" s="820"/>
      <c r="I11" s="813"/>
      <c r="J11" s="818"/>
    </row>
    <row r="12" spans="1:10" s="808" customFormat="1" ht="38.25" customHeight="1">
      <c r="A12" s="812" t="s">
        <v>388</v>
      </c>
      <c r="B12" s="813" t="s">
        <v>388</v>
      </c>
      <c r="C12" s="813" t="s">
        <v>388</v>
      </c>
      <c r="D12" s="813">
        <v>97</v>
      </c>
      <c r="E12" s="813" t="s">
        <v>388</v>
      </c>
      <c r="F12" s="813">
        <v>823.65</v>
      </c>
      <c r="G12" s="813">
        <v>823.65</v>
      </c>
      <c r="H12" s="818"/>
      <c r="I12" s="813" t="s">
        <v>388</v>
      </c>
      <c r="J12" s="818">
        <f>SUM(J4:J11)</f>
        <v>61773.75</v>
      </c>
    </row>
    <row r="13" spans="1:10" s="808" customFormat="1" ht="26.1" customHeight="1">
      <c r="A13" s="819" t="s">
        <v>387</v>
      </c>
      <c r="B13" s="816" t="s">
        <v>389</v>
      </c>
      <c r="C13" s="817" t="s">
        <v>380</v>
      </c>
      <c r="D13" s="817">
        <v>1</v>
      </c>
      <c r="E13" s="816">
        <v>1</v>
      </c>
      <c r="F13" s="816">
        <f>F12</f>
        <v>823.65</v>
      </c>
      <c r="G13" s="816">
        <f>G12</f>
        <v>823.65</v>
      </c>
      <c r="H13" s="820"/>
      <c r="I13" s="813">
        <v>30</v>
      </c>
      <c r="J13" s="818">
        <f>G13*I13</f>
        <v>24709.5</v>
      </c>
    </row>
    <row r="14" spans="1:10" s="808" customFormat="1" ht="38.25" customHeight="1">
      <c r="A14" s="812" t="s">
        <v>388</v>
      </c>
      <c r="B14" s="813" t="s">
        <v>388</v>
      </c>
      <c r="C14" s="813"/>
      <c r="D14" s="813"/>
      <c r="E14" s="813"/>
      <c r="F14" s="813"/>
      <c r="G14" s="813"/>
      <c r="H14" s="843" t="s">
        <v>390</v>
      </c>
      <c r="I14" s="813" t="s">
        <v>388</v>
      </c>
      <c r="J14" s="818">
        <f>SUM(J12:J13)</f>
        <v>86483.25</v>
      </c>
    </row>
    <row r="15" spans="1:10" ht="31.5" customHeight="1">
      <c r="A15" s="811"/>
      <c r="B15" s="811"/>
      <c r="C15" s="811"/>
      <c r="D15" s="811"/>
      <c r="E15" s="811"/>
      <c r="F15" s="811"/>
      <c r="G15" s="811"/>
      <c r="H15" s="811"/>
      <c r="I15" s="811"/>
      <c r="J15" s="811"/>
    </row>
    <row r="16" spans="1:10" ht="31.5" customHeight="1">
      <c r="A16" s="1181" t="s">
        <v>366</v>
      </c>
      <c r="B16" s="1182"/>
      <c r="C16" s="1182"/>
      <c r="D16" s="1182"/>
      <c r="E16" s="1182"/>
      <c r="F16" s="1182"/>
      <c r="G16" s="1182"/>
      <c r="H16" s="1183"/>
      <c r="I16" s="810"/>
      <c r="J16" s="811"/>
    </row>
    <row r="17" spans="1:10" ht="21" customHeight="1">
      <c r="A17" s="1184" t="s">
        <v>391</v>
      </c>
      <c r="B17" s="1185"/>
      <c r="C17" s="1185"/>
      <c r="D17" s="1185"/>
      <c r="E17" s="1185"/>
      <c r="F17" s="1185"/>
      <c r="G17" s="1185"/>
      <c r="H17" s="1186"/>
      <c r="I17" s="811"/>
      <c r="J17" s="811"/>
    </row>
    <row r="18" spans="1:10" ht="21" customHeight="1">
      <c r="A18" s="812" t="s">
        <v>368</v>
      </c>
      <c r="B18" s="813" t="s">
        <v>369</v>
      </c>
      <c r="C18" s="813" t="s">
        <v>370</v>
      </c>
      <c r="D18" s="813" t="s">
        <v>371</v>
      </c>
      <c r="E18" s="813" t="s">
        <v>372</v>
      </c>
      <c r="F18" s="813" t="s">
        <v>373</v>
      </c>
      <c r="G18" s="813" t="s">
        <v>374</v>
      </c>
      <c r="H18" s="813" t="s">
        <v>375</v>
      </c>
      <c r="I18" s="814" t="s">
        <v>376</v>
      </c>
      <c r="J18" s="814" t="s">
        <v>377</v>
      </c>
    </row>
    <row r="19" spans="1:10" ht="21" customHeight="1">
      <c r="A19" s="815" t="s">
        <v>392</v>
      </c>
      <c r="B19" s="816" t="s">
        <v>393</v>
      </c>
      <c r="C19" s="816" t="s">
        <v>394</v>
      </c>
      <c r="D19" s="817">
        <v>2</v>
      </c>
      <c r="E19" s="816">
        <v>2100</v>
      </c>
      <c r="F19" s="816">
        <f>D19*E19</f>
        <v>4200</v>
      </c>
      <c r="G19" s="847">
        <f>D19*E19*0.98</f>
        <v>4116</v>
      </c>
      <c r="H19" s="816">
        <v>29.4</v>
      </c>
      <c r="I19" s="821">
        <v>113</v>
      </c>
      <c r="J19" s="813">
        <v>474.6</v>
      </c>
    </row>
    <row r="20" spans="1:10" s="807" customFormat="1" ht="19.149999999999999" customHeight="1">
      <c r="A20" s="819" t="s">
        <v>395</v>
      </c>
      <c r="B20" s="816" t="s">
        <v>393</v>
      </c>
      <c r="C20" s="817" t="s">
        <v>394</v>
      </c>
      <c r="D20" s="817">
        <v>2</v>
      </c>
      <c r="E20" s="816">
        <v>2180</v>
      </c>
      <c r="F20" s="816">
        <f t="shared" ref="F20:F33" si="0">D20*E20</f>
        <v>4360</v>
      </c>
      <c r="G20" s="847">
        <f t="shared" ref="G20:G33" si="1">D20*E20*0.98</f>
        <v>4272.8</v>
      </c>
      <c r="H20" s="816">
        <v>30.52</v>
      </c>
      <c r="I20" s="821">
        <v>113</v>
      </c>
      <c r="J20" s="813">
        <v>492.68</v>
      </c>
    </row>
    <row r="21" spans="1:10" ht="19.149999999999999" customHeight="1">
      <c r="A21" s="819" t="s">
        <v>396</v>
      </c>
      <c r="B21" s="816" t="s">
        <v>393</v>
      </c>
      <c r="C21" s="817" t="s">
        <v>394</v>
      </c>
      <c r="D21" s="817">
        <v>5</v>
      </c>
      <c r="E21" s="816">
        <v>3495</v>
      </c>
      <c r="F21" s="816">
        <f t="shared" si="0"/>
        <v>17475</v>
      </c>
      <c r="G21" s="847">
        <f t="shared" si="1"/>
        <v>17125.5</v>
      </c>
      <c r="H21" s="816">
        <v>122.33</v>
      </c>
      <c r="I21" s="821">
        <v>113</v>
      </c>
      <c r="J21" s="813">
        <v>1974.68</v>
      </c>
    </row>
    <row r="22" spans="1:10" s="808" customFormat="1" ht="19.149999999999999" customHeight="1">
      <c r="A22" s="819" t="s">
        <v>397</v>
      </c>
      <c r="B22" s="816" t="s">
        <v>393</v>
      </c>
      <c r="C22" s="817" t="s">
        <v>394</v>
      </c>
      <c r="D22" s="817">
        <v>26</v>
      </c>
      <c r="E22" s="816">
        <v>4890</v>
      </c>
      <c r="F22" s="816">
        <f t="shared" si="0"/>
        <v>127140</v>
      </c>
      <c r="G22" s="847">
        <f t="shared" si="1"/>
        <v>124597.2</v>
      </c>
      <c r="H22" s="816">
        <v>889.98</v>
      </c>
      <c r="I22" s="821">
        <v>113</v>
      </c>
      <c r="J22" s="813">
        <v>14366.82</v>
      </c>
    </row>
    <row r="23" spans="1:10" s="808" customFormat="1" ht="19.149999999999999" customHeight="1">
      <c r="A23" s="819" t="s">
        <v>398</v>
      </c>
      <c r="B23" s="816" t="s">
        <v>393</v>
      </c>
      <c r="C23" s="817" t="s">
        <v>394</v>
      </c>
      <c r="D23" s="817">
        <v>11</v>
      </c>
      <c r="E23" s="816">
        <v>6000</v>
      </c>
      <c r="F23" s="816">
        <f t="shared" si="0"/>
        <v>66000</v>
      </c>
      <c r="G23" s="847">
        <f t="shared" si="1"/>
        <v>64680</v>
      </c>
      <c r="H23" s="816">
        <v>462</v>
      </c>
      <c r="I23" s="821">
        <v>113</v>
      </c>
      <c r="J23" s="813">
        <v>7458</v>
      </c>
    </row>
    <row r="24" spans="1:10" s="808" customFormat="1" ht="19.149999999999999" customHeight="1">
      <c r="A24" s="819" t="s">
        <v>399</v>
      </c>
      <c r="B24" s="816" t="s">
        <v>393</v>
      </c>
      <c r="C24" s="817" t="s">
        <v>394</v>
      </c>
      <c r="D24" s="817">
        <v>2</v>
      </c>
      <c r="E24" s="816">
        <v>6160</v>
      </c>
      <c r="F24" s="816">
        <f t="shared" si="0"/>
        <v>12320</v>
      </c>
      <c r="G24" s="847">
        <f t="shared" si="1"/>
        <v>12073.6</v>
      </c>
      <c r="H24" s="816">
        <v>86.24</v>
      </c>
      <c r="I24" s="821">
        <v>113</v>
      </c>
      <c r="J24" s="813">
        <v>1392.16</v>
      </c>
    </row>
    <row r="25" spans="1:10" s="808" customFormat="1" ht="19.149999999999999" customHeight="1">
      <c r="A25" s="819" t="s">
        <v>400</v>
      </c>
      <c r="B25" s="816" t="s">
        <v>393</v>
      </c>
      <c r="C25" s="817" t="s">
        <v>394</v>
      </c>
      <c r="D25" s="817">
        <v>7</v>
      </c>
      <c r="E25" s="816">
        <v>6185</v>
      </c>
      <c r="F25" s="816">
        <f t="shared" si="0"/>
        <v>43295</v>
      </c>
      <c r="G25" s="847">
        <f t="shared" si="1"/>
        <v>42429.1</v>
      </c>
      <c r="H25" s="816">
        <v>303.07</v>
      </c>
      <c r="I25" s="821">
        <v>113</v>
      </c>
      <c r="J25" s="813">
        <v>4892.34</v>
      </c>
    </row>
    <row r="26" spans="1:10" s="808" customFormat="1" ht="19.149999999999999" customHeight="1">
      <c r="A26" s="819" t="s">
        <v>401</v>
      </c>
      <c r="B26" s="816" t="s">
        <v>393</v>
      </c>
      <c r="C26" s="817" t="s">
        <v>394</v>
      </c>
      <c r="D26" s="817">
        <v>22</v>
      </c>
      <c r="E26" s="816">
        <v>7070</v>
      </c>
      <c r="F26" s="816">
        <f t="shared" si="0"/>
        <v>155540</v>
      </c>
      <c r="G26" s="847">
        <f t="shared" si="1"/>
        <v>152429.20000000001</v>
      </c>
      <c r="H26" s="820">
        <v>1088.78</v>
      </c>
      <c r="I26" s="821">
        <v>113</v>
      </c>
      <c r="J26" s="813">
        <v>17576.02</v>
      </c>
    </row>
    <row r="27" spans="1:10" s="808" customFormat="1" ht="19.149999999999999" customHeight="1">
      <c r="A27" s="819" t="s">
        <v>402</v>
      </c>
      <c r="B27" s="816" t="s">
        <v>393</v>
      </c>
      <c r="C27" s="817" t="s">
        <v>394</v>
      </c>
      <c r="D27" s="817">
        <v>17</v>
      </c>
      <c r="E27" s="816">
        <v>7265</v>
      </c>
      <c r="F27" s="816">
        <f t="shared" si="0"/>
        <v>123505</v>
      </c>
      <c r="G27" s="847">
        <f t="shared" si="1"/>
        <v>121034.9</v>
      </c>
      <c r="H27" s="816">
        <v>864.54</v>
      </c>
      <c r="I27" s="821">
        <v>113</v>
      </c>
      <c r="J27" s="813">
        <v>13956.07</v>
      </c>
    </row>
    <row r="28" spans="1:10" s="808" customFormat="1" ht="19.149999999999999" customHeight="1">
      <c r="A28" s="819" t="s">
        <v>403</v>
      </c>
      <c r="B28" s="816" t="s">
        <v>393</v>
      </c>
      <c r="C28" s="817" t="s">
        <v>394</v>
      </c>
      <c r="D28" s="817">
        <v>18</v>
      </c>
      <c r="E28" s="816">
        <v>8050</v>
      </c>
      <c r="F28" s="816">
        <f t="shared" si="0"/>
        <v>144900</v>
      </c>
      <c r="G28" s="847">
        <f t="shared" si="1"/>
        <v>142002</v>
      </c>
      <c r="H28" s="820">
        <v>1014.3</v>
      </c>
      <c r="I28" s="821">
        <v>113</v>
      </c>
      <c r="J28" s="813">
        <v>16373.7</v>
      </c>
    </row>
    <row r="29" spans="1:10" s="808" customFormat="1" ht="19.149999999999999" customHeight="1">
      <c r="A29" s="819" t="s">
        <v>404</v>
      </c>
      <c r="B29" s="816" t="s">
        <v>393</v>
      </c>
      <c r="C29" s="817" t="s">
        <v>394</v>
      </c>
      <c r="D29" s="817">
        <v>14</v>
      </c>
      <c r="E29" s="816">
        <v>8160</v>
      </c>
      <c r="F29" s="816">
        <f t="shared" si="0"/>
        <v>114240</v>
      </c>
      <c r="G29" s="847">
        <f t="shared" si="1"/>
        <v>111955.2</v>
      </c>
      <c r="H29" s="816">
        <v>799.68</v>
      </c>
      <c r="I29" s="821">
        <v>113</v>
      </c>
      <c r="J29" s="813">
        <v>12909.12</v>
      </c>
    </row>
    <row r="30" spans="1:10" s="808" customFormat="1" ht="19.149999999999999" customHeight="1">
      <c r="A30" s="819" t="s">
        <v>405</v>
      </c>
      <c r="B30" s="816" t="s">
        <v>393</v>
      </c>
      <c r="C30" s="817" t="s">
        <v>394</v>
      </c>
      <c r="D30" s="817">
        <v>7</v>
      </c>
      <c r="E30" s="816">
        <v>8215</v>
      </c>
      <c r="F30" s="816">
        <f t="shared" si="0"/>
        <v>57505</v>
      </c>
      <c r="G30" s="847">
        <f t="shared" si="1"/>
        <v>56354.9</v>
      </c>
      <c r="H30" s="816">
        <v>402.54</v>
      </c>
      <c r="I30" s="821">
        <v>113</v>
      </c>
      <c r="J30" s="813">
        <v>6498.07</v>
      </c>
    </row>
    <row r="31" spans="1:10" s="808" customFormat="1" ht="19.149999999999999" customHeight="1">
      <c r="A31" s="819" t="s">
        <v>406</v>
      </c>
      <c r="B31" s="816" t="s">
        <v>393</v>
      </c>
      <c r="C31" s="817" t="s">
        <v>394</v>
      </c>
      <c r="D31" s="817">
        <v>7</v>
      </c>
      <c r="E31" s="816">
        <v>8365</v>
      </c>
      <c r="F31" s="816">
        <f t="shared" si="0"/>
        <v>58555</v>
      </c>
      <c r="G31" s="847">
        <f t="shared" si="1"/>
        <v>57383.9</v>
      </c>
      <c r="H31" s="816">
        <v>409.89</v>
      </c>
      <c r="I31" s="821">
        <v>113</v>
      </c>
      <c r="J31" s="813">
        <v>6616.72</v>
      </c>
    </row>
    <row r="32" spans="1:10" s="808" customFormat="1" ht="19.149999999999999" customHeight="1">
      <c r="A32" s="819" t="s">
        <v>407</v>
      </c>
      <c r="B32" s="816" t="s">
        <v>393</v>
      </c>
      <c r="C32" s="817" t="s">
        <v>394</v>
      </c>
      <c r="D32" s="817">
        <v>14</v>
      </c>
      <c r="E32" s="816">
        <v>8675</v>
      </c>
      <c r="F32" s="816">
        <f t="shared" si="0"/>
        <v>121450</v>
      </c>
      <c r="G32" s="847">
        <f t="shared" si="1"/>
        <v>119021</v>
      </c>
      <c r="H32" s="816">
        <v>850.15</v>
      </c>
      <c r="I32" s="821">
        <v>113</v>
      </c>
      <c r="J32" s="813">
        <v>13723.85</v>
      </c>
    </row>
    <row r="33" spans="1:10" s="808" customFormat="1" ht="19.149999999999999" customHeight="1">
      <c r="A33" s="819" t="s">
        <v>408</v>
      </c>
      <c r="B33" s="816" t="s">
        <v>393</v>
      </c>
      <c r="C33" s="817" t="s">
        <v>394</v>
      </c>
      <c r="D33" s="817">
        <v>26</v>
      </c>
      <c r="E33" s="816">
        <v>9145</v>
      </c>
      <c r="F33" s="816">
        <f t="shared" si="0"/>
        <v>237770</v>
      </c>
      <c r="G33" s="847">
        <f t="shared" si="1"/>
        <v>233014.6</v>
      </c>
      <c r="H33" s="820">
        <v>1664.39</v>
      </c>
      <c r="I33" s="821">
        <v>113</v>
      </c>
      <c r="J33" s="813">
        <v>26868.01</v>
      </c>
    </row>
    <row r="34" spans="1:10" s="808" customFormat="1" ht="19.149999999999999" customHeight="1">
      <c r="A34" s="822" t="s">
        <v>409</v>
      </c>
      <c r="B34" s="823" t="s">
        <v>410</v>
      </c>
      <c r="C34" s="823" t="s">
        <v>388</v>
      </c>
      <c r="D34" s="823">
        <f>F41*3</f>
        <v>3864.7799999999997</v>
      </c>
      <c r="E34" s="823" t="s">
        <v>388</v>
      </c>
      <c r="F34" s="823" t="s">
        <v>388</v>
      </c>
      <c r="G34" s="845" t="s">
        <v>388</v>
      </c>
      <c r="H34" s="823" t="s">
        <v>388</v>
      </c>
      <c r="I34" s="825">
        <v>11</v>
      </c>
      <c r="J34" s="824">
        <v>39662.699999999997</v>
      </c>
    </row>
    <row r="35" spans="1:10" s="808" customFormat="1" ht="19.149999999999999" customHeight="1">
      <c r="A35" s="826" t="s">
        <v>411</v>
      </c>
      <c r="B35" s="827" t="s">
        <v>412</v>
      </c>
      <c r="C35" s="827" t="s">
        <v>394</v>
      </c>
      <c r="D35" s="827">
        <v>300</v>
      </c>
      <c r="E35" s="827">
        <v>300</v>
      </c>
      <c r="F35" s="827" t="s">
        <v>388</v>
      </c>
      <c r="G35" s="846" t="s">
        <v>388</v>
      </c>
      <c r="H35" s="827" t="s">
        <v>388</v>
      </c>
      <c r="I35" s="829">
        <v>4</v>
      </c>
      <c r="J35" s="828">
        <v>1200</v>
      </c>
    </row>
    <row r="36" spans="1:10" s="808" customFormat="1" ht="24.95" customHeight="1">
      <c r="A36" s="826" t="s">
        <v>411</v>
      </c>
      <c r="B36" s="827" t="s">
        <v>413</v>
      </c>
      <c r="C36" s="827" t="s">
        <v>394</v>
      </c>
      <c r="D36" s="827">
        <v>102</v>
      </c>
      <c r="E36" s="827">
        <v>102</v>
      </c>
      <c r="F36" s="827" t="s">
        <v>388</v>
      </c>
      <c r="G36" s="846" t="s">
        <v>388</v>
      </c>
      <c r="H36" s="827" t="s">
        <v>388</v>
      </c>
      <c r="I36" s="829">
        <v>25</v>
      </c>
      <c r="J36" s="828">
        <v>2550</v>
      </c>
    </row>
    <row r="37" spans="1:10" ht="25.5" customHeight="1">
      <c r="A37" s="826" t="s">
        <v>411</v>
      </c>
      <c r="B37" s="827" t="s">
        <v>414</v>
      </c>
      <c r="C37" s="827" t="s">
        <v>394</v>
      </c>
      <c r="D37" s="827">
        <v>75</v>
      </c>
      <c r="E37" s="827">
        <v>75</v>
      </c>
      <c r="F37" s="827" t="s">
        <v>388</v>
      </c>
      <c r="G37" s="846" t="s">
        <v>388</v>
      </c>
      <c r="H37" s="827" t="s">
        <v>388</v>
      </c>
      <c r="I37" s="829">
        <v>25</v>
      </c>
      <c r="J37" s="828">
        <v>1875</v>
      </c>
    </row>
    <row r="38" spans="1:10" ht="25.5" customHeight="1">
      <c r="A38" s="826" t="s">
        <v>411</v>
      </c>
      <c r="B38" s="827" t="s">
        <v>415</v>
      </c>
      <c r="C38" s="827" t="s">
        <v>394</v>
      </c>
      <c r="D38" s="827">
        <v>26</v>
      </c>
      <c r="E38" s="827">
        <v>26</v>
      </c>
      <c r="F38" s="827" t="s">
        <v>388</v>
      </c>
      <c r="G38" s="846" t="s">
        <v>388</v>
      </c>
      <c r="H38" s="827" t="s">
        <v>388</v>
      </c>
      <c r="I38" s="829">
        <v>25</v>
      </c>
      <c r="J38" s="828">
        <v>650</v>
      </c>
    </row>
    <row r="39" spans="1:10" ht="25.5" customHeight="1">
      <c r="A39" s="826" t="s">
        <v>411</v>
      </c>
      <c r="B39" s="827" t="s">
        <v>416</v>
      </c>
      <c r="C39" s="827" t="s">
        <v>394</v>
      </c>
      <c r="D39" s="827">
        <v>73</v>
      </c>
      <c r="E39" s="827">
        <v>73</v>
      </c>
      <c r="F39" s="827" t="s">
        <v>388</v>
      </c>
      <c r="G39" s="846" t="s">
        <v>388</v>
      </c>
      <c r="H39" s="827" t="s">
        <v>388</v>
      </c>
      <c r="I39" s="829">
        <v>25</v>
      </c>
      <c r="J39" s="828">
        <v>1825</v>
      </c>
    </row>
    <row r="40" spans="1:10">
      <c r="A40" s="826" t="s">
        <v>411</v>
      </c>
      <c r="B40" s="827" t="s">
        <v>417</v>
      </c>
      <c r="C40" s="827" t="s">
        <v>394</v>
      </c>
      <c r="D40" s="827">
        <v>8</v>
      </c>
      <c r="E40" s="827">
        <v>8</v>
      </c>
      <c r="F40" s="827" t="s">
        <v>388</v>
      </c>
      <c r="G40" s="846" t="s">
        <v>388</v>
      </c>
      <c r="H40" s="827" t="s">
        <v>388</v>
      </c>
      <c r="I40" s="829">
        <v>25</v>
      </c>
      <c r="J40" s="828">
        <v>200</v>
      </c>
    </row>
    <row r="41" spans="1:10">
      <c r="A41" s="812" t="s">
        <v>388</v>
      </c>
      <c r="B41" s="813" t="s">
        <v>388</v>
      </c>
      <c r="C41" s="813" t="s">
        <v>388</v>
      </c>
      <c r="D41" s="813">
        <v>3785.7</v>
      </c>
      <c r="E41" s="813" t="s">
        <v>388</v>
      </c>
      <c r="F41" s="818">
        <v>1288.26</v>
      </c>
      <c r="G41" s="848">
        <f>SUM(G19:G40)</f>
        <v>1262489.9000000001</v>
      </c>
      <c r="H41" s="818">
        <v>9017.7900000000009</v>
      </c>
      <c r="I41" s="813" t="s">
        <v>388</v>
      </c>
      <c r="J41" s="821">
        <v>193535.52</v>
      </c>
    </row>
    <row r="42" spans="1:10">
      <c r="A42" s="849" t="s">
        <v>408</v>
      </c>
      <c r="B42" s="850" t="s">
        <v>389</v>
      </c>
      <c r="C42" s="850" t="s">
        <v>394</v>
      </c>
      <c r="D42" s="850">
        <v>26</v>
      </c>
      <c r="E42" s="850">
        <v>9145</v>
      </c>
      <c r="F42" s="851">
        <v>1288.26</v>
      </c>
      <c r="G42" s="851">
        <v>1288.26</v>
      </c>
      <c r="H42" s="850" t="s">
        <v>388</v>
      </c>
      <c r="I42" s="852">
        <v>40</v>
      </c>
      <c r="J42" s="852">
        <f>G42*I42</f>
        <v>51530.400000000001</v>
      </c>
    </row>
    <row r="43" spans="1:10">
      <c r="A43" s="811"/>
      <c r="B43" s="811"/>
      <c r="C43" s="811"/>
      <c r="D43" s="811"/>
      <c r="E43" s="811"/>
      <c r="F43" s="811"/>
      <c r="G43" s="811"/>
      <c r="H43" s="843" t="s">
        <v>390</v>
      </c>
      <c r="I43" s="813" t="s">
        <v>388</v>
      </c>
      <c r="J43" s="818">
        <f>SUM(J41:J42)</f>
        <v>245065.91999999998</v>
      </c>
    </row>
    <row r="44" spans="1:10">
      <c r="A44" s="811"/>
      <c r="B44" s="811"/>
      <c r="C44" s="811"/>
      <c r="D44" s="811"/>
      <c r="E44" s="811"/>
      <c r="F44" s="811"/>
      <c r="G44" s="811"/>
      <c r="H44" s="811"/>
      <c r="I44" s="811"/>
      <c r="J44" s="818">
        <f>F41</f>
        <v>1288.26</v>
      </c>
    </row>
    <row r="45" spans="1:10">
      <c r="A45" s="811"/>
      <c r="B45" s="830" t="s">
        <v>418</v>
      </c>
      <c r="C45" s="811"/>
      <c r="D45" s="831" t="s">
        <v>388</v>
      </c>
      <c r="E45" s="831" t="s">
        <v>388</v>
      </c>
      <c r="F45" s="831" t="s">
        <v>388</v>
      </c>
      <c r="G45" s="831" t="s">
        <v>388</v>
      </c>
      <c r="H45" s="832" t="s">
        <v>388</v>
      </c>
      <c r="I45" s="811"/>
      <c r="J45" s="818">
        <f>J43/J44</f>
        <v>190.23017092822877</v>
      </c>
    </row>
    <row r="46" spans="1:10">
      <c r="A46" s="811"/>
      <c r="B46" s="833" t="s">
        <v>419</v>
      </c>
      <c r="C46" s="834" t="s">
        <v>420</v>
      </c>
      <c r="D46" s="834" t="s">
        <v>421</v>
      </c>
      <c r="E46" s="834" t="s">
        <v>422</v>
      </c>
      <c r="F46" s="834" t="s">
        <v>423</v>
      </c>
      <c r="G46" s="835" t="s">
        <v>424</v>
      </c>
      <c r="H46" s="836" t="s">
        <v>388</v>
      </c>
      <c r="I46" s="811"/>
      <c r="J46" s="811"/>
    </row>
    <row r="47" spans="1:10">
      <c r="A47" s="811"/>
      <c r="B47" s="815" t="s">
        <v>425</v>
      </c>
      <c r="C47" s="816">
        <v>0</v>
      </c>
      <c r="D47" s="816">
        <v>32.700000000000003</v>
      </c>
      <c r="E47" s="816">
        <v>23.6</v>
      </c>
      <c r="F47" s="816">
        <v>659.9</v>
      </c>
      <c r="G47" s="837">
        <v>109</v>
      </c>
      <c r="H47" s="836" t="s">
        <v>388</v>
      </c>
      <c r="I47" s="811"/>
      <c r="J47" s="811"/>
    </row>
    <row r="48" spans="1:10">
      <c r="A48" s="811"/>
      <c r="B48" s="815" t="s">
        <v>426</v>
      </c>
      <c r="C48" s="816">
        <v>3.23</v>
      </c>
      <c r="D48" s="816" t="s">
        <v>388</v>
      </c>
      <c r="E48" s="816" t="s">
        <v>388</v>
      </c>
      <c r="F48" s="816">
        <v>234.7</v>
      </c>
      <c r="G48" s="816" t="s">
        <v>388</v>
      </c>
      <c r="H48" s="836" t="s">
        <v>388</v>
      </c>
      <c r="I48" s="811"/>
      <c r="J48" s="811"/>
    </row>
    <row r="49" spans="1:10">
      <c r="A49" s="811"/>
      <c r="B49" s="815" t="s">
        <v>427</v>
      </c>
      <c r="C49" s="816">
        <v>0.95</v>
      </c>
      <c r="D49" s="816">
        <v>6</v>
      </c>
      <c r="E49" s="816">
        <v>7</v>
      </c>
      <c r="F49" s="816">
        <v>42</v>
      </c>
      <c r="G49" s="816" t="s">
        <v>388</v>
      </c>
      <c r="H49" s="836" t="s">
        <v>388</v>
      </c>
      <c r="I49" s="811"/>
      <c r="J49" s="811"/>
    </row>
    <row r="50" spans="1:10">
      <c r="A50" s="811"/>
      <c r="B50" s="815" t="s">
        <v>428</v>
      </c>
      <c r="C50" s="816">
        <v>2.5</v>
      </c>
      <c r="D50" s="816" t="s">
        <v>388</v>
      </c>
      <c r="E50" s="816" t="s">
        <v>388</v>
      </c>
      <c r="F50" s="816">
        <v>204.1</v>
      </c>
      <c r="G50" s="816" t="s">
        <v>388</v>
      </c>
      <c r="H50" s="836" t="s">
        <v>388</v>
      </c>
      <c r="I50" s="811"/>
      <c r="J50" s="811"/>
    </row>
    <row r="51" spans="1:10">
      <c r="A51" s="811"/>
      <c r="B51" s="815" t="s">
        <v>429</v>
      </c>
      <c r="C51" s="816">
        <v>1.32</v>
      </c>
      <c r="D51" s="816">
        <v>2.1</v>
      </c>
      <c r="E51" s="816">
        <v>2</v>
      </c>
      <c r="F51" s="816">
        <v>4.0999999999999996</v>
      </c>
      <c r="G51" s="816" t="s">
        <v>388</v>
      </c>
      <c r="H51" s="836" t="s">
        <v>388</v>
      </c>
      <c r="I51" s="811"/>
      <c r="J51" s="811"/>
    </row>
    <row r="52" spans="1:10">
      <c r="A52" s="811"/>
      <c r="B52" s="815" t="s">
        <v>388</v>
      </c>
      <c r="C52" s="816" t="s">
        <v>388</v>
      </c>
      <c r="D52" s="816" t="s">
        <v>388</v>
      </c>
      <c r="E52" s="816" t="s">
        <v>430</v>
      </c>
      <c r="F52" s="816">
        <v>1144.7</v>
      </c>
      <c r="G52" s="816" t="s">
        <v>431</v>
      </c>
      <c r="H52" s="836" t="s">
        <v>388</v>
      </c>
      <c r="I52" s="811"/>
      <c r="J52" s="811"/>
    </row>
    <row r="53" spans="1:10">
      <c r="A53" s="811"/>
      <c r="B53" s="838" t="s">
        <v>388</v>
      </c>
      <c r="C53" s="811"/>
      <c r="D53" s="811"/>
      <c r="E53" s="811"/>
      <c r="F53" s="811"/>
      <c r="G53" s="811"/>
      <c r="H53" s="836" t="s">
        <v>388</v>
      </c>
      <c r="I53" s="811"/>
      <c r="J53" s="811"/>
    </row>
    <row r="54" spans="1:10">
      <c r="A54" s="811"/>
      <c r="B54" s="833" t="s">
        <v>432</v>
      </c>
      <c r="C54" s="834">
        <v>3</v>
      </c>
      <c r="D54" s="834" t="s">
        <v>433</v>
      </c>
      <c r="E54" s="834" t="s">
        <v>388</v>
      </c>
      <c r="F54" s="834">
        <f>-F52*C54</f>
        <v>-3434.1000000000004</v>
      </c>
      <c r="G54" s="839">
        <v>11</v>
      </c>
      <c r="H54" s="840">
        <f>F54*G54</f>
        <v>-37775.100000000006</v>
      </c>
      <c r="I54" s="811"/>
      <c r="J54" s="811"/>
    </row>
    <row r="55" spans="1:10">
      <c r="A55" s="811"/>
      <c r="B55" s="838" t="s">
        <v>388</v>
      </c>
      <c r="C55" s="811"/>
      <c r="D55" s="811"/>
      <c r="E55" s="811"/>
      <c r="F55" s="811"/>
      <c r="G55" s="811"/>
      <c r="H55" s="836" t="s">
        <v>388</v>
      </c>
      <c r="I55" s="811"/>
      <c r="J55" s="811"/>
    </row>
    <row r="56" spans="1:10">
      <c r="A56" s="811"/>
      <c r="B56" s="841" t="s">
        <v>388</v>
      </c>
      <c r="C56" s="842" t="s">
        <v>388</v>
      </c>
      <c r="D56" s="842" t="s">
        <v>388</v>
      </c>
      <c r="E56" s="842" t="s">
        <v>388</v>
      </c>
      <c r="F56" s="842" t="s">
        <v>388</v>
      </c>
      <c r="G56" s="842" t="s">
        <v>388</v>
      </c>
      <c r="H56" s="816" t="s">
        <v>388</v>
      </c>
      <c r="I56" s="811"/>
      <c r="J56" s="811"/>
    </row>
  </sheetData>
  <mergeCells count="4">
    <mergeCell ref="A1:H1"/>
    <mergeCell ref="A2:H2"/>
    <mergeCell ref="A16:H16"/>
    <mergeCell ref="A17:H17"/>
  </mergeCells>
  <dataValidations count="1">
    <dataValidation type="list" allowBlank="1" showInputMessage="1" showErrorMessage="1" sqref="Q4" xr:uid="{91734284-E0A4-4072-A337-9EFE2F151E4D}">
      <formula1>Moedas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D9A6-0E5A-487B-821F-E873CAD1E498}">
  <sheetPr>
    <tabColor rgb="FF002060"/>
  </sheetPr>
  <dimension ref="A1:AB92"/>
  <sheetViews>
    <sheetView showGridLines="0" topLeftCell="A13" zoomScale="85" zoomScaleNormal="85" workbookViewId="0">
      <selection activeCell="O34" sqref="O34"/>
    </sheetView>
  </sheetViews>
  <sheetFormatPr defaultRowHeight="12.4"/>
  <cols>
    <col min="1" max="1" width="5.7109375" style="193" customWidth="1"/>
    <col min="2" max="2" width="13" customWidth="1"/>
    <col min="3" max="3" width="7" customWidth="1"/>
    <col min="4" max="5" width="5.7109375" customWidth="1"/>
    <col min="6" max="6" width="5.42578125" customWidth="1"/>
    <col min="7" max="7" width="6.7109375" customWidth="1"/>
    <col min="8" max="8" width="6.85546875" customWidth="1"/>
    <col min="9" max="9" width="4.42578125" customWidth="1"/>
    <col min="10" max="10" width="6" customWidth="1"/>
    <col min="11" max="11" width="8.42578125" style="193" customWidth="1"/>
    <col min="12" max="12" width="8.28515625" customWidth="1"/>
    <col min="13" max="13" width="8" customWidth="1"/>
    <col min="14" max="14" width="8.28515625" customWidth="1"/>
    <col min="15" max="15" width="6.7109375" customWidth="1"/>
    <col min="16" max="16" width="12.5703125" bestFit="1" customWidth="1"/>
    <col min="17" max="17" width="17.85546875" customWidth="1"/>
    <col min="20" max="20" width="3.5703125" customWidth="1"/>
    <col min="21" max="21" width="4.140625" customWidth="1"/>
    <col min="22" max="22" width="6.140625" customWidth="1"/>
  </cols>
  <sheetData>
    <row r="1" spans="1:28" ht="22.9" customHeight="1" thickBot="1">
      <c r="A1" s="247"/>
      <c r="B1" s="248"/>
      <c r="C1" s="248"/>
      <c r="D1" s="248"/>
      <c r="E1" s="248"/>
      <c r="F1" s="248"/>
      <c r="G1" s="248"/>
      <c r="H1" s="248"/>
      <c r="I1" s="248"/>
      <c r="J1" s="248"/>
      <c r="K1" s="248"/>
      <c r="AB1" s="170" t="s">
        <v>434</v>
      </c>
    </row>
    <row r="2" spans="1:28" ht="22.9" customHeight="1">
      <c r="A2" s="1122" t="s">
        <v>1</v>
      </c>
      <c r="B2" s="1125"/>
      <c r="C2" s="606"/>
      <c r="D2" s="607"/>
      <c r="E2" s="607"/>
      <c r="F2" s="608"/>
      <c r="M2" s="1128" t="s">
        <v>332</v>
      </c>
      <c r="N2" s="1131" t="s">
        <v>333</v>
      </c>
      <c r="O2" s="1132"/>
      <c r="P2" s="1132"/>
      <c r="Q2" s="1133"/>
    </row>
    <row r="3" spans="1:28" ht="22.9" customHeight="1">
      <c r="A3" s="1123"/>
      <c r="B3" s="1126"/>
      <c r="C3" s="650"/>
      <c r="D3" s="651"/>
      <c r="E3" s="651"/>
      <c r="F3" s="652"/>
      <c r="M3" s="1129"/>
      <c r="N3" s="653"/>
      <c r="O3" s="654"/>
      <c r="P3" s="655"/>
      <c r="Q3" s="656"/>
    </row>
    <row r="4" spans="1:28" ht="22.9" customHeight="1" thickBot="1">
      <c r="A4" s="1124"/>
      <c r="B4" s="1127"/>
      <c r="C4" s="609"/>
      <c r="D4" s="610"/>
      <c r="E4" s="610"/>
      <c r="F4" s="611"/>
      <c r="M4" s="1130"/>
      <c r="N4" s="612" t="s">
        <v>435</v>
      </c>
      <c r="O4" s="1134" t="s">
        <v>335</v>
      </c>
      <c r="P4" s="1135"/>
      <c r="Q4" s="613" t="s">
        <v>336</v>
      </c>
    </row>
    <row r="5" spans="1:28" ht="22.9" customHeight="1" thickBot="1">
      <c r="A5" s="614">
        <v>1</v>
      </c>
      <c r="B5" s="1142" t="s">
        <v>436</v>
      </c>
      <c r="C5" s="1143"/>
      <c r="D5" s="1143"/>
      <c r="E5" s="1143"/>
      <c r="F5" s="1143"/>
      <c r="G5" s="1143"/>
      <c r="H5" s="1143"/>
      <c r="I5" s="1143"/>
      <c r="J5" s="1143"/>
      <c r="K5" s="1143"/>
      <c r="L5" s="1144"/>
      <c r="M5" s="615" t="s">
        <v>268</v>
      </c>
      <c r="N5" s="616">
        <v>1</v>
      </c>
      <c r="O5" s="1136">
        <f>Q30</f>
        <v>0</v>
      </c>
      <c r="P5" s="1137"/>
      <c r="Q5" s="617">
        <f>N5*O5</f>
        <v>0</v>
      </c>
    </row>
    <row r="6" spans="1:28" ht="22.9" customHeight="1">
      <c r="A6" s="618" t="s">
        <v>337</v>
      </c>
      <c r="B6" s="1145" t="str">
        <f>B5 &amp;  "  Custo Direto"</f>
        <v>MATERIA PRIMA - DA LISTA PROJETO  Custo Direto</v>
      </c>
      <c r="C6" s="1145"/>
      <c r="D6" s="1145"/>
      <c r="E6" s="1145"/>
      <c r="F6" s="1145"/>
      <c r="G6" s="1145"/>
      <c r="H6" s="1145"/>
      <c r="I6" s="1145"/>
      <c r="J6" s="1145"/>
      <c r="K6" s="1145"/>
      <c r="L6" s="1145"/>
      <c r="M6" s="619" t="s">
        <v>268</v>
      </c>
      <c r="N6" s="620">
        <v>1</v>
      </c>
      <c r="O6" s="1138">
        <v>555</v>
      </c>
      <c r="P6" s="1139"/>
      <c r="Q6" s="625" t="e">
        <f>O6/Q5</f>
        <v>#DIV/0!</v>
      </c>
    </row>
    <row r="7" spans="1:28" ht="22.9" customHeight="1">
      <c r="A7" s="621" t="s">
        <v>338</v>
      </c>
      <c r="B7" s="1145" t="str">
        <f>B5&amp; "   BDI"</f>
        <v>MATERIA PRIMA - DA LISTA PROJETO   BDI</v>
      </c>
      <c r="C7" s="1145"/>
      <c r="D7" s="1145"/>
      <c r="E7" s="1145"/>
      <c r="F7" s="1145"/>
      <c r="G7" s="1145"/>
      <c r="H7" s="1145"/>
      <c r="I7" s="1145"/>
      <c r="J7" s="1145"/>
      <c r="K7" s="1145"/>
      <c r="L7" s="1145"/>
      <c r="M7" s="622" t="s">
        <v>268</v>
      </c>
      <c r="N7" s="623">
        <v>1</v>
      </c>
      <c r="O7" s="1140">
        <f>'Tabela BDI e Tributos'!I16*O6</f>
        <v>83.250000000000014</v>
      </c>
      <c r="P7" s="1141"/>
      <c r="Q7" s="624" t="e">
        <f>O7/Q5</f>
        <v>#DIV/0!</v>
      </c>
    </row>
    <row r="8" spans="1:28" ht="22.9" customHeight="1">
      <c r="A8" s="621" t="s">
        <v>339</v>
      </c>
      <c r="B8" s="1145" t="str">
        <f>B5 &amp; "   Impostos"</f>
        <v>MATERIA PRIMA - DA LISTA PROJETO   Impostos</v>
      </c>
      <c r="C8" s="1145"/>
      <c r="D8" s="1145"/>
      <c r="E8" s="1145"/>
      <c r="F8" s="1145"/>
      <c r="G8" s="1145"/>
      <c r="H8" s="1145"/>
      <c r="I8" s="1145"/>
      <c r="J8" s="1145"/>
      <c r="K8" s="1145"/>
      <c r="L8" s="1145"/>
      <c r="M8" s="622" t="s">
        <v>268</v>
      </c>
      <c r="N8" s="623">
        <v>1</v>
      </c>
      <c r="O8" s="1140">
        <f>'Tabela BDI e Tributos'!I38*O6</f>
        <v>82.14</v>
      </c>
      <c r="P8" s="1141"/>
      <c r="Q8" s="624" t="e">
        <f>O8/Q5</f>
        <v>#DIV/0!</v>
      </c>
    </row>
    <row r="9" spans="1:28" ht="22.9" customHeight="1"/>
    <row r="10" spans="1:28" ht="22.9" customHeight="1" thickBot="1"/>
    <row r="11" spans="1:28" ht="38.25" customHeight="1">
      <c r="A11" s="666"/>
      <c r="B11" s="667"/>
      <c r="C11" s="1149" t="s">
        <v>437</v>
      </c>
      <c r="D11" s="1149"/>
      <c r="E11" s="1149"/>
      <c r="F11" s="1149"/>
      <c r="G11" s="1149"/>
      <c r="H11" s="1149"/>
      <c r="I11" s="1149"/>
      <c r="J11" s="1149"/>
      <c r="K11" s="1149"/>
      <c r="L11" s="1149"/>
      <c r="M11" s="1149"/>
      <c r="N11" s="1149"/>
      <c r="O11" s="629"/>
      <c r="P11" s="1150"/>
      <c r="Q11" s="1151"/>
    </row>
    <row r="12" spans="1:28" ht="21" customHeight="1">
      <c r="B12" s="657"/>
      <c r="C12" s="678" t="s">
        <v>438</v>
      </c>
      <c r="D12" s="673"/>
      <c r="E12" s="673"/>
      <c r="F12" s="673"/>
      <c r="G12" s="673"/>
      <c r="H12" s="673"/>
      <c r="I12" s="673"/>
      <c r="J12" s="673"/>
      <c r="K12" s="673"/>
      <c r="L12" s="673"/>
      <c r="M12" s="673"/>
      <c r="N12" s="668"/>
      <c r="O12" s="669"/>
      <c r="P12" s="1152">
        <v>45512</v>
      </c>
      <c r="Q12" s="1153"/>
    </row>
    <row r="13" spans="1:28" ht="21" customHeight="1">
      <c r="B13" s="657"/>
      <c r="C13" s="664" t="s">
        <v>439</v>
      </c>
      <c r="D13" s="665"/>
      <c r="E13" s="665"/>
      <c r="F13" s="674">
        <v>73</v>
      </c>
      <c r="G13" s="675" t="s">
        <v>440</v>
      </c>
      <c r="H13" s="665"/>
      <c r="I13" s="665"/>
      <c r="J13" s="665"/>
      <c r="K13" s="665"/>
      <c r="L13" s="665"/>
      <c r="M13" s="665"/>
      <c r="N13" s="671">
        <f>1000+73</f>
        <v>1073</v>
      </c>
      <c r="O13" s="672" t="s">
        <v>441</v>
      </c>
      <c r="P13" s="676" t="s">
        <v>442</v>
      </c>
      <c r="Q13" s="677">
        <v>2500</v>
      </c>
    </row>
    <row r="14" spans="1:28" ht="21" customHeight="1">
      <c r="B14" s="657"/>
      <c r="C14" s="664" t="s">
        <v>439</v>
      </c>
      <c r="D14" s="665"/>
      <c r="E14" s="665"/>
      <c r="F14" s="674">
        <v>73</v>
      </c>
      <c r="G14" s="675" t="s">
        <v>440</v>
      </c>
      <c r="H14" s="665"/>
      <c r="I14" s="665"/>
      <c r="J14" s="665"/>
      <c r="K14" s="665"/>
      <c r="L14" s="665"/>
      <c r="M14" s="665"/>
      <c r="N14" s="671">
        <f>1000+73</f>
        <v>1073</v>
      </c>
      <c r="O14" s="672" t="s">
        <v>441</v>
      </c>
      <c r="P14" s="676" t="s">
        <v>442</v>
      </c>
      <c r="Q14" s="677">
        <v>1630</v>
      </c>
    </row>
    <row r="15" spans="1:28" ht="21" customHeight="1" thickBot="1">
      <c r="B15" s="657"/>
      <c r="C15" s="732" t="s">
        <v>443</v>
      </c>
      <c r="D15" s="657"/>
      <c r="E15" s="657"/>
      <c r="F15" s="657"/>
      <c r="G15" s="657"/>
      <c r="H15" s="657">
        <f>F13*N13/1000*Q13/1000</f>
        <v>195.82249999999996</v>
      </c>
      <c r="I15" s="657" t="s">
        <v>444</v>
      </c>
      <c r="J15" s="657">
        <f>F14*N14/1000*Q14/1000</f>
        <v>127.67626999999999</v>
      </c>
      <c r="K15" s="733" t="s">
        <v>445</v>
      </c>
      <c r="L15" s="734">
        <f>H15+J15</f>
        <v>323.49876999999992</v>
      </c>
      <c r="M15" s="657"/>
      <c r="N15" s="657"/>
      <c r="O15" s="657"/>
      <c r="P15" s="657"/>
      <c r="Q15" s="657"/>
    </row>
    <row r="16" spans="1:28" ht="19.149999999999999" customHeight="1">
      <c r="A16" s="658" t="s">
        <v>446</v>
      </c>
      <c r="B16" s="658" t="s">
        <v>447</v>
      </c>
      <c r="C16" s="567" t="s">
        <v>448</v>
      </c>
      <c r="D16" s="568" t="s">
        <v>185</v>
      </c>
      <c r="E16" s="569"/>
      <c r="F16" s="570"/>
      <c r="G16" s="571"/>
      <c r="H16" s="631"/>
      <c r="I16" s="570"/>
      <c r="J16" s="570"/>
      <c r="K16" s="572" t="s">
        <v>449</v>
      </c>
      <c r="L16" s="572" t="s">
        <v>450</v>
      </c>
      <c r="M16" s="572" t="s">
        <v>451</v>
      </c>
      <c r="N16" s="670" t="s">
        <v>452</v>
      </c>
      <c r="O16" s="670" t="s">
        <v>453</v>
      </c>
      <c r="P16" s="572" t="s">
        <v>454</v>
      </c>
      <c r="Q16" s="573" t="s">
        <v>455</v>
      </c>
      <c r="S16" s="735"/>
      <c r="U16" s="735"/>
      <c r="V16" s="170"/>
    </row>
    <row r="17" spans="1:22" ht="19.149999999999999" customHeight="1">
      <c r="A17" s="202">
        <v>1</v>
      </c>
      <c r="B17" s="659" t="s">
        <v>456</v>
      </c>
      <c r="C17" s="574">
        <v>0</v>
      </c>
      <c r="D17" s="575" t="s">
        <v>457</v>
      </c>
      <c r="E17" s="576">
        <v>73</v>
      </c>
      <c r="F17" s="575" t="s">
        <v>441</v>
      </c>
      <c r="G17" s="577"/>
      <c r="H17" s="632"/>
      <c r="I17" s="633"/>
      <c r="J17" s="632"/>
      <c r="K17" s="646">
        <v>5.5</v>
      </c>
      <c r="L17" s="679">
        <v>2500</v>
      </c>
      <c r="M17" s="578">
        <f>PRODUCT(C17,(2*3.1415*(E17/2))/1000,K17*7.86,L17/1000)</f>
        <v>0</v>
      </c>
      <c r="N17" s="579">
        <f>C17*((E17*3)/1000+(I17*4)/1000)*L17/1000</f>
        <v>0</v>
      </c>
      <c r="O17" s="580">
        <f>N17*R$11</f>
        <v>0</v>
      </c>
      <c r="P17" s="581">
        <f>8.11*1.035</f>
        <v>8.3938499999999987</v>
      </c>
      <c r="Q17" s="582">
        <f t="shared" ref="Q17:Q18" si="0">P17*M17</f>
        <v>0</v>
      </c>
      <c r="S17" s="737"/>
      <c r="T17" s="736"/>
      <c r="U17" s="737"/>
    </row>
    <row r="18" spans="1:22" ht="19.149999999999999" customHeight="1">
      <c r="A18" s="202">
        <v>2</v>
      </c>
      <c r="B18" s="659" t="s">
        <v>458</v>
      </c>
      <c r="C18" s="574">
        <v>0</v>
      </c>
      <c r="D18" s="575" t="s">
        <v>457</v>
      </c>
      <c r="E18" s="576">
        <f>E17</f>
        <v>73</v>
      </c>
      <c r="F18" s="575" t="s">
        <v>441</v>
      </c>
      <c r="G18" s="577"/>
      <c r="H18" s="632"/>
      <c r="I18" s="633"/>
      <c r="J18" s="632"/>
      <c r="K18" s="646">
        <v>5.5</v>
      </c>
      <c r="L18" s="679">
        <v>1630</v>
      </c>
      <c r="M18" s="578">
        <f>PRODUCT(C18,(2*3.1415*(E18/2))/1000,K18*7.86,L18/1000)</f>
        <v>0</v>
      </c>
      <c r="N18" s="579">
        <f>C18*((E18*3)/1000+(I18*4)/1000)*L18/1000</f>
        <v>0</v>
      </c>
      <c r="O18" s="580">
        <f>N18*R$11</f>
        <v>0</v>
      </c>
      <c r="P18" s="583">
        <f>P17</f>
        <v>8.3938499999999987</v>
      </c>
      <c r="Q18" s="582">
        <f t="shared" si="0"/>
        <v>0</v>
      </c>
      <c r="S18" s="737"/>
      <c r="T18" s="736"/>
      <c r="U18" s="737"/>
    </row>
    <row r="19" spans="1:22" s="38" customFormat="1" ht="19.149999999999999" customHeight="1" thickBot="1">
      <c r="A19" s="740"/>
      <c r="B19" s="741" t="s">
        <v>459</v>
      </c>
      <c r="C19" s="752">
        <v>1</v>
      </c>
      <c r="D19" s="753" t="str">
        <f>D18</f>
        <v>TB</v>
      </c>
      <c r="E19" s="752">
        <f>E18</f>
        <v>73</v>
      </c>
      <c r="F19" s="753" t="s">
        <v>441</v>
      </c>
      <c r="G19" s="754"/>
      <c r="H19" s="755"/>
      <c r="I19" s="753"/>
      <c r="J19" s="755"/>
      <c r="K19" s="756">
        <f>K18</f>
        <v>5.5</v>
      </c>
      <c r="L19" s="757">
        <v>6000</v>
      </c>
      <c r="M19" s="748" t="s">
        <v>460</v>
      </c>
      <c r="N19" s="758"/>
      <c r="O19" s="758"/>
      <c r="P19" s="756">
        <f>PRODUCT(C19,(2*3.1415*(E19/2))/1000,K19*7.6,L19/1000)</f>
        <v>57.515838600000002</v>
      </c>
      <c r="Q19" s="759" t="s">
        <v>461</v>
      </c>
      <c r="S19" s="760"/>
      <c r="T19" s="761"/>
      <c r="U19" s="760"/>
    </row>
    <row r="20" spans="1:22" ht="19.149999999999999" customHeight="1" thickBot="1">
      <c r="A20" s="566"/>
      <c r="B20" s="657"/>
      <c r="C20" s="551"/>
      <c r="D20" s="551"/>
      <c r="E20" s="551"/>
      <c r="F20" s="551"/>
      <c r="G20" s="551"/>
      <c r="H20" s="551"/>
      <c r="I20" s="551"/>
      <c r="J20" s="551"/>
      <c r="K20" s="566"/>
      <c r="L20" s="551"/>
      <c r="M20" s="551"/>
      <c r="N20" s="551"/>
      <c r="O20" s="551"/>
      <c r="P20" s="551"/>
      <c r="Q20" s="584"/>
      <c r="S20" s="737"/>
      <c r="T20" s="736"/>
      <c r="U20" s="737"/>
    </row>
    <row r="21" spans="1:22" ht="19.149999999999999" customHeight="1" thickBot="1">
      <c r="A21" s="202">
        <v>3</v>
      </c>
      <c r="B21" s="660" t="s">
        <v>462</v>
      </c>
      <c r="C21" s="585">
        <f>C17+C18</f>
        <v>0</v>
      </c>
      <c r="D21" s="586" t="s">
        <v>463</v>
      </c>
      <c r="E21" s="587">
        <v>110</v>
      </c>
      <c r="F21" s="586" t="s">
        <v>275</v>
      </c>
      <c r="G21" s="587">
        <v>460</v>
      </c>
      <c r="H21" s="586"/>
      <c r="I21" s="586"/>
      <c r="J21" s="634"/>
      <c r="K21" s="588">
        <v>12.7</v>
      </c>
      <c r="L21" s="589"/>
      <c r="M21" s="590">
        <f>PRODUCT(C21*(E21/1000*G21/1000),K21*7.86)</f>
        <v>0</v>
      </c>
      <c r="N21" s="591">
        <f>C21*(E21/1000*G21/1000)*2</f>
        <v>0</v>
      </c>
      <c r="O21" s="592">
        <f>N21*R$11</f>
        <v>0</v>
      </c>
      <c r="P21" s="561">
        <v>12</v>
      </c>
      <c r="Q21" s="593">
        <f>P21*M21</f>
        <v>0</v>
      </c>
      <c r="S21" s="737"/>
      <c r="T21" s="736"/>
      <c r="U21" s="737"/>
    </row>
    <row r="22" spans="1:22" ht="19.149999999999999" customHeight="1">
      <c r="B22" s="661"/>
      <c r="C22" s="594"/>
      <c r="D22" s="595"/>
      <c r="E22" s="596"/>
      <c r="F22" s="595"/>
      <c r="G22" s="596"/>
      <c r="H22" s="595"/>
      <c r="I22" s="595"/>
      <c r="J22" s="635"/>
      <c r="K22" s="597"/>
      <c r="L22" s="598"/>
      <c r="M22" s="599"/>
      <c r="N22" s="600"/>
      <c r="O22" s="601"/>
      <c r="P22" s="602"/>
      <c r="Q22" s="603"/>
      <c r="S22" s="737"/>
      <c r="T22" s="736"/>
      <c r="U22" s="737"/>
    </row>
    <row r="23" spans="1:22" ht="19.149999999999999" customHeight="1">
      <c r="A23" s="188"/>
      <c r="B23" s="662"/>
      <c r="C23" s="552" t="s">
        <v>448</v>
      </c>
      <c r="D23" s="645" t="s">
        <v>464</v>
      </c>
      <c r="E23" s="604"/>
      <c r="F23" s="553"/>
      <c r="G23" s="554"/>
      <c r="H23" s="636"/>
      <c r="I23" s="553"/>
      <c r="J23" s="553"/>
      <c r="K23" s="555" t="s">
        <v>449</v>
      </c>
      <c r="L23" s="555" t="s">
        <v>465</v>
      </c>
      <c r="M23" s="555" t="s">
        <v>451</v>
      </c>
      <c r="N23" s="555" t="s">
        <v>452</v>
      </c>
      <c r="O23" s="556" t="s">
        <v>453</v>
      </c>
      <c r="P23" s="556" t="s">
        <v>454</v>
      </c>
      <c r="Q23" s="557" t="s">
        <v>455</v>
      </c>
      <c r="S23" s="737"/>
      <c r="T23" s="736"/>
      <c r="U23" s="737"/>
    </row>
    <row r="24" spans="1:22" ht="19.149999999999999" customHeight="1">
      <c r="A24" s="202">
        <v>4</v>
      </c>
      <c r="B24" s="663" t="s">
        <v>466</v>
      </c>
      <c r="C24" s="558">
        <f>SUM(C17:C18)</f>
        <v>0</v>
      </c>
      <c r="D24" s="563" t="s">
        <v>467</v>
      </c>
      <c r="E24" s="563">
        <v>200</v>
      </c>
      <c r="F24" s="519" t="s">
        <v>275</v>
      </c>
      <c r="G24" s="563">
        <v>32</v>
      </c>
      <c r="H24" s="519"/>
      <c r="I24" s="519"/>
      <c r="J24" s="519"/>
      <c r="K24" s="564">
        <v>3.3</v>
      </c>
      <c r="L24" s="680">
        <v>1000</v>
      </c>
      <c r="M24" s="559">
        <f>PRODUCT(C24,(E24+G24)/1000,K24*7.5,L24/1000)</f>
        <v>0</v>
      </c>
      <c r="N24" s="565">
        <f>C24*((E24*2)/1000+(G24*2)/1000)*L24/1000</f>
        <v>0</v>
      </c>
      <c r="O24" s="560">
        <f>N24*R$11</f>
        <v>0</v>
      </c>
      <c r="P24" s="561">
        <v>7.5</v>
      </c>
      <c r="Q24" s="562">
        <f>P24*M24</f>
        <v>0</v>
      </c>
      <c r="S24" s="737"/>
      <c r="T24" s="736"/>
      <c r="U24" s="737"/>
    </row>
    <row r="25" spans="1:22" ht="19.149999999999999" customHeight="1">
      <c r="A25" s="202">
        <v>5</v>
      </c>
      <c r="B25" s="663" t="s">
        <v>468</v>
      </c>
      <c r="C25" s="558">
        <f>C17</f>
        <v>0</v>
      </c>
      <c r="D25" s="563" t="s">
        <v>469</v>
      </c>
      <c r="E25" s="563">
        <v>32</v>
      </c>
      <c r="F25" s="519" t="s">
        <v>275</v>
      </c>
      <c r="G25" s="563">
        <f>E25</f>
        <v>32</v>
      </c>
      <c r="H25" s="519"/>
      <c r="I25" s="519"/>
      <c r="J25" s="519"/>
      <c r="K25" s="564">
        <v>3.3</v>
      </c>
      <c r="L25" s="680">
        <v>2500</v>
      </c>
      <c r="M25" s="559">
        <f>PRODUCT(C25,(E25+G25)/1000,K25*7.9,L25/1000)</f>
        <v>0</v>
      </c>
      <c r="N25" s="565">
        <f>C25*((E25*2)/1000+(G25*2)/1000)*L25/1000</f>
        <v>0</v>
      </c>
      <c r="O25" s="560">
        <f>N25*R$11</f>
        <v>0</v>
      </c>
      <c r="P25" s="605">
        <f>P24</f>
        <v>7.5</v>
      </c>
      <c r="Q25" s="562">
        <f>P25*M25</f>
        <v>0</v>
      </c>
      <c r="S25" s="737"/>
      <c r="T25" s="736"/>
      <c r="U25" s="737"/>
    </row>
    <row r="26" spans="1:22" ht="19.149999999999999" customHeight="1" thickBot="1">
      <c r="A26" s="202">
        <v>6</v>
      </c>
      <c r="B26" s="663" t="s">
        <v>468</v>
      </c>
      <c r="C26" s="558">
        <f>C18</f>
        <v>0</v>
      </c>
      <c r="D26" s="563" t="s">
        <v>469</v>
      </c>
      <c r="E26" s="563">
        <v>32</v>
      </c>
      <c r="F26" s="519" t="s">
        <v>275</v>
      </c>
      <c r="G26" s="563">
        <f>E26</f>
        <v>32</v>
      </c>
      <c r="H26" s="519"/>
      <c r="I26" s="519"/>
      <c r="J26" s="519"/>
      <c r="K26" s="564">
        <v>3.3</v>
      </c>
      <c r="L26" s="680">
        <v>1650</v>
      </c>
      <c r="M26" s="559">
        <f>PRODUCT(C26,(E26+G26)/1000,K26*7.9,L26/1000)</f>
        <v>0</v>
      </c>
      <c r="N26" s="565">
        <f>C26*((E26*2)/1000+(G26*2)/1000)*L26/1000</f>
        <v>0</v>
      </c>
      <c r="O26" s="560">
        <f>N26*R$11</f>
        <v>0</v>
      </c>
      <c r="P26" s="605">
        <f>P24</f>
        <v>7.5</v>
      </c>
      <c r="Q26" s="562">
        <f>P26*M26</f>
        <v>0</v>
      </c>
      <c r="R26" s="738"/>
      <c r="S26" s="738"/>
      <c r="T26" s="738"/>
      <c r="U26" s="739"/>
      <c r="V26" s="738"/>
    </row>
    <row r="27" spans="1:22" s="38" customFormat="1" ht="19.149999999999999" customHeight="1" thickBot="1">
      <c r="A27" s="740"/>
      <c r="B27" s="741" t="s">
        <v>459</v>
      </c>
      <c r="C27" s="742">
        <v>1</v>
      </c>
      <c r="D27" s="743" t="str">
        <f>D26</f>
        <v>L</v>
      </c>
      <c r="E27" s="742">
        <f>E26</f>
        <v>32</v>
      </c>
      <c r="F27" s="743" t="s">
        <v>441</v>
      </c>
      <c r="G27" s="744">
        <f>G26</f>
        <v>32</v>
      </c>
      <c r="H27" s="745"/>
      <c r="I27" s="743"/>
      <c r="J27" s="745"/>
      <c r="K27" s="746">
        <f>K26</f>
        <v>3.3</v>
      </c>
      <c r="L27" s="747">
        <v>6000</v>
      </c>
      <c r="M27" s="748" t="s">
        <v>460</v>
      </c>
      <c r="N27" s="749"/>
      <c r="O27" s="749"/>
      <c r="P27" s="750">
        <f>PRODUCT(C27,(E27+G27)/1000,K27*7.5,L27/1000)</f>
        <v>9.5040000000000013</v>
      </c>
      <c r="Q27" s="751" t="s">
        <v>461</v>
      </c>
    </row>
    <row r="28" spans="1:22" ht="19.149999999999999" customHeight="1">
      <c r="A28" s="566"/>
      <c r="B28" s="551"/>
      <c r="C28" s="551"/>
      <c r="D28" s="551"/>
      <c r="E28" s="551"/>
      <c r="F28" s="551"/>
      <c r="G28" s="551"/>
      <c r="H28" s="551"/>
      <c r="I28" s="551"/>
      <c r="J28" s="551"/>
      <c r="K28" s="566"/>
      <c r="L28" s="551"/>
      <c r="M28" s="551"/>
      <c r="N28" s="551"/>
      <c r="O28" s="551"/>
      <c r="P28" s="551"/>
      <c r="Q28" s="584"/>
    </row>
    <row r="29" spans="1:22" ht="19.149999999999999" customHeight="1">
      <c r="A29"/>
      <c r="K29"/>
      <c r="S29" s="520"/>
    </row>
    <row r="30" spans="1:22" ht="19.149999999999999" customHeight="1">
      <c r="A30"/>
      <c r="J30" s="1146" t="s">
        <v>470</v>
      </c>
      <c r="K30" s="1147"/>
      <c r="L30" s="1147"/>
      <c r="M30" s="1148"/>
      <c r="N30" s="687">
        <f>SUM(N17:N28)</f>
        <v>0</v>
      </c>
      <c r="O30" s="170" t="s">
        <v>471</v>
      </c>
      <c r="Q30" s="731">
        <f>SUM(Q17:Q29)</f>
        <v>0</v>
      </c>
    </row>
    <row r="31" spans="1:22" ht="19.149999999999999" customHeight="1">
      <c r="B31" s="681"/>
      <c r="C31" s="682"/>
      <c r="D31" s="683"/>
      <c r="E31" s="684"/>
      <c r="F31" s="684"/>
      <c r="G31" s="684"/>
      <c r="H31" s="684"/>
      <c r="I31" s="684"/>
      <c r="J31" s="684"/>
      <c r="K31" s="684"/>
      <c r="L31" s="684"/>
      <c r="M31" s="673"/>
      <c r="N31" s="673"/>
      <c r="P31" s="685"/>
      <c r="Q31" s="686"/>
    </row>
    <row r="32" spans="1:22" ht="19.149999999999999" customHeight="1">
      <c r="B32" s="657"/>
      <c r="D32" s="637"/>
      <c r="E32" s="638"/>
      <c r="F32" s="638"/>
      <c r="G32" s="638"/>
      <c r="H32" s="638"/>
      <c r="I32" s="638"/>
      <c r="J32" s="638"/>
      <c r="K32" s="647"/>
      <c r="L32" s="639" t="s">
        <v>472</v>
      </c>
      <c r="M32" s="640">
        <v>66.836736520337681</v>
      </c>
      <c r="N32" s="641" t="s">
        <v>473</v>
      </c>
      <c r="O32" s="630"/>
      <c r="P32" s="642"/>
      <c r="Q32" s="320"/>
    </row>
    <row r="33" spans="1:17" ht="19.149999999999999" customHeight="1">
      <c r="B33" s="657"/>
      <c r="C33" s="637"/>
      <c r="D33" s="643"/>
      <c r="E33" s="643"/>
      <c r="F33" s="643"/>
      <c r="G33" s="643"/>
      <c r="H33" s="643"/>
      <c r="I33" s="643"/>
      <c r="J33" s="643"/>
      <c r="K33" s="648"/>
      <c r="L33" s="644" t="s">
        <v>474</v>
      </c>
      <c r="M33" s="640">
        <v>61.138644397050008</v>
      </c>
      <c r="N33" s="641" t="s">
        <v>475</v>
      </c>
      <c r="O33" s="630"/>
      <c r="P33" s="642"/>
      <c r="Q33" s="320"/>
    </row>
    <row r="43" spans="1:17">
      <c r="A43" s="193" t="s">
        <v>476</v>
      </c>
    </row>
    <row r="44" spans="1:17">
      <c r="A44" s="193" t="s">
        <v>477</v>
      </c>
    </row>
    <row r="45" spans="1:17">
      <c r="A45" s="193" t="s">
        <v>478</v>
      </c>
    </row>
    <row r="46" spans="1:17">
      <c r="A46" s="193" t="s">
        <v>479</v>
      </c>
    </row>
    <row r="47" spans="1:17">
      <c r="A47" s="193" t="s">
        <v>480</v>
      </c>
    </row>
    <row r="48" spans="1:17">
      <c r="A48" s="193" t="s">
        <v>481</v>
      </c>
    </row>
    <row r="49" spans="1:1">
      <c r="A49" s="193" t="s">
        <v>482</v>
      </c>
    </row>
    <row r="50" spans="1:1">
      <c r="A50" s="193" t="s">
        <v>483</v>
      </c>
    </row>
    <row r="51" spans="1:1">
      <c r="A51" s="193" t="s">
        <v>484</v>
      </c>
    </row>
    <row r="52" spans="1:1">
      <c r="A52" s="193" t="s">
        <v>485</v>
      </c>
    </row>
    <row r="53" spans="1:1">
      <c r="A53" s="193" t="s">
        <v>486</v>
      </c>
    </row>
    <row r="54" spans="1:1">
      <c r="A54" s="193" t="s">
        <v>487</v>
      </c>
    </row>
    <row r="55" spans="1:1">
      <c r="A55" s="193" t="s">
        <v>488</v>
      </c>
    </row>
    <row r="56" spans="1:1">
      <c r="A56" s="193" t="s">
        <v>489</v>
      </c>
    </row>
    <row r="57" spans="1:1">
      <c r="A57" s="193" t="s">
        <v>490</v>
      </c>
    </row>
    <row r="58" spans="1:1">
      <c r="A58" s="193" t="s">
        <v>491</v>
      </c>
    </row>
    <row r="59" spans="1:1">
      <c r="A59" s="193" t="s">
        <v>492</v>
      </c>
    </row>
    <row r="60" spans="1:1">
      <c r="A60" s="193" t="s">
        <v>493</v>
      </c>
    </row>
    <row r="61" spans="1:1">
      <c r="A61" s="193" t="s">
        <v>494</v>
      </c>
    </row>
    <row r="62" spans="1:1">
      <c r="A62" s="193" t="s">
        <v>495</v>
      </c>
    </row>
    <row r="63" spans="1:1">
      <c r="A63" s="193" t="s">
        <v>496</v>
      </c>
    </row>
    <row r="64" spans="1:1">
      <c r="A64" s="193" t="s">
        <v>497</v>
      </c>
    </row>
    <row r="65" spans="1:1">
      <c r="A65" s="193" t="s">
        <v>498</v>
      </c>
    </row>
    <row r="66" spans="1:1">
      <c r="A66" s="193" t="s">
        <v>499</v>
      </c>
    </row>
    <row r="67" spans="1:1">
      <c r="A67" s="193" t="s">
        <v>500</v>
      </c>
    </row>
    <row r="68" spans="1:1">
      <c r="A68" s="193" t="s">
        <v>501</v>
      </c>
    </row>
    <row r="69" spans="1:1">
      <c r="A69" s="193" t="s">
        <v>502</v>
      </c>
    </row>
    <row r="70" spans="1:1">
      <c r="A70" s="193" t="s">
        <v>503</v>
      </c>
    </row>
    <row r="71" spans="1:1">
      <c r="A71" s="193" t="s">
        <v>504</v>
      </c>
    </row>
    <row r="72" spans="1:1">
      <c r="A72" s="193" t="s">
        <v>505</v>
      </c>
    </row>
    <row r="73" spans="1:1">
      <c r="A73" s="193" t="s">
        <v>506</v>
      </c>
    </row>
    <row r="74" spans="1:1">
      <c r="A74" s="193" t="s">
        <v>507</v>
      </c>
    </row>
    <row r="75" spans="1:1">
      <c r="A75" s="193" t="s">
        <v>508</v>
      </c>
    </row>
    <row r="76" spans="1:1">
      <c r="A76" s="193" t="s">
        <v>509</v>
      </c>
    </row>
    <row r="77" spans="1:1">
      <c r="A77" s="193" t="s">
        <v>510</v>
      </c>
    </row>
    <row r="78" spans="1:1">
      <c r="A78" s="193" t="s">
        <v>511</v>
      </c>
    </row>
    <row r="79" spans="1:1">
      <c r="A79" s="193" t="s">
        <v>512</v>
      </c>
    </row>
    <row r="80" spans="1:1">
      <c r="A80" s="193" t="s">
        <v>513</v>
      </c>
    </row>
    <row r="81" spans="1:1">
      <c r="A81" s="193" t="s">
        <v>514</v>
      </c>
    </row>
    <row r="82" spans="1:1">
      <c r="A82" s="193" t="s">
        <v>515</v>
      </c>
    </row>
    <row r="83" spans="1:1">
      <c r="A83" s="193" t="s">
        <v>516</v>
      </c>
    </row>
    <row r="84" spans="1:1">
      <c r="A84" s="193" t="s">
        <v>517</v>
      </c>
    </row>
    <row r="85" spans="1:1">
      <c r="A85" s="193" t="s">
        <v>518</v>
      </c>
    </row>
    <row r="86" spans="1:1">
      <c r="A86" s="193" t="s">
        <v>519</v>
      </c>
    </row>
    <row r="87" spans="1:1">
      <c r="A87" s="193" t="s">
        <v>520</v>
      </c>
    </row>
    <row r="88" spans="1:1">
      <c r="A88" s="193" t="s">
        <v>521</v>
      </c>
    </row>
    <row r="89" spans="1:1">
      <c r="A89" s="193" t="s">
        <v>522</v>
      </c>
    </row>
    <row r="90" spans="1:1">
      <c r="A90" s="193" t="s">
        <v>523</v>
      </c>
    </row>
    <row r="91" spans="1:1">
      <c r="A91" s="193" t="s">
        <v>524</v>
      </c>
    </row>
    <row r="92" spans="1:1">
      <c r="A92" s="193" t="s">
        <v>525</v>
      </c>
    </row>
  </sheetData>
  <mergeCells count="18">
    <mergeCell ref="J30:M30"/>
    <mergeCell ref="C11:L11"/>
    <mergeCell ref="M11:N11"/>
    <mergeCell ref="P11:Q11"/>
    <mergeCell ref="P12:Q12"/>
    <mergeCell ref="O5:P5"/>
    <mergeCell ref="O6:P6"/>
    <mergeCell ref="O7:P7"/>
    <mergeCell ref="O8:P8"/>
    <mergeCell ref="B5:L5"/>
    <mergeCell ref="B6:L6"/>
    <mergeCell ref="B7:L7"/>
    <mergeCell ref="B8:L8"/>
    <mergeCell ref="A2:A4"/>
    <mergeCell ref="B2:B4"/>
    <mergeCell ref="M2:M4"/>
    <mergeCell ref="N2:Q2"/>
    <mergeCell ref="O4:P4"/>
  </mergeCells>
  <dataValidations disablePrompts="1" count="1">
    <dataValidation type="list" allowBlank="1" showInputMessage="1" showErrorMessage="1" sqref="Q4" xr:uid="{ED40498D-74E4-47B3-880E-B51662DEF39D}">
      <formula1>Moedas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7D23D-D425-488F-A392-F4E7D58519F1}">
  <dimension ref="A1:H83"/>
  <sheetViews>
    <sheetView showGridLines="0" topLeftCell="A39" workbookViewId="0">
      <selection activeCell="G60" sqref="G60"/>
    </sheetView>
  </sheetViews>
  <sheetFormatPr defaultRowHeight="12.4"/>
  <cols>
    <col min="1" max="1" width="5" bestFit="1" customWidth="1"/>
    <col min="2" max="2" width="22.140625" customWidth="1"/>
    <col min="3" max="3" width="10.5703125" bestFit="1" customWidth="1"/>
    <col min="4" max="4" width="14.85546875" customWidth="1"/>
    <col min="5" max="8" width="14.42578125" customWidth="1"/>
  </cols>
  <sheetData>
    <row r="1" spans="1:8" ht="17.25" customHeight="1">
      <c r="A1" s="1154" t="s">
        <v>526</v>
      </c>
      <c r="B1" s="1154"/>
      <c r="C1" s="1154"/>
      <c r="D1" s="1154"/>
      <c r="E1" s="1154"/>
      <c r="F1" s="1154"/>
      <c r="G1" s="1154"/>
      <c r="H1" s="1154"/>
    </row>
    <row r="2" spans="1:8" ht="25.5" customHeight="1">
      <c r="A2" s="809" t="s">
        <v>1</v>
      </c>
      <c r="B2" s="809" t="s">
        <v>331</v>
      </c>
      <c r="C2" s="809" t="s">
        <v>226</v>
      </c>
      <c r="D2" s="940" t="s">
        <v>527</v>
      </c>
      <c r="E2" s="809" t="s">
        <v>528</v>
      </c>
      <c r="F2" s="809" t="s">
        <v>529</v>
      </c>
      <c r="G2" s="809" t="s">
        <v>530</v>
      </c>
      <c r="H2" s="809" t="s">
        <v>531</v>
      </c>
    </row>
    <row r="3" spans="1:8" ht="14.65">
      <c r="A3" s="853">
        <v>1</v>
      </c>
      <c r="B3" s="853" t="s">
        <v>532</v>
      </c>
      <c r="C3" s="853" t="s">
        <v>533</v>
      </c>
      <c r="D3" s="853">
        <v>13.7</v>
      </c>
      <c r="E3" s="853">
        <v>4.1100000000000003</v>
      </c>
      <c r="F3" s="853">
        <v>99.1</v>
      </c>
      <c r="G3" s="854">
        <v>6.02</v>
      </c>
      <c r="H3" s="854">
        <f>F3*G3</f>
        <v>596.58199999999988</v>
      </c>
    </row>
    <row r="4" spans="1:8" ht="14.65">
      <c r="A4" s="853">
        <v>2</v>
      </c>
      <c r="B4" s="853" t="s">
        <v>534</v>
      </c>
      <c r="C4" s="853" t="s">
        <v>533</v>
      </c>
      <c r="D4" s="853">
        <v>2.2999999999999998</v>
      </c>
      <c r="E4" s="853">
        <v>1.56</v>
      </c>
      <c r="F4" s="853">
        <v>25</v>
      </c>
      <c r="G4" s="854">
        <v>1.75</v>
      </c>
      <c r="H4" s="854">
        <f t="shared" ref="H4:H42" si="0">F4*G4</f>
        <v>43.75</v>
      </c>
    </row>
    <row r="5" spans="1:8" ht="14.65">
      <c r="A5" s="853">
        <v>3</v>
      </c>
      <c r="B5" s="853" t="s">
        <v>535</v>
      </c>
      <c r="C5" s="853" t="s">
        <v>533</v>
      </c>
      <c r="D5" s="853">
        <v>235</v>
      </c>
      <c r="E5" s="853">
        <v>46.11</v>
      </c>
      <c r="F5" s="853">
        <v>354.2</v>
      </c>
      <c r="G5" s="854">
        <v>6.33</v>
      </c>
      <c r="H5" s="854">
        <f t="shared" si="0"/>
        <v>2242.0859999999998</v>
      </c>
    </row>
    <row r="6" spans="1:8" ht="14.65">
      <c r="A6" s="853">
        <v>4</v>
      </c>
      <c r="B6" s="853" t="s">
        <v>536</v>
      </c>
      <c r="C6" s="853" t="s">
        <v>533</v>
      </c>
      <c r="D6" s="853">
        <v>64.3</v>
      </c>
      <c r="E6" s="853">
        <v>28.24</v>
      </c>
      <c r="F6" s="853">
        <v>289.8</v>
      </c>
      <c r="G6" s="854">
        <v>7.06</v>
      </c>
      <c r="H6" s="854">
        <f t="shared" si="0"/>
        <v>2045.9880000000001</v>
      </c>
    </row>
    <row r="7" spans="1:8" ht="14.65">
      <c r="A7" s="853">
        <v>5</v>
      </c>
      <c r="B7" s="853" t="s">
        <v>537</v>
      </c>
      <c r="C7" s="853" t="s">
        <v>533</v>
      </c>
      <c r="D7" s="853">
        <v>34.700000000000003</v>
      </c>
      <c r="E7" s="853">
        <v>17.09</v>
      </c>
      <c r="F7" s="853">
        <v>247.7</v>
      </c>
      <c r="G7" s="854">
        <v>7.06</v>
      </c>
      <c r="H7" s="854">
        <f t="shared" si="0"/>
        <v>1748.7619999999997</v>
      </c>
    </row>
    <row r="8" spans="1:8" ht="14.65">
      <c r="A8" s="853">
        <v>6</v>
      </c>
      <c r="B8" s="853" t="s">
        <v>538</v>
      </c>
      <c r="C8" s="853" t="s">
        <v>533</v>
      </c>
      <c r="D8" s="853">
        <v>34.700000000000003</v>
      </c>
      <c r="E8" s="853">
        <v>17.03</v>
      </c>
      <c r="F8" s="853">
        <v>311.2</v>
      </c>
      <c r="G8" s="854">
        <v>7.06</v>
      </c>
      <c r="H8" s="854">
        <f t="shared" si="0"/>
        <v>2197.0719999999997</v>
      </c>
    </row>
    <row r="9" spans="1:8" ht="14.65">
      <c r="A9" s="853">
        <v>7</v>
      </c>
      <c r="B9" s="853" t="s">
        <v>539</v>
      </c>
      <c r="C9" s="853" t="s">
        <v>533</v>
      </c>
      <c r="D9" s="853">
        <v>149.4</v>
      </c>
      <c r="E9" s="853">
        <v>11.74</v>
      </c>
      <c r="F9" s="853">
        <v>593.1</v>
      </c>
      <c r="G9" s="854">
        <v>8.25</v>
      </c>
      <c r="H9" s="854">
        <f t="shared" si="0"/>
        <v>4893.0749999999998</v>
      </c>
    </row>
    <row r="10" spans="1:8" ht="14.65">
      <c r="A10" s="853">
        <v>8</v>
      </c>
      <c r="B10" s="853" t="s">
        <v>540</v>
      </c>
      <c r="C10" s="853" t="s">
        <v>533</v>
      </c>
      <c r="D10" s="853">
        <v>363.7</v>
      </c>
      <c r="E10" s="853">
        <v>14.15</v>
      </c>
      <c r="F10" s="853">
        <v>360</v>
      </c>
      <c r="G10" s="854">
        <v>7.36</v>
      </c>
      <c r="H10" s="854">
        <f t="shared" si="0"/>
        <v>2649.6</v>
      </c>
    </row>
    <row r="11" spans="1:8" ht="14.65">
      <c r="A11" s="853">
        <v>9</v>
      </c>
      <c r="B11" s="853" t="s">
        <v>541</v>
      </c>
      <c r="C11" s="853" t="s">
        <v>533</v>
      </c>
      <c r="D11" s="853">
        <v>71.3</v>
      </c>
      <c r="E11" s="853">
        <v>2.08</v>
      </c>
      <c r="F11" s="853">
        <v>39.9</v>
      </c>
      <c r="G11" s="854">
        <v>7.36</v>
      </c>
      <c r="H11" s="854">
        <f t="shared" si="0"/>
        <v>293.66399999999999</v>
      </c>
    </row>
    <row r="12" spans="1:8" ht="14.65">
      <c r="A12" s="853">
        <v>10</v>
      </c>
      <c r="B12" s="853" t="s">
        <v>542</v>
      </c>
      <c r="C12" s="853" t="s">
        <v>543</v>
      </c>
      <c r="D12" s="853">
        <v>45.5</v>
      </c>
      <c r="E12" s="853">
        <v>66.930000000000007</v>
      </c>
      <c r="F12" s="853">
        <v>2822.7</v>
      </c>
      <c r="G12" s="854">
        <v>9.6</v>
      </c>
      <c r="H12" s="854">
        <f t="shared" si="0"/>
        <v>27097.919999999998</v>
      </c>
    </row>
    <row r="13" spans="1:8" ht="14.65">
      <c r="A13" s="853">
        <v>11</v>
      </c>
      <c r="B13" s="853" t="s">
        <v>544</v>
      </c>
      <c r="C13" s="853" t="s">
        <v>533</v>
      </c>
      <c r="D13" s="853">
        <v>2.6</v>
      </c>
      <c r="E13" s="853">
        <v>0.48</v>
      </c>
      <c r="F13" s="853">
        <v>5.6</v>
      </c>
      <c r="G13" s="854">
        <v>7.21</v>
      </c>
      <c r="H13" s="854">
        <f t="shared" si="0"/>
        <v>40.375999999999998</v>
      </c>
    </row>
    <row r="14" spans="1:8" ht="14.65">
      <c r="A14" s="853">
        <v>12</v>
      </c>
      <c r="B14" s="853" t="s">
        <v>545</v>
      </c>
      <c r="C14" s="853" t="s">
        <v>533</v>
      </c>
      <c r="D14" s="853">
        <v>29.4</v>
      </c>
      <c r="E14" s="853">
        <v>7.74</v>
      </c>
      <c r="F14" s="853">
        <v>179.3</v>
      </c>
      <c r="G14" s="854">
        <v>7.47</v>
      </c>
      <c r="H14" s="854">
        <f t="shared" si="0"/>
        <v>1339.3710000000001</v>
      </c>
    </row>
    <row r="15" spans="1:8" ht="14.65">
      <c r="A15" s="853">
        <v>13</v>
      </c>
      <c r="B15" s="853" t="s">
        <v>546</v>
      </c>
      <c r="C15" s="853" t="s">
        <v>533</v>
      </c>
      <c r="D15" s="853">
        <v>4</v>
      </c>
      <c r="E15" s="853">
        <v>1.25</v>
      </c>
      <c r="F15" s="853">
        <v>42.8</v>
      </c>
      <c r="G15" s="854">
        <v>8.1</v>
      </c>
      <c r="H15" s="854">
        <f t="shared" si="0"/>
        <v>346.67999999999995</v>
      </c>
    </row>
    <row r="16" spans="1:8" ht="14.65">
      <c r="A16" s="853">
        <v>14</v>
      </c>
      <c r="B16" s="853" t="s">
        <v>547</v>
      </c>
      <c r="C16" s="853" t="s">
        <v>533</v>
      </c>
      <c r="D16" s="853">
        <v>4.7</v>
      </c>
      <c r="E16" s="853">
        <v>1.48</v>
      </c>
      <c r="F16" s="853">
        <v>42.8</v>
      </c>
      <c r="G16" s="854">
        <v>8.0500000000000007</v>
      </c>
      <c r="H16" s="854">
        <f t="shared" si="0"/>
        <v>344.54</v>
      </c>
    </row>
    <row r="17" spans="1:8" ht="14.65">
      <c r="A17" s="853">
        <v>15</v>
      </c>
      <c r="B17" s="853" t="s">
        <v>548</v>
      </c>
      <c r="C17" s="853" t="s">
        <v>533</v>
      </c>
      <c r="D17" s="853">
        <v>80.2</v>
      </c>
      <c r="E17" s="853">
        <v>14.3</v>
      </c>
      <c r="F17" s="853">
        <v>171.5</v>
      </c>
      <c r="G17" s="854">
        <v>7.21</v>
      </c>
      <c r="H17" s="854">
        <f t="shared" si="0"/>
        <v>1236.5150000000001</v>
      </c>
    </row>
    <row r="18" spans="1:8" ht="14.65">
      <c r="A18" s="853">
        <v>16</v>
      </c>
      <c r="B18" s="853" t="s">
        <v>549</v>
      </c>
      <c r="C18" s="853" t="s">
        <v>533</v>
      </c>
      <c r="D18" s="853">
        <v>76.5</v>
      </c>
      <c r="E18" s="853">
        <v>13.83</v>
      </c>
      <c r="F18" s="853">
        <v>105.8</v>
      </c>
      <c r="G18" s="854">
        <v>7.21</v>
      </c>
      <c r="H18" s="854">
        <f t="shared" si="0"/>
        <v>762.81799999999998</v>
      </c>
    </row>
    <row r="19" spans="1:8" ht="14.65">
      <c r="A19" s="853">
        <v>17</v>
      </c>
      <c r="B19" s="853" t="s">
        <v>550</v>
      </c>
      <c r="C19" s="853" t="s">
        <v>551</v>
      </c>
      <c r="D19" s="853">
        <v>12.1</v>
      </c>
      <c r="E19" s="853">
        <v>12.27</v>
      </c>
      <c r="F19" s="853">
        <v>672.8</v>
      </c>
      <c r="G19" s="854">
        <v>10.16</v>
      </c>
      <c r="H19" s="854">
        <f t="shared" si="0"/>
        <v>6835.6479999999992</v>
      </c>
    </row>
    <row r="20" spans="1:8" ht="14.65">
      <c r="A20" s="853">
        <v>18</v>
      </c>
      <c r="B20" s="853" t="s">
        <v>552</v>
      </c>
      <c r="C20" s="853" t="s">
        <v>533</v>
      </c>
      <c r="D20" s="853">
        <v>152.6</v>
      </c>
      <c r="E20" s="853">
        <v>92.79</v>
      </c>
      <c r="F20" s="853">
        <v>723.4</v>
      </c>
      <c r="G20" s="854">
        <v>6.5</v>
      </c>
      <c r="H20" s="854">
        <f t="shared" si="0"/>
        <v>4702.0999999999995</v>
      </c>
    </row>
    <row r="21" spans="1:8" ht="14.65">
      <c r="A21" s="853">
        <v>19</v>
      </c>
      <c r="B21" s="853" t="s">
        <v>553</v>
      </c>
      <c r="C21" s="853" t="s">
        <v>533</v>
      </c>
      <c r="D21" s="853">
        <v>92.8</v>
      </c>
      <c r="E21" s="853">
        <v>56.31</v>
      </c>
      <c r="F21" s="853">
        <v>493.5</v>
      </c>
      <c r="G21" s="854">
        <v>6.5</v>
      </c>
      <c r="H21" s="854">
        <f t="shared" si="0"/>
        <v>3207.75</v>
      </c>
    </row>
    <row r="22" spans="1:8" ht="14.65">
      <c r="A22" s="853">
        <v>20</v>
      </c>
      <c r="B22" s="853" t="s">
        <v>554</v>
      </c>
      <c r="C22" s="853" t="s">
        <v>533</v>
      </c>
      <c r="D22" s="853">
        <v>141.80000000000001</v>
      </c>
      <c r="E22" s="853">
        <v>85.67</v>
      </c>
      <c r="F22" s="853">
        <v>883.1</v>
      </c>
      <c r="G22" s="854">
        <v>6.5</v>
      </c>
      <c r="H22" s="854">
        <f t="shared" si="0"/>
        <v>5740.1500000000005</v>
      </c>
    </row>
    <row r="23" spans="1:8" ht="14.65">
      <c r="A23" s="853">
        <v>21</v>
      </c>
      <c r="B23" s="853" t="s">
        <v>555</v>
      </c>
      <c r="C23" s="853" t="s">
        <v>533</v>
      </c>
      <c r="D23" s="853">
        <v>68.900000000000006</v>
      </c>
      <c r="E23" s="853">
        <v>52.92</v>
      </c>
      <c r="F23" s="853">
        <v>413.2</v>
      </c>
      <c r="G23" s="854">
        <v>6.5</v>
      </c>
      <c r="H23" s="854">
        <f t="shared" si="0"/>
        <v>2685.7999999999997</v>
      </c>
    </row>
    <row r="24" spans="1:8" ht="14.65">
      <c r="A24" s="853">
        <v>22</v>
      </c>
      <c r="B24" s="853" t="s">
        <v>555</v>
      </c>
      <c r="C24" s="853" t="s">
        <v>543</v>
      </c>
      <c r="D24" s="853">
        <v>96.5</v>
      </c>
      <c r="E24" s="853">
        <v>74.09</v>
      </c>
      <c r="F24" s="853">
        <v>578.5</v>
      </c>
      <c r="G24" s="854">
        <v>6.5</v>
      </c>
      <c r="H24" s="854">
        <f t="shared" si="0"/>
        <v>3760.25</v>
      </c>
    </row>
    <row r="25" spans="1:8" ht="14.65">
      <c r="A25" s="853">
        <v>23</v>
      </c>
      <c r="B25" s="853" t="s">
        <v>556</v>
      </c>
      <c r="C25" s="853" t="s">
        <v>543</v>
      </c>
      <c r="D25" s="853">
        <v>116</v>
      </c>
      <c r="E25" s="853">
        <v>77.72</v>
      </c>
      <c r="F25" s="853">
        <v>1369.3</v>
      </c>
      <c r="G25" s="854">
        <v>8.61</v>
      </c>
      <c r="H25" s="854">
        <f t="shared" si="0"/>
        <v>11789.672999999999</v>
      </c>
    </row>
    <row r="26" spans="1:8" ht="14.65">
      <c r="A26" s="853">
        <v>24</v>
      </c>
      <c r="B26" s="853" t="s">
        <v>557</v>
      </c>
      <c r="C26" s="853" t="s">
        <v>543</v>
      </c>
      <c r="D26" s="853">
        <v>14</v>
      </c>
      <c r="E26" s="853">
        <v>9.6300000000000008</v>
      </c>
      <c r="F26" s="853">
        <v>251.3</v>
      </c>
      <c r="G26" s="854">
        <v>8.61</v>
      </c>
      <c r="H26" s="854">
        <f t="shared" si="0"/>
        <v>2163.6929999999998</v>
      </c>
    </row>
    <row r="27" spans="1:8" ht="14.65">
      <c r="A27" s="853">
        <v>25</v>
      </c>
      <c r="B27" s="853" t="s">
        <v>558</v>
      </c>
      <c r="C27" s="853" t="s">
        <v>543</v>
      </c>
      <c r="D27" s="853">
        <v>125.7</v>
      </c>
      <c r="E27" s="853">
        <v>110.58</v>
      </c>
      <c r="F27" s="853">
        <v>2827.4</v>
      </c>
      <c r="G27" s="854">
        <v>8.61</v>
      </c>
      <c r="H27" s="854">
        <f t="shared" si="0"/>
        <v>24343.914000000001</v>
      </c>
    </row>
    <row r="28" spans="1:8" ht="14.65">
      <c r="A28" s="853">
        <v>26</v>
      </c>
      <c r="B28" s="853" t="s">
        <v>559</v>
      </c>
      <c r="C28" s="853" t="s">
        <v>543</v>
      </c>
      <c r="D28" s="853">
        <v>50.3</v>
      </c>
      <c r="E28" s="853">
        <v>38.729999999999997</v>
      </c>
      <c r="F28" s="853">
        <v>754.5</v>
      </c>
      <c r="G28" s="854">
        <v>8.8800000000000008</v>
      </c>
      <c r="H28" s="854">
        <f t="shared" si="0"/>
        <v>6699.9600000000009</v>
      </c>
    </row>
    <row r="29" spans="1:8" ht="14.65">
      <c r="A29" s="853">
        <v>27</v>
      </c>
      <c r="B29" s="853" t="s">
        <v>560</v>
      </c>
      <c r="C29" s="853" t="s">
        <v>543</v>
      </c>
      <c r="D29" s="853">
        <v>93.7</v>
      </c>
      <c r="E29" s="853">
        <v>86.2</v>
      </c>
      <c r="F29" s="853">
        <v>2492.1999999999998</v>
      </c>
      <c r="G29" s="854">
        <v>8.8800000000000008</v>
      </c>
      <c r="H29" s="854">
        <f t="shared" si="0"/>
        <v>22130.736000000001</v>
      </c>
    </row>
    <row r="30" spans="1:8" ht="14.65">
      <c r="A30" s="853">
        <v>28</v>
      </c>
      <c r="B30" s="853" t="s">
        <v>561</v>
      </c>
      <c r="C30" s="853" t="s">
        <v>551</v>
      </c>
      <c r="D30" s="853">
        <v>2.6</v>
      </c>
      <c r="E30" s="853">
        <v>2.66</v>
      </c>
      <c r="F30" s="853">
        <v>92.8</v>
      </c>
      <c r="G30" s="854">
        <v>8.8800000000000008</v>
      </c>
      <c r="H30" s="854">
        <f t="shared" si="0"/>
        <v>824.06400000000008</v>
      </c>
    </row>
    <row r="31" spans="1:8" ht="14.65">
      <c r="A31" s="853">
        <v>29</v>
      </c>
      <c r="B31" s="853" t="s">
        <v>561</v>
      </c>
      <c r="C31" s="853" t="s">
        <v>543</v>
      </c>
      <c r="D31" s="853">
        <v>157.6</v>
      </c>
      <c r="E31" s="853">
        <v>162.37</v>
      </c>
      <c r="F31" s="853">
        <v>5659.4</v>
      </c>
      <c r="G31" s="854">
        <v>8.8800000000000008</v>
      </c>
      <c r="H31" s="854">
        <f t="shared" si="0"/>
        <v>50255.472000000002</v>
      </c>
    </row>
    <row r="32" spans="1:8" ht="14.65">
      <c r="A32" s="853">
        <v>30</v>
      </c>
      <c r="B32" s="853" t="s">
        <v>562</v>
      </c>
      <c r="C32" s="853" t="s">
        <v>543</v>
      </c>
      <c r="D32" s="853">
        <v>18.7</v>
      </c>
      <c r="E32" s="853">
        <v>22.25</v>
      </c>
      <c r="F32" s="853">
        <v>862</v>
      </c>
      <c r="G32" s="854">
        <v>9.6</v>
      </c>
      <c r="H32" s="854">
        <f t="shared" si="0"/>
        <v>8275.1999999999989</v>
      </c>
    </row>
    <row r="33" spans="1:8" ht="14.65">
      <c r="A33" s="853">
        <v>31</v>
      </c>
      <c r="B33" s="853" t="s">
        <v>563</v>
      </c>
      <c r="C33" s="853" t="s">
        <v>543</v>
      </c>
      <c r="D33" s="853">
        <v>20.399999999999999</v>
      </c>
      <c r="E33" s="853">
        <v>24.32</v>
      </c>
      <c r="F33" s="853">
        <v>1062.7</v>
      </c>
      <c r="G33" s="854">
        <v>9.6</v>
      </c>
      <c r="H33" s="854">
        <f t="shared" si="0"/>
        <v>10201.92</v>
      </c>
    </row>
    <row r="34" spans="1:8" ht="14.65">
      <c r="A34" s="853">
        <v>32</v>
      </c>
      <c r="B34" s="853" t="s">
        <v>564</v>
      </c>
      <c r="C34" s="853" t="s">
        <v>543</v>
      </c>
      <c r="D34" s="853">
        <v>530</v>
      </c>
      <c r="E34" s="853">
        <v>466.41</v>
      </c>
      <c r="F34" s="853">
        <v>9487.2999999999993</v>
      </c>
      <c r="G34" s="854">
        <v>9.6</v>
      </c>
      <c r="H34" s="854">
        <f t="shared" si="0"/>
        <v>91078.079999999987</v>
      </c>
    </row>
    <row r="35" spans="1:8" ht="14.65">
      <c r="A35" s="853">
        <v>33</v>
      </c>
      <c r="B35" s="853" t="s">
        <v>565</v>
      </c>
      <c r="C35" s="853" t="s">
        <v>543</v>
      </c>
      <c r="D35" s="853">
        <v>236.4</v>
      </c>
      <c r="E35" s="853">
        <v>231.7</v>
      </c>
      <c r="F35" s="853">
        <v>4965</v>
      </c>
      <c r="G35" s="854">
        <v>9.6</v>
      </c>
      <c r="H35" s="854">
        <f t="shared" si="0"/>
        <v>47664</v>
      </c>
    </row>
    <row r="36" spans="1:8" ht="14.65">
      <c r="A36" s="853">
        <v>34</v>
      </c>
      <c r="B36" s="853" t="s">
        <v>566</v>
      </c>
      <c r="C36" s="853" t="s">
        <v>543</v>
      </c>
      <c r="D36" s="853">
        <v>142.1</v>
      </c>
      <c r="E36" s="853">
        <v>142.1</v>
      </c>
      <c r="F36" s="853">
        <v>4021.5</v>
      </c>
      <c r="G36" s="854">
        <v>8.8800000000000008</v>
      </c>
      <c r="H36" s="854">
        <f t="shared" si="0"/>
        <v>35710.920000000006</v>
      </c>
    </row>
    <row r="37" spans="1:8" ht="14.65">
      <c r="A37" s="853">
        <v>35</v>
      </c>
      <c r="B37" s="853" t="s">
        <v>567</v>
      </c>
      <c r="C37" s="853" t="s">
        <v>543</v>
      </c>
      <c r="D37" s="853">
        <v>20.5</v>
      </c>
      <c r="E37" s="853">
        <v>25.64</v>
      </c>
      <c r="F37" s="853">
        <v>793.9</v>
      </c>
      <c r="G37" s="854">
        <v>8.8800000000000008</v>
      </c>
      <c r="H37" s="854">
        <f t="shared" si="0"/>
        <v>7049.8320000000003</v>
      </c>
    </row>
    <row r="38" spans="1:8" ht="14.65">
      <c r="A38" s="853">
        <v>36</v>
      </c>
      <c r="B38" s="853" t="s">
        <v>568</v>
      </c>
      <c r="C38" s="853" t="s">
        <v>543</v>
      </c>
      <c r="D38" s="853">
        <v>88.2</v>
      </c>
      <c r="E38" s="853">
        <v>103.25</v>
      </c>
      <c r="F38" s="853">
        <v>2903.4</v>
      </c>
      <c r="G38" s="854">
        <v>9.6</v>
      </c>
      <c r="H38" s="854">
        <f t="shared" si="0"/>
        <v>27872.639999999999</v>
      </c>
    </row>
    <row r="39" spans="1:8" ht="14.65">
      <c r="A39" s="853">
        <v>37</v>
      </c>
      <c r="B39" s="853" t="s">
        <v>569</v>
      </c>
      <c r="C39" s="853" t="s">
        <v>543</v>
      </c>
      <c r="D39" s="853">
        <v>106.6</v>
      </c>
      <c r="E39" s="853">
        <v>140.65</v>
      </c>
      <c r="F39" s="853">
        <v>4134.2</v>
      </c>
      <c r="G39" s="854">
        <v>9.6</v>
      </c>
      <c r="H39" s="854">
        <f t="shared" si="0"/>
        <v>39688.32</v>
      </c>
    </row>
    <row r="40" spans="1:8" ht="14.65">
      <c r="A40" s="853">
        <v>38</v>
      </c>
      <c r="B40" s="853" t="s">
        <v>570</v>
      </c>
      <c r="C40" s="853" t="s">
        <v>543</v>
      </c>
      <c r="D40" s="853">
        <v>47</v>
      </c>
      <c r="E40" s="853">
        <v>70.099999999999994</v>
      </c>
      <c r="F40" s="853">
        <v>2822.7</v>
      </c>
      <c r="G40" s="854">
        <v>9.6</v>
      </c>
      <c r="H40" s="854">
        <f t="shared" si="0"/>
        <v>27097.919999999998</v>
      </c>
    </row>
    <row r="41" spans="1:8" ht="14.65">
      <c r="A41" s="853">
        <v>39</v>
      </c>
      <c r="B41" s="853" t="s">
        <v>571</v>
      </c>
      <c r="C41" s="853" t="s">
        <v>543</v>
      </c>
      <c r="D41" s="853">
        <v>8</v>
      </c>
      <c r="E41" s="853">
        <v>13.35</v>
      </c>
      <c r="F41" s="853">
        <v>527.5</v>
      </c>
      <c r="G41" s="854">
        <v>10.8</v>
      </c>
      <c r="H41" s="854">
        <f t="shared" si="0"/>
        <v>5697</v>
      </c>
    </row>
    <row r="42" spans="1:8" ht="14.65">
      <c r="A42" s="853">
        <v>40</v>
      </c>
      <c r="B42" s="853" t="s">
        <v>572</v>
      </c>
      <c r="C42" s="853" t="s">
        <v>543</v>
      </c>
      <c r="D42" s="853">
        <v>2</v>
      </c>
      <c r="E42" s="853">
        <v>0.95</v>
      </c>
      <c r="F42" s="853">
        <v>26.5</v>
      </c>
      <c r="G42" s="854">
        <v>11.87</v>
      </c>
      <c r="H42" s="854">
        <f t="shared" si="0"/>
        <v>314.55500000000001</v>
      </c>
    </row>
    <row r="43" spans="1:8">
      <c r="A43" s="853"/>
      <c r="B43" s="853"/>
      <c r="C43" s="853"/>
      <c r="D43" s="853"/>
      <c r="E43" s="853" t="s">
        <v>573</v>
      </c>
      <c r="F43" s="855">
        <f>54508.6</f>
        <v>54508.6</v>
      </c>
      <c r="G43" s="855"/>
      <c r="H43" s="856">
        <f>SUM(H3:H42)</f>
        <v>493668.39600000001</v>
      </c>
    </row>
    <row r="44" spans="1:8">
      <c r="A44" s="926"/>
      <c r="B44" s="927"/>
      <c r="C44" s="927"/>
      <c r="D44" s="927"/>
      <c r="E44" s="927" t="s">
        <v>574</v>
      </c>
      <c r="F44" s="928">
        <f>F43*0.05</f>
        <v>2725.4300000000003</v>
      </c>
      <c r="G44" s="930">
        <f>AVERAGE(G3:G43)</f>
        <v>8.1185000000000009</v>
      </c>
      <c r="H44" s="929">
        <f>F44*G44</f>
        <v>22126.403455000003</v>
      </c>
    </row>
    <row r="45" spans="1:8">
      <c r="A45" s="926"/>
      <c r="B45" s="927"/>
      <c r="C45" s="927"/>
      <c r="D45" s="927"/>
      <c r="E45" s="927" t="s">
        <v>575</v>
      </c>
      <c r="F45" s="928"/>
      <c r="G45" s="930"/>
      <c r="H45" s="929">
        <f>SUM(H43:H44)</f>
        <v>515794.79945500003</v>
      </c>
    </row>
    <row r="46" spans="1:8" ht="17.100000000000001">
      <c r="A46" s="1155"/>
      <c r="B46" s="1156"/>
      <c r="C46" s="1156"/>
      <c r="D46" s="1156"/>
      <c r="E46" s="1156"/>
      <c r="F46" s="1156"/>
      <c r="G46" s="1156"/>
      <c r="H46" s="1156"/>
    </row>
    <row r="47" spans="1:8" ht="17.25" customHeight="1">
      <c r="A47" s="1157" t="s">
        <v>576</v>
      </c>
      <c r="B47" s="1158"/>
      <c r="C47" s="1158"/>
      <c r="D47" s="1158"/>
      <c r="E47" s="1158"/>
      <c r="F47" s="1158"/>
      <c r="G47" s="1158"/>
      <c r="H47" s="1158"/>
    </row>
    <row r="48" spans="1:8">
      <c r="A48" s="809" t="s">
        <v>1</v>
      </c>
      <c r="B48" s="809" t="s">
        <v>331</v>
      </c>
      <c r="C48" s="809" t="s">
        <v>226</v>
      </c>
      <c r="D48" s="809" t="s">
        <v>577</v>
      </c>
      <c r="E48" s="809" t="s">
        <v>529</v>
      </c>
      <c r="F48" s="853"/>
      <c r="G48" s="853"/>
      <c r="H48" s="853"/>
    </row>
    <row r="49" spans="1:8" ht="14.65">
      <c r="A49" s="853">
        <v>41</v>
      </c>
      <c r="B49" s="853" t="s">
        <v>578</v>
      </c>
      <c r="C49" s="853" t="s">
        <v>533</v>
      </c>
      <c r="D49" s="853">
        <v>193.88</v>
      </c>
      <c r="E49" s="853">
        <v>2268.8000000000002</v>
      </c>
      <c r="F49" s="853">
        <v>2268.8000000000002</v>
      </c>
      <c r="G49" s="854">
        <v>5.98</v>
      </c>
      <c r="H49" s="854">
        <f t="shared" ref="H49:H57" si="1">F49*G49</f>
        <v>13567.424000000003</v>
      </c>
    </row>
    <row r="50" spans="1:8" ht="14.65">
      <c r="A50" s="853">
        <v>42</v>
      </c>
      <c r="B50" s="853" t="s">
        <v>579</v>
      </c>
      <c r="C50" s="853" t="s">
        <v>533</v>
      </c>
      <c r="D50" s="853">
        <v>8.1</v>
      </c>
      <c r="E50" s="853">
        <v>139.30000000000001</v>
      </c>
      <c r="F50" s="853">
        <v>139.30000000000001</v>
      </c>
      <c r="G50" s="854">
        <v>5.98</v>
      </c>
      <c r="H50" s="854">
        <f t="shared" si="1"/>
        <v>833.01400000000012</v>
      </c>
    </row>
    <row r="51" spans="1:8" ht="14.65">
      <c r="A51" s="853">
        <v>43</v>
      </c>
      <c r="B51" s="853" t="s">
        <v>580</v>
      </c>
      <c r="C51" s="853" t="s">
        <v>533</v>
      </c>
      <c r="D51" s="853">
        <v>6.76</v>
      </c>
      <c r="E51" s="853">
        <v>148.80000000000001</v>
      </c>
      <c r="F51" s="853">
        <v>148.80000000000001</v>
      </c>
      <c r="G51" s="854">
        <v>5.98</v>
      </c>
      <c r="H51" s="854">
        <f t="shared" si="1"/>
        <v>889.82400000000018</v>
      </c>
    </row>
    <row r="52" spans="1:8" ht="14.65">
      <c r="A52" s="853">
        <v>44</v>
      </c>
      <c r="B52" s="853" t="s">
        <v>581</v>
      </c>
      <c r="C52" s="853" t="s">
        <v>533</v>
      </c>
      <c r="D52" s="853">
        <v>16.59</v>
      </c>
      <c r="E52" s="853">
        <v>466.4</v>
      </c>
      <c r="F52" s="853">
        <v>466.4</v>
      </c>
      <c r="G52" s="854">
        <v>5.98</v>
      </c>
      <c r="H52" s="854">
        <f t="shared" si="1"/>
        <v>2789.0720000000001</v>
      </c>
    </row>
    <row r="53" spans="1:8" ht="14.65">
      <c r="A53" s="853">
        <v>45</v>
      </c>
      <c r="B53" s="853" t="s">
        <v>582</v>
      </c>
      <c r="C53" s="853" t="s">
        <v>533</v>
      </c>
      <c r="D53" s="853">
        <v>10.6</v>
      </c>
      <c r="E53" s="853">
        <v>357.5</v>
      </c>
      <c r="F53" s="853">
        <v>357.5</v>
      </c>
      <c r="G53" s="854">
        <v>6.76</v>
      </c>
      <c r="H53" s="854">
        <f t="shared" si="1"/>
        <v>2416.6999999999998</v>
      </c>
    </row>
    <row r="54" spans="1:8" ht="14.65">
      <c r="A54" s="853">
        <v>46</v>
      </c>
      <c r="B54" s="853" t="s">
        <v>583</v>
      </c>
      <c r="C54" s="853" t="s">
        <v>533</v>
      </c>
      <c r="D54" s="853">
        <v>19.559999999999999</v>
      </c>
      <c r="E54" s="853">
        <v>868.4</v>
      </c>
      <c r="F54" s="853">
        <v>868.4</v>
      </c>
      <c r="G54" s="854">
        <v>6.76</v>
      </c>
      <c r="H54" s="854">
        <f t="shared" si="1"/>
        <v>5870.384</v>
      </c>
    </row>
    <row r="55" spans="1:8" ht="14.65">
      <c r="A55" s="853">
        <v>47</v>
      </c>
      <c r="B55" s="853" t="s">
        <v>584</v>
      </c>
      <c r="C55" s="853" t="s">
        <v>533</v>
      </c>
      <c r="D55" s="853">
        <v>2.54</v>
      </c>
      <c r="E55" s="853">
        <v>138.69999999999999</v>
      </c>
      <c r="F55" s="853">
        <v>138.69999999999999</v>
      </c>
      <c r="G55" s="854">
        <v>6.76</v>
      </c>
      <c r="H55" s="854">
        <f t="shared" si="1"/>
        <v>937.61199999999985</v>
      </c>
    </row>
    <row r="56" spans="1:8" ht="14.65">
      <c r="A56" s="853">
        <v>48</v>
      </c>
      <c r="B56" s="853" t="s">
        <v>585</v>
      </c>
      <c r="C56" s="853" t="s">
        <v>533</v>
      </c>
      <c r="D56" s="853">
        <v>12.16</v>
      </c>
      <c r="E56" s="853">
        <v>1287.0999999999999</v>
      </c>
      <c r="F56" s="853">
        <v>1287.0999999999999</v>
      </c>
      <c r="G56" s="854">
        <v>9.98</v>
      </c>
      <c r="H56" s="854">
        <f t="shared" si="1"/>
        <v>12845.258</v>
      </c>
    </row>
    <row r="57" spans="1:8" ht="14.65">
      <c r="A57" s="853">
        <v>49</v>
      </c>
      <c r="B57" s="853" t="s">
        <v>586</v>
      </c>
      <c r="C57" s="853" t="s">
        <v>533</v>
      </c>
      <c r="D57" s="853">
        <v>1.52</v>
      </c>
      <c r="E57" s="853">
        <v>190.9</v>
      </c>
      <c r="F57" s="853">
        <v>190.9</v>
      </c>
      <c r="G57" s="854">
        <v>11.32</v>
      </c>
      <c r="H57" s="854">
        <f t="shared" si="1"/>
        <v>2160.9880000000003</v>
      </c>
    </row>
    <row r="58" spans="1:8" ht="15" customHeight="1">
      <c r="A58" s="1187"/>
      <c r="B58" s="1187"/>
      <c r="C58" s="857"/>
      <c r="D58" s="857"/>
      <c r="E58" s="858" t="s">
        <v>587</v>
      </c>
      <c r="F58" s="855">
        <f>SUM(F49:F57)</f>
        <v>5865.9</v>
      </c>
      <c r="G58" s="855"/>
      <c r="H58" s="856">
        <f>SUM(H49:H57)</f>
        <v>42310.276000000005</v>
      </c>
    </row>
    <row r="59" spans="1:8" ht="15" customHeight="1">
      <c r="A59" s="857"/>
      <c r="B59" s="857"/>
      <c r="C59" s="857"/>
      <c r="D59" s="857"/>
      <c r="E59" s="927" t="s">
        <v>574</v>
      </c>
      <c r="F59" s="928">
        <f>F58*0.05</f>
        <v>293.29500000000002</v>
      </c>
      <c r="G59" s="930">
        <f>AVERAGE(G49:G57)</f>
        <v>7.2777777777777777</v>
      </c>
      <c r="H59" s="929">
        <f>F59*G59</f>
        <v>2134.5358333333334</v>
      </c>
    </row>
    <row r="60" spans="1:8" ht="15" customHeight="1">
      <c r="A60" s="1188"/>
      <c r="B60" s="1188"/>
      <c r="C60" s="857"/>
      <c r="D60" s="858"/>
      <c r="E60" s="858" t="s">
        <v>588</v>
      </c>
      <c r="F60" s="855">
        <f>F43+F58</f>
        <v>60374.5</v>
      </c>
      <c r="G60" s="855"/>
      <c r="H60" s="856">
        <f>SUM(H58:H59)</f>
        <v>44444.81183333334</v>
      </c>
    </row>
    <row r="64" spans="1:8" ht="22.5" customHeight="1">
      <c r="A64" s="1154" t="s">
        <v>589</v>
      </c>
      <c r="B64" s="1154"/>
      <c r="C64" s="1154"/>
      <c r="D64" s="1154"/>
      <c r="E64" s="1154"/>
      <c r="F64" s="1154"/>
      <c r="G64" s="1154"/>
      <c r="H64" s="1154"/>
    </row>
    <row r="65" spans="1:8" ht="12.75">
      <c r="A65" s="931" t="s">
        <v>1</v>
      </c>
      <c r="B65" s="809" t="s">
        <v>331</v>
      </c>
      <c r="C65" s="931" t="s">
        <v>226</v>
      </c>
      <c r="D65" s="931" t="s">
        <v>590</v>
      </c>
      <c r="E65" s="931" t="s">
        <v>591</v>
      </c>
      <c r="F65" s="931" t="s">
        <v>529</v>
      </c>
      <c r="G65" s="931" t="s">
        <v>530</v>
      </c>
      <c r="H65" s="931" t="s">
        <v>531</v>
      </c>
    </row>
    <row r="66" spans="1:8" ht="15">
      <c r="A66" s="932">
        <v>1</v>
      </c>
      <c r="B66" s="853" t="s">
        <v>557</v>
      </c>
      <c r="C66" s="932" t="s">
        <v>543</v>
      </c>
      <c r="D66" s="932">
        <v>2</v>
      </c>
      <c r="E66" s="932">
        <v>12</v>
      </c>
      <c r="F66" s="932">
        <f>18*D66*E66</f>
        <v>432</v>
      </c>
      <c r="G66" s="934">
        <v>8.61</v>
      </c>
      <c r="H66" s="933">
        <f>F66*G66</f>
        <v>3719.5199999999995</v>
      </c>
    </row>
    <row r="67" spans="1:8" ht="15">
      <c r="A67" s="932">
        <v>2</v>
      </c>
      <c r="B67" s="853" t="s">
        <v>560</v>
      </c>
      <c r="C67" s="932" t="s">
        <v>543</v>
      </c>
      <c r="D67" s="932">
        <v>2</v>
      </c>
      <c r="E67" s="932">
        <v>12</v>
      </c>
      <c r="F67" s="932">
        <f>26.6*D67*E67</f>
        <v>638.40000000000009</v>
      </c>
      <c r="G67" s="934">
        <v>8.8800000000000008</v>
      </c>
      <c r="H67" s="933">
        <f t="shared" ref="H67:H75" si="2">F67*G67</f>
        <v>5668.9920000000011</v>
      </c>
    </row>
    <row r="68" spans="1:8" ht="15">
      <c r="A68" s="932">
        <v>3</v>
      </c>
      <c r="B68" s="853" t="s">
        <v>561</v>
      </c>
      <c r="C68" s="932" t="s">
        <v>551</v>
      </c>
      <c r="D68" s="932">
        <v>1</v>
      </c>
      <c r="E68" s="932">
        <v>12</v>
      </c>
      <c r="F68" s="932">
        <f>35.9*D68*E68</f>
        <v>430.79999999999995</v>
      </c>
      <c r="G68" s="934">
        <v>8.8800000000000008</v>
      </c>
      <c r="H68" s="933">
        <f t="shared" si="2"/>
        <v>3825.5039999999999</v>
      </c>
    </row>
    <row r="69" spans="1:8" ht="15">
      <c r="A69" s="932">
        <v>4</v>
      </c>
      <c r="B69" s="853" t="s">
        <v>565</v>
      </c>
      <c r="C69" s="932" t="s">
        <v>543</v>
      </c>
      <c r="D69" s="932">
        <v>2</v>
      </c>
      <c r="E69" s="932">
        <v>12</v>
      </c>
      <c r="F69" s="932">
        <f>21*D69*E69</f>
        <v>504</v>
      </c>
      <c r="G69" s="934">
        <v>9.6</v>
      </c>
      <c r="H69" s="933">
        <f t="shared" si="2"/>
        <v>4838.3999999999996</v>
      </c>
    </row>
    <row r="70" spans="1:8" ht="15">
      <c r="A70" s="932">
        <v>5</v>
      </c>
      <c r="B70" s="853" t="s">
        <v>566</v>
      </c>
      <c r="C70" s="932" t="s">
        <v>543</v>
      </c>
      <c r="D70" s="932">
        <v>3</v>
      </c>
      <c r="E70" s="932">
        <v>12</v>
      </c>
      <c r="F70" s="932">
        <f>28.3*D70*E70</f>
        <v>1018.8000000000001</v>
      </c>
      <c r="G70" s="934">
        <v>8.8800000000000008</v>
      </c>
      <c r="H70" s="933">
        <f t="shared" si="2"/>
        <v>9046.9440000000013</v>
      </c>
    </row>
    <row r="71" spans="1:8" ht="15">
      <c r="A71" s="932">
        <v>6</v>
      </c>
      <c r="B71" s="853" t="s">
        <v>567</v>
      </c>
      <c r="C71" s="932" t="s">
        <v>543</v>
      </c>
      <c r="D71" s="932">
        <v>2</v>
      </c>
      <c r="E71" s="932">
        <v>12</v>
      </c>
      <c r="F71" s="932">
        <f>38.7*D71*E71</f>
        <v>928.80000000000007</v>
      </c>
      <c r="G71" s="934">
        <v>8.8800000000000008</v>
      </c>
      <c r="H71" s="933">
        <f t="shared" si="2"/>
        <v>8247.7440000000006</v>
      </c>
    </row>
    <row r="72" spans="1:8" ht="15">
      <c r="A72" s="932">
        <v>7</v>
      </c>
      <c r="B72" s="853" t="s">
        <v>568</v>
      </c>
      <c r="C72" s="932" t="s">
        <v>543</v>
      </c>
      <c r="D72" s="932">
        <v>7</v>
      </c>
      <c r="E72" s="932">
        <v>12</v>
      </c>
      <c r="F72" s="932">
        <f>32.9*D72*E72</f>
        <v>2763.6</v>
      </c>
      <c r="G72" s="934">
        <v>9.6</v>
      </c>
      <c r="H72" s="933">
        <f t="shared" si="2"/>
        <v>26530.559999999998</v>
      </c>
    </row>
    <row r="73" spans="1:8" ht="15">
      <c r="A73" s="932">
        <v>8</v>
      </c>
      <c r="B73" s="853" t="s">
        <v>569</v>
      </c>
      <c r="C73" s="932" t="s">
        <v>543</v>
      </c>
      <c r="D73" s="932">
        <v>0</v>
      </c>
      <c r="E73" s="932">
        <v>0</v>
      </c>
      <c r="F73" s="932">
        <f>38.8*D73*E73</f>
        <v>0</v>
      </c>
      <c r="G73" s="934">
        <v>9.6</v>
      </c>
      <c r="H73" s="933">
        <f t="shared" si="2"/>
        <v>0</v>
      </c>
    </row>
    <row r="74" spans="1:8" ht="15">
      <c r="A74" s="932">
        <v>9</v>
      </c>
      <c r="B74" s="853" t="s">
        <v>570</v>
      </c>
      <c r="C74" s="932" t="s">
        <v>543</v>
      </c>
      <c r="D74" s="932">
        <v>1</v>
      </c>
      <c r="E74" s="932">
        <v>12</v>
      </c>
      <c r="F74" s="932">
        <f>60*D74*E74</f>
        <v>720</v>
      </c>
      <c r="G74" s="934">
        <v>9.6</v>
      </c>
      <c r="H74" s="933">
        <f t="shared" si="2"/>
        <v>6912</v>
      </c>
    </row>
    <row r="75" spans="1:8" ht="15">
      <c r="A75" s="932">
        <v>10</v>
      </c>
      <c r="B75" s="853" t="s">
        <v>571</v>
      </c>
      <c r="C75" s="932" t="s">
        <v>543</v>
      </c>
      <c r="D75" s="932">
        <v>1</v>
      </c>
      <c r="E75" s="932">
        <v>6</v>
      </c>
      <c r="F75" s="932">
        <f>66*D75*E75</f>
        <v>396</v>
      </c>
      <c r="G75" s="934">
        <v>10.8</v>
      </c>
      <c r="H75" s="933">
        <f t="shared" si="2"/>
        <v>4276.8</v>
      </c>
    </row>
    <row r="76" spans="1:8" ht="19.5" customHeight="1">
      <c r="A76" s="935">
        <v>11</v>
      </c>
      <c r="B76" s="936" t="s">
        <v>575</v>
      </c>
      <c r="C76" s="937"/>
      <c r="D76" s="935">
        <f>SUM(D66:D75)</f>
        <v>21</v>
      </c>
      <c r="E76" s="935">
        <f>SUM(E66:E75)</f>
        <v>102</v>
      </c>
      <c r="F76" s="935">
        <f>SUM(F66:F75)</f>
        <v>7832.4</v>
      </c>
      <c r="G76" s="938"/>
      <c r="H76" s="939">
        <f>SUM(H66:H75)</f>
        <v>73066.463999999993</v>
      </c>
    </row>
    <row r="77" spans="1:8" ht="12.75"/>
    <row r="78" spans="1:8" ht="12.75"/>
    <row r="79" spans="1:8" ht="12.75"/>
    <row r="80" spans="1:8" ht="12.75"/>
    <row r="81" ht="12.75"/>
    <row r="83" ht="12.75"/>
  </sheetData>
  <mergeCells count="6">
    <mergeCell ref="A64:H64"/>
    <mergeCell ref="A1:H1"/>
    <mergeCell ref="A46:H46"/>
    <mergeCell ref="A47:H47"/>
    <mergeCell ref="A58:B58"/>
    <mergeCell ref="A60:B60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8BF4D-FEE5-4298-9A27-0F827CB7E0D7}">
  <sheetPr>
    <tabColor rgb="FF002060"/>
  </sheetPr>
  <dimension ref="A1:R33"/>
  <sheetViews>
    <sheetView showGridLines="0" topLeftCell="A5" zoomScale="85" zoomScaleNormal="85" workbookViewId="0">
      <selection activeCell="E16" sqref="E16"/>
    </sheetView>
  </sheetViews>
  <sheetFormatPr defaultRowHeight="12.4"/>
  <cols>
    <col min="1" max="1" width="9.28515625" bestFit="1" customWidth="1"/>
    <col min="2" max="2" width="50.42578125" customWidth="1"/>
    <col min="3" max="3" width="10.140625" customWidth="1"/>
    <col min="4" max="4" width="9.42578125" customWidth="1"/>
    <col min="5" max="5" width="10.28515625" customWidth="1"/>
    <col min="6" max="6" width="16.5703125" customWidth="1"/>
    <col min="7" max="7" width="15.140625" customWidth="1"/>
    <col min="9" max="9" width="18.5703125" customWidth="1"/>
    <col min="11" max="11" width="7.7109375" customWidth="1"/>
    <col min="12" max="12" width="5.140625" customWidth="1"/>
    <col min="13" max="13" width="6.7109375" customWidth="1"/>
  </cols>
  <sheetData>
    <row r="1" spans="1:18" ht="28.9" customHeight="1" thickBot="1">
      <c r="A1" s="227"/>
      <c r="B1" s="228"/>
      <c r="C1" s="228"/>
      <c r="D1" s="228"/>
      <c r="E1" s="228"/>
      <c r="F1" s="228"/>
      <c r="I1" s="697" t="s">
        <v>592</v>
      </c>
    </row>
    <row r="2" spans="1:18" ht="15" customHeight="1">
      <c r="A2" s="1160" t="s">
        <v>1</v>
      </c>
      <c r="B2" s="1161" t="s">
        <v>331</v>
      </c>
      <c r="C2" s="1162" t="s">
        <v>332</v>
      </c>
      <c r="D2" s="1163" t="s">
        <v>333</v>
      </c>
      <c r="E2" s="1163"/>
      <c r="F2" s="1163"/>
      <c r="I2" s="693" t="s">
        <v>593</v>
      </c>
      <c r="J2" s="695"/>
      <c r="K2" s="695"/>
      <c r="L2" s="695"/>
      <c r="M2" s="695"/>
      <c r="N2" s="695"/>
      <c r="O2" s="695"/>
      <c r="P2" s="695"/>
      <c r="Q2" s="695"/>
      <c r="R2" s="696"/>
    </row>
    <row r="3" spans="1:18">
      <c r="A3" s="1160"/>
      <c r="B3" s="1161"/>
      <c r="C3" s="1162"/>
      <c r="D3" s="142"/>
      <c r="E3" s="142"/>
      <c r="F3" s="142"/>
      <c r="H3" s="170"/>
      <c r="I3" s="717">
        <f>B23</f>
        <v>0</v>
      </c>
      <c r="J3" s="170"/>
      <c r="K3" s="170"/>
      <c r="L3" s="170"/>
      <c r="M3" s="170"/>
      <c r="N3" s="170"/>
      <c r="O3" s="170"/>
      <c r="P3" s="170"/>
      <c r="Q3" s="170"/>
      <c r="R3" s="698"/>
    </row>
    <row r="4" spans="1:18" ht="16.5" customHeight="1">
      <c r="A4" s="1160"/>
      <c r="B4" s="1161"/>
      <c r="C4" s="1162"/>
      <c r="D4" s="538" t="s">
        <v>334</v>
      </c>
      <c r="E4" s="538" t="s">
        <v>335</v>
      </c>
      <c r="F4" s="626" t="s">
        <v>336</v>
      </c>
      <c r="I4" s="713" t="s">
        <v>594</v>
      </c>
      <c r="J4" s="714" t="s">
        <v>595</v>
      </c>
      <c r="K4" s="688"/>
      <c r="L4" s="688"/>
      <c r="M4" s="688"/>
      <c r="N4" s="688"/>
      <c r="O4" s="688"/>
      <c r="P4" s="170"/>
      <c r="Q4" s="170"/>
      <c r="R4" s="698"/>
    </row>
    <row r="5" spans="1:18" ht="16.5" customHeight="1">
      <c r="A5" s="254">
        <v>1</v>
      </c>
      <c r="B5" s="163">
        <f>B15</f>
        <v>0</v>
      </c>
      <c r="C5" s="146" t="s">
        <v>268</v>
      </c>
      <c r="D5" s="147">
        <v>1</v>
      </c>
      <c r="E5" s="148">
        <f>SUM(E6:E8)</f>
        <v>30324.933869999997</v>
      </c>
      <c r="F5" s="471">
        <f>D5*E5</f>
        <v>30324.933869999997</v>
      </c>
      <c r="I5" s="703" t="s">
        <v>596</v>
      </c>
      <c r="J5" s="688"/>
      <c r="K5" s="688"/>
      <c r="L5" s="711">
        <v>0.8</v>
      </c>
      <c r="M5" s="689" t="s">
        <v>597</v>
      </c>
      <c r="N5" s="170"/>
      <c r="O5" s="170"/>
      <c r="P5" s="170"/>
      <c r="Q5" s="170"/>
      <c r="R5" s="698"/>
    </row>
    <row r="6" spans="1:18" ht="16.5" customHeight="1">
      <c r="A6" s="255" t="s">
        <v>337</v>
      </c>
      <c r="B6" s="150" t="str">
        <f>B5 &amp;  "  Custo Direto"</f>
        <v>0  Custo Direto</v>
      </c>
      <c r="C6" s="151" t="s">
        <v>268</v>
      </c>
      <c r="D6" s="152">
        <v>1</v>
      </c>
      <c r="E6" s="472">
        <f>G32</f>
        <v>23362.814999999999</v>
      </c>
      <c r="F6" s="518">
        <f>E6/F5</f>
        <v>0.77041602465331283</v>
      </c>
      <c r="I6" s="690" t="s">
        <v>598</v>
      </c>
      <c r="J6" s="688"/>
      <c r="K6" s="688"/>
      <c r="L6" s="691">
        <v>50</v>
      </c>
      <c r="M6" s="689" t="s">
        <v>599</v>
      </c>
      <c r="N6" s="170"/>
      <c r="O6" s="170"/>
      <c r="P6" s="170"/>
      <c r="Q6" s="170"/>
      <c r="R6" s="698"/>
    </row>
    <row r="7" spans="1:18" ht="16.5" customHeight="1">
      <c r="A7" s="255" t="s">
        <v>338</v>
      </c>
      <c r="B7" s="150" t="str">
        <f>B5&amp; "   BDI"</f>
        <v>0   BDI</v>
      </c>
      <c r="C7" s="151" t="s">
        <v>268</v>
      </c>
      <c r="D7" s="152">
        <v>1</v>
      </c>
      <c r="E7" s="164">
        <f>'Tabela BDI e Tributos'!I16*E6</f>
        <v>3504.4222500000005</v>
      </c>
      <c r="F7" s="518">
        <f>E7/F5</f>
        <v>0.11556240369799695</v>
      </c>
      <c r="I7" s="710" t="s">
        <v>600</v>
      </c>
      <c r="J7" s="691">
        <v>1</v>
      </c>
      <c r="K7" s="688" t="s">
        <v>601</v>
      </c>
      <c r="L7" s="712">
        <f>L6*J7</f>
        <v>50</v>
      </c>
      <c r="M7" s="689" t="s">
        <v>599</v>
      </c>
      <c r="N7" s="170"/>
      <c r="O7" s="170"/>
      <c r="P7" s="170"/>
      <c r="Q7" s="170"/>
      <c r="R7" s="698"/>
    </row>
    <row r="8" spans="1:18" ht="16.5" customHeight="1">
      <c r="A8" s="255" t="s">
        <v>339</v>
      </c>
      <c r="B8" s="150" t="str">
        <f>B5 &amp; "   Impostos"</f>
        <v>0   Impostos</v>
      </c>
      <c r="C8" s="151" t="s">
        <v>268</v>
      </c>
      <c r="D8" s="152">
        <v>1</v>
      </c>
      <c r="E8" s="164">
        <f>'Tabela BDI e Tributos'!I38*E6</f>
        <v>3457.6966199999997</v>
      </c>
      <c r="F8" s="518">
        <f>E8/F5</f>
        <v>0.1140215716486903</v>
      </c>
      <c r="I8" s="700" t="s">
        <v>602</v>
      </c>
      <c r="J8" s="170"/>
      <c r="K8" s="170"/>
      <c r="L8" s="170"/>
      <c r="M8" s="170"/>
      <c r="N8" s="627">
        <f>(L5*1000)/L7</f>
        <v>16</v>
      </c>
      <c r="O8" s="701" t="s">
        <v>603</v>
      </c>
      <c r="P8" s="170" t="s">
        <v>604</v>
      </c>
      <c r="Q8" s="170"/>
      <c r="R8" s="698"/>
    </row>
    <row r="9" spans="1:18" ht="16.5" customHeight="1">
      <c r="A9" s="255"/>
      <c r="B9" s="150"/>
      <c r="C9" s="151"/>
      <c r="D9" s="152"/>
      <c r="E9" s="164"/>
      <c r="F9" s="165"/>
      <c r="I9" s="700" t="s">
        <v>605</v>
      </c>
      <c r="J9" s="170"/>
      <c r="K9" s="170"/>
      <c r="L9" s="170"/>
      <c r="M9" s="170"/>
      <c r="N9" s="170"/>
      <c r="O9" s="170"/>
      <c r="P9" s="170"/>
      <c r="Q9" s="170"/>
      <c r="R9" s="698"/>
    </row>
    <row r="10" spans="1:18" ht="18.75" customHeight="1">
      <c r="A10" s="257"/>
      <c r="B10" s="216"/>
      <c r="C10" s="144"/>
      <c r="D10" s="215"/>
      <c r="E10" s="157"/>
      <c r="F10" s="158"/>
      <c r="I10" s="702" t="s">
        <v>606</v>
      </c>
      <c r="R10" s="698"/>
    </row>
    <row r="11" spans="1:18" ht="18.75" customHeight="1">
      <c r="I11" s="715" t="s">
        <v>607</v>
      </c>
      <c r="J11" s="716"/>
      <c r="K11" s="716"/>
      <c r="L11" s="716"/>
      <c r="M11" s="716"/>
      <c r="N11" s="694">
        <f>K13-(M13*K13)</f>
        <v>6.4</v>
      </c>
      <c r="O11" s="701" t="s">
        <v>603</v>
      </c>
      <c r="P11" s="170" t="s">
        <v>604</v>
      </c>
      <c r="Q11" s="170"/>
      <c r="R11" s="698"/>
    </row>
    <row r="12" spans="1:18" ht="18.75" customHeight="1">
      <c r="I12" s="699"/>
      <c r="J12" s="1159" t="s">
        <v>608</v>
      </c>
      <c r="K12" s="1159"/>
      <c r="L12" s="1159"/>
      <c r="M12" s="1159"/>
      <c r="N12" s="170"/>
      <c r="O12" s="170"/>
      <c r="P12" s="170"/>
      <c r="Q12" s="170"/>
      <c r="R12" s="698"/>
    </row>
    <row r="13" spans="1:18" ht="18.75" customHeight="1">
      <c r="B13">
        <f>[1]QQP_Cliente!D4</f>
        <v>0</v>
      </c>
      <c r="I13" s="704"/>
      <c r="J13" s="705" t="s">
        <v>609</v>
      </c>
      <c r="K13" s="706">
        <f>N8</f>
        <v>16</v>
      </c>
      <c r="L13" s="707" t="s">
        <v>610</v>
      </c>
      <c r="M13" s="692">
        <v>0.6</v>
      </c>
      <c r="N13" s="708"/>
      <c r="O13" s="708"/>
      <c r="P13" s="708"/>
      <c r="Q13" s="708"/>
      <c r="R13" s="709"/>
    </row>
    <row r="14" spans="1:18" ht="18.75" customHeight="1">
      <c r="A14" s="1164" t="s">
        <v>611</v>
      </c>
      <c r="B14" s="1165"/>
      <c r="C14" s="1165"/>
      <c r="D14" s="1165"/>
      <c r="E14" s="775">
        <v>2700</v>
      </c>
      <c r="F14" s="776" t="s">
        <v>612</v>
      </c>
    </row>
    <row r="15" spans="1:18" ht="18.75" customHeight="1">
      <c r="A15" s="777"/>
      <c r="B15" s="778"/>
      <c r="C15" s="778"/>
      <c r="D15" s="779" t="s">
        <v>613</v>
      </c>
      <c r="E15" s="780">
        <f>7800+7620+10116+9756</f>
        <v>35292</v>
      </c>
      <c r="F15" s="781" t="s">
        <v>230</v>
      </c>
      <c r="I15" s="693" t="s">
        <v>593</v>
      </c>
      <c r="J15" s="695"/>
      <c r="K15" s="695"/>
      <c r="L15" s="695"/>
      <c r="M15" s="695"/>
      <c r="N15" s="695"/>
      <c r="O15" s="695"/>
      <c r="P15" s="695"/>
      <c r="Q15" s="695"/>
      <c r="R15" s="696"/>
    </row>
    <row r="16" spans="1:18" ht="18.75" customHeight="1">
      <c r="A16" s="782"/>
      <c r="B16" s="782"/>
      <c r="C16" s="782"/>
      <c r="D16" s="783"/>
      <c r="E16" s="784"/>
      <c r="F16" s="785"/>
      <c r="I16" s="717" t="str">
        <f>B22</f>
        <v>Pintura - *Estimativa 2 - Valor por KG &gt;</v>
      </c>
      <c r="J16" s="170"/>
      <c r="K16" s="170"/>
      <c r="L16" s="170"/>
      <c r="M16" s="170"/>
      <c r="N16" s="170"/>
      <c r="O16" s="170"/>
      <c r="P16" s="170"/>
      <c r="Q16" s="170"/>
      <c r="R16" s="698"/>
    </row>
    <row r="17" spans="1:18" ht="18.75" customHeight="1">
      <c r="I17" s="713" t="s">
        <v>594</v>
      </c>
      <c r="J17" s="714" t="s">
        <v>614</v>
      </c>
      <c r="K17" s="688"/>
      <c r="L17" s="688"/>
      <c r="M17" s="688"/>
      <c r="N17" s="688"/>
      <c r="O17" s="688"/>
      <c r="P17" s="170"/>
      <c r="Q17" s="170"/>
      <c r="R17" s="698"/>
    </row>
    <row r="18" spans="1:18" ht="18.75" customHeight="1">
      <c r="A18" s="505" t="s">
        <v>1</v>
      </c>
      <c r="B18" s="505" t="s">
        <v>331</v>
      </c>
      <c r="I18" s="703" t="s">
        <v>596</v>
      </c>
      <c r="J18" s="688"/>
      <c r="K18" s="688"/>
      <c r="L18" s="711">
        <v>0.8</v>
      </c>
      <c r="M18" s="689" t="s">
        <v>597</v>
      </c>
      <c r="N18" s="170"/>
      <c r="O18" s="170"/>
      <c r="P18" s="170"/>
      <c r="Q18" s="170"/>
      <c r="R18" s="698"/>
    </row>
    <row r="19" spans="1:18" ht="18.75" customHeight="1">
      <c r="A19" s="506" t="s">
        <v>615</v>
      </c>
      <c r="B19" s="719" t="s">
        <v>616</v>
      </c>
      <c r="I19" s="690" t="s">
        <v>598</v>
      </c>
      <c r="J19" s="688"/>
      <c r="K19" s="688"/>
      <c r="L19" s="691">
        <v>65</v>
      </c>
      <c r="M19" s="689" t="s">
        <v>599</v>
      </c>
      <c r="N19" s="170"/>
      <c r="O19" s="170"/>
      <c r="P19" s="170"/>
      <c r="Q19" s="170"/>
      <c r="R19" s="698"/>
    </row>
    <row r="20" spans="1:18" ht="18.75" customHeight="1">
      <c r="A20" s="550" t="s">
        <v>617</v>
      </c>
      <c r="B20" s="535" t="s">
        <v>618</v>
      </c>
      <c r="C20" s="537" t="s">
        <v>619</v>
      </c>
      <c r="D20" s="505" t="s">
        <v>620</v>
      </c>
      <c r="E20" s="505" t="s">
        <v>621</v>
      </c>
      <c r="F20" s="505" t="s">
        <v>622</v>
      </c>
      <c r="G20" s="505" t="s">
        <v>623</v>
      </c>
      <c r="I20" s="710" t="s">
        <v>600</v>
      </c>
      <c r="J20" s="691">
        <v>2</v>
      </c>
      <c r="K20" s="688" t="s">
        <v>601</v>
      </c>
      <c r="L20" s="712">
        <f>L19*J20</f>
        <v>130</v>
      </c>
      <c r="M20" s="689" t="s">
        <v>599</v>
      </c>
      <c r="N20" s="170"/>
      <c r="O20" s="170"/>
      <c r="P20" s="170"/>
      <c r="Q20" s="170"/>
      <c r="R20" s="698"/>
    </row>
    <row r="21" spans="1:18" ht="18.75" customHeight="1">
      <c r="A21" s="506"/>
      <c r="B21" s="536" t="s">
        <v>624</v>
      </c>
      <c r="C21" s="762"/>
      <c r="D21" s="763" t="s">
        <v>625</v>
      </c>
      <c r="E21" s="718">
        <f>E14</f>
        <v>2700</v>
      </c>
      <c r="F21" s="628">
        <v>4.0740749999999997</v>
      </c>
      <c r="G21" s="517">
        <f>E21*F21</f>
        <v>11000.002499999999</v>
      </c>
      <c r="I21" s="700" t="s">
        <v>602</v>
      </c>
      <c r="J21" s="170"/>
      <c r="K21" s="170"/>
      <c r="L21" s="170"/>
      <c r="M21" s="170"/>
      <c r="N21" s="627">
        <f>(L18*1000)/L20</f>
        <v>6.1538461538461542</v>
      </c>
      <c r="O21" s="701" t="s">
        <v>603</v>
      </c>
      <c r="P21" s="170" t="s">
        <v>604</v>
      </c>
      <c r="Q21" s="170"/>
      <c r="R21" s="698"/>
    </row>
    <row r="22" spans="1:18" ht="18.75" customHeight="1">
      <c r="A22" s="506"/>
      <c r="B22" s="536" t="s">
        <v>626</v>
      </c>
      <c r="C22" s="762"/>
      <c r="D22" s="763" t="s">
        <v>627</v>
      </c>
      <c r="E22" s="718">
        <f>E15</f>
        <v>35292</v>
      </c>
      <c r="F22" s="628">
        <v>0.18032780000000001</v>
      </c>
      <c r="G22" s="517">
        <f>E22*F22</f>
        <v>6364.1287176000005</v>
      </c>
      <c r="I22" s="700" t="s">
        <v>605</v>
      </c>
      <c r="J22" s="170"/>
      <c r="K22" s="170"/>
      <c r="L22" s="170"/>
      <c r="M22" s="170"/>
      <c r="N22" s="170"/>
      <c r="O22" s="170"/>
      <c r="P22" s="170"/>
      <c r="Q22" s="170"/>
      <c r="R22" s="698"/>
    </row>
    <row r="23" spans="1:18" ht="18.75" customHeight="1">
      <c r="A23" s="764"/>
      <c r="B23" s="765"/>
      <c r="C23" s="766"/>
      <c r="D23" s="767"/>
      <c r="E23" s="768"/>
      <c r="F23" s="769"/>
      <c r="G23" s="770"/>
      <c r="I23" s="702" t="s">
        <v>606</v>
      </c>
      <c r="R23" s="698"/>
    </row>
    <row r="24" spans="1:18" ht="19.899999999999999" customHeight="1">
      <c r="I24" s="715" t="s">
        <v>607</v>
      </c>
      <c r="J24" s="716"/>
      <c r="K24" s="716"/>
      <c r="L24" s="716"/>
      <c r="M24" s="716"/>
      <c r="N24" s="694">
        <f>K26-(M26*K26)</f>
        <v>1.8461538461538467</v>
      </c>
      <c r="O24" s="701" t="s">
        <v>603</v>
      </c>
      <c r="P24" s="170" t="s">
        <v>604</v>
      </c>
      <c r="Q24" s="170"/>
      <c r="R24" s="698"/>
    </row>
    <row r="25" spans="1:18" ht="19.899999999999999" customHeight="1">
      <c r="A25" s="550" t="s">
        <v>628</v>
      </c>
      <c r="B25" s="535" t="s">
        <v>629</v>
      </c>
      <c r="C25" s="537" t="s">
        <v>630</v>
      </c>
      <c r="D25" s="505" t="s">
        <v>620</v>
      </c>
      <c r="E25" s="505" t="s">
        <v>621</v>
      </c>
      <c r="F25" s="505" t="s">
        <v>622</v>
      </c>
      <c r="G25" s="505" t="s">
        <v>623</v>
      </c>
      <c r="I25" s="699"/>
      <c r="J25" s="1159" t="s">
        <v>631</v>
      </c>
      <c r="K25" s="1159"/>
      <c r="L25" s="1159"/>
      <c r="M25" s="1159"/>
      <c r="N25" s="170"/>
      <c r="O25" s="170"/>
      <c r="P25" s="170"/>
      <c r="Q25" s="170"/>
      <c r="R25" s="698"/>
    </row>
    <row r="26" spans="1:18" ht="19.899999999999999" customHeight="1">
      <c r="A26" s="720" t="s">
        <v>632</v>
      </c>
      <c r="B26" s="721" t="s">
        <v>633</v>
      </c>
      <c r="C26" s="722" t="s">
        <v>630</v>
      </c>
      <c r="D26" s="723" t="s">
        <v>634</v>
      </c>
      <c r="E26" s="724">
        <v>100</v>
      </c>
      <c r="F26" s="725">
        <v>12</v>
      </c>
      <c r="G26" s="726">
        <f>E26*F26</f>
        <v>1200</v>
      </c>
      <c r="I26" s="704"/>
      <c r="J26" s="705" t="s">
        <v>609</v>
      </c>
      <c r="K26" s="706">
        <f>N21</f>
        <v>6.1538461538461542</v>
      </c>
      <c r="L26" s="707" t="s">
        <v>610</v>
      </c>
      <c r="M26" s="692">
        <v>0.7</v>
      </c>
      <c r="N26" s="708"/>
      <c r="O26" s="708"/>
      <c r="P26" s="708"/>
      <c r="Q26" s="708"/>
      <c r="R26" s="709"/>
    </row>
    <row r="27" spans="1:18">
      <c r="C27" t="s">
        <v>630</v>
      </c>
    </row>
    <row r="28" spans="1:18" ht="19.899999999999999" customHeight="1">
      <c r="A28" s="727" t="s">
        <v>635</v>
      </c>
      <c r="B28" s="728" t="s">
        <v>636</v>
      </c>
      <c r="C28" s="729" t="s">
        <v>630</v>
      </c>
      <c r="D28" s="649" t="s">
        <v>620</v>
      </c>
      <c r="E28" s="649" t="s">
        <v>621</v>
      </c>
      <c r="F28" s="649" t="s">
        <v>622</v>
      </c>
      <c r="G28" s="649" t="s">
        <v>623</v>
      </c>
    </row>
    <row r="29" spans="1:18" ht="19.899999999999999" customHeight="1">
      <c r="A29" s="720" t="s">
        <v>637</v>
      </c>
      <c r="B29" s="771" t="s">
        <v>638</v>
      </c>
      <c r="C29" s="722" t="s">
        <v>630</v>
      </c>
      <c r="D29" s="723" t="s">
        <v>639</v>
      </c>
      <c r="E29" s="772">
        <f>E14/N11</f>
        <v>421.875</v>
      </c>
      <c r="F29" s="725">
        <v>26.46</v>
      </c>
      <c r="G29" s="726">
        <f>E29*F29</f>
        <v>11162.8125</v>
      </c>
    </row>
    <row r="30" spans="1:18" ht="19.899999999999999" customHeight="1">
      <c r="A30" s="720" t="s">
        <v>640</v>
      </c>
      <c r="B30" s="771"/>
      <c r="C30" s="722" t="s">
        <v>630</v>
      </c>
      <c r="D30" s="723" t="s">
        <v>639</v>
      </c>
      <c r="E30" s="772">
        <v>0</v>
      </c>
      <c r="F30" s="725">
        <v>0</v>
      </c>
      <c r="G30" s="726">
        <f>E30*F30</f>
        <v>0</v>
      </c>
    </row>
    <row r="31" spans="1:18" ht="22.9" customHeight="1">
      <c r="B31" s="773"/>
      <c r="F31" s="730">
        <f>SUM(G26:G30)</f>
        <v>12362.8125</v>
      </c>
    </row>
    <row r="32" spans="1:18" ht="16.5" customHeight="1">
      <c r="B32" s="773"/>
      <c r="F32" s="774" t="s">
        <v>641</v>
      </c>
      <c r="G32" s="730">
        <f>SUM(G25:G30)+G21</f>
        <v>23362.814999999999</v>
      </c>
      <c r="H32" s="170"/>
    </row>
    <row r="33" spans="6:7" ht="16.5" customHeight="1">
      <c r="F33" s="774" t="s">
        <v>642</v>
      </c>
      <c r="G33" s="730">
        <f>SUM(G25:G30)+G22</f>
        <v>18726.941217600001</v>
      </c>
    </row>
  </sheetData>
  <mergeCells count="7">
    <mergeCell ref="J25:M25"/>
    <mergeCell ref="A2:A4"/>
    <mergeCell ref="B2:B4"/>
    <mergeCell ref="C2:C4"/>
    <mergeCell ref="D2:F2"/>
    <mergeCell ref="J12:M12"/>
    <mergeCell ref="A14:D14"/>
  </mergeCells>
  <dataValidations disablePrompts="1" count="2">
    <dataValidation allowBlank="1" showErrorMessage="1" prompt="Escolha a moeda de seu contrato no cabeçalho do QQP." sqref="F9:F10" xr:uid="{781DBC58-1710-422B-BC7F-D39E1982848D}"/>
    <dataValidation type="list" allowBlank="1" showInputMessage="1" showErrorMessage="1" sqref="F4" xr:uid="{823221E3-D6EC-494A-A5A4-0912CDCDA0AB}">
      <formula1>Moedas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51704-47B2-470E-820F-74A17B561B00}">
  <sheetPr>
    <tabColor rgb="FF92D050"/>
  </sheetPr>
  <dimension ref="A1:O36"/>
  <sheetViews>
    <sheetView showGridLines="0" topLeftCell="A20" zoomScaleNormal="100" workbookViewId="0">
      <selection activeCell="F33" sqref="F33"/>
    </sheetView>
  </sheetViews>
  <sheetFormatPr defaultRowHeight="12.4"/>
  <cols>
    <col min="2" max="2" width="34.5703125" customWidth="1"/>
    <col min="3" max="3" width="10" customWidth="1"/>
    <col min="4" max="4" width="10.28515625" style="193" customWidth="1"/>
    <col min="5" max="5" width="10" style="193" customWidth="1"/>
    <col min="6" max="6" width="15.28515625" customWidth="1"/>
    <col min="7" max="7" width="9.28515625" hidden="1" customWidth="1"/>
    <col min="8" max="8" width="16" hidden="1" customWidth="1"/>
    <col min="9" max="9" width="10.7109375" bestFit="1" customWidth="1"/>
    <col min="10" max="10" width="21.140625" customWidth="1"/>
    <col min="12" max="12" width="21.85546875" customWidth="1"/>
    <col min="13" max="13" width="10.7109375" bestFit="1" customWidth="1"/>
    <col min="14" max="14" width="14.28515625" bestFit="1" customWidth="1"/>
  </cols>
  <sheetData>
    <row r="1" spans="1:15" ht="18" thickBot="1">
      <c r="A1" s="1166" t="s">
        <v>643</v>
      </c>
      <c r="B1" s="1167"/>
      <c r="C1" s="1167"/>
      <c r="D1" s="1167"/>
      <c r="E1" s="1167"/>
      <c r="F1" s="1167"/>
      <c r="G1" s="1167"/>
      <c r="H1" s="1167"/>
      <c r="I1" s="1167"/>
      <c r="J1" s="1168"/>
    </row>
    <row r="2" spans="1:15" ht="23.25" customHeight="1">
      <c r="A2" s="532" t="s">
        <v>446</v>
      </c>
      <c r="B2" s="532" t="s">
        <v>185</v>
      </c>
      <c r="C2" s="532" t="s">
        <v>644</v>
      </c>
      <c r="D2" s="532" t="s">
        <v>371</v>
      </c>
      <c r="E2" s="532" t="s">
        <v>645</v>
      </c>
      <c r="F2" s="532" t="s">
        <v>455</v>
      </c>
      <c r="G2" s="532" t="s">
        <v>292</v>
      </c>
      <c r="H2" s="532" t="s">
        <v>646</v>
      </c>
      <c r="I2" s="532" t="s">
        <v>647</v>
      </c>
      <c r="J2" s="532" t="s">
        <v>648</v>
      </c>
      <c r="L2" s="190" t="s">
        <v>649</v>
      </c>
      <c r="M2" s="190" t="s">
        <v>647</v>
      </c>
      <c r="N2" s="190" t="s">
        <v>650</v>
      </c>
      <c r="O2" s="190" t="s">
        <v>292</v>
      </c>
    </row>
    <row r="3" spans="1:15" s="528" customFormat="1" ht="27.75" customHeight="1">
      <c r="A3" s="521">
        <v>2</v>
      </c>
      <c r="B3" s="522" t="s">
        <v>651</v>
      </c>
      <c r="C3" s="522"/>
      <c r="D3" s="523">
        <v>100</v>
      </c>
      <c r="E3" s="524">
        <v>15</v>
      </c>
      <c r="F3" s="525">
        <f t="shared" ref="F3:F28" si="0">D3*E3</f>
        <v>1500</v>
      </c>
      <c r="G3" s="525"/>
      <c r="H3" s="525"/>
      <c r="I3" s="526" t="s">
        <v>74</v>
      </c>
      <c r="J3" s="527"/>
      <c r="L3" s="529" t="s">
        <v>652</v>
      </c>
      <c r="M3" s="526" t="s">
        <v>74</v>
      </c>
      <c r="N3" s="530">
        <f>SUMIF(I$3:I$28,"A",F$3:F$28)</f>
        <v>3825</v>
      </c>
      <c r="O3" s="531">
        <f>N3/N6</f>
        <v>0.49228179368180452</v>
      </c>
    </row>
    <row r="4" spans="1:15" ht="27.75" customHeight="1">
      <c r="A4" s="196">
        <v>18</v>
      </c>
      <c r="B4" s="508" t="s">
        <v>653</v>
      </c>
      <c r="C4" s="508"/>
      <c r="D4" s="510">
        <v>100</v>
      </c>
      <c r="E4" s="507">
        <v>16.5</v>
      </c>
      <c r="F4" s="509">
        <f t="shared" si="0"/>
        <v>1650</v>
      </c>
      <c r="G4" s="508"/>
      <c r="H4" s="508"/>
      <c r="I4" s="512" t="s">
        <v>74</v>
      </c>
      <c r="J4" s="200"/>
      <c r="L4" s="516" t="s">
        <v>654</v>
      </c>
      <c r="M4" s="194" t="s">
        <v>95</v>
      </c>
      <c r="N4" s="514">
        <f>SUMIF(I$3:I$28,"B",F$3:F$28)</f>
        <v>3058.4</v>
      </c>
      <c r="O4" s="515">
        <f>N4/N6</f>
        <v>0.3936195131493937</v>
      </c>
    </row>
    <row r="5" spans="1:15" ht="27.75" customHeight="1">
      <c r="A5" s="196">
        <v>1</v>
      </c>
      <c r="B5" s="508" t="s">
        <v>655</v>
      </c>
      <c r="C5" s="508"/>
      <c r="D5" s="510">
        <v>45</v>
      </c>
      <c r="E5" s="507">
        <v>15</v>
      </c>
      <c r="F5" s="509">
        <f t="shared" si="0"/>
        <v>675</v>
      </c>
      <c r="G5" s="508"/>
      <c r="H5" s="508"/>
      <c r="I5" s="512" t="s">
        <v>74</v>
      </c>
      <c r="J5" s="200"/>
      <c r="L5" s="516" t="s">
        <v>656</v>
      </c>
      <c r="M5" s="194" t="s">
        <v>116</v>
      </c>
      <c r="N5" s="514">
        <f>SUMIF(I$3:I$28,"C",F$3:F$28)</f>
        <v>886.54</v>
      </c>
      <c r="O5" s="513">
        <f>N5/N6</f>
        <v>0.11409869316880182</v>
      </c>
    </row>
    <row r="6" spans="1:15" ht="27.75" customHeight="1">
      <c r="A6" s="196">
        <v>14</v>
      </c>
      <c r="B6" s="508" t="s">
        <v>657</v>
      </c>
      <c r="C6" s="508"/>
      <c r="D6" s="510">
        <v>50</v>
      </c>
      <c r="E6" s="507">
        <v>17.07</v>
      </c>
      <c r="F6" s="509">
        <f t="shared" si="0"/>
        <v>853.5</v>
      </c>
      <c r="G6" s="508"/>
      <c r="H6" s="508"/>
      <c r="I6" s="512" t="s">
        <v>95</v>
      </c>
      <c r="J6" s="200"/>
      <c r="L6" s="204"/>
      <c r="M6" s="204" t="s">
        <v>575</v>
      </c>
      <c r="N6" s="494">
        <f>SUM(N3:N5)</f>
        <v>7769.94</v>
      </c>
      <c r="O6" s="513">
        <f>SUM(O3:O5)</f>
        <v>1</v>
      </c>
    </row>
    <row r="7" spans="1:15" ht="27.75" customHeight="1">
      <c r="A7" s="196">
        <v>10</v>
      </c>
      <c r="B7" s="508" t="s">
        <v>658</v>
      </c>
      <c r="C7" s="508"/>
      <c r="D7" s="510">
        <v>10</v>
      </c>
      <c r="E7" s="507">
        <v>16.89</v>
      </c>
      <c r="F7" s="509">
        <f t="shared" si="0"/>
        <v>168.9</v>
      </c>
      <c r="G7" s="508"/>
      <c r="H7" s="508"/>
      <c r="I7" s="512" t="s">
        <v>95</v>
      </c>
      <c r="J7" s="200"/>
    </row>
    <row r="8" spans="1:15" ht="27.75" customHeight="1">
      <c r="A8" s="196">
        <v>12</v>
      </c>
      <c r="B8" s="508" t="s">
        <v>659</v>
      </c>
      <c r="C8" s="508"/>
      <c r="D8" s="510">
        <v>10</v>
      </c>
      <c r="E8" s="507">
        <v>9.59</v>
      </c>
      <c r="F8" s="509">
        <f t="shared" si="0"/>
        <v>95.9</v>
      </c>
      <c r="G8" s="508"/>
      <c r="H8" s="508"/>
      <c r="I8" s="512" t="s">
        <v>95</v>
      </c>
      <c r="J8" s="200"/>
    </row>
    <row r="9" spans="1:15" ht="27.75" customHeight="1">
      <c r="A9" s="196">
        <v>17</v>
      </c>
      <c r="B9" s="508" t="s">
        <v>660</v>
      </c>
      <c r="C9" s="508"/>
      <c r="D9" s="510">
        <v>0</v>
      </c>
      <c r="E9" s="507">
        <v>16.87</v>
      </c>
      <c r="F9" s="509">
        <f t="shared" si="0"/>
        <v>0</v>
      </c>
      <c r="G9" s="508"/>
      <c r="H9" s="508"/>
      <c r="I9" s="512" t="s">
        <v>95</v>
      </c>
      <c r="J9" s="200"/>
    </row>
    <row r="10" spans="1:15" ht="27.75" customHeight="1">
      <c r="A10" s="196">
        <v>3</v>
      </c>
      <c r="B10" s="508" t="s">
        <v>661</v>
      </c>
      <c r="C10" s="508"/>
      <c r="D10" s="510">
        <v>5</v>
      </c>
      <c r="E10" s="507">
        <v>37.99</v>
      </c>
      <c r="F10" s="509">
        <f t="shared" si="0"/>
        <v>189.95000000000002</v>
      </c>
      <c r="G10" s="508"/>
      <c r="H10" s="508"/>
      <c r="I10" s="512" t="s">
        <v>95</v>
      </c>
      <c r="J10" s="200"/>
    </row>
    <row r="11" spans="1:15" ht="27.75" customHeight="1">
      <c r="A11" s="196">
        <v>20</v>
      </c>
      <c r="B11" s="508" t="s">
        <v>662</v>
      </c>
      <c r="C11" s="508"/>
      <c r="D11" s="510">
        <v>5</v>
      </c>
      <c r="E11" s="507">
        <v>18.309999999999999</v>
      </c>
      <c r="F11" s="509">
        <f t="shared" si="0"/>
        <v>91.55</v>
      </c>
      <c r="G11" s="508"/>
      <c r="H11" s="508"/>
      <c r="I11" s="512" t="s">
        <v>95</v>
      </c>
      <c r="J11" s="200"/>
    </row>
    <row r="12" spans="1:15" ht="27.75" customHeight="1">
      <c r="A12" s="196">
        <v>9</v>
      </c>
      <c r="B12" s="508" t="s">
        <v>663</v>
      </c>
      <c r="C12" s="508"/>
      <c r="D12" s="510">
        <v>5</v>
      </c>
      <c r="E12" s="507">
        <v>34.799999999999997</v>
      </c>
      <c r="F12" s="509">
        <f t="shared" si="0"/>
        <v>174</v>
      </c>
      <c r="G12" s="508"/>
      <c r="H12" s="508"/>
      <c r="I12" s="512" t="s">
        <v>95</v>
      </c>
      <c r="J12" s="200"/>
    </row>
    <row r="13" spans="1:15" ht="27.75" customHeight="1">
      <c r="A13" s="196">
        <v>6</v>
      </c>
      <c r="B13" s="508" t="s">
        <v>664</v>
      </c>
      <c r="C13" s="508"/>
      <c r="D13" s="510">
        <v>5</v>
      </c>
      <c r="E13" s="507">
        <v>32.299999999999997</v>
      </c>
      <c r="F13" s="509">
        <f t="shared" si="0"/>
        <v>161.5</v>
      </c>
      <c r="G13" s="508"/>
      <c r="H13" s="508"/>
      <c r="I13" s="512" t="s">
        <v>95</v>
      </c>
      <c r="J13" s="200"/>
    </row>
    <row r="14" spans="1:15" ht="27.75" customHeight="1">
      <c r="A14" s="196">
        <v>7</v>
      </c>
      <c r="B14" s="508" t="s">
        <v>665</v>
      </c>
      <c r="C14" s="508"/>
      <c r="D14" s="510">
        <v>5</v>
      </c>
      <c r="E14" s="507">
        <v>32.299999999999997</v>
      </c>
      <c r="F14" s="509">
        <f t="shared" si="0"/>
        <v>161.5</v>
      </c>
      <c r="G14" s="508"/>
      <c r="H14" s="508"/>
      <c r="I14" s="512" t="s">
        <v>95</v>
      </c>
      <c r="J14" s="200"/>
    </row>
    <row r="15" spans="1:15" ht="27.75" customHeight="1">
      <c r="A15" s="196">
        <v>11</v>
      </c>
      <c r="B15" s="508" t="s">
        <v>666</v>
      </c>
      <c r="C15" s="508"/>
      <c r="D15" s="510">
        <v>50</v>
      </c>
      <c r="E15" s="507">
        <v>5.4</v>
      </c>
      <c r="F15" s="509">
        <f t="shared" si="0"/>
        <v>270</v>
      </c>
      <c r="G15" s="508"/>
      <c r="H15" s="508"/>
      <c r="I15" s="512" t="s">
        <v>95</v>
      </c>
      <c r="J15" s="200"/>
    </row>
    <row r="16" spans="1:15" ht="27.75" customHeight="1">
      <c r="A16" s="196">
        <v>16</v>
      </c>
      <c r="B16" s="508" t="s">
        <v>667</v>
      </c>
      <c r="C16" s="508"/>
      <c r="D16" s="510">
        <v>20</v>
      </c>
      <c r="E16" s="507">
        <v>10.44</v>
      </c>
      <c r="F16" s="509">
        <f t="shared" si="0"/>
        <v>208.79999999999998</v>
      </c>
      <c r="G16" s="508"/>
      <c r="H16" s="508"/>
      <c r="I16" s="512" t="s">
        <v>95</v>
      </c>
      <c r="J16" s="200"/>
    </row>
    <row r="17" spans="1:10" ht="27.75" customHeight="1">
      <c r="A17" s="196">
        <v>8</v>
      </c>
      <c r="B17" s="508" t="s">
        <v>668</v>
      </c>
      <c r="C17" s="508"/>
      <c r="D17" s="510">
        <v>10</v>
      </c>
      <c r="E17" s="507">
        <v>25.5</v>
      </c>
      <c r="F17" s="509">
        <f t="shared" si="0"/>
        <v>255</v>
      </c>
      <c r="G17" s="508"/>
      <c r="H17" s="508"/>
      <c r="I17" s="512" t="s">
        <v>95</v>
      </c>
      <c r="J17" s="200"/>
    </row>
    <row r="18" spans="1:10" ht="27.75" customHeight="1">
      <c r="A18" s="196">
        <v>19</v>
      </c>
      <c r="B18" s="508" t="s">
        <v>669</v>
      </c>
      <c r="C18" s="508"/>
      <c r="D18" s="510">
        <v>10</v>
      </c>
      <c r="E18" s="507">
        <v>11.86</v>
      </c>
      <c r="F18" s="509">
        <f t="shared" si="0"/>
        <v>118.6</v>
      </c>
      <c r="G18" s="508"/>
      <c r="H18" s="508"/>
      <c r="I18" s="512" t="s">
        <v>95</v>
      </c>
      <c r="J18" s="200"/>
    </row>
    <row r="19" spans="1:10" ht="27.75" customHeight="1">
      <c r="A19" s="196">
        <v>15</v>
      </c>
      <c r="B19" s="508" t="s">
        <v>670</v>
      </c>
      <c r="C19" s="508"/>
      <c r="D19" s="510">
        <v>0</v>
      </c>
      <c r="E19" s="507">
        <v>9.39</v>
      </c>
      <c r="F19" s="509">
        <f t="shared" si="0"/>
        <v>0</v>
      </c>
      <c r="G19" s="508"/>
      <c r="H19" s="508"/>
      <c r="I19" s="512" t="s">
        <v>95</v>
      </c>
      <c r="J19" s="200"/>
    </row>
    <row r="20" spans="1:10" ht="27.75" customHeight="1">
      <c r="A20" s="196">
        <v>24</v>
      </c>
      <c r="B20" s="508" t="s">
        <v>671</v>
      </c>
      <c r="C20" s="508"/>
      <c r="D20" s="510">
        <v>20</v>
      </c>
      <c r="E20" s="507">
        <v>3.6</v>
      </c>
      <c r="F20" s="509">
        <f t="shared" si="0"/>
        <v>72</v>
      </c>
      <c r="G20" s="508"/>
      <c r="H20" s="508"/>
      <c r="I20" s="512" t="s">
        <v>95</v>
      </c>
      <c r="J20" s="200"/>
    </row>
    <row r="21" spans="1:10" ht="27.75" customHeight="1">
      <c r="A21" s="196">
        <v>21</v>
      </c>
      <c r="B21" s="508" t="s">
        <v>672</v>
      </c>
      <c r="C21" s="508"/>
      <c r="D21" s="510">
        <v>20</v>
      </c>
      <c r="E21" s="507">
        <v>11.86</v>
      </c>
      <c r="F21" s="509">
        <f t="shared" si="0"/>
        <v>237.2</v>
      </c>
      <c r="G21" s="508"/>
      <c r="H21" s="508"/>
      <c r="I21" s="512" t="s">
        <v>95</v>
      </c>
      <c r="J21" s="200"/>
    </row>
    <row r="22" spans="1:10" ht="27.75" customHeight="1">
      <c r="A22" s="196">
        <v>22</v>
      </c>
      <c r="B22" s="508" t="s">
        <v>673</v>
      </c>
      <c r="C22" s="508"/>
      <c r="D22" s="510">
        <v>0</v>
      </c>
      <c r="E22" s="507">
        <v>11.86</v>
      </c>
      <c r="F22" s="509">
        <f t="shared" si="0"/>
        <v>0</v>
      </c>
      <c r="G22" s="508"/>
      <c r="H22" s="508"/>
      <c r="I22" s="512" t="s">
        <v>95</v>
      </c>
      <c r="J22" s="200"/>
    </row>
    <row r="23" spans="1:10" ht="27.75" customHeight="1">
      <c r="A23" s="196">
        <v>23</v>
      </c>
      <c r="B23" s="508" t="s">
        <v>674</v>
      </c>
      <c r="C23" s="508"/>
      <c r="D23" s="510">
        <v>0</v>
      </c>
      <c r="E23" s="507">
        <v>11.86</v>
      </c>
      <c r="F23" s="509">
        <f t="shared" si="0"/>
        <v>0</v>
      </c>
      <c r="G23" s="508"/>
      <c r="H23" s="508"/>
      <c r="I23" s="512" t="s">
        <v>95</v>
      </c>
      <c r="J23" s="200"/>
    </row>
    <row r="24" spans="1:10" ht="27.75" customHeight="1">
      <c r="A24" s="196">
        <v>13</v>
      </c>
      <c r="B24" s="508" t="s">
        <v>675</v>
      </c>
      <c r="C24" s="508"/>
      <c r="D24" s="510">
        <v>0</v>
      </c>
      <c r="E24" s="507">
        <v>3.25</v>
      </c>
      <c r="F24" s="509">
        <f t="shared" si="0"/>
        <v>0</v>
      </c>
      <c r="G24" s="508"/>
      <c r="H24" s="508"/>
      <c r="I24" s="194" t="s">
        <v>116</v>
      </c>
      <c r="J24" s="200"/>
    </row>
    <row r="25" spans="1:10" ht="27.75" customHeight="1">
      <c r="A25" s="196">
        <v>4</v>
      </c>
      <c r="B25" s="508" t="s">
        <v>676</v>
      </c>
      <c r="C25" s="508"/>
      <c r="D25" s="510">
        <v>2</v>
      </c>
      <c r="E25" s="507">
        <v>4.5199999999999996</v>
      </c>
      <c r="F25" s="509">
        <f t="shared" si="0"/>
        <v>9.0399999999999991</v>
      </c>
      <c r="G25" s="508"/>
      <c r="H25" s="508"/>
      <c r="I25" s="194" t="s">
        <v>116</v>
      </c>
      <c r="J25" s="200"/>
    </row>
    <row r="26" spans="1:10" ht="27.75" customHeight="1">
      <c r="A26" s="196">
        <v>5</v>
      </c>
      <c r="B26" s="508" t="s">
        <v>677</v>
      </c>
      <c r="C26" s="508"/>
      <c r="D26" s="510">
        <v>0</v>
      </c>
      <c r="E26" s="507">
        <v>4.5199999999999996</v>
      </c>
      <c r="F26" s="509">
        <f t="shared" si="0"/>
        <v>0</v>
      </c>
      <c r="G26" s="508"/>
      <c r="H26" s="508"/>
      <c r="I26" s="194" t="s">
        <v>116</v>
      </c>
      <c r="J26" s="200"/>
    </row>
    <row r="27" spans="1:10" ht="27.75" customHeight="1">
      <c r="A27" s="196">
        <v>25</v>
      </c>
      <c r="B27" s="508" t="s">
        <v>678</v>
      </c>
      <c r="C27" s="508"/>
      <c r="D27" s="510">
        <v>45</v>
      </c>
      <c r="E27" s="507">
        <v>19.5</v>
      </c>
      <c r="F27" s="509">
        <f t="shared" si="0"/>
        <v>877.5</v>
      </c>
      <c r="G27" s="508"/>
      <c r="H27" s="508"/>
      <c r="I27" s="194" t="s">
        <v>116</v>
      </c>
      <c r="J27" s="200"/>
    </row>
    <row r="28" spans="1:10" ht="27.75" customHeight="1">
      <c r="A28" s="196">
        <v>26</v>
      </c>
      <c r="B28" s="508" t="s">
        <v>679</v>
      </c>
      <c r="C28" s="508"/>
      <c r="D28" s="510">
        <v>0</v>
      </c>
      <c r="E28" s="507">
        <v>19.5</v>
      </c>
      <c r="F28" s="509">
        <f t="shared" si="0"/>
        <v>0</v>
      </c>
      <c r="G28" s="508"/>
      <c r="H28" s="508"/>
      <c r="I28" s="194" t="s">
        <v>116</v>
      </c>
      <c r="J28" s="198"/>
    </row>
    <row r="29" spans="1:10" ht="27.75" customHeight="1">
      <c r="A29" s="196">
        <v>27</v>
      </c>
      <c r="B29" s="508" t="s">
        <v>680</v>
      </c>
      <c r="C29" s="508"/>
      <c r="D29" s="510">
        <v>10</v>
      </c>
      <c r="E29" s="507">
        <v>190</v>
      </c>
      <c r="F29" s="509">
        <f t="shared" ref="F29:F32" si="1">D29*E29</f>
        <v>1900</v>
      </c>
      <c r="G29" s="508"/>
      <c r="H29" s="508"/>
      <c r="I29" s="194" t="s">
        <v>116</v>
      </c>
      <c r="J29" s="198"/>
    </row>
    <row r="30" spans="1:10" ht="27.75" customHeight="1">
      <c r="A30" s="196">
        <v>28</v>
      </c>
      <c r="B30" s="508" t="s">
        <v>681</v>
      </c>
      <c r="C30" s="508"/>
      <c r="D30" s="510">
        <v>6</v>
      </c>
      <c r="E30" s="507">
        <v>220</v>
      </c>
      <c r="F30" s="509">
        <f t="shared" si="1"/>
        <v>1320</v>
      </c>
      <c r="G30" s="508"/>
      <c r="H30" s="508"/>
      <c r="I30" s="194" t="s">
        <v>116</v>
      </c>
      <c r="J30" s="198"/>
    </row>
    <row r="31" spans="1:10" ht="27.75" customHeight="1">
      <c r="A31" s="196">
        <v>29</v>
      </c>
      <c r="B31" s="508" t="s">
        <v>682</v>
      </c>
      <c r="C31" s="508"/>
      <c r="D31" s="510">
        <v>2</v>
      </c>
      <c r="E31" s="507">
        <v>450</v>
      </c>
      <c r="F31" s="509">
        <f t="shared" ref="F31" si="2">D31*E31</f>
        <v>900</v>
      </c>
      <c r="G31" s="508"/>
      <c r="H31" s="508"/>
      <c r="I31" s="194" t="s">
        <v>116</v>
      </c>
      <c r="J31" s="198"/>
    </row>
    <row r="32" spans="1:10" ht="29.25" customHeight="1">
      <c r="A32" s="196">
        <v>30</v>
      </c>
      <c r="B32" s="189" t="s">
        <v>683</v>
      </c>
      <c r="C32" s="189"/>
      <c r="D32" s="202">
        <v>0</v>
      </c>
      <c r="E32" s="507">
        <v>220</v>
      </c>
      <c r="F32" s="509">
        <f t="shared" si="1"/>
        <v>0</v>
      </c>
      <c r="G32" s="508"/>
      <c r="H32" s="508"/>
      <c r="I32" s="194" t="s">
        <v>116</v>
      </c>
      <c r="J32" s="198"/>
    </row>
    <row r="33" spans="1:10" ht="24" customHeight="1" thickBot="1">
      <c r="A33" s="1169" t="s">
        <v>575</v>
      </c>
      <c r="B33" s="1170"/>
      <c r="C33" s="1170"/>
      <c r="D33" s="1170"/>
      <c r="E33" s="1170"/>
      <c r="F33" s="511">
        <f>SUM(F3:F32)</f>
        <v>11889.939999999999</v>
      </c>
      <c r="G33" s="195"/>
      <c r="H33" s="195"/>
      <c r="I33" s="195"/>
      <c r="J33" s="203"/>
    </row>
    <row r="36" spans="1:10" ht="27">
      <c r="B36" s="473"/>
    </row>
  </sheetData>
  <autoFilter ref="A2:J2" xr:uid="{B4951704-47B2-470E-820F-74A17B561B00}">
    <sortState xmlns:xlrd2="http://schemas.microsoft.com/office/spreadsheetml/2017/richdata2" ref="A3:J28">
      <sortCondition descending="1" ref="F2"/>
    </sortState>
  </autoFilter>
  <mergeCells count="2">
    <mergeCell ref="A1:J1"/>
    <mergeCell ref="A33:E33"/>
  </mergeCells>
  <conditionalFormatting sqref="M3:M5 I3:I32">
    <cfRule type="cellIs" dxfId="2" priority="12" operator="equal">
      <formula>"A"</formula>
    </cfRule>
  </conditionalFormatting>
  <conditionalFormatting sqref="M3:M5 I3:I32">
    <cfRule type="cellIs" dxfId="1" priority="11" operator="equal">
      <formula>"B"</formula>
    </cfRule>
  </conditionalFormatting>
  <conditionalFormatting sqref="M3:M5 I3:I32">
    <cfRule type="cellIs" dxfId="0" priority="10" operator="equal">
      <formula>"C"</formula>
    </cfRule>
  </conditionalFormatting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7BF71-06A4-4B0B-9919-9C80E43DC25C}">
  <sheetPr>
    <tabColor rgb="FFFFC000"/>
  </sheetPr>
  <dimension ref="A1:H19"/>
  <sheetViews>
    <sheetView showGridLines="0" zoomScale="115" zoomScaleNormal="115" workbookViewId="0">
      <selection activeCell="E12" sqref="E12"/>
    </sheetView>
  </sheetViews>
  <sheetFormatPr defaultRowHeight="12.4"/>
  <cols>
    <col min="1" max="1" width="9.28515625" bestFit="1" customWidth="1"/>
    <col min="2" max="2" width="47.85546875" customWidth="1"/>
    <col min="3" max="3" width="8.42578125" customWidth="1"/>
    <col min="4" max="4" width="1.5703125" customWidth="1"/>
    <col min="5" max="5" width="6.85546875" customWidth="1"/>
    <col min="6" max="6" width="13" customWidth="1"/>
    <col min="7" max="7" width="11.85546875" customWidth="1"/>
    <col min="8" max="8" width="0.85546875" customWidth="1"/>
  </cols>
  <sheetData>
    <row r="1" spans="1:8" ht="50.25" customHeight="1" thickBot="1">
      <c r="A1" s="227"/>
      <c r="B1" s="228"/>
      <c r="C1" s="228"/>
      <c r="D1" s="228"/>
      <c r="E1" s="228"/>
      <c r="F1" s="228"/>
      <c r="G1" s="228"/>
      <c r="H1" s="228"/>
    </row>
    <row r="2" spans="1:8" ht="15" customHeight="1">
      <c r="A2" s="1160" t="s">
        <v>1</v>
      </c>
      <c r="B2" s="1161" t="s">
        <v>331</v>
      </c>
      <c r="C2" s="1162" t="s">
        <v>332</v>
      </c>
      <c r="E2" s="1163" t="s">
        <v>684</v>
      </c>
      <c r="F2" s="1163"/>
      <c r="G2" s="1171"/>
    </row>
    <row r="3" spans="1:8">
      <c r="A3" s="1160"/>
      <c r="B3" s="1161"/>
      <c r="C3" s="1162"/>
      <c r="E3" s="142"/>
      <c r="F3" s="142"/>
      <c r="G3" s="142"/>
    </row>
    <row r="4" spans="1:8" ht="16.5" customHeight="1">
      <c r="A4" s="1160"/>
      <c r="B4" s="1161"/>
      <c r="C4" s="1162"/>
      <c r="E4" s="143" t="s">
        <v>435</v>
      </c>
      <c r="F4" s="143" t="s">
        <v>335</v>
      </c>
      <c r="G4" s="144" t="s">
        <v>336</v>
      </c>
    </row>
    <row r="5" spans="1:8" ht="18" customHeight="1">
      <c r="A5" s="254">
        <v>1</v>
      </c>
      <c r="B5" s="163" t="s">
        <v>685</v>
      </c>
      <c r="C5" s="146" t="s">
        <v>268</v>
      </c>
      <c r="E5" s="470">
        <v>1</v>
      </c>
      <c r="F5" s="148">
        <f>SUM(F6:F8)</f>
        <v>1207.1399999999999</v>
      </c>
      <c r="G5" s="475">
        <f>E5*F5</f>
        <v>1207.1399999999999</v>
      </c>
    </row>
    <row r="6" spans="1:8" ht="16.5" customHeight="1">
      <c r="A6" s="255" t="s">
        <v>337</v>
      </c>
      <c r="B6" s="150" t="str">
        <f>B5 &amp;  "   Custo Direto"</f>
        <v>KIT Ferramentas Manuais   Custo Direto</v>
      </c>
      <c r="C6" s="151" t="s">
        <v>268</v>
      </c>
      <c r="E6" s="152">
        <v>1</v>
      </c>
      <c r="F6" s="165">
        <f>G10</f>
        <v>930</v>
      </c>
      <c r="G6" s="165">
        <f>E6*F6</f>
        <v>930</v>
      </c>
    </row>
    <row r="7" spans="1:8" ht="16.5" customHeight="1">
      <c r="A7" s="255" t="s">
        <v>338</v>
      </c>
      <c r="B7" s="150" t="str">
        <f>B5&amp; "   BDI"</f>
        <v>KIT Ferramentas Manuais   BDI</v>
      </c>
      <c r="C7" s="151" t="s">
        <v>268</v>
      </c>
      <c r="E7" s="152">
        <v>0</v>
      </c>
      <c r="F7" s="164">
        <f>'Tabela BDI e Tributos'!I16*F6</f>
        <v>139.50000000000003</v>
      </c>
      <c r="G7" s="165">
        <f>E7*F7</f>
        <v>0</v>
      </c>
    </row>
    <row r="8" spans="1:8" ht="16.5" customHeight="1">
      <c r="A8" s="255" t="s">
        <v>339</v>
      </c>
      <c r="B8" s="150" t="str">
        <f>B5 &amp; "   Impostos"</f>
        <v>KIT Ferramentas Manuais   Impostos</v>
      </c>
      <c r="C8" s="151" t="s">
        <v>268</v>
      </c>
      <c r="E8" s="152">
        <v>0</v>
      </c>
      <c r="F8" s="164">
        <f>'Tabela BDI e Tributos'!I38*F6</f>
        <v>137.63999999999999</v>
      </c>
      <c r="G8" s="165">
        <f>E8*F8</f>
        <v>0</v>
      </c>
    </row>
    <row r="9" spans="1:8" ht="16.5" customHeight="1">
      <c r="A9" s="255"/>
      <c r="B9" s="150"/>
      <c r="C9" s="151"/>
      <c r="E9" s="152">
        <v>0</v>
      </c>
      <c r="F9" s="164"/>
      <c r="G9" s="165"/>
    </row>
    <row r="10" spans="1:8" ht="16.5" customHeight="1">
      <c r="A10" s="254">
        <v>5</v>
      </c>
      <c r="B10" s="163" t="str">
        <f>B5</f>
        <v>KIT Ferramentas Manuais</v>
      </c>
      <c r="C10" s="146" t="s">
        <v>268</v>
      </c>
      <c r="E10" s="147">
        <v>1</v>
      </c>
      <c r="F10" s="148"/>
      <c r="G10" s="149">
        <f>SUM(G11:G17)</f>
        <v>930</v>
      </c>
    </row>
    <row r="11" spans="1:8" ht="16.5" customHeight="1">
      <c r="A11" s="257" t="s">
        <v>345</v>
      </c>
      <c r="B11" s="153" t="s">
        <v>686</v>
      </c>
      <c r="C11" s="144" t="s">
        <v>620</v>
      </c>
      <c r="E11" s="154">
        <v>1</v>
      </c>
      <c r="F11" s="155">
        <v>150</v>
      </c>
      <c r="G11" s="158">
        <f t="shared" ref="G11:G15" si="0">E11*F11</f>
        <v>150</v>
      </c>
    </row>
    <row r="12" spans="1:8" ht="16.5" customHeight="1">
      <c r="A12" s="257" t="s">
        <v>346</v>
      </c>
      <c r="B12" s="153" t="s">
        <v>687</v>
      </c>
      <c r="C12" s="144" t="s">
        <v>620</v>
      </c>
      <c r="E12" s="154">
        <v>1</v>
      </c>
      <c r="F12" s="155">
        <v>300</v>
      </c>
      <c r="G12" s="158">
        <f>E12*F12</f>
        <v>300</v>
      </c>
    </row>
    <row r="13" spans="1:8" ht="16.5" customHeight="1">
      <c r="A13" s="257" t="s">
        <v>348</v>
      </c>
      <c r="B13" s="153" t="s">
        <v>688</v>
      </c>
      <c r="C13" s="144" t="s">
        <v>620</v>
      </c>
      <c r="E13" s="154">
        <v>1</v>
      </c>
      <c r="F13" s="155">
        <v>320</v>
      </c>
      <c r="G13" s="158">
        <f t="shared" si="0"/>
        <v>320</v>
      </c>
    </row>
    <row r="14" spans="1:8" ht="16.5" customHeight="1">
      <c r="A14" s="257" t="s">
        <v>349</v>
      </c>
      <c r="B14" s="153" t="s">
        <v>689</v>
      </c>
      <c r="C14" s="144" t="s">
        <v>620</v>
      </c>
      <c r="E14" s="154">
        <v>1</v>
      </c>
      <c r="F14" s="155">
        <v>160</v>
      </c>
      <c r="G14" s="158">
        <f t="shared" si="0"/>
        <v>160</v>
      </c>
    </row>
    <row r="15" spans="1:8" ht="16.5" customHeight="1">
      <c r="A15" s="257" t="s">
        <v>351</v>
      </c>
      <c r="B15" s="153" t="s">
        <v>690</v>
      </c>
      <c r="C15" s="144" t="s">
        <v>620</v>
      </c>
      <c r="E15" s="154">
        <v>0</v>
      </c>
      <c r="F15" s="155">
        <v>200</v>
      </c>
      <c r="G15" s="158">
        <f t="shared" si="0"/>
        <v>0</v>
      </c>
    </row>
    <row r="16" spans="1:8" ht="16.5" customHeight="1">
      <c r="A16" s="257"/>
      <c r="B16" s="153"/>
      <c r="C16" s="144"/>
      <c r="E16" s="365"/>
      <c r="F16" s="155"/>
      <c r="G16" s="158"/>
    </row>
    <row r="17" spans="1:7" ht="16.5" customHeight="1">
      <c r="A17" s="257"/>
      <c r="B17" s="153"/>
      <c r="C17" s="144"/>
      <c r="E17" s="154"/>
      <c r="F17" s="155"/>
      <c r="G17" s="158"/>
    </row>
    <row r="18" spans="1:7" ht="18.75" customHeight="1"/>
    <row r="19" spans="1:7" ht="18.75" customHeight="1"/>
  </sheetData>
  <mergeCells count="4">
    <mergeCell ref="A2:A4"/>
    <mergeCell ref="B2:B4"/>
    <mergeCell ref="C2:C4"/>
    <mergeCell ref="E2:G2"/>
  </mergeCells>
  <dataValidations count="2">
    <dataValidation type="list" allowBlank="1" showInputMessage="1" showErrorMessage="1" sqref="G4" xr:uid="{01A590E4-D36E-4FEE-98BB-7005785A4C75}">
      <formula1>Moedas</formula1>
    </dataValidation>
    <dataValidation allowBlank="1" showErrorMessage="1" prompt="Escolha a moeda de seu contrato no cabeçalho do QQP." sqref="G5:G17" xr:uid="{545F2588-C047-498C-88FA-AE01D596A8EF}"/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B0BE4-6EF3-4B9E-8E36-60C10422ECEB}">
  <sheetPr>
    <tabColor rgb="FF002060"/>
  </sheetPr>
  <dimension ref="A1:G32"/>
  <sheetViews>
    <sheetView zoomScale="130" zoomScaleNormal="130" workbookViewId="0">
      <selection activeCell="E18" sqref="E18"/>
    </sheetView>
  </sheetViews>
  <sheetFormatPr defaultRowHeight="12.75"/>
  <cols>
    <col min="1" max="1" width="11.7109375" customWidth="1"/>
    <col min="2" max="2" width="46" customWidth="1"/>
    <col min="3" max="3" width="8.42578125" customWidth="1"/>
    <col min="4" max="4" width="1.5703125" customWidth="1"/>
    <col min="5" max="5" width="9.42578125" customWidth="1"/>
    <col min="6" max="6" width="13.28515625" customWidth="1"/>
    <col min="7" max="7" width="11.85546875" customWidth="1"/>
  </cols>
  <sheetData>
    <row r="1" spans="1:7" ht="38.25" customHeight="1">
      <c r="A1" s="247"/>
      <c r="B1" s="248"/>
      <c r="C1" s="248"/>
      <c r="D1" s="248"/>
      <c r="E1" s="248"/>
      <c r="F1" s="248"/>
      <c r="G1" s="248"/>
    </row>
    <row r="2" spans="1:7" ht="15" customHeight="1">
      <c r="A2" s="1172" t="s">
        <v>1</v>
      </c>
      <c r="B2" s="1173" t="s">
        <v>331</v>
      </c>
      <c r="C2" s="1174" t="s">
        <v>332</v>
      </c>
      <c r="D2" s="248"/>
      <c r="E2" s="1175" t="s">
        <v>333</v>
      </c>
      <c r="F2" s="1175"/>
      <c r="G2" s="1176"/>
    </row>
    <row r="3" spans="1:7">
      <c r="A3" s="1160"/>
      <c r="B3" s="1161"/>
      <c r="C3" s="1162"/>
      <c r="E3" s="142"/>
      <c r="F3" s="142"/>
      <c r="G3" s="941"/>
    </row>
    <row r="4" spans="1:7" ht="16.5" customHeight="1">
      <c r="A4" s="1160"/>
      <c r="B4" s="1161"/>
      <c r="C4" s="1162"/>
      <c r="E4" s="143" t="s">
        <v>334</v>
      </c>
      <c r="F4" s="143" t="s">
        <v>335</v>
      </c>
      <c r="G4" s="253" t="s">
        <v>336</v>
      </c>
    </row>
    <row r="5" spans="1:7" ht="16.5" customHeight="1">
      <c r="A5" s="254">
        <v>1</v>
      </c>
      <c r="B5" s="163" t="str">
        <f>B11</f>
        <v>Equipamentos</v>
      </c>
      <c r="C5" s="146" t="s">
        <v>268</v>
      </c>
      <c r="E5" s="147">
        <v>1</v>
      </c>
      <c r="F5" s="148">
        <f>SUM(F6:F8)</f>
        <v>10081.133333333335</v>
      </c>
      <c r="G5" s="471">
        <f>E5+F5</f>
        <v>10082.133333333335</v>
      </c>
    </row>
    <row r="6" spans="1:7" ht="16.5" customHeight="1">
      <c r="A6" s="255" t="s">
        <v>337</v>
      </c>
      <c r="B6" s="150" t="str">
        <f>B5 &amp;  " -&gt; Custo Direto"</f>
        <v>Equipamentos -&gt; Custo Direto</v>
      </c>
      <c r="C6" s="151" t="s">
        <v>268</v>
      </c>
      <c r="E6" s="152">
        <v>1</v>
      </c>
      <c r="F6" s="472">
        <f>G11</f>
        <v>7766.666666666667</v>
      </c>
      <c r="G6" s="256">
        <f>E6*F6</f>
        <v>7766.666666666667</v>
      </c>
    </row>
    <row r="7" spans="1:7" ht="16.5" customHeight="1">
      <c r="A7" s="255" t="s">
        <v>338</v>
      </c>
      <c r="B7" s="150" t="str">
        <f>B5&amp; "  -&gt; BDI"</f>
        <v>Equipamentos  -&gt; BDI</v>
      </c>
      <c r="C7" s="151" t="s">
        <v>268</v>
      </c>
      <c r="E7" s="152">
        <v>1</v>
      </c>
      <c r="F7" s="164">
        <f>'Tabela BDI e Tributos'!I16*F6</f>
        <v>1165.0000000000002</v>
      </c>
      <c r="G7" s="256">
        <f t="shared" ref="G7:G8" si="0">E7*F7</f>
        <v>1165.0000000000002</v>
      </c>
    </row>
    <row r="8" spans="1:7" ht="16.5" customHeight="1">
      <c r="A8" s="255" t="s">
        <v>339</v>
      </c>
      <c r="B8" s="150" t="str">
        <f>B5 &amp; "  -&gt; Impostos"</f>
        <v>Equipamentos  -&gt; Impostos</v>
      </c>
      <c r="C8" s="151" t="s">
        <v>268</v>
      </c>
      <c r="E8" s="152">
        <v>1</v>
      </c>
      <c r="F8" s="164">
        <f>'Tabela BDI e Tributos'!I38*F6</f>
        <v>1149.4666666666667</v>
      </c>
      <c r="G8" s="256">
        <f t="shared" si="0"/>
        <v>1149.4666666666667</v>
      </c>
    </row>
    <row r="9" spans="1:7" ht="16.5" customHeight="1">
      <c r="A9" s="255"/>
      <c r="B9" s="150"/>
      <c r="C9" s="151"/>
      <c r="E9" s="152"/>
      <c r="F9" s="164"/>
      <c r="G9" s="942"/>
    </row>
    <row r="10" spans="1:7" ht="16.5" customHeight="1">
      <c r="A10" s="257"/>
      <c r="B10" s="216"/>
      <c r="C10" s="144"/>
      <c r="E10" s="215"/>
      <c r="F10" s="157"/>
      <c r="G10" s="943"/>
    </row>
    <row r="11" spans="1:7" ht="16.5" customHeight="1">
      <c r="A11" s="254">
        <v>5</v>
      </c>
      <c r="B11" s="145" t="s">
        <v>321</v>
      </c>
      <c r="C11" s="146" t="s">
        <v>268</v>
      </c>
      <c r="E11" s="147">
        <v>1</v>
      </c>
      <c r="F11" s="148" t="s">
        <v>691</v>
      </c>
      <c r="G11" s="944">
        <f>SUM(G12:G18)</f>
        <v>7766.666666666667</v>
      </c>
    </row>
    <row r="12" spans="1:7" ht="16.5" customHeight="1">
      <c r="A12" s="257" t="s">
        <v>345</v>
      </c>
      <c r="B12" s="153" t="s">
        <v>692</v>
      </c>
      <c r="C12" s="144" t="s">
        <v>693</v>
      </c>
      <c r="E12" s="154">
        <v>2</v>
      </c>
      <c r="F12" s="155">
        <v>120</v>
      </c>
      <c r="G12" s="943">
        <f t="shared" ref="G12:G18" si="1">E12*F12</f>
        <v>240</v>
      </c>
    </row>
    <row r="13" spans="1:7" ht="16.5" customHeight="1">
      <c r="A13" s="257" t="s">
        <v>346</v>
      </c>
      <c r="B13" s="153" t="s">
        <v>694</v>
      </c>
      <c r="C13" s="144" t="s">
        <v>693</v>
      </c>
      <c r="E13" s="154">
        <v>0</v>
      </c>
      <c r="F13" s="155">
        <v>90</v>
      </c>
      <c r="G13" s="943">
        <f t="shared" si="1"/>
        <v>0</v>
      </c>
    </row>
    <row r="14" spans="1:7" ht="16.5" customHeight="1">
      <c r="A14" s="257" t="s">
        <v>348</v>
      </c>
      <c r="B14" s="153" t="s">
        <v>695</v>
      </c>
      <c r="C14" s="144" t="s">
        <v>693</v>
      </c>
      <c r="E14" s="154">
        <v>2</v>
      </c>
      <c r="F14" s="155">
        <v>350</v>
      </c>
      <c r="G14" s="943">
        <f t="shared" si="1"/>
        <v>700</v>
      </c>
    </row>
    <row r="15" spans="1:7" ht="16.5" customHeight="1">
      <c r="A15" s="257" t="s">
        <v>349</v>
      </c>
      <c r="B15" s="153" t="s">
        <v>696</v>
      </c>
      <c r="C15" s="144" t="s">
        <v>693</v>
      </c>
      <c r="E15" s="154">
        <v>0</v>
      </c>
      <c r="F15" s="155">
        <v>120</v>
      </c>
      <c r="G15" s="943">
        <f t="shared" ref="G15" si="2">E15*F15</f>
        <v>0</v>
      </c>
    </row>
    <row r="16" spans="1:7" ht="16.5" customHeight="1">
      <c r="A16" s="257" t="s">
        <v>351</v>
      </c>
      <c r="B16" s="153" t="s">
        <v>697</v>
      </c>
      <c r="C16" s="144" t="s">
        <v>693</v>
      </c>
      <c r="E16" s="154">
        <v>1</v>
      </c>
      <c r="F16" s="155">
        <v>200</v>
      </c>
      <c r="G16" s="943">
        <f t="shared" si="1"/>
        <v>200</v>
      </c>
    </row>
    <row r="17" spans="1:7" ht="16.5" customHeight="1">
      <c r="A17" s="257" t="s">
        <v>354</v>
      </c>
      <c r="B17" s="153" t="s">
        <v>698</v>
      </c>
      <c r="C17" s="144" t="s">
        <v>699</v>
      </c>
      <c r="E17" s="154">
        <v>1</v>
      </c>
      <c r="F17" s="155">
        <v>6500</v>
      </c>
      <c r="G17" s="943">
        <f t="shared" ref="G17" si="3">E17*F17</f>
        <v>6500</v>
      </c>
    </row>
    <row r="18" spans="1:7" ht="16.5" customHeight="1">
      <c r="A18" s="259" t="s">
        <v>356</v>
      </c>
      <c r="B18" s="260" t="s">
        <v>700</v>
      </c>
      <c r="C18" s="261" t="s">
        <v>693</v>
      </c>
      <c r="D18" s="262"/>
      <c r="E18" s="945">
        <v>1</v>
      </c>
      <c r="F18" s="263">
        <f>((20*11)+(80*2))/3</f>
        <v>126.66666666666667</v>
      </c>
      <c r="G18" s="946">
        <f t="shared" si="1"/>
        <v>126.66666666666667</v>
      </c>
    </row>
    <row r="19" spans="1:7" hidden="1">
      <c r="A19" s="947">
        <v>6</v>
      </c>
      <c r="B19" s="948" t="s">
        <v>701</v>
      </c>
      <c r="C19" s="949" t="s">
        <v>268</v>
      </c>
      <c r="E19" s="950" t="e">
        <f>E20+E26+E28</f>
        <v>#REF!</v>
      </c>
      <c r="F19" s="951"/>
      <c r="G19" s="952" t="e">
        <f>G20+G26+G28</f>
        <v>#REF!</v>
      </c>
    </row>
    <row r="20" spans="1:7" hidden="1">
      <c r="A20" s="258" t="s">
        <v>702</v>
      </c>
      <c r="B20" s="159" t="s">
        <v>703</v>
      </c>
      <c r="C20" s="160" t="s">
        <v>268</v>
      </c>
      <c r="E20" s="161" t="e">
        <f>SUM(E21:E25)</f>
        <v>#REF!</v>
      </c>
      <c r="F20" s="162"/>
      <c r="G20" s="162" t="e">
        <f>SUM(G21:G24)</f>
        <v>#REF!</v>
      </c>
    </row>
    <row r="21" spans="1:7" ht="21.75" hidden="1" customHeight="1">
      <c r="A21" s="257" t="s">
        <v>704</v>
      </c>
      <c r="B21" s="153" t="s">
        <v>705</v>
      </c>
      <c r="C21" s="144" t="s">
        <v>706</v>
      </c>
      <c r="E21" s="144" t="e">
        <f>(COUNTA($B$10:$B$10,)-1)*#REF!</f>
        <v>#REF!</v>
      </c>
      <c r="F21" s="155">
        <v>0</v>
      </c>
      <c r="G21" s="156" t="e">
        <f>E21*F21</f>
        <v>#REF!</v>
      </c>
    </row>
    <row r="22" spans="1:7" ht="21.75" hidden="1" customHeight="1">
      <c r="A22" s="257" t="s">
        <v>707</v>
      </c>
      <c r="B22" s="153" t="s">
        <v>708</v>
      </c>
      <c r="C22" s="144" t="s">
        <v>706</v>
      </c>
      <c r="E22" s="144" t="e">
        <f>(COUNTA($B$10:$B$10,)-1)*#REF!</f>
        <v>#REF!</v>
      </c>
      <c r="F22" s="155">
        <v>0</v>
      </c>
      <c r="G22" s="156" t="e">
        <f>E22*F22</f>
        <v>#REF!</v>
      </c>
    </row>
    <row r="23" spans="1:7" ht="21.75" hidden="1" customHeight="1">
      <c r="A23" s="257" t="s">
        <v>709</v>
      </c>
      <c r="B23" s="153" t="s">
        <v>710</v>
      </c>
      <c r="C23" s="144" t="s">
        <v>706</v>
      </c>
      <c r="E23" s="144" t="e">
        <f>(COUNTA($B$10:$B$10,)-1)*#REF!</f>
        <v>#REF!</v>
      </c>
      <c r="F23" s="155">
        <v>0</v>
      </c>
      <c r="G23" s="156" t="e">
        <f>E23*F23</f>
        <v>#REF!</v>
      </c>
    </row>
    <row r="24" spans="1:7" ht="21.75" hidden="1" customHeight="1">
      <c r="A24" s="257" t="s">
        <v>711</v>
      </c>
      <c r="B24" s="153" t="s">
        <v>712</v>
      </c>
      <c r="C24" s="144" t="s">
        <v>706</v>
      </c>
      <c r="E24" s="144" t="e">
        <f>(COUNTA($B$10:$B$10,)-1)*#REF!</f>
        <v>#REF!</v>
      </c>
      <c r="F24" s="155">
        <v>0</v>
      </c>
      <c r="G24" s="156" t="e">
        <f>E24*F24</f>
        <v>#REF!</v>
      </c>
    </row>
    <row r="25" spans="1:7" ht="21.75" hidden="1" customHeight="1">
      <c r="A25" s="257"/>
      <c r="B25" s="153"/>
      <c r="C25" s="144"/>
      <c r="E25" s="144"/>
      <c r="F25" s="155"/>
      <c r="G25" s="156"/>
    </row>
    <row r="26" spans="1:7" hidden="1">
      <c r="A26" s="258" t="s">
        <v>713</v>
      </c>
      <c r="B26" s="159" t="s">
        <v>714</v>
      </c>
      <c r="C26" s="160" t="s">
        <v>268</v>
      </c>
      <c r="E26" s="161" t="e">
        <f>SUM(E27)</f>
        <v>#REF!</v>
      </c>
      <c r="F26" s="162"/>
      <c r="G26" s="162" t="e">
        <f>SUM(G27)</f>
        <v>#REF!</v>
      </c>
    </row>
    <row r="27" spans="1:7" hidden="1">
      <c r="A27" s="257" t="s">
        <v>715</v>
      </c>
      <c r="B27" s="153" t="s">
        <v>716</v>
      </c>
      <c r="C27" s="144" t="s">
        <v>706</v>
      </c>
      <c r="E27" s="144" t="e">
        <f>(COUNTA($B$10:$B$10,)-1)*#REF!</f>
        <v>#REF!</v>
      </c>
      <c r="F27" s="155">
        <v>0</v>
      </c>
      <c r="G27" s="156" t="e">
        <f>E27*F27</f>
        <v>#REF!</v>
      </c>
    </row>
    <row r="28" spans="1:7" hidden="1">
      <c r="A28" s="258" t="s">
        <v>717</v>
      </c>
      <c r="B28" s="159" t="s">
        <v>718</v>
      </c>
      <c r="C28" s="160" t="s">
        <v>268</v>
      </c>
      <c r="E28" s="162" t="e">
        <f>SUM(E29)</f>
        <v>#REF!</v>
      </c>
      <c r="F28" s="162"/>
      <c r="G28" s="162" t="e">
        <f>SUM(G29)</f>
        <v>#REF!</v>
      </c>
    </row>
    <row r="29" spans="1:7" hidden="1">
      <c r="A29" s="257" t="s">
        <v>719</v>
      </c>
      <c r="B29" s="153" t="s">
        <v>720</v>
      </c>
      <c r="C29" s="144" t="s">
        <v>706</v>
      </c>
      <c r="E29" s="144" t="e">
        <f>(COUNTA($B$10:$B$10,)-1)*#REF!</f>
        <v>#REF!</v>
      </c>
      <c r="F29" s="155">
        <v>0</v>
      </c>
      <c r="G29" s="156" t="e">
        <f>E29*F29</f>
        <v>#REF!</v>
      </c>
    </row>
    <row r="30" spans="1:7" hidden="1">
      <c r="A30" s="259"/>
      <c r="B30" s="260"/>
      <c r="C30" s="261"/>
      <c r="D30" s="262"/>
      <c r="E30" s="261"/>
      <c r="F30" s="263"/>
      <c r="G30" s="264"/>
    </row>
    <row r="31" spans="1:7" ht="18.75" hidden="1" customHeight="1"/>
    <row r="32" spans="1:7" ht="18.75" customHeight="1"/>
  </sheetData>
  <mergeCells count="4">
    <mergeCell ref="A2:A4"/>
    <mergeCell ref="B2:B4"/>
    <mergeCell ref="C2:C4"/>
    <mergeCell ref="E2:G2"/>
  </mergeCells>
  <dataValidations count="2">
    <dataValidation allowBlank="1" showErrorMessage="1" prompt="Escolha a moeda de seu contrato no cabeçalho do QQP." sqref="G9:G30" xr:uid="{6653178B-FC4A-4369-9FF1-38F5AE93CFFE}"/>
    <dataValidation type="list" allowBlank="1" showInputMessage="1" showErrorMessage="1" sqref="G4" xr:uid="{C0AEB6BF-5A85-45F3-B51F-1B4702939368}">
      <formula1>Moedas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83D88-EE09-4011-B5D8-3CF3B8C48139}">
  <dimension ref="A1:AC34"/>
  <sheetViews>
    <sheetView zoomScale="85" zoomScaleNormal="85" workbookViewId="0">
      <selection activeCell="E14" sqref="E14"/>
    </sheetView>
  </sheetViews>
  <sheetFormatPr defaultColWidth="9.140625" defaultRowHeight="12.4"/>
  <cols>
    <col min="2" max="2" width="46.85546875" customWidth="1"/>
    <col min="3" max="4" width="10.5703125" bestFit="1" customWidth="1"/>
    <col min="5" max="5" width="15.85546875" customWidth="1"/>
    <col min="6" max="6" width="22.5703125" customWidth="1"/>
    <col min="7" max="7" width="21.28515625" hidden="1" customWidth="1"/>
    <col min="8" max="8" width="14.5703125" hidden="1" customWidth="1"/>
    <col min="9" max="9" width="10.85546875" hidden="1" customWidth="1"/>
    <col min="10" max="10" width="11.28515625" hidden="1" customWidth="1"/>
    <col min="11" max="11" width="7.140625" customWidth="1"/>
    <col min="12" max="12" width="12.5703125" bestFit="1" customWidth="1"/>
    <col min="13" max="13" width="48.140625" bestFit="1" customWidth="1"/>
    <col min="14" max="14" width="19.28515625" customWidth="1"/>
    <col min="15" max="15" width="9.140625" bestFit="1" customWidth="1"/>
    <col min="16" max="16" width="15.7109375" customWidth="1"/>
    <col min="17" max="17" width="20.7109375" customWidth="1"/>
    <col min="18" max="18" width="11.5703125" hidden="1" customWidth="1"/>
    <col min="19" max="20" width="10.5703125" hidden="1" customWidth="1"/>
    <col min="21" max="21" width="15.7109375" hidden="1" customWidth="1"/>
    <col min="22" max="22" width="6" customWidth="1"/>
    <col min="23" max="23" width="27.7109375" customWidth="1"/>
    <col min="24" max="24" width="20.85546875" customWidth="1"/>
    <col min="25" max="25" width="21.5703125" bestFit="1" customWidth="1"/>
    <col min="27" max="27" width="21" hidden="1" customWidth="1"/>
    <col min="28" max="28" width="14.28515625" hidden="1" customWidth="1"/>
    <col min="29" max="29" width="14.42578125" hidden="1" customWidth="1"/>
  </cols>
  <sheetData>
    <row r="1" spans="1:28" ht="59.25" customHeight="1" thickBot="1">
      <c r="A1" s="1177" t="s">
        <v>721</v>
      </c>
      <c r="B1" s="1178"/>
      <c r="C1" s="1178"/>
      <c r="D1" s="1178"/>
      <c r="E1" s="1178"/>
      <c r="F1" s="1178"/>
      <c r="G1" s="1179"/>
      <c r="H1" s="1179"/>
      <c r="I1" s="1179"/>
      <c r="J1" s="1180"/>
      <c r="L1" s="362" t="s">
        <v>722</v>
      </c>
      <c r="M1" s="363"/>
      <c r="N1" s="363"/>
      <c r="O1" s="363"/>
      <c r="P1" s="363"/>
      <c r="Q1" s="363"/>
      <c r="R1" s="363"/>
      <c r="S1" s="363"/>
      <c r="T1" s="363"/>
      <c r="U1" s="364"/>
    </row>
    <row r="2" spans="1:28" ht="27" customHeight="1" thickBot="1">
      <c r="A2" s="378" t="s">
        <v>446</v>
      </c>
      <c r="B2" s="379" t="s">
        <v>185</v>
      </c>
      <c r="C2" s="379" t="s">
        <v>309</v>
      </c>
      <c r="D2" s="379" t="s">
        <v>317</v>
      </c>
      <c r="E2" s="379" t="s">
        <v>723</v>
      </c>
      <c r="F2" s="386" t="s">
        <v>724</v>
      </c>
      <c r="G2" s="366" t="s">
        <v>725</v>
      </c>
      <c r="H2" s="325" t="s">
        <v>726</v>
      </c>
      <c r="I2" s="325" t="s">
        <v>292</v>
      </c>
      <c r="J2" s="381" t="s">
        <v>727</v>
      </c>
      <c r="L2" s="327" t="s">
        <v>446</v>
      </c>
      <c r="M2" s="328" t="s">
        <v>185</v>
      </c>
      <c r="N2" s="328" t="s">
        <v>309</v>
      </c>
      <c r="O2" s="328" t="s">
        <v>317</v>
      </c>
      <c r="P2" s="328" t="s">
        <v>723</v>
      </c>
      <c r="Q2" s="329" t="s">
        <v>724</v>
      </c>
      <c r="R2" s="328" t="s">
        <v>725</v>
      </c>
      <c r="S2" s="328" t="s">
        <v>726</v>
      </c>
      <c r="T2" s="328" t="s">
        <v>292</v>
      </c>
      <c r="U2" s="330" t="s">
        <v>727</v>
      </c>
      <c r="W2" s="314" t="s">
        <v>724</v>
      </c>
      <c r="X2" s="315" t="s">
        <v>724</v>
      </c>
      <c r="Y2" s="390" t="s">
        <v>728</v>
      </c>
    </row>
    <row r="3" spans="1:28" ht="27" customHeight="1">
      <c r="A3" s="375">
        <v>1</v>
      </c>
      <c r="B3" s="376" t="e">
        <f>#REF!</f>
        <v>#REF!</v>
      </c>
      <c r="C3" s="197" t="s">
        <v>729</v>
      </c>
      <c r="D3" s="377">
        <v>1</v>
      </c>
      <c r="E3" s="191">
        <f>'Tabela Mão de obra'!C33/176*9</f>
        <v>728.96659090909088</v>
      </c>
      <c r="F3" s="387">
        <f>D3*E3</f>
        <v>728.96659090909088</v>
      </c>
      <c r="G3" s="367"/>
      <c r="H3" s="208"/>
      <c r="I3" s="208"/>
      <c r="J3" s="382"/>
      <c r="L3" s="324">
        <v>1</v>
      </c>
      <c r="M3" s="344" t="s">
        <v>730</v>
      </c>
      <c r="N3" s="331" t="s">
        <v>200</v>
      </c>
      <c r="O3" s="332">
        <f>D3</f>
        <v>1</v>
      </c>
      <c r="P3" s="333">
        <f t="shared" ref="P3:P8" si="0">E3*1.198*1.2</f>
        <v>1047.9623710909091</v>
      </c>
      <c r="Q3" s="323">
        <f t="shared" ref="Q3:Q8" si="1">O3*P3</f>
        <v>1047.9623710909091</v>
      </c>
      <c r="R3" s="325"/>
      <c r="S3" s="325"/>
      <c r="T3" s="325"/>
      <c r="U3" s="319"/>
      <c r="W3" s="313">
        <f>F3</f>
        <v>728.96659090909088</v>
      </c>
      <c r="X3" s="316">
        <f>Q3</f>
        <v>1047.9623710909091</v>
      </c>
      <c r="Y3" s="343">
        <f>X3-W3</f>
        <v>318.99578018181819</v>
      </c>
    </row>
    <row r="4" spans="1:28" ht="27" customHeight="1">
      <c r="A4" s="372">
        <v>2</v>
      </c>
      <c r="B4" s="370" t="e">
        <f>#REF!</f>
        <v>#REF!</v>
      </c>
      <c r="C4" s="176" t="s">
        <v>729</v>
      </c>
      <c r="D4" s="377">
        <v>1</v>
      </c>
      <c r="E4" s="191">
        <f>'Tabela Mão de obra'!L33/176*9</f>
        <v>510.24833686363638</v>
      </c>
      <c r="F4" s="387">
        <f t="shared" ref="F4:F14" si="2">D4*E4</f>
        <v>510.24833686363638</v>
      </c>
      <c r="G4" s="368"/>
      <c r="H4" s="206"/>
      <c r="I4" s="206"/>
      <c r="J4" s="201"/>
      <c r="L4" s="318">
        <v>2</v>
      </c>
      <c r="M4" s="370" t="e">
        <f>B4</f>
        <v>#REF!</v>
      </c>
      <c r="N4" s="176" t="s">
        <v>729</v>
      </c>
      <c r="O4" s="332">
        <f t="shared" ref="O4:O14" si="3">D4</f>
        <v>1</v>
      </c>
      <c r="P4" s="191">
        <f t="shared" si="0"/>
        <v>733.5330090751637</v>
      </c>
      <c r="Q4" s="312">
        <f t="shared" si="1"/>
        <v>733.5330090751637</v>
      </c>
      <c r="R4" s="206"/>
      <c r="S4" s="206"/>
      <c r="T4" s="206"/>
      <c r="U4" s="320"/>
      <c r="W4" s="313">
        <f t="shared" ref="W4:W14" si="4">F4</f>
        <v>510.24833686363638</v>
      </c>
      <c r="X4" s="316">
        <f t="shared" ref="X4:X14" si="5">Q4</f>
        <v>733.5330090751637</v>
      </c>
      <c r="Y4" s="343">
        <f t="shared" ref="Y4:Y12" si="6">X4-W4</f>
        <v>223.28467221152732</v>
      </c>
    </row>
    <row r="5" spans="1:28" ht="27" customHeight="1">
      <c r="A5" s="375">
        <v>3</v>
      </c>
      <c r="B5" s="370" t="e">
        <f>#REF!</f>
        <v>#REF!</v>
      </c>
      <c r="C5" s="176" t="s">
        <v>729</v>
      </c>
      <c r="D5" s="176">
        <v>2</v>
      </c>
      <c r="E5" s="191">
        <f>'Tabela Mão de obra'!D33/276*9</f>
        <v>418.63887373913047</v>
      </c>
      <c r="F5" s="387">
        <f t="shared" si="2"/>
        <v>837.27774747826095</v>
      </c>
      <c r="G5" s="368">
        <v>1200</v>
      </c>
      <c r="H5" s="207">
        <f>F6-G5</f>
        <v>7953.5714945454529</v>
      </c>
      <c r="I5" s="205">
        <f>IFERROR(H5/F6,"")</f>
        <v>0.8689036295051531</v>
      </c>
      <c r="J5" s="201"/>
      <c r="L5" s="324">
        <v>3</v>
      </c>
      <c r="M5" s="370" t="e">
        <f>B5</f>
        <v>#REF!</v>
      </c>
      <c r="N5" s="199" t="s">
        <v>200</v>
      </c>
      <c r="O5" s="332">
        <f t="shared" si="3"/>
        <v>2</v>
      </c>
      <c r="P5" s="333">
        <f t="shared" si="0"/>
        <v>601.83524488737396</v>
      </c>
      <c r="Q5" s="312">
        <f t="shared" si="1"/>
        <v>1203.6704897747479</v>
      </c>
      <c r="R5" s="206">
        <v>1200</v>
      </c>
      <c r="S5" s="207">
        <f>Q6-R5</f>
        <v>11959.174380558545</v>
      </c>
      <c r="T5" s="205">
        <f>IFERROR(S5/Q6,"")</f>
        <v>0.90880886860402976</v>
      </c>
      <c r="U5" s="320"/>
      <c r="W5" s="313">
        <f t="shared" si="4"/>
        <v>837.27774747826095</v>
      </c>
      <c r="X5" s="316">
        <f t="shared" si="5"/>
        <v>1203.6704897747479</v>
      </c>
      <c r="Y5" s="343">
        <f t="shared" si="6"/>
        <v>366.39274229648697</v>
      </c>
    </row>
    <row r="6" spans="1:28" ht="27" customHeight="1">
      <c r="A6" s="372">
        <v>4</v>
      </c>
      <c r="B6" s="371" t="e">
        <f>#REF!</f>
        <v>#REF!</v>
      </c>
      <c r="C6" s="176" t="s">
        <v>729</v>
      </c>
      <c r="D6" s="188">
        <v>20</v>
      </c>
      <c r="E6" s="192">
        <f>'Tabela Mão de obra'!G33/176*9</f>
        <v>457.67857472727269</v>
      </c>
      <c r="F6" s="387">
        <f t="shared" si="2"/>
        <v>9153.5714945454529</v>
      </c>
      <c r="G6" s="368"/>
      <c r="H6" s="207"/>
      <c r="I6" s="205"/>
      <c r="J6" s="201"/>
      <c r="L6" s="318">
        <v>4</v>
      </c>
      <c r="M6" s="370" t="e">
        <f>B6</f>
        <v>#REF!</v>
      </c>
      <c r="N6" s="199" t="s">
        <v>200</v>
      </c>
      <c r="O6" s="332">
        <f t="shared" si="3"/>
        <v>20</v>
      </c>
      <c r="P6" s="333">
        <f t="shared" si="0"/>
        <v>657.95871902792726</v>
      </c>
      <c r="Q6" s="312">
        <f t="shared" si="1"/>
        <v>13159.174380558545</v>
      </c>
      <c r="R6" s="206"/>
      <c r="S6" s="207"/>
      <c r="T6" s="205"/>
      <c r="U6" s="320"/>
      <c r="W6" s="313">
        <f t="shared" si="4"/>
        <v>9153.5714945454529</v>
      </c>
      <c r="X6" s="316">
        <f t="shared" si="5"/>
        <v>13159.174380558545</v>
      </c>
      <c r="Y6" s="343">
        <f t="shared" si="6"/>
        <v>4005.6028860130918</v>
      </c>
    </row>
    <row r="7" spans="1:28" ht="27" customHeight="1">
      <c r="A7" s="375">
        <v>5</v>
      </c>
      <c r="B7" s="371" t="e">
        <f>#REF!</f>
        <v>#REF!</v>
      </c>
      <c r="C7" s="176" t="s">
        <v>729</v>
      </c>
      <c r="D7" s="188">
        <v>12</v>
      </c>
      <c r="E7" s="192">
        <f>'Tabela Mão de obra'!F33/176*9</f>
        <v>514.49455199999989</v>
      </c>
      <c r="F7" s="387">
        <f t="shared" si="2"/>
        <v>6173.9346239999986</v>
      </c>
      <c r="G7" s="368">
        <v>100</v>
      </c>
      <c r="H7" s="207">
        <f>F8-G7</f>
        <v>5781.7381694545447</v>
      </c>
      <c r="I7" s="205">
        <f>IFERROR(H7/F8,"0%")</f>
        <v>0.98299822312402019</v>
      </c>
      <c r="J7" s="201"/>
      <c r="L7" s="324">
        <v>5</v>
      </c>
      <c r="M7" s="370" t="e">
        <f>B7</f>
        <v>#REF!</v>
      </c>
      <c r="N7" s="199" t="s">
        <v>200</v>
      </c>
      <c r="O7" s="332">
        <f t="shared" si="3"/>
        <v>12</v>
      </c>
      <c r="P7" s="333">
        <f t="shared" si="0"/>
        <v>739.63736795519969</v>
      </c>
      <c r="Q7" s="312">
        <f t="shared" si="1"/>
        <v>8875.6484154623959</v>
      </c>
      <c r="R7" s="206">
        <v>100</v>
      </c>
      <c r="S7" s="207">
        <f>Q9-R7</f>
        <v>42536.25</v>
      </c>
      <c r="T7" s="205">
        <f>IFERROR(S7/Q9,"0%")</f>
        <v>0.99765457797062362</v>
      </c>
      <c r="U7" s="320"/>
      <c r="W7" s="313">
        <f t="shared" si="4"/>
        <v>6173.9346239999986</v>
      </c>
      <c r="X7" s="316">
        <f t="shared" si="5"/>
        <v>8875.6484154623959</v>
      </c>
      <c r="Y7" s="343">
        <f t="shared" si="6"/>
        <v>2701.7137914623972</v>
      </c>
    </row>
    <row r="8" spans="1:28" ht="27" customHeight="1">
      <c r="A8" s="372">
        <v>6</v>
      </c>
      <c r="B8" s="371" t="e">
        <f>#REF!</f>
        <v>#REF!</v>
      </c>
      <c r="C8" s="176" t="s">
        <v>729</v>
      </c>
      <c r="D8" s="188">
        <v>12</v>
      </c>
      <c r="E8" s="192">
        <f>'Tabela Mão de obra'!H33/176*9</f>
        <v>490.14484745454541</v>
      </c>
      <c r="F8" s="387">
        <f t="shared" si="2"/>
        <v>5881.7381694545447</v>
      </c>
      <c r="G8" s="368">
        <v>55000</v>
      </c>
      <c r="H8" s="207">
        <f>F9-G8</f>
        <v>-17925</v>
      </c>
      <c r="I8" s="205">
        <f>IFERROR(H8/F9,"0%")</f>
        <v>-0.48347943358057993</v>
      </c>
      <c r="J8" s="201"/>
      <c r="L8" s="318">
        <v>6</v>
      </c>
      <c r="M8" s="370" t="e">
        <f>B8</f>
        <v>#REF!</v>
      </c>
      <c r="N8" s="199" t="s">
        <v>200</v>
      </c>
      <c r="O8" s="332">
        <f t="shared" si="3"/>
        <v>12</v>
      </c>
      <c r="P8" s="333">
        <f t="shared" si="0"/>
        <v>704.63223270065441</v>
      </c>
      <c r="Q8" s="312">
        <f t="shared" si="1"/>
        <v>8455.586792407852</v>
      </c>
      <c r="R8" s="206">
        <v>55000</v>
      </c>
      <c r="S8" s="207">
        <f>Q10-R8</f>
        <v>-54547.234741784036</v>
      </c>
      <c r="T8" s="205">
        <f>IFERROR(S8/Q10,"0%")</f>
        <v>-120.47575151131802</v>
      </c>
      <c r="U8" s="320"/>
      <c r="W8" s="313">
        <f t="shared" si="4"/>
        <v>5881.7381694545447</v>
      </c>
      <c r="X8" s="316">
        <f t="shared" si="5"/>
        <v>8455.586792407852</v>
      </c>
      <c r="Y8" s="343">
        <f t="shared" si="6"/>
        <v>2573.8486229533073</v>
      </c>
    </row>
    <row r="9" spans="1:28" ht="27" customHeight="1">
      <c r="A9" s="375">
        <v>7</v>
      </c>
      <c r="B9" s="371" t="s">
        <v>701</v>
      </c>
      <c r="C9" s="188" t="s">
        <v>729</v>
      </c>
      <c r="D9" s="188">
        <v>1</v>
      </c>
      <c r="E9" s="192">
        <f>Mobilização!G57/4</f>
        <v>37075</v>
      </c>
      <c r="F9" s="387">
        <f t="shared" si="2"/>
        <v>37075</v>
      </c>
      <c r="G9" s="368">
        <v>3000</v>
      </c>
      <c r="H9" s="207">
        <f>F10-G9</f>
        <v>-2685.0547730829421</v>
      </c>
      <c r="I9" s="205">
        <f>IFERROR(H9/F10,"0%")</f>
        <v>-8.5254658385093158</v>
      </c>
      <c r="J9" s="201"/>
      <c r="L9" s="324">
        <v>7</v>
      </c>
      <c r="M9" s="345" t="s">
        <v>701</v>
      </c>
      <c r="N9" s="309" t="s">
        <v>729</v>
      </c>
      <c r="O9" s="332">
        <f t="shared" si="3"/>
        <v>1</v>
      </c>
      <c r="P9" s="333">
        <f>Mobilização!G61/4</f>
        <v>42636.25</v>
      </c>
      <c r="Q9" s="312">
        <f>P9*O9</f>
        <v>42636.25</v>
      </c>
      <c r="R9" s="206">
        <v>3000</v>
      </c>
      <c r="S9" s="207" t="e">
        <f>Q11-R9</f>
        <v>#REF!</v>
      </c>
      <c r="T9" s="205" t="str">
        <f>IFERROR(S9/Q11,"0%")</f>
        <v>0%</v>
      </c>
      <c r="U9" s="320"/>
      <c r="W9" s="313">
        <f t="shared" si="4"/>
        <v>37075</v>
      </c>
      <c r="X9" s="316">
        <f t="shared" si="5"/>
        <v>42636.25</v>
      </c>
      <c r="Y9" s="343">
        <f t="shared" si="6"/>
        <v>5561.25</v>
      </c>
    </row>
    <row r="10" spans="1:28" ht="27" customHeight="1">
      <c r="A10" s="372">
        <v>8</v>
      </c>
      <c r="B10" s="371" t="s">
        <v>731</v>
      </c>
      <c r="C10" s="188" t="s">
        <v>729</v>
      </c>
      <c r="D10" s="188">
        <v>1</v>
      </c>
      <c r="E10" s="192">
        <f>Desmobilização!G55/12</f>
        <v>314.94522691705794</v>
      </c>
      <c r="F10" s="387">
        <f t="shared" si="2"/>
        <v>314.94522691705794</v>
      </c>
      <c r="G10" s="368">
        <v>15000</v>
      </c>
      <c r="H10" s="207" t="e">
        <f>F11-G10</f>
        <v>#REF!</v>
      </c>
      <c r="I10" s="205" t="str">
        <f>IFERROR(H10/F11,"0%")</f>
        <v>0%</v>
      </c>
      <c r="J10" s="201"/>
      <c r="L10" s="318">
        <v>8</v>
      </c>
      <c r="M10" s="345" t="s">
        <v>731</v>
      </c>
      <c r="N10" s="309" t="s">
        <v>729</v>
      </c>
      <c r="O10" s="332">
        <f t="shared" si="3"/>
        <v>1</v>
      </c>
      <c r="P10" s="333">
        <f>E10*1.198*1.2</f>
        <v>452.76525821596249</v>
      </c>
      <c r="Q10" s="312">
        <f>P10*O10</f>
        <v>452.76525821596249</v>
      </c>
      <c r="R10" s="206">
        <v>15000</v>
      </c>
      <c r="S10" s="207" t="e">
        <f>Q12-R10</f>
        <v>#REF!</v>
      </c>
      <c r="T10" s="205" t="str">
        <f>IFERROR(S10/Q12,"0%")</f>
        <v>0%</v>
      </c>
      <c r="U10" s="320"/>
      <c r="W10" s="313">
        <f t="shared" si="4"/>
        <v>314.94522691705794</v>
      </c>
      <c r="X10" s="316">
        <f t="shared" si="5"/>
        <v>452.76525821596249</v>
      </c>
      <c r="Y10" s="343">
        <f t="shared" si="6"/>
        <v>137.82003129890455</v>
      </c>
    </row>
    <row r="11" spans="1:28" ht="27" customHeight="1">
      <c r="A11" s="375">
        <v>9</v>
      </c>
      <c r="B11" s="371" t="s">
        <v>732</v>
      </c>
      <c r="C11" s="188" t="s">
        <v>729</v>
      </c>
      <c r="D11" s="188">
        <v>1</v>
      </c>
      <c r="E11" s="192" t="e">
        <f>#REF!</f>
        <v>#REF!</v>
      </c>
      <c r="F11" s="387" t="e">
        <f t="shared" si="2"/>
        <v>#REF!</v>
      </c>
      <c r="G11" s="368"/>
      <c r="H11" s="206"/>
      <c r="I11" s="206"/>
      <c r="J11" s="201"/>
      <c r="L11" s="324">
        <v>9</v>
      </c>
      <c r="M11" s="345" t="s">
        <v>732</v>
      </c>
      <c r="N11" s="309" t="s">
        <v>729</v>
      </c>
      <c r="O11" s="332">
        <f t="shared" si="3"/>
        <v>1</v>
      </c>
      <c r="P11" s="333" t="e">
        <f>E11*1.189*1.2</f>
        <v>#REF!</v>
      </c>
      <c r="Q11" s="312" t="e">
        <f>O11*P11</f>
        <v>#REF!</v>
      </c>
      <c r="R11" s="206"/>
      <c r="S11" s="206"/>
      <c r="T11" s="206"/>
      <c r="U11" s="320"/>
      <c r="W11" s="313" t="e">
        <f t="shared" si="4"/>
        <v>#REF!</v>
      </c>
      <c r="X11" s="316" t="e">
        <f t="shared" si="5"/>
        <v>#REF!</v>
      </c>
      <c r="Y11" s="343" t="e">
        <f t="shared" si="6"/>
        <v>#REF!</v>
      </c>
    </row>
    <row r="12" spans="1:28" ht="27" customHeight="1">
      <c r="A12" s="372">
        <v>10</v>
      </c>
      <c r="B12" s="189" t="s">
        <v>733</v>
      </c>
      <c r="C12" s="188" t="s">
        <v>729</v>
      </c>
      <c r="D12" s="188">
        <v>1</v>
      </c>
      <c r="E12" s="192" t="e">
        <f>#REF!</f>
        <v>#REF!</v>
      </c>
      <c r="F12" s="387" t="e">
        <f t="shared" si="2"/>
        <v>#REF!</v>
      </c>
      <c r="G12" s="368"/>
      <c r="H12" s="206"/>
      <c r="I12" s="206"/>
      <c r="J12" s="201"/>
      <c r="L12" s="318">
        <v>10</v>
      </c>
      <c r="M12" s="346" t="s">
        <v>733</v>
      </c>
      <c r="N12" s="309" t="s">
        <v>729</v>
      </c>
      <c r="O12" s="332">
        <f t="shared" si="3"/>
        <v>1</v>
      </c>
      <c r="P12" s="333" t="e">
        <f>E12*1.198*1.2</f>
        <v>#REF!</v>
      </c>
      <c r="Q12" s="312" t="e">
        <f>O12*P12</f>
        <v>#REF!</v>
      </c>
      <c r="R12" s="206"/>
      <c r="S12" s="206"/>
      <c r="T12" s="206"/>
      <c r="U12" s="320"/>
      <c r="W12" s="313" t="e">
        <f t="shared" si="4"/>
        <v>#REF!</v>
      </c>
      <c r="X12" s="316" t="e">
        <f t="shared" si="5"/>
        <v>#REF!</v>
      </c>
      <c r="Y12" s="343" t="e">
        <f t="shared" si="6"/>
        <v>#REF!</v>
      </c>
    </row>
    <row r="13" spans="1:28" ht="27" customHeight="1" thickBot="1">
      <c r="A13" s="375">
        <v>11</v>
      </c>
      <c r="B13" s="189" t="s">
        <v>303</v>
      </c>
      <c r="C13" s="188" t="s">
        <v>729</v>
      </c>
      <c r="D13" s="188">
        <v>1</v>
      </c>
      <c r="E13" s="192">
        <f>Mobilização!H19</f>
        <v>3500</v>
      </c>
      <c r="F13" s="387">
        <f t="shared" si="2"/>
        <v>3500</v>
      </c>
      <c r="G13" s="369"/>
      <c r="H13" s="252"/>
      <c r="I13" s="252"/>
      <c r="J13" s="383"/>
      <c r="L13" s="321"/>
      <c r="M13" s="346" t="s">
        <v>303</v>
      </c>
      <c r="N13" s="309" t="s">
        <v>729</v>
      </c>
      <c r="O13" s="332">
        <f t="shared" si="3"/>
        <v>1</v>
      </c>
      <c r="P13" s="333">
        <f>E13*1.198*1.2</f>
        <v>5031.5999999999995</v>
      </c>
      <c r="Q13" s="312">
        <f>O13*P13</f>
        <v>5031.5999999999995</v>
      </c>
      <c r="R13" s="252"/>
      <c r="S13" s="252"/>
      <c r="T13" s="252"/>
      <c r="U13" s="322"/>
      <c r="W13" s="313">
        <f t="shared" si="4"/>
        <v>3500</v>
      </c>
      <c r="X13" s="316">
        <f t="shared" si="5"/>
        <v>5031.5999999999995</v>
      </c>
      <c r="Y13" s="343">
        <f>X13-W13</f>
        <v>1531.5999999999995</v>
      </c>
    </row>
    <row r="14" spans="1:28" ht="29.25" customHeight="1" thickBot="1">
      <c r="A14" s="384">
        <v>12</v>
      </c>
      <c r="B14" s="189" t="s">
        <v>734</v>
      </c>
      <c r="C14" s="188" t="s">
        <v>729</v>
      </c>
      <c r="D14" s="188">
        <v>1</v>
      </c>
      <c r="E14" s="192" t="e">
        <f>'Mao Obra_Fabricação'!#REF!</f>
        <v>#REF!</v>
      </c>
      <c r="F14" s="387" t="e">
        <f t="shared" si="2"/>
        <v>#REF!</v>
      </c>
      <c r="G14" s="385"/>
      <c r="H14" s="385"/>
      <c r="I14" s="385"/>
      <c r="J14" s="203"/>
      <c r="L14" s="193"/>
      <c r="M14" s="346" t="s">
        <v>734</v>
      </c>
      <c r="N14" s="309" t="s">
        <v>729</v>
      </c>
      <c r="O14" s="332">
        <f t="shared" si="3"/>
        <v>1</v>
      </c>
      <c r="P14" s="333" t="e">
        <f>E14*1.198*1.2</f>
        <v>#REF!</v>
      </c>
      <c r="Q14" s="312" t="e">
        <f>O14*P14</f>
        <v>#REF!</v>
      </c>
      <c r="W14" s="313" t="e">
        <f t="shared" si="4"/>
        <v>#REF!</v>
      </c>
      <c r="X14" s="316" t="e">
        <f t="shared" si="5"/>
        <v>#REF!</v>
      </c>
      <c r="Y14" s="343" t="e">
        <f>X14-W14</f>
        <v>#REF!</v>
      </c>
    </row>
    <row r="15" spans="1:28" ht="24.75" customHeight="1" thickBot="1">
      <c r="A15" s="384">
        <v>13</v>
      </c>
      <c r="B15" s="389" t="s">
        <v>735</v>
      </c>
      <c r="C15" s="373"/>
      <c r="D15" s="373"/>
      <c r="E15" s="374"/>
      <c r="F15" s="388" t="e">
        <f>SUM(F3:F14)</f>
        <v>#REF!</v>
      </c>
      <c r="Q15" s="326" t="e">
        <f>SUM(Q3:Q14)</f>
        <v>#REF!</v>
      </c>
      <c r="W15" s="317" t="e">
        <f>SUM(W3:W13)</f>
        <v>#REF!</v>
      </c>
      <c r="X15" s="334" t="e">
        <f>SUM(X3:X14)</f>
        <v>#REF!</v>
      </c>
      <c r="Y15" s="335" t="e">
        <f>SUM(Y3:Y14)</f>
        <v>#REF!</v>
      </c>
      <c r="AA15" s="487"/>
      <c r="AB15" s="487"/>
    </row>
    <row r="16" spans="1:28" ht="24" customHeight="1" thickBot="1">
      <c r="B16" s="310"/>
      <c r="C16" s="311"/>
      <c r="D16" s="311"/>
      <c r="Q16" s="341"/>
      <c r="W16" s="354"/>
      <c r="X16" s="392" t="s">
        <v>736</v>
      </c>
      <c r="Y16" s="393" t="e">
        <f>Y15/X15</f>
        <v>#REF!</v>
      </c>
      <c r="AA16" s="347"/>
      <c r="AB16" s="311"/>
    </row>
    <row r="17" spans="1:29" ht="27.75" customHeight="1">
      <c r="A17" s="193"/>
      <c r="P17">
        <v>12</v>
      </c>
      <c r="Q17" s="341"/>
      <c r="W17" s="352"/>
      <c r="X17" s="391" t="s">
        <v>737</v>
      </c>
      <c r="Y17" s="353" t="e">
        <f>X15</f>
        <v>#REF!</v>
      </c>
      <c r="AA17" s="347"/>
      <c r="AB17" s="311"/>
    </row>
    <row r="18" spans="1:29" ht="20.25" customHeight="1">
      <c r="A18" s="193"/>
      <c r="P18" s="311" t="e">
        <f>P11*P17</f>
        <v>#REF!</v>
      </c>
      <c r="W18" s="354"/>
      <c r="X18" s="336" t="s">
        <v>738</v>
      </c>
      <c r="Y18" s="355" t="e">
        <f>X15*0.148</f>
        <v>#REF!</v>
      </c>
      <c r="Z18" s="265"/>
      <c r="AA18" s="348"/>
      <c r="AB18" s="311"/>
    </row>
    <row r="19" spans="1:29" ht="20.25" customHeight="1">
      <c r="A19" s="193"/>
      <c r="W19" s="354"/>
      <c r="X19" s="337" t="s">
        <v>737</v>
      </c>
      <c r="Y19" s="355" t="e">
        <f>Y17-Y18</f>
        <v>#REF!</v>
      </c>
      <c r="AA19" s="348"/>
      <c r="AB19" s="311"/>
    </row>
    <row r="20" spans="1:29" ht="18.75" customHeight="1">
      <c r="W20" s="354"/>
      <c r="X20" s="339" t="s">
        <v>739</v>
      </c>
      <c r="Y20" s="356" t="e">
        <f>W15</f>
        <v>#REF!</v>
      </c>
      <c r="AA20" s="348" t="s">
        <v>185</v>
      </c>
      <c r="AB20" s="266" t="s">
        <v>740</v>
      </c>
      <c r="AC20" t="s">
        <v>741</v>
      </c>
    </row>
    <row r="21" spans="1:29" ht="20.25" customHeight="1">
      <c r="X21" s="340" t="s">
        <v>742</v>
      </c>
      <c r="Y21" s="357" t="e">
        <f>Y19-Y20</f>
        <v>#REF!</v>
      </c>
      <c r="AA21" s="206"/>
      <c r="AB21" s="204">
        <f>SUM(O5:O8)</f>
        <v>46</v>
      </c>
      <c r="AC21" s="309">
        <f>9*AB21*2</f>
        <v>828</v>
      </c>
    </row>
    <row r="22" spans="1:29" ht="21" customHeight="1">
      <c r="W22" s="358" t="s">
        <v>743</v>
      </c>
      <c r="X22" s="342">
        <v>8</v>
      </c>
      <c r="Y22" s="357" t="e">
        <f>X15*X22</f>
        <v>#REF!</v>
      </c>
      <c r="AA22" s="206" t="s">
        <v>744</v>
      </c>
      <c r="AB22" s="349" t="e">
        <f>Q15/AB21</f>
        <v>#REF!</v>
      </c>
      <c r="AC22" s="338"/>
    </row>
    <row r="23" spans="1:29" ht="21" customHeight="1" thickBot="1">
      <c r="W23" s="359" t="s">
        <v>745</v>
      </c>
      <c r="X23" s="360">
        <v>12</v>
      </c>
      <c r="Y23" s="361" t="e">
        <f>Y22*X23</f>
        <v>#REF!</v>
      </c>
      <c r="AA23" s="206"/>
      <c r="AB23" s="309"/>
      <c r="AC23" s="206"/>
    </row>
    <row r="24" spans="1:29" ht="19.5" customHeight="1" thickBot="1">
      <c r="X24" s="360" t="s">
        <v>746</v>
      </c>
      <c r="Y24" s="361" t="e">
        <f>Y21*X23</f>
        <v>#REF!</v>
      </c>
      <c r="AA24" s="206" t="s">
        <v>747</v>
      </c>
      <c r="AB24" s="338" t="e">
        <f>Q15/AC21</f>
        <v>#REF!</v>
      </c>
      <c r="AC24" s="206"/>
    </row>
    <row r="25" spans="1:29" ht="21" customHeight="1">
      <c r="W25" s="358" t="s">
        <v>748</v>
      </c>
      <c r="X25" s="342">
        <v>8</v>
      </c>
      <c r="Y25" s="357" t="e">
        <f>Y21*X25</f>
        <v>#REF!</v>
      </c>
    </row>
    <row r="26" spans="1:29" ht="21" customHeight="1">
      <c r="W26" s="358" t="s">
        <v>749</v>
      </c>
      <c r="X26" s="342">
        <v>12</v>
      </c>
      <c r="Y26" s="357" t="e">
        <f>Y21*X25*X26</f>
        <v>#REF!</v>
      </c>
    </row>
    <row r="34" spans="28:28">
      <c r="AB34" s="266"/>
    </row>
  </sheetData>
  <mergeCells count="1">
    <mergeCell ref="A1:J1"/>
  </mergeCells>
  <phoneticPr fontId="2" type="noConversion"/>
  <conditionalFormatting sqref="J9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U9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8d637b7-73e1-4725-bfa5-bfa3b6b46972">
      <Terms xmlns="http://schemas.microsoft.com/office/infopath/2007/PartnerControls"/>
    </lcf76f155ced4ddcb4097134ff3c332f>
    <TaxCatchAll xmlns="5b74716f-c90e-48cf-8e50-88a7293ef179" xsi:nil="true"/>
    <DataCria_x00e7__x00e3_o xmlns="c8d637b7-73e1-4725-bfa5-bfa3b6b4697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0BCE3F2679AB4F81A1C1AAB390EA97" ma:contentTypeVersion="19" ma:contentTypeDescription="Create a new document." ma:contentTypeScope="" ma:versionID="1d654800aed7de4dece06f0047470e09">
  <xsd:schema xmlns:xsd="http://www.w3.org/2001/XMLSchema" xmlns:xs="http://www.w3.org/2001/XMLSchema" xmlns:p="http://schemas.microsoft.com/office/2006/metadata/properties" xmlns:ns2="c8d637b7-73e1-4725-bfa5-bfa3b6b46972" xmlns:ns3="5b74716f-c90e-48cf-8e50-88a7293ef179" targetNamespace="http://schemas.microsoft.com/office/2006/metadata/properties" ma:root="true" ma:fieldsID="ce2e47ab108286be5d5ea28669542432" ns2:_="" ns3:_="">
    <xsd:import namespace="c8d637b7-73e1-4725-bfa5-bfa3b6b46972"/>
    <xsd:import namespace="5b74716f-c90e-48cf-8e50-88a7293ef1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DataCria_x00e7__x00e3_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d637b7-73e1-4725-bfa5-bfa3b6b4697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c968e3f-c370-4446-a4ce-fc562ebc6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DataCria_x00e7__x00e3_o" ma:index="26" nillable="true" ma:displayName="Data Criação" ma:format="DateTime" ma:internalName="DataCria_x00e7__x00e3_o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74716f-c90e-48cf-8e50-88a7293ef17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b27118d-0169-4cf7-801f-1209e11bd64b}" ma:internalName="TaxCatchAll" ma:showField="CatchAllData" ma:web="5b74716f-c90e-48cf-8e50-88a7293ef1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E32E4A1-22A6-49EF-9547-BACB56DED33D}"/>
</file>

<file path=customXml/itemProps2.xml><?xml version="1.0" encoding="utf-8"?>
<ds:datastoreItem xmlns:ds="http://schemas.openxmlformats.org/officeDocument/2006/customXml" ds:itemID="{508B98E8-63C7-41AE-A0A2-E7BD78F917D8}"/>
</file>

<file path=customXml/itemProps3.xml><?xml version="1.0" encoding="utf-8"?>
<ds:datastoreItem xmlns:ds="http://schemas.openxmlformats.org/officeDocument/2006/customXml" ds:itemID="{7F52D2C2-0438-4ECF-83FD-A896BDF89B2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...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01504253</dc:creator>
  <cp:keywords/>
  <dc:description/>
  <cp:lastModifiedBy/>
  <cp:revision/>
  <dcterms:created xsi:type="dcterms:W3CDTF">2010-09-19T22:17:54Z</dcterms:created>
  <dcterms:modified xsi:type="dcterms:W3CDTF">2025-09-17T21:48:09Z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0x010100510BCE3F2679AB4F81A1C1AAB390EA97</vt:lpwstr>
  </property>
  <property fmtid="{D5CDD505-2E9C-101B-9397-08002B2CF9AE}" pid="3" name="MediaServiceImageTags">
    <vt:lpwstr/>
  </property>
</Properties>
</file>